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EIP digitalisering\2025\Bijlagen\"/>
    </mc:Choice>
  </mc:AlternateContent>
  <xr:revisionPtr revIDLastSave="0" documentId="8_{8D391457-E6F8-40D7-85D5-8F7D1C20F386}" xr6:coauthVersionLast="47" xr6:coauthVersionMax="47" xr10:uidLastSave="{00000000-0000-0000-0000-000000000000}"/>
  <bookViews>
    <workbookView xWindow="-120" yWindow="-120" windowWidth="21840" windowHeight="13140" tabRatio="938" firstSheet="1" activeTab="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project'!$E1,Kostentypen!$A$161:$A$172,0)-1,,,40),"?*")-1))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betaalverzoek'!$E1,Kostentypen!$A$161:$A$172,0)-1,,,40),"?*")-1))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75" i="11" l="1"/>
  <c r="N175" i="11"/>
  <c r="O175" i="11"/>
  <c r="P175" i="11"/>
  <c r="Q175" i="11"/>
  <c r="R175" i="11"/>
  <c r="S175" i="11"/>
  <c r="T175" i="11"/>
  <c r="U175" i="11"/>
  <c r="V175" i="11"/>
  <c r="W175" i="11"/>
  <c r="X175" i="11"/>
  <c r="Y175" i="11"/>
  <c r="Z175" i="11"/>
  <c r="AA175" i="11"/>
  <c r="AB175" i="11"/>
  <c r="AC175" i="11"/>
  <c r="AD175" i="11"/>
  <c r="AE175" i="11"/>
  <c r="AF175" i="11"/>
  <c r="AG175" i="11"/>
  <c r="AH175" i="11"/>
  <c r="AI175" i="11"/>
  <c r="E176"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C177" i="11"/>
  <c r="D177" i="11"/>
  <c r="E177"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C178" i="11"/>
  <c r="D178" i="11"/>
  <c r="E178" i="11"/>
  <c r="F178" i="11"/>
  <c r="G178" i="11"/>
  <c r="H178" i="11"/>
  <c r="I178" i="11"/>
  <c r="J178" i="11"/>
  <c r="K178" i="11"/>
  <c r="L178"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C179" i="11"/>
  <c r="D179" i="11"/>
  <c r="E179" i="11"/>
  <c r="F179" i="11"/>
  <c r="G179" i="11"/>
  <c r="H179" i="11"/>
  <c r="I179" i="11"/>
  <c r="J179" i="11"/>
  <c r="K179" i="11"/>
  <c r="L179" i="11"/>
  <c r="M179" i="11"/>
  <c r="N179" i="11"/>
  <c r="O179" i="11"/>
  <c r="P179" i="11"/>
  <c r="Q179" i="11"/>
  <c r="R179" i="11"/>
  <c r="S179" i="11"/>
  <c r="T179" i="11"/>
  <c r="U179" i="11"/>
  <c r="V179" i="11"/>
  <c r="W179" i="11"/>
  <c r="X179" i="11"/>
  <c r="Y179" i="11"/>
  <c r="Z179" i="11"/>
  <c r="AA179" i="11"/>
  <c r="AB179" i="11"/>
  <c r="AC179" i="11"/>
  <c r="AD179" i="11"/>
  <c r="AE179" i="11"/>
  <c r="AF179" i="11"/>
  <c r="AG179" i="11"/>
  <c r="AH179" i="11"/>
  <c r="AI179" i="11"/>
  <c r="C180"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C182"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C183"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C184" i="11"/>
  <c r="D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C185" i="11"/>
  <c r="D185" i="11"/>
  <c r="E185"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C186" i="11"/>
  <c r="D186" i="11"/>
  <c r="E186"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B151" i="11" a="1"/>
  <c r="B151" i="11"/>
  <c r="B152" i="11" a="1"/>
  <c r="B152" i="11"/>
  <c r="B153" i="11" a="1"/>
  <c r="B153" i="11"/>
  <c r="B154" i="11" a="1"/>
  <c r="B154" i="11"/>
  <c r="B155" i="11" a="1"/>
  <c r="B155" i="11"/>
  <c r="B156" i="11" a="1"/>
  <c r="B156" i="11"/>
  <c r="B157" i="11" a="1"/>
  <c r="B157" i="11"/>
  <c r="B158" i="11" a="1"/>
  <c r="B158" i="11"/>
  <c r="AY5" i="41"/>
  <c r="AZ5" i="41"/>
  <c r="BA5" i="41"/>
  <c r="BB5" i="41"/>
  <c r="BC5" i="41"/>
  <c r="BD5" i="41"/>
  <c r="BE5" i="41"/>
  <c r="BF5" i="41"/>
  <c r="BG5" i="41"/>
  <c r="BH5" i="41"/>
  <c r="BI5" i="41"/>
  <c r="BJ5" i="41"/>
  <c r="BK5" i="41"/>
  <c r="BL5" i="41"/>
  <c r="BM5" i="41"/>
  <c r="BN5" i="41"/>
  <c r="BO5" i="41"/>
  <c r="BP5" i="41"/>
  <c r="BQ5" i="41"/>
  <c r="BR5" i="41"/>
  <c r="AY6" i="41"/>
  <c r="AZ6" i="41"/>
  <c r="BA6" i="41"/>
  <c r="BB6" i="41"/>
  <c r="BC6" i="41"/>
  <c r="BD6" i="41"/>
  <c r="BE6" i="41"/>
  <c r="BF6" i="41"/>
  <c r="BG6" i="41"/>
  <c r="BH6" i="41"/>
  <c r="BI6" i="41"/>
  <c r="BJ6" i="41"/>
  <c r="BK6" i="41"/>
  <c r="BL6" i="41"/>
  <c r="BM6" i="41"/>
  <c r="BN6" i="41"/>
  <c r="BO6" i="41"/>
  <c r="BP6" i="41"/>
  <c r="BQ6" i="41"/>
  <c r="BR6" i="41"/>
  <c r="AY7" i="41"/>
  <c r="AZ7" i="41"/>
  <c r="BA7" i="41"/>
  <c r="BB7" i="41"/>
  <c r="BC7" i="41"/>
  <c r="BD7" i="41"/>
  <c r="BE7" i="41"/>
  <c r="BF7" i="41"/>
  <c r="BG7" i="41"/>
  <c r="BH7" i="41"/>
  <c r="BI7" i="41"/>
  <c r="BJ7" i="41"/>
  <c r="BK7" i="41"/>
  <c r="BL7" i="41"/>
  <c r="BM7" i="41"/>
  <c r="BN7" i="41"/>
  <c r="BO7" i="41"/>
  <c r="BP7" i="41"/>
  <c r="BQ7" i="41"/>
  <c r="BR7" i="41"/>
  <c r="AY8" i="41"/>
  <c r="AZ8" i="41"/>
  <c r="BA8" i="41"/>
  <c r="BB8" i="41"/>
  <c r="BC8" i="41"/>
  <c r="BD8" i="41"/>
  <c r="BE8" i="41"/>
  <c r="BF8" i="41"/>
  <c r="BG8" i="41"/>
  <c r="BH8" i="41"/>
  <c r="BI8" i="41"/>
  <c r="BJ8" i="41"/>
  <c r="BK8" i="41"/>
  <c r="BL8" i="41"/>
  <c r="BM8" i="41"/>
  <c r="BN8" i="41"/>
  <c r="BO8" i="41"/>
  <c r="BP8" i="41"/>
  <c r="BQ8" i="41"/>
  <c r="BR8" i="41"/>
  <c r="AY9" i="41"/>
  <c r="AZ9" i="41"/>
  <c r="BA9" i="41"/>
  <c r="BB9" i="41"/>
  <c r="BC9" i="41"/>
  <c r="BD9" i="41"/>
  <c r="BE9" i="41"/>
  <c r="BF9" i="41"/>
  <c r="BG9" i="41"/>
  <c r="BH9" i="41"/>
  <c r="BI9" i="41"/>
  <c r="BJ9" i="41"/>
  <c r="BK9" i="41"/>
  <c r="BL9" i="41"/>
  <c r="BM9" i="41"/>
  <c r="BN9" i="41"/>
  <c r="BO9" i="41"/>
  <c r="BP9" i="41"/>
  <c r="BQ9" i="41"/>
  <c r="BR9" i="41"/>
  <c r="AY10" i="41"/>
  <c r="AZ10" i="41"/>
  <c r="BA10" i="41"/>
  <c r="BB10" i="41"/>
  <c r="BC10" i="41"/>
  <c r="BD10" i="41"/>
  <c r="BE10" i="41"/>
  <c r="BF10" i="41"/>
  <c r="BG10" i="41"/>
  <c r="BH10" i="41"/>
  <c r="BI10" i="41"/>
  <c r="BJ10" i="41"/>
  <c r="BK10" i="41"/>
  <c r="BL10" i="41"/>
  <c r="BM10" i="41"/>
  <c r="BN10" i="41"/>
  <c r="BO10" i="41"/>
  <c r="BP10" i="41"/>
  <c r="BQ10" i="41"/>
  <c r="BR10" i="41"/>
  <c r="AY11" i="41"/>
  <c r="AZ11" i="41"/>
  <c r="BA11" i="41"/>
  <c r="BB11" i="41"/>
  <c r="BC11" i="41"/>
  <c r="BD11" i="41"/>
  <c r="BE11" i="41"/>
  <c r="BF11" i="41"/>
  <c r="BG11" i="41"/>
  <c r="BH11" i="41"/>
  <c r="BI11" i="41"/>
  <c r="BJ11" i="41"/>
  <c r="BK11" i="41"/>
  <c r="BL11" i="41"/>
  <c r="BM11" i="41"/>
  <c r="BN11" i="41"/>
  <c r="BO11" i="41"/>
  <c r="BP11" i="41"/>
  <c r="BQ11" i="41"/>
  <c r="BR11" i="41"/>
  <c r="AY12" i="41"/>
  <c r="AZ12" i="41"/>
  <c r="BA12" i="41"/>
  <c r="BB12" i="41"/>
  <c r="BC12" i="41"/>
  <c r="BD12" i="41"/>
  <c r="BE12" i="41"/>
  <c r="BF12" i="41"/>
  <c r="BG12" i="41"/>
  <c r="BH12" i="41"/>
  <c r="BI12" i="41"/>
  <c r="BJ12" i="41"/>
  <c r="BK12" i="41"/>
  <c r="BL12" i="41"/>
  <c r="BM12" i="41"/>
  <c r="BN12" i="41"/>
  <c r="BO12" i="41"/>
  <c r="BP12" i="41"/>
  <c r="BQ12" i="41"/>
  <c r="BR12" i="41"/>
  <c r="AY13" i="41"/>
  <c r="AZ13" i="41"/>
  <c r="BA13" i="41"/>
  <c r="BB13" i="41"/>
  <c r="BC13" i="41"/>
  <c r="BD13" i="41"/>
  <c r="BE13" i="41"/>
  <c r="BF13" i="41"/>
  <c r="BG13" i="41"/>
  <c r="BH13" i="41"/>
  <c r="BI13" i="41"/>
  <c r="BJ13" i="41"/>
  <c r="BK13" i="41"/>
  <c r="BL13" i="41"/>
  <c r="BM13" i="41"/>
  <c r="BN13" i="41"/>
  <c r="BO13" i="41"/>
  <c r="BP13" i="41"/>
  <c r="BQ13" i="41"/>
  <c r="BR13" i="41"/>
  <c r="AY14" i="41"/>
  <c r="AZ14" i="41"/>
  <c r="BA14" i="41"/>
  <c r="BB14" i="41"/>
  <c r="BC14" i="41"/>
  <c r="BD14" i="41"/>
  <c r="BE14" i="41"/>
  <c r="BF14" i="41"/>
  <c r="BG14" i="41"/>
  <c r="BH14" i="41"/>
  <c r="BI14" i="41"/>
  <c r="BJ14" i="41"/>
  <c r="BK14" i="41"/>
  <c r="BL14" i="41"/>
  <c r="BM14" i="41"/>
  <c r="BN14" i="41"/>
  <c r="BO14" i="41"/>
  <c r="BP14" i="41"/>
  <c r="BQ14" i="41"/>
  <c r="BR14" i="41"/>
  <c r="P43" i="26"/>
  <c r="P44" i="26"/>
  <c r="P45" i="26"/>
  <c r="P46" i="26"/>
  <c r="P47" i="26"/>
  <c r="P48" i="26"/>
  <c r="P49" i="26"/>
  <c r="P50" i="26"/>
  <c r="P51" i="26"/>
  <c r="P52" i="26"/>
  <c r="AJ1" i="40"/>
  <c r="AJ1" i="41"/>
  <c r="AI1" i="40"/>
  <c r="AI1" i="41"/>
  <c r="AH1" i="40"/>
  <c r="AH1" i="41"/>
  <c r="AG1" i="40"/>
  <c r="AG1" i="41"/>
  <c r="AF1" i="40"/>
  <c r="AF1" i="41"/>
  <c r="AE1" i="40"/>
  <c r="AE1" i="41"/>
  <c r="AD1" i="40"/>
  <c r="AD1" i="41"/>
  <c r="AC1" i="40"/>
  <c r="AC1" i="41"/>
  <c r="AB1" i="40"/>
  <c r="AB1" i="41"/>
  <c r="AA1" i="40"/>
  <c r="AA1" i="41"/>
  <c r="Z1" i="40"/>
  <c r="Z1" i="41"/>
  <c r="Y1" i="40"/>
  <c r="Y1" i="41"/>
  <c r="X1" i="40"/>
  <c r="X1" i="41"/>
  <c r="W1" i="40"/>
  <c r="W1" i="41"/>
  <c r="V1" i="40"/>
  <c r="V1" i="41"/>
  <c r="U1" i="40"/>
  <c r="U1" i="41"/>
  <c r="T1" i="40"/>
  <c r="T1" i="41"/>
  <c r="S1" i="40"/>
  <c r="S1" i="41"/>
  <c r="R1" i="40"/>
  <c r="R1" i="41"/>
  <c r="Q1" i="40"/>
  <c r="Q1" i="41"/>
  <c r="AB100" i="27"/>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P1" i="26"/>
  <c r="D21" i="35"/>
  <c r="E21" i="35"/>
  <c r="A2" i="37" a="1"/>
  <c r="A2" i="37"/>
  <c r="H14" i="37"/>
  <c r="H13" i="37"/>
  <c r="H12" i="37"/>
  <c r="H11" i="37"/>
  <c r="H10" i="37"/>
  <c r="H9" i="37"/>
  <c r="H8" i="37"/>
  <c r="H7" i="37"/>
  <c r="H6" i="37"/>
  <c r="H5" i="37"/>
  <c r="G2" i="37" a="1"/>
  <c r="G2" i="37"/>
  <c r="H3" i="37"/>
  <c r="H4" i="37"/>
  <c r="H2" i="37"/>
  <c r="J2" i="37" a="1"/>
  <c r="J2" i="37"/>
  <c r="N1" i="40"/>
  <c r="AL5" i="41"/>
  <c r="AM5" i="41"/>
  <c r="AN5" i="41"/>
  <c r="AO5" i="41"/>
  <c r="AP5" i="41"/>
  <c r="AQ5" i="41"/>
  <c r="AR5" i="41"/>
  <c r="AS5" i="41"/>
  <c r="AT5" i="41"/>
  <c r="AU5" i="41"/>
  <c r="AV5" i="41"/>
  <c r="AW5" i="41"/>
  <c r="AX5" i="41"/>
  <c r="AL6" i="41"/>
  <c r="AM6" i="41"/>
  <c r="AN6" i="41"/>
  <c r="AO6" i="41"/>
  <c r="AP6" i="41"/>
  <c r="AQ6" i="41"/>
  <c r="AR6" i="41"/>
  <c r="AS6" i="41"/>
  <c r="AT6" i="41"/>
  <c r="AU6" i="41"/>
  <c r="AV6" i="41"/>
  <c r="AW6" i="41"/>
  <c r="AX6" i="41"/>
  <c r="AL7" i="41"/>
  <c r="AM7" i="41"/>
  <c r="AN7" i="41"/>
  <c r="AO7" i="41"/>
  <c r="AP7" i="41"/>
  <c r="AQ7" i="41"/>
  <c r="AR7" i="41"/>
  <c r="AS7" i="41"/>
  <c r="AT7" i="41"/>
  <c r="AU7" i="41"/>
  <c r="AV7" i="41"/>
  <c r="AW7" i="41"/>
  <c r="AX7" i="41"/>
  <c r="AL8" i="41"/>
  <c r="AM8" i="41"/>
  <c r="AN8" i="41"/>
  <c r="AO8" i="41"/>
  <c r="AP8" i="41"/>
  <c r="AQ8" i="41"/>
  <c r="AR8" i="41"/>
  <c r="AS8" i="41"/>
  <c r="AT8" i="41"/>
  <c r="AU8" i="41"/>
  <c r="AV8" i="41"/>
  <c r="AW8" i="41"/>
  <c r="AX8" i="41"/>
  <c r="AL9" i="41"/>
  <c r="AM9" i="41"/>
  <c r="AN9" i="41"/>
  <c r="AO9" i="41"/>
  <c r="AP9" i="41"/>
  <c r="AQ9" i="41"/>
  <c r="AR9" i="41"/>
  <c r="AS9" i="41"/>
  <c r="AT9" i="41"/>
  <c r="AU9" i="41"/>
  <c r="AV9" i="41"/>
  <c r="AW9" i="41"/>
  <c r="AX9" i="41"/>
  <c r="AL10" i="41"/>
  <c r="AM10" i="41"/>
  <c r="AN10" i="41"/>
  <c r="AO10" i="41"/>
  <c r="AP10" i="41"/>
  <c r="AQ10" i="41"/>
  <c r="AR10" i="41"/>
  <c r="AS10" i="41"/>
  <c r="AT10" i="41"/>
  <c r="AU10" i="41"/>
  <c r="AV10" i="41"/>
  <c r="AW10" i="41"/>
  <c r="AX10" i="41"/>
  <c r="AL11" i="41"/>
  <c r="AM11" i="41"/>
  <c r="AN11" i="41"/>
  <c r="AO11" i="41"/>
  <c r="AP11" i="41"/>
  <c r="AQ11" i="41"/>
  <c r="AR11" i="41"/>
  <c r="AS11" i="41"/>
  <c r="AT11" i="41"/>
  <c r="AU11" i="41"/>
  <c r="AV11" i="41"/>
  <c r="AW11" i="41"/>
  <c r="AX11" i="41"/>
  <c r="AL12" i="41"/>
  <c r="AM12" i="41"/>
  <c r="AN12" i="41"/>
  <c r="AO12" i="41"/>
  <c r="AP12" i="41"/>
  <c r="AQ12" i="41"/>
  <c r="AR12" i="41"/>
  <c r="AS12" i="41"/>
  <c r="AT12" i="41"/>
  <c r="AU12" i="41"/>
  <c r="AV12" i="41"/>
  <c r="AW12" i="41"/>
  <c r="AX12" i="41"/>
  <c r="AL13" i="41"/>
  <c r="AM13" i="41"/>
  <c r="AN13" i="41"/>
  <c r="AO13" i="41"/>
  <c r="AP13" i="41"/>
  <c r="AQ13" i="41"/>
  <c r="AR13" i="41"/>
  <c r="AS13" i="41"/>
  <c r="AT13" i="41"/>
  <c r="AU13" i="41"/>
  <c r="AV13" i="41"/>
  <c r="AW13" i="41"/>
  <c r="AX13" i="41"/>
  <c r="AL14" i="41"/>
  <c r="AM14" i="41"/>
  <c r="AN14" i="41"/>
  <c r="AO14" i="41"/>
  <c r="AP14" i="41"/>
  <c r="AQ14" i="41"/>
  <c r="AR14" i="41"/>
  <c r="AS14" i="41"/>
  <c r="AT14" i="41"/>
  <c r="AU14" i="41"/>
  <c r="AV14" i="41"/>
  <c r="AW14" i="41"/>
  <c r="AX14" i="41"/>
  <c r="O1" i="40"/>
  <c r="P1" i="40"/>
  <c r="N1" i="41"/>
  <c r="O1" i="41"/>
  <c r="P1" i="41"/>
  <c r="C8" i="25"/>
  <c r="C6" i="25"/>
  <c r="C5" i="25"/>
  <c r="C4" i="25"/>
  <c r="C3" i="25"/>
  <c r="C2" i="25"/>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c r="C1" i="40"/>
  <c r="E42" i="35"/>
  <c r="T100" i="27"/>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a="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c r="B182" i="11"/>
  <c r="B168" i="11" a="1"/>
  <c r="B168" i="11"/>
  <c r="B183" i="11"/>
  <c r="B169" i="11" a="1"/>
  <c r="B169" i="11"/>
  <c r="B184" i="11"/>
  <c r="B170" i="11" a="1"/>
  <c r="B170" i="11"/>
  <c r="B185" i="11"/>
  <c r="B171" i="11" a="1"/>
  <c r="B171" i="11"/>
  <c r="B186" i="11"/>
  <c r="B172" i="11" a="1"/>
  <c r="B172" i="11"/>
  <c r="AK7" i="41"/>
  <c r="AK8" i="41"/>
  <c r="AK9" i="41"/>
  <c r="AK10" i="41"/>
  <c r="AK11" i="41"/>
  <c r="AK12" i="41"/>
  <c r="AK13" i="41"/>
  <c r="AK14" i="41"/>
  <c r="L2" i="26" a="1"/>
  <c r="L2" i="26"/>
  <c r="P32" i="26"/>
  <c r="P31" i="26"/>
  <c r="P30" i="26"/>
  <c r="P29" i="26"/>
  <c r="P28" i="26"/>
  <c r="P27" i="26"/>
  <c r="P26" i="26"/>
  <c r="P25" i="26"/>
  <c r="P24" i="26"/>
  <c r="P23" i="26"/>
  <c r="P22" i="26"/>
  <c r="P21" i="26"/>
  <c r="AK6" i="41"/>
  <c r="B180" i="11"/>
  <c r="B166" i="11" a="1"/>
  <c r="B166" i="11"/>
  <c r="AK5" i="41"/>
  <c r="AK4" i="41"/>
  <c r="AK3" i="41"/>
  <c r="R1" i="31"/>
  <c r="Q1" i="31"/>
  <c r="H1" i="31"/>
  <c r="L3" i="17"/>
  <c r="I3" i="17"/>
  <c r="B179" i="11"/>
  <c r="B165" i="11" a="1"/>
  <c r="B165" i="1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c r="B9" i="39"/>
  <c r="C9" i="39"/>
  <c r="B8" i="39"/>
  <c r="C8" i="39"/>
  <c r="B7" i="39"/>
  <c r="C7" i="39"/>
  <c r="B6" i="39"/>
  <c r="C6" i="39"/>
  <c r="B5" i="39"/>
  <c r="C5" i="39"/>
  <c r="B4" i="39"/>
  <c r="C4" i="39"/>
  <c r="B3" i="39"/>
  <c r="B2" i="39"/>
  <c r="C2" i="39"/>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AE37" i="27"/>
  <c r="AE36" i="27"/>
  <c r="AE38" i="27"/>
  <c r="AD12" i="27"/>
  <c r="AD11" i="27"/>
  <c r="AD10" i="27"/>
  <c r="AD9" i="27"/>
  <c r="AD8" i="27"/>
  <c r="AD7" i="27"/>
  <c r="AD6" i="27"/>
  <c r="AD5" i="27"/>
  <c r="AD4" i="27"/>
  <c r="AD3" i="27"/>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AD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D16" i="27"/>
  <c r="AI3" i="27"/>
  <c r="AD17" i="27"/>
  <c r="AI4" i="27"/>
  <c r="AD18" i="27"/>
  <c r="AI5" i="27"/>
  <c r="AD19" i="27"/>
  <c r="AI6" i="27"/>
  <c r="AD20" i="27"/>
  <c r="AI7" i="27"/>
  <c r="AD21" i="27"/>
  <c r="AI8" i="27"/>
  <c r="AD22" i="27"/>
  <c r="AI9" i="27"/>
  <c r="AD23" i="27"/>
  <c r="AI10" i="27"/>
  <c r="AH23" i="27" a="1"/>
  <c r="AH23" i="27"/>
  <c r="AN23" i="27"/>
  <c r="AD15" i="27"/>
  <c r="AI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AD25" i="27"/>
  <c r="AI12" i="27"/>
  <c r="AH25" i="27" a="1"/>
  <c r="AH25" i="27"/>
  <c r="AN25" i="27"/>
  <c r="AD24" i="27"/>
  <c r="AH24" i="27" a="1"/>
  <c r="AH24" i="27"/>
  <c r="AI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G23" i="27"/>
  <c r="AD36" i="27"/>
  <c r="AG22" i="27"/>
  <c r="AD35" i="27"/>
  <c r="AD48" i="27"/>
  <c r="AG21" i="27"/>
  <c r="AD34" i="27"/>
  <c r="AD47" i="27"/>
  <c r="AG20" i="27"/>
  <c r="AD33" i="27"/>
  <c r="AD46" i="27"/>
  <c r="AG19" i="27"/>
  <c r="AD32" i="27"/>
  <c r="AD45" i="27"/>
  <c r="AG18" i="27"/>
  <c r="AD31" i="27"/>
  <c r="AD44" i="27"/>
  <c r="AG17" i="27"/>
  <c r="AD30" i="27"/>
  <c r="AD43" i="27"/>
  <c r="AG16" i="27"/>
  <c r="AD29" i="27"/>
  <c r="AD42" i="27"/>
  <c r="C3" i="39"/>
  <c r="E2" i="39" a="1"/>
  <c r="E2" i="39"/>
  <c r="B16" i="30" a="1"/>
  <c r="B16" i="36" a="1"/>
  <c r="AG15" i="27"/>
  <c r="AD28" i="27"/>
  <c r="AD41" i="27"/>
  <c r="AG25" i="27"/>
  <c r="AD38" i="27"/>
  <c r="AG24"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AD49" i="27"/>
  <c r="AH49" i="27" a="1"/>
  <c r="AH49" i="27"/>
  <c r="AN49" i="27"/>
  <c r="AH36" i="27" a="1"/>
  <c r="AH36" i="27"/>
  <c r="F17" i="36"/>
  <c r="F19" i="36"/>
  <c r="F21" i="36"/>
  <c r="F22" i="36"/>
  <c r="F24" i="36"/>
  <c r="F25" i="36"/>
  <c r="E17" i="36"/>
  <c r="E19" i="36"/>
  <c r="E21" i="36"/>
  <c r="E22" i="36"/>
  <c r="E24" i="36"/>
  <c r="E25" i="36"/>
  <c r="C17" i="30"/>
  <c r="C19" i="30"/>
  <c r="C21" i="30"/>
  <c r="C22" i="30"/>
  <c r="C24" i="30"/>
  <c r="C25" i="30"/>
  <c r="B16" i="36"/>
  <c r="B16" i="30"/>
  <c r="AE50" i="27"/>
  <c r="AE49" i="27"/>
  <c r="AE51" i="27"/>
  <c r="AD51" i="27"/>
  <c r="AH51" i="27" a="1"/>
  <c r="AH51" i="27"/>
  <c r="AH38" i="27" a="1"/>
  <c r="AH38" i="27"/>
  <c r="AN24" i="27"/>
  <c r="AH37" i="27" a="1"/>
  <c r="AH37" i="27"/>
  <c r="AD50" i="27"/>
  <c r="AH50" i="27" a="1"/>
  <c r="AH50" i="27"/>
  <c r="AN41" i="27"/>
  <c r="AN42" i="27"/>
  <c r="AN43" i="27"/>
  <c r="AN44" i="27"/>
  <c r="AN45" i="27"/>
  <c r="AK45" i="27"/>
  <c r="AM45" i="27"/>
  <c r="AJ45" i="27"/>
  <c r="AL45" i="27"/>
  <c r="AN46" i="27"/>
  <c r="AN47" i="27"/>
  <c r="AK47" i="27"/>
  <c r="AM47" i="27"/>
  <c r="AJ47" i="27"/>
  <c r="AL47" i="27"/>
  <c r="AN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N36" i="27"/>
  <c r="AF38" i="27"/>
  <c r="AG38" i="27"/>
  <c r="AJ38" i="27"/>
  <c r="AK38" i="27"/>
  <c r="AN38" i="27"/>
  <c r="AF51" i="27"/>
  <c r="AG51" i="27"/>
  <c r="AJ51" i="27"/>
  <c r="AK51" i="27"/>
  <c r="AN51" i="27"/>
  <c r="AN50" i="27"/>
  <c r="AN37" i="27"/>
  <c r="AK18" i="27"/>
  <c r="D15" i="30"/>
  <c r="H2" i="26" a="1"/>
  <c r="H2" i="26"/>
  <c r="M2" i="31"/>
  <c r="X2" i="26" a="1"/>
  <c r="X2" i="26"/>
  <c r="P8" i="26"/>
  <c r="AM51" i="27"/>
  <c r="AL51" i="27"/>
  <c r="AM38" i="27"/>
  <c r="AL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H15" i="27" a="1"/>
  <c r="AH15" i="27"/>
  <c r="A2" i="27" a="1"/>
  <c r="C2" i="27"/>
  <c r="A2" i="27"/>
  <c r="P2" i="37" a="1"/>
  <c r="C3" i="27"/>
  <c r="AH16" i="27" a="1"/>
  <c r="AH16" i="27"/>
  <c r="AH17" i="27" a="1"/>
  <c r="AH17" i="27"/>
  <c r="AH19" i="27" a="1"/>
  <c r="AH19" i="27"/>
  <c r="AH21" i="27" a="1"/>
  <c r="AH21" i="27"/>
  <c r="AH20" i="27" a="1"/>
  <c r="AH20" i="27"/>
  <c r="AH22" i="27" a="1"/>
  <c r="AH22" i="27"/>
  <c r="AH18" i="27" a="1"/>
  <c r="AH18" i="27"/>
  <c r="C4" i="27"/>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N20" i="27"/>
  <c r="AN16" i="27"/>
  <c r="AN19" i="27"/>
  <c r="AN21" i="27"/>
  <c r="T11" i="17"/>
  <c r="B23" i="35" a="1"/>
  <c r="B23" i="35"/>
  <c r="AN28" i="27"/>
  <c r="AN29" i="27"/>
  <c r="AN30" i="27"/>
  <c r="AN31" i="27"/>
  <c r="AN32" i="27"/>
  <c r="AN33" i="27"/>
  <c r="AN34" i="27"/>
  <c r="AN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N15" i="27"/>
  <c r="AN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AN22" i="27"/>
  <c r="T12" i="17"/>
  <c r="AN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AK34" i="27"/>
  <c r="AJ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C93" i="11" s="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B35" i="11" a="1"/>
  <c r="B35" i="11"/>
  <c r="B77" i="11" a="1"/>
  <c r="B77" i="11"/>
  <c r="P3" i="26"/>
  <c r="P4" i="26"/>
  <c r="P5" i="26"/>
  <c r="P6" i="26"/>
  <c r="P7" i="26"/>
  <c r="P2" i="26"/>
  <c r="F4" i="38"/>
  <c r="E4" i="38"/>
  <c r="C32" i="25"/>
  <c r="AG48" i="27"/>
  <c r="AF48" i="27"/>
  <c r="AG44" i="27"/>
  <c r="AG31" i="27"/>
  <c r="AF25" i="27"/>
  <c r="F6" i="27"/>
  <c r="G5" i="27"/>
  <c r="G8" i="27"/>
  <c r="G6" i="27"/>
  <c r="I6" i="27"/>
  <c r="AG42" i="27"/>
  <c r="R4" i="38"/>
  <c r="AF42" i="27"/>
  <c r="R5" i="38"/>
  <c r="S5" i="38"/>
  <c r="S4" i="38"/>
  <c r="L4" i="38"/>
  <c r="M4" i="38"/>
  <c r="M3" i="38"/>
  <c r="Q3" i="38"/>
  <c r="L5" i="38"/>
  <c r="AG35" i="27"/>
  <c r="M5" i="38"/>
  <c r="E5" i="38"/>
  <c r="F5" i="38"/>
  <c r="AF32" i="27"/>
  <c r="AG32" i="27"/>
  <c r="K6" i="27"/>
  <c r="N6" i="27"/>
  <c r="H8" i="27"/>
  <c r="F8" i="27"/>
  <c r="I8" i="27"/>
  <c r="H7" i="27"/>
  <c r="F7" i="27"/>
  <c r="AE18" i="27"/>
  <c r="C20" i="25"/>
  <c r="H5" i="27"/>
  <c r="AE20" i="27"/>
  <c r="D7" i="21"/>
  <c r="F7" i="21"/>
  <c r="F5" i="27"/>
  <c r="AF20" i="27"/>
  <c r="C32" i="35"/>
  <c r="G20" i="25"/>
  <c r="H20" i="25"/>
  <c r="I20" i="25"/>
  <c r="J20" i="25"/>
  <c r="K20" i="25"/>
  <c r="L20" i="25"/>
  <c r="M20" i="25"/>
  <c r="AE25" i="27"/>
  <c r="AJ48" i="27"/>
  <c r="AL48" i="27"/>
  <c r="AK48" i="27"/>
  <c r="AM48" i="27"/>
  <c r="AF44" i="27"/>
  <c r="AF31" i="27"/>
  <c r="AJ44" i="27"/>
  <c r="AL44" i="27"/>
  <c r="AJ31" i="27"/>
  <c r="AL31" i="27"/>
  <c r="AK44" i="27"/>
  <c r="AM44" i="27"/>
  <c r="AK31" i="27"/>
  <c r="L7" i="21" a="1"/>
  <c r="L7" i="21"/>
  <c r="AK25" i="27"/>
  <c r="I5" i="27"/>
  <c r="AK20" i="27"/>
  <c r="U4" i="38"/>
  <c r="T4" i="38"/>
  <c r="V4" i="38"/>
  <c r="U5" i="38"/>
  <c r="W5" i="38"/>
  <c r="T5" i="38"/>
  <c r="V5" i="38"/>
  <c r="W4" i="38"/>
  <c r="O4" i="38"/>
  <c r="N4" i="38"/>
  <c r="P4" i="38"/>
  <c r="H5" i="38"/>
  <c r="O5" i="38"/>
  <c r="G5" i="38"/>
  <c r="N5" i="38"/>
  <c r="AK32" i="27"/>
  <c r="H4" i="38"/>
  <c r="K4" i="38"/>
  <c r="AJ32" i="27"/>
  <c r="AL32" i="27"/>
  <c r="G4" i="38"/>
  <c r="J4" i="38"/>
  <c r="AF35" i="27"/>
  <c r="AK35" i="27"/>
  <c r="L3" i="38"/>
  <c r="AJ35" i="27"/>
  <c r="AL35" i="27"/>
  <c r="Q5" i="38"/>
  <c r="P5" i="38"/>
  <c r="K5" i="38"/>
  <c r="J5" i="38"/>
  <c r="H6" i="27"/>
  <c r="G7" i="27"/>
  <c r="AJ18" i="27"/>
  <c r="K5" i="27"/>
  <c r="N5" i="27"/>
  <c r="K8" i="27"/>
  <c r="N8" i="27"/>
  <c r="J8" i="27"/>
  <c r="M8" i="27"/>
  <c r="J7" i="27"/>
  <c r="M7" i="27"/>
  <c r="AJ20" i="27"/>
  <c r="AM20" i="27"/>
  <c r="AF18" i="27"/>
  <c r="J5" i="27"/>
  <c r="M5" i="27"/>
  <c r="C20" i="35"/>
  <c r="C25" i="36"/>
  <c r="AJ25" i="27"/>
  <c r="P3" i="38"/>
  <c r="Q4" i="38"/>
  <c r="J6" i="27"/>
  <c r="M6" i="27"/>
  <c r="I7" i="27"/>
  <c r="AM18" i="27"/>
  <c r="AL25" i="27"/>
  <c r="AM25" i="27"/>
  <c r="I20" i="35"/>
  <c r="J20" i="35"/>
  <c r="K20" i="35"/>
  <c r="L20" i="35"/>
  <c r="M20" i="35"/>
  <c r="N20" i="35"/>
  <c r="O20" i="35"/>
  <c r="K7" i="27"/>
  <c r="N7" i="27"/>
  <c r="AL18" i="27"/>
  <c r="AL20" i="27"/>
  <c r="AG29" i="27"/>
  <c r="AF29" i="27"/>
  <c r="AG34" i="27"/>
  <c r="AF34" i="27"/>
  <c r="AL34" i="27"/>
  <c r="AM31" i="27"/>
  <c r="AM32" i="27"/>
  <c r="AM34" i="27"/>
  <c r="AM35" i="27"/>
  <c r="AK42" i="27"/>
  <c r="AM42" i="27"/>
  <c r="AK29" i="27"/>
  <c r="AM29" i="27"/>
  <c r="AJ42" i="27"/>
  <c r="AL42" i="27"/>
  <c r="AJ29" i="27"/>
  <c r="AL29" i="27"/>
  <c r="D26" i="36"/>
  <c r="T6" i="17"/>
  <c r="A2" i="41"/>
  <c r="AW2" i="41"/>
  <c r="AY2" i="41"/>
  <c r="AZ2" i="41"/>
  <c r="BA2" i="41"/>
  <c r="BB2" i="41"/>
  <c r="BC2" i="41"/>
  <c r="BD2" i="41"/>
  <c r="BE2" i="41"/>
  <c r="BF2" i="41"/>
  <c r="BG2" i="41"/>
  <c r="BH2" i="41"/>
  <c r="BI2" i="41"/>
  <c r="BJ2" i="41"/>
  <c r="BK2" i="41"/>
  <c r="BL2" i="41"/>
  <c r="BM2" i="41"/>
  <c r="BN2" i="41"/>
  <c r="BO2" i="41"/>
  <c r="BP2" i="41"/>
  <c r="BQ2" i="41"/>
  <c r="BR2" i="41"/>
  <c r="AY3" i="41"/>
  <c r="AZ3" i="41"/>
  <c r="BA3" i="41"/>
  <c r="BB3" i="41"/>
  <c r="BC3" i="41"/>
  <c r="BD3" i="41"/>
  <c r="BE3" i="41"/>
  <c r="BF3" i="41"/>
  <c r="BG3" i="41"/>
  <c r="BH3" i="41"/>
  <c r="BI3" i="41"/>
  <c r="BJ3" i="41"/>
  <c r="BK3" i="41"/>
  <c r="BL3" i="41"/>
  <c r="BM3" i="41"/>
  <c r="BN3" i="41"/>
  <c r="BO3" i="41"/>
  <c r="BP3" i="41"/>
  <c r="BQ3" i="41"/>
  <c r="BR3" i="41"/>
  <c r="P33" i="26"/>
  <c r="P34" i="26"/>
  <c r="P35" i="26"/>
  <c r="P36" i="26"/>
  <c r="P37" i="26"/>
  <c r="P38" i="26"/>
  <c r="P39" i="26"/>
  <c r="P40" i="26"/>
  <c r="P41" i="26"/>
  <c r="P42" i="26"/>
  <c r="AB2" i="27"/>
  <c r="AA2" i="27"/>
  <c r="O2" i="27"/>
  <c r="X2" i="27"/>
  <c r="W2" i="27"/>
  <c r="Q2" i="27"/>
  <c r="Z2" i="27"/>
  <c r="Y2" i="27"/>
  <c r="S2" i="2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J7" i="17"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K6" i="17" a="1"/>
  <c r="K6" i="17"/>
  <c r="J6" i="17" a="1"/>
  <c r="J6" i="17"/>
  <c r="P6" i="17" a="1"/>
  <c r="P6"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R6" i="17" a="1"/>
  <c r="R6" i="17"/>
  <c r="D5" i="21"/>
  <c r="P10" i="17" a="1"/>
  <c r="P10" i="17"/>
  <c r="R10" i="17" a="1"/>
  <c r="R10" i="17"/>
  <c r="P9" i="17" a="1"/>
  <c r="P9" i="17"/>
  <c r="R9" i="17" a="1"/>
  <c r="R9" i="17"/>
  <c r="P7" i="17" a="1"/>
  <c r="P7" i="17"/>
  <c r="AE16" i="27" s="1"/>
  <c r="D6" i="21"/>
  <c r="P8" i="17" a="1"/>
  <c r="P8" i="17"/>
  <c r="R8" i="17" a="1"/>
  <c r="R8" i="17"/>
  <c r="P12" i="17" a="1"/>
  <c r="P12" i="17"/>
  <c r="R12" i="17" a="1"/>
  <c r="R12" i="17"/>
  <c r="P11" i="17" a="1"/>
  <c r="P11" i="17"/>
  <c r="R11" i="17" a="1"/>
  <c r="R11" i="17"/>
  <c r="P250" i="17" a="1"/>
  <c r="P250" i="17"/>
  <c r="R250" i="17" a="1"/>
  <c r="R250" i="17"/>
  <c r="P104" i="17" a="1"/>
  <c r="P104" i="17"/>
  <c r="R104" i="17" a="1"/>
  <c r="R104" i="17"/>
  <c r="P103" i="17" a="1"/>
  <c r="P103" i="17"/>
  <c r="R103" i="17" a="1"/>
  <c r="R103" i="17"/>
  <c r="P102" i="17" a="1"/>
  <c r="P102" i="17"/>
  <c r="R102" i="17" a="1"/>
  <c r="R102" i="17"/>
  <c r="P101" i="17" a="1"/>
  <c r="P101" i="17"/>
  <c r="R101" i="17" a="1"/>
  <c r="R101" i="17"/>
  <c r="P100" i="17" a="1"/>
  <c r="P100" i="17"/>
  <c r="R100" i="17" a="1"/>
  <c r="R100" i="17"/>
  <c r="P99" i="17" a="1"/>
  <c r="P99" i="17"/>
  <c r="R99" i="17" a="1"/>
  <c r="R99" i="17"/>
  <c r="P98" i="17" a="1"/>
  <c r="P98" i="17"/>
  <c r="R98" i="17" a="1"/>
  <c r="R98" i="17"/>
  <c r="P97" i="17" a="1"/>
  <c r="P97" i="17"/>
  <c r="R97" i="17" a="1"/>
  <c r="R97" i="17"/>
  <c r="P96" i="17" a="1"/>
  <c r="P96" i="17"/>
  <c r="R96" i="17" a="1"/>
  <c r="R96" i="17"/>
  <c r="P95" i="17" a="1"/>
  <c r="P95" i="17"/>
  <c r="R95" i="17" a="1"/>
  <c r="R95" i="17"/>
  <c r="P94" i="17" a="1"/>
  <c r="P94" i="17"/>
  <c r="R94" i="17" a="1"/>
  <c r="R94" i="17"/>
  <c r="P93" i="17" a="1"/>
  <c r="P93" i="17"/>
  <c r="R93" i="17" a="1"/>
  <c r="R93" i="17"/>
  <c r="P92" i="17" a="1"/>
  <c r="P92" i="17"/>
  <c r="R92" i="17" a="1"/>
  <c r="R92" i="17"/>
  <c r="P91" i="17" a="1"/>
  <c r="P91" i="17"/>
  <c r="R91" i="17" a="1"/>
  <c r="R91" i="17"/>
  <c r="P90" i="17" a="1"/>
  <c r="P90" i="17"/>
  <c r="R90" i="17" a="1"/>
  <c r="R90" i="17"/>
  <c r="P89" i="17" a="1"/>
  <c r="P89" i="17"/>
  <c r="R89" i="17" a="1"/>
  <c r="R89" i="17"/>
  <c r="P88" i="17" a="1"/>
  <c r="P88" i="17"/>
  <c r="R88" i="17" a="1"/>
  <c r="R88" i="17"/>
  <c r="P87" i="17" a="1"/>
  <c r="P87" i="17"/>
  <c r="R87" i="17" a="1"/>
  <c r="R87" i="17"/>
  <c r="P86" i="17" a="1"/>
  <c r="P86" i="17"/>
  <c r="R86" i="17" a="1"/>
  <c r="R86" i="17"/>
  <c r="P85" i="17" a="1"/>
  <c r="P85" i="17"/>
  <c r="R85" i="17" a="1"/>
  <c r="R85" i="17"/>
  <c r="P84" i="17" a="1"/>
  <c r="P84" i="17"/>
  <c r="R84" i="17" a="1"/>
  <c r="R84" i="17"/>
  <c r="P83" i="17" a="1"/>
  <c r="P83" i="17"/>
  <c r="R83" i="17" a="1"/>
  <c r="R83" i="17"/>
  <c r="P82" i="17" a="1"/>
  <c r="P82" i="17"/>
  <c r="R82" i="17" a="1"/>
  <c r="R82" i="17"/>
  <c r="P81" i="17" a="1"/>
  <c r="P81" i="17"/>
  <c r="R81" i="17" a="1"/>
  <c r="R81" i="17"/>
  <c r="P80" i="17" a="1"/>
  <c r="P80" i="17"/>
  <c r="R80" i="17" a="1"/>
  <c r="R80" i="17"/>
  <c r="P79" i="17" a="1"/>
  <c r="P79" i="17"/>
  <c r="R79" i="17" a="1"/>
  <c r="R79" i="17"/>
  <c r="P78" i="17" a="1"/>
  <c r="P78" i="17"/>
  <c r="R78" i="17" a="1"/>
  <c r="R78" i="17"/>
  <c r="P77" i="17" a="1"/>
  <c r="P77" i="17"/>
  <c r="R77" i="17" a="1"/>
  <c r="R77" i="17"/>
  <c r="P76" i="17" a="1"/>
  <c r="P76" i="17"/>
  <c r="R76" i="17" a="1"/>
  <c r="R76" i="17"/>
  <c r="P75" i="17" a="1"/>
  <c r="P75" i="17"/>
  <c r="R75" i="17" a="1"/>
  <c r="R75" i="17"/>
  <c r="P74" i="17" a="1"/>
  <c r="P74" i="17"/>
  <c r="R74" i="17" a="1"/>
  <c r="R74" i="17"/>
  <c r="P73" i="17" a="1"/>
  <c r="P73" i="17"/>
  <c r="R73" i="17" a="1"/>
  <c r="R73" i="17"/>
  <c r="P72" i="17" a="1"/>
  <c r="P72" i="17"/>
  <c r="R72" i="17" a="1"/>
  <c r="R72" i="17"/>
  <c r="P71" i="17" a="1"/>
  <c r="P71" i="17"/>
  <c r="R71" i="17" a="1"/>
  <c r="R71" i="17"/>
  <c r="P70" i="17" a="1"/>
  <c r="P70" i="17"/>
  <c r="R70" i="17" a="1"/>
  <c r="R70" i="17"/>
  <c r="P69" i="17" a="1"/>
  <c r="P69" i="17"/>
  <c r="R69" i="17" a="1"/>
  <c r="R69" i="17"/>
  <c r="P68" i="17" a="1"/>
  <c r="P68" i="17"/>
  <c r="R68" i="17" a="1"/>
  <c r="R68" i="17"/>
  <c r="P67" i="17" a="1"/>
  <c r="P67" i="17"/>
  <c r="R67" i="17" a="1"/>
  <c r="R67" i="17"/>
  <c r="P66" i="17" a="1"/>
  <c r="P66" i="17"/>
  <c r="R66" i="17" a="1"/>
  <c r="R66" i="17"/>
  <c r="P65" i="17" a="1"/>
  <c r="P65" i="17"/>
  <c r="R65" i="17" a="1"/>
  <c r="R65" i="17"/>
  <c r="P64" i="17" a="1"/>
  <c r="P64" i="17"/>
  <c r="R64" i="17" a="1"/>
  <c r="R64" i="17"/>
  <c r="P63" i="17" a="1"/>
  <c r="P63" i="17"/>
  <c r="R63" i="17" a="1"/>
  <c r="R63" i="17"/>
  <c r="P62" i="17" a="1"/>
  <c r="P62" i="17"/>
  <c r="R62" i="17" a="1"/>
  <c r="R62" i="17"/>
  <c r="P61" i="17" a="1"/>
  <c r="P61" i="17"/>
  <c r="R61" i="17" a="1"/>
  <c r="R61" i="17"/>
  <c r="P60" i="17" a="1"/>
  <c r="P60" i="17"/>
  <c r="R60" i="17" a="1"/>
  <c r="R60" i="17"/>
  <c r="P59" i="17" a="1"/>
  <c r="P59" i="17"/>
  <c r="R59" i="17" a="1"/>
  <c r="R59" i="17"/>
  <c r="P58" i="17" a="1"/>
  <c r="P58" i="17"/>
  <c r="R58" i="17" a="1"/>
  <c r="R58" i="17"/>
  <c r="P57" i="17" a="1"/>
  <c r="P57" i="17"/>
  <c r="R57" i="17" a="1"/>
  <c r="R57" i="17"/>
  <c r="P56" i="17" a="1"/>
  <c r="P56" i="17"/>
  <c r="R56" i="17" a="1"/>
  <c r="R56" i="17"/>
  <c r="P55" i="17" a="1"/>
  <c r="P55" i="17"/>
  <c r="R55" i="17" a="1"/>
  <c r="R55" i="17"/>
  <c r="P54" i="17" a="1"/>
  <c r="P54" i="17"/>
  <c r="R54" i="17" a="1"/>
  <c r="R54" i="17"/>
  <c r="P53" i="17" a="1"/>
  <c r="P53" i="17"/>
  <c r="R53" i="17" a="1"/>
  <c r="R53" i="17"/>
  <c r="P52" i="17" a="1"/>
  <c r="P52" i="17"/>
  <c r="R52" i="17" a="1"/>
  <c r="R52" i="17"/>
  <c r="P51" i="17" a="1"/>
  <c r="P51" i="17"/>
  <c r="R51" i="17" a="1"/>
  <c r="R51" i="17"/>
  <c r="P50" i="17" a="1"/>
  <c r="P50" i="17"/>
  <c r="R50" i="17" a="1"/>
  <c r="R50" i="17"/>
  <c r="P49" i="17" a="1"/>
  <c r="P49" i="17"/>
  <c r="R49" i="17" a="1"/>
  <c r="R49" i="17"/>
  <c r="P48" i="17" a="1"/>
  <c r="P48" i="17"/>
  <c r="R48" i="17" a="1"/>
  <c r="R48" i="17"/>
  <c r="P47" i="17" a="1"/>
  <c r="P47" i="17"/>
  <c r="R47" i="17" a="1"/>
  <c r="R47" i="17"/>
  <c r="P46" i="17" a="1"/>
  <c r="P46" i="17"/>
  <c r="R46" i="17" a="1"/>
  <c r="R46" i="17"/>
  <c r="P45" i="17" a="1"/>
  <c r="P45" i="17"/>
  <c r="R45" i="17" a="1"/>
  <c r="R45" i="17"/>
  <c r="P44" i="17" a="1"/>
  <c r="P44" i="17"/>
  <c r="R44" i="17" a="1"/>
  <c r="R44" i="17"/>
  <c r="P43" i="17" a="1"/>
  <c r="P43" i="17"/>
  <c r="R43" i="17" a="1"/>
  <c r="R43" i="17"/>
  <c r="P42" i="17" a="1"/>
  <c r="P42" i="17"/>
  <c r="R42" i="17" a="1"/>
  <c r="R42" i="17"/>
  <c r="P41" i="17" a="1"/>
  <c r="P41" i="17"/>
  <c r="R41" i="17" a="1"/>
  <c r="R41" i="17"/>
  <c r="P40" i="17" a="1"/>
  <c r="P40" i="17"/>
  <c r="R40" i="17" a="1"/>
  <c r="R40" i="17"/>
  <c r="P39" i="17" a="1"/>
  <c r="P39" i="17"/>
  <c r="R39" i="17" a="1"/>
  <c r="R39" i="17"/>
  <c r="P38" i="17" a="1"/>
  <c r="P38" i="17"/>
  <c r="R38" i="17" a="1"/>
  <c r="R38" i="17"/>
  <c r="P37" i="17" a="1"/>
  <c r="P37" i="17"/>
  <c r="R37" i="17" a="1"/>
  <c r="R37" i="17"/>
  <c r="P36" i="17" a="1"/>
  <c r="P36" i="17"/>
  <c r="R36" i="17" a="1"/>
  <c r="R36" i="17"/>
  <c r="P35" i="17" a="1"/>
  <c r="P35" i="17"/>
  <c r="R35" i="17" a="1"/>
  <c r="R35" i="17"/>
  <c r="P34" i="17" a="1"/>
  <c r="P34" i="17"/>
  <c r="R34" i="17" a="1"/>
  <c r="R34" i="17"/>
  <c r="P33" i="17" a="1"/>
  <c r="P33" i="17"/>
  <c r="R33" i="17" a="1"/>
  <c r="R33" i="17"/>
  <c r="P32" i="17" a="1"/>
  <c r="P32" i="17"/>
  <c r="R32" i="17" a="1"/>
  <c r="R32" i="17"/>
  <c r="P31" i="17" a="1"/>
  <c r="P31" i="17"/>
  <c r="R31" i="17" a="1"/>
  <c r="R31" i="17"/>
  <c r="P30" i="17" a="1"/>
  <c r="P30" i="17"/>
  <c r="R30" i="17" a="1"/>
  <c r="R30" i="17"/>
  <c r="P29" i="17" a="1"/>
  <c r="P29" i="17"/>
  <c r="R29" i="17" a="1"/>
  <c r="R29" i="17"/>
  <c r="P28" i="17" a="1"/>
  <c r="P28" i="17"/>
  <c r="R28" i="17" a="1"/>
  <c r="R28" i="17"/>
  <c r="P27" i="17" a="1"/>
  <c r="P27" i="17"/>
  <c r="R27" i="17" a="1"/>
  <c r="R27" i="17"/>
  <c r="P26" i="17" a="1"/>
  <c r="P26" i="17"/>
  <c r="R26" i="17" a="1"/>
  <c r="R26" i="17"/>
  <c r="P25" i="17" a="1"/>
  <c r="P25" i="17"/>
  <c r="R25" i="17" a="1"/>
  <c r="R25" i="17"/>
  <c r="P24" i="17" a="1"/>
  <c r="P24" i="17"/>
  <c r="R24" i="17" a="1"/>
  <c r="R24" i="17"/>
  <c r="P23" i="17" a="1"/>
  <c r="P23" i="17"/>
  <c r="R23" i="17" a="1"/>
  <c r="R23" i="17"/>
  <c r="P22" i="17" a="1"/>
  <c r="P22" i="17"/>
  <c r="R22" i="17" a="1"/>
  <c r="R22" i="17"/>
  <c r="P21" i="17" a="1"/>
  <c r="P21" i="17"/>
  <c r="R21" i="17" a="1"/>
  <c r="R21" i="17"/>
  <c r="P20" i="17" a="1"/>
  <c r="P20" i="17"/>
  <c r="R20" i="17" a="1"/>
  <c r="R20" i="17"/>
  <c r="P19" i="17" a="1"/>
  <c r="P19" i="17"/>
  <c r="R19" i="17" a="1"/>
  <c r="R19" i="17"/>
  <c r="P18" i="17" a="1"/>
  <c r="P18" i="17"/>
  <c r="R18" i="17" a="1"/>
  <c r="R18" i="17"/>
  <c r="P17" i="17" a="1"/>
  <c r="P17" i="17"/>
  <c r="R17" i="17" a="1"/>
  <c r="R17" i="17"/>
  <c r="P16" i="17" a="1"/>
  <c r="P16" i="17"/>
  <c r="R16" i="17" a="1"/>
  <c r="R16" i="17"/>
  <c r="P15" i="17" a="1"/>
  <c r="P15" i="17"/>
  <c r="R15" i="17" a="1"/>
  <c r="R15" i="17"/>
  <c r="P14" i="17" a="1"/>
  <c r="P14" i="17"/>
  <c r="R14" i="17" a="1"/>
  <c r="R14" i="17"/>
  <c r="P13" i="17" a="1"/>
  <c r="P13" i="17"/>
  <c r="R13" i="17" a="1"/>
  <c r="R13" i="17"/>
  <c r="A147" i="11" a="1"/>
  <c r="AX4" i="41"/>
  <c r="AX3" i="41"/>
  <c r="AX2" i="41"/>
  <c r="AV3" i="41"/>
  <c r="AW3" i="41"/>
  <c r="AV4" i="41"/>
  <c r="AW4" i="41"/>
  <c r="AV2" i="41"/>
  <c r="Q10" i="17" a="1"/>
  <c r="Q10" i="17"/>
  <c r="S10" i="17" a="1"/>
  <c r="S10" i="17"/>
  <c r="Q9" i="17" a="1"/>
  <c r="Q9" i="17"/>
  <c r="S9" i="17" a="1"/>
  <c r="S9" i="17"/>
  <c r="Q7" i="17" a="1"/>
  <c r="Q7" i="17"/>
  <c r="AF16" i="27" s="1"/>
  <c r="E6" i="21"/>
  <c r="G6" i="21"/>
  <c r="Q8" i="17" a="1"/>
  <c r="Q8" i="17"/>
  <c r="S8" i="17" a="1"/>
  <c r="S8" i="17"/>
  <c r="Q12" i="17" a="1"/>
  <c r="Q12" i="17"/>
  <c r="S12" i="17" a="1"/>
  <c r="S12" i="17"/>
  <c r="Q11" i="17" a="1"/>
  <c r="Q11" i="17"/>
  <c r="S11" i="17" a="1"/>
  <c r="S11" i="17"/>
  <c r="Q250" i="17" a="1"/>
  <c r="Q250" i="17"/>
  <c r="S250" i="17" a="1"/>
  <c r="S250" i="17"/>
  <c r="Q104" i="17" a="1"/>
  <c r="Q104" i="17"/>
  <c r="S104" i="17" a="1"/>
  <c r="S104" i="17"/>
  <c r="Q103" i="17" a="1"/>
  <c r="Q103" i="17"/>
  <c r="S103" i="17" a="1"/>
  <c r="S103" i="17"/>
  <c r="Q102" i="17" a="1"/>
  <c r="Q102" i="17"/>
  <c r="S102" i="17" a="1"/>
  <c r="S102" i="17"/>
  <c r="Q101" i="17" a="1"/>
  <c r="Q101" i="17"/>
  <c r="S101" i="17" a="1"/>
  <c r="S101" i="17"/>
  <c r="Q100" i="17" a="1"/>
  <c r="Q100" i="17"/>
  <c r="S100" i="17" a="1"/>
  <c r="S100" i="17"/>
  <c r="Q99" i="17" a="1"/>
  <c r="Q99" i="17"/>
  <c r="S99" i="17" a="1"/>
  <c r="S99" i="17"/>
  <c r="Q98" i="17" a="1"/>
  <c r="Q98" i="17"/>
  <c r="S98" i="17" a="1"/>
  <c r="S98" i="17"/>
  <c r="Q97" i="17" a="1"/>
  <c r="Q97" i="17"/>
  <c r="S97" i="17" a="1"/>
  <c r="S97" i="17"/>
  <c r="Q96" i="17" a="1"/>
  <c r="Q96" i="17"/>
  <c r="S96" i="17" a="1"/>
  <c r="S96" i="17"/>
  <c r="Q95" i="17" a="1"/>
  <c r="Q95" i="17"/>
  <c r="S95" i="17" a="1"/>
  <c r="S95" i="17"/>
  <c r="Q94" i="17" a="1"/>
  <c r="Q94" i="17"/>
  <c r="S94" i="17" a="1"/>
  <c r="S94" i="17"/>
  <c r="Q93" i="17" a="1"/>
  <c r="Q93" i="17"/>
  <c r="S93" i="17" a="1"/>
  <c r="S93" i="17"/>
  <c r="Q92" i="17" a="1"/>
  <c r="Q92" i="17"/>
  <c r="S92" i="17" a="1"/>
  <c r="S92" i="17"/>
  <c r="Q91" i="17" a="1"/>
  <c r="Q91" i="17"/>
  <c r="S91" i="17" a="1"/>
  <c r="S91" i="17"/>
  <c r="Q90" i="17" a="1"/>
  <c r="Q90" i="17"/>
  <c r="S90" i="17" a="1"/>
  <c r="S90" i="17"/>
  <c r="Q89" i="17" a="1"/>
  <c r="Q89" i="17"/>
  <c r="S89" i="17" a="1"/>
  <c r="S89" i="17"/>
  <c r="Q88" i="17" a="1"/>
  <c r="Q88" i="17"/>
  <c r="S88" i="17" a="1"/>
  <c r="S88" i="17"/>
  <c r="Q87" i="17" a="1"/>
  <c r="Q87" i="17"/>
  <c r="S87" i="17" a="1"/>
  <c r="S87" i="17"/>
  <c r="Q86" i="17" a="1"/>
  <c r="Q86" i="17"/>
  <c r="S86" i="17" a="1"/>
  <c r="S86" i="17"/>
  <c r="Q85" i="17" a="1"/>
  <c r="Q85" i="17"/>
  <c r="S85" i="17" a="1"/>
  <c r="S85" i="17"/>
  <c r="Q84" i="17" a="1"/>
  <c r="Q84" i="17"/>
  <c r="S84" i="17" a="1"/>
  <c r="S84" i="17"/>
  <c r="Q83" i="17" a="1"/>
  <c r="Q83" i="17"/>
  <c r="S83" i="17" a="1"/>
  <c r="S83" i="17"/>
  <c r="Q82" i="17" a="1"/>
  <c r="Q82" i="17"/>
  <c r="S82" i="17" a="1"/>
  <c r="S82" i="17"/>
  <c r="Q81" i="17" a="1"/>
  <c r="Q81" i="17"/>
  <c r="S81" i="17" a="1"/>
  <c r="S81" i="17"/>
  <c r="Q80" i="17" a="1"/>
  <c r="Q80" i="17"/>
  <c r="S80" i="17" a="1"/>
  <c r="S80" i="17"/>
  <c r="Q79" i="17" a="1"/>
  <c r="Q79" i="17"/>
  <c r="S79" i="17" a="1"/>
  <c r="S79" i="17"/>
  <c r="Q78" i="17" a="1"/>
  <c r="Q78" i="17"/>
  <c r="S78" i="17" a="1"/>
  <c r="S78" i="17"/>
  <c r="Q77" i="17" a="1"/>
  <c r="Q77" i="17"/>
  <c r="S77" i="17" a="1"/>
  <c r="S77" i="17"/>
  <c r="Q76" i="17" a="1"/>
  <c r="Q76" i="17"/>
  <c r="S76" i="17" a="1"/>
  <c r="S76" i="17"/>
  <c r="Q75" i="17" a="1"/>
  <c r="Q75" i="17"/>
  <c r="S75" i="17" a="1"/>
  <c r="S75" i="17"/>
  <c r="Q74" i="17" a="1"/>
  <c r="Q74" i="17"/>
  <c r="S74" i="17" a="1"/>
  <c r="S74" i="17"/>
  <c r="Q73" i="17" a="1"/>
  <c r="Q73" i="17"/>
  <c r="S73" i="17" a="1"/>
  <c r="S73" i="17"/>
  <c r="Q72" i="17" a="1"/>
  <c r="Q72" i="17"/>
  <c r="S72" i="17" a="1"/>
  <c r="S72" i="17"/>
  <c r="Q71" i="17" a="1"/>
  <c r="Q71" i="17"/>
  <c r="S71" i="17" a="1"/>
  <c r="S71" i="17"/>
  <c r="Q70" i="17" a="1"/>
  <c r="Q70" i="17"/>
  <c r="S70" i="17" a="1"/>
  <c r="S70" i="17"/>
  <c r="Q69" i="17" a="1"/>
  <c r="Q69" i="17"/>
  <c r="S69" i="17" a="1"/>
  <c r="S69" i="17"/>
  <c r="Q68" i="17" a="1"/>
  <c r="Q68" i="17"/>
  <c r="S68" i="17" a="1"/>
  <c r="S68" i="17"/>
  <c r="Q67" i="17" a="1"/>
  <c r="Q67" i="17"/>
  <c r="S67" i="17" a="1"/>
  <c r="S67" i="17"/>
  <c r="Q66" i="17" a="1"/>
  <c r="Q66" i="17"/>
  <c r="S66" i="17" a="1"/>
  <c r="S66" i="17"/>
  <c r="Q65" i="17" a="1"/>
  <c r="Q65" i="17"/>
  <c r="S65" i="17" a="1"/>
  <c r="S65" i="17"/>
  <c r="Q64" i="17" a="1"/>
  <c r="Q64" i="17"/>
  <c r="S64" i="17" a="1"/>
  <c r="S64" i="17"/>
  <c r="Q63" i="17" a="1"/>
  <c r="Q63" i="17"/>
  <c r="S63" i="17" a="1"/>
  <c r="S63" i="17"/>
  <c r="Q62" i="17" a="1"/>
  <c r="Q62" i="17"/>
  <c r="S62" i="17" a="1"/>
  <c r="S62" i="17"/>
  <c r="Q61" i="17" a="1"/>
  <c r="Q61" i="17"/>
  <c r="S61" i="17" a="1"/>
  <c r="S61" i="17"/>
  <c r="Q60" i="17" a="1"/>
  <c r="Q60" i="17"/>
  <c r="S60" i="17" a="1"/>
  <c r="S60" i="17"/>
  <c r="Q59" i="17" a="1"/>
  <c r="Q59" i="17"/>
  <c r="S59" i="17" a="1"/>
  <c r="S59" i="17"/>
  <c r="Q58" i="17" a="1"/>
  <c r="Q58" i="17"/>
  <c r="S58" i="17" a="1"/>
  <c r="S58" i="17"/>
  <c r="Q57" i="17" a="1"/>
  <c r="Q57" i="17"/>
  <c r="S57" i="17" a="1"/>
  <c r="S57" i="17"/>
  <c r="Q56" i="17" a="1"/>
  <c r="Q56" i="17"/>
  <c r="S56" i="17" a="1"/>
  <c r="S56" i="17"/>
  <c r="Q55" i="17" a="1"/>
  <c r="Q55" i="17"/>
  <c r="S55" i="17" a="1"/>
  <c r="S55" i="17"/>
  <c r="Q54" i="17" a="1"/>
  <c r="Q54" i="17"/>
  <c r="S54" i="17" a="1"/>
  <c r="S54" i="17"/>
  <c r="Q53" i="17" a="1"/>
  <c r="Q53" i="17"/>
  <c r="S53" i="17" a="1"/>
  <c r="S53" i="17"/>
  <c r="Q52" i="17" a="1"/>
  <c r="Q52" i="17"/>
  <c r="S52" i="17" a="1"/>
  <c r="S52" i="17"/>
  <c r="Q51" i="17" a="1"/>
  <c r="Q51" i="17"/>
  <c r="S51" i="17" a="1"/>
  <c r="S51" i="17"/>
  <c r="Q50" i="17" a="1"/>
  <c r="Q50" i="17"/>
  <c r="S50" i="17" a="1"/>
  <c r="S50" i="17"/>
  <c r="Q49" i="17" a="1"/>
  <c r="Q49" i="17"/>
  <c r="S49" i="17" a="1"/>
  <c r="S49" i="17"/>
  <c r="Q48" i="17" a="1"/>
  <c r="Q48" i="17"/>
  <c r="S48" i="17" a="1"/>
  <c r="S48" i="17"/>
  <c r="Q47" i="17" a="1"/>
  <c r="Q47" i="17"/>
  <c r="S47" i="17" a="1"/>
  <c r="S47" i="17"/>
  <c r="Q46" i="17" a="1"/>
  <c r="Q46" i="17"/>
  <c r="S46" i="17" a="1"/>
  <c r="S46" i="17"/>
  <c r="Q45" i="17" a="1"/>
  <c r="Q45" i="17"/>
  <c r="S45" i="17" a="1"/>
  <c r="S45" i="17"/>
  <c r="Q44" i="17" a="1"/>
  <c r="Q44" i="17"/>
  <c r="S44" i="17" a="1"/>
  <c r="S44" i="17"/>
  <c r="Q43" i="17" a="1"/>
  <c r="Q43" i="17"/>
  <c r="S43" i="17" a="1"/>
  <c r="S43" i="17"/>
  <c r="Q42" i="17" a="1"/>
  <c r="Q42" i="17"/>
  <c r="S42" i="17" a="1"/>
  <c r="S42" i="17"/>
  <c r="Q41" i="17" a="1"/>
  <c r="Q41" i="17"/>
  <c r="S41" i="17" a="1"/>
  <c r="S41" i="17"/>
  <c r="Q40" i="17" a="1"/>
  <c r="Q40" i="17"/>
  <c r="S40" i="17" a="1"/>
  <c r="S40" i="17"/>
  <c r="Q39" i="17" a="1"/>
  <c r="Q39" i="17"/>
  <c r="S39" i="17" a="1"/>
  <c r="S39" i="17"/>
  <c r="Q38" i="17" a="1"/>
  <c r="Q38" i="17"/>
  <c r="S38" i="17" a="1"/>
  <c r="S38" i="17"/>
  <c r="Q37" i="17" a="1"/>
  <c r="Q37" i="17"/>
  <c r="S37" i="17" a="1"/>
  <c r="S37" i="17"/>
  <c r="Q36" i="17" a="1"/>
  <c r="Q36" i="17"/>
  <c r="S36" i="17" a="1"/>
  <c r="S36" i="17"/>
  <c r="Q35" i="17" a="1"/>
  <c r="Q35" i="17"/>
  <c r="S35" i="17" a="1"/>
  <c r="S35" i="17"/>
  <c r="Q34" i="17" a="1"/>
  <c r="Q34" i="17"/>
  <c r="S34" i="17" a="1"/>
  <c r="S34" i="17"/>
  <c r="Q33" i="17" a="1"/>
  <c r="Q33" i="17"/>
  <c r="S33" i="17" a="1"/>
  <c r="S33" i="17"/>
  <c r="Q32" i="17" a="1"/>
  <c r="Q32" i="17"/>
  <c r="S32" i="17" a="1"/>
  <c r="S32" i="17"/>
  <c r="Q31" i="17" a="1"/>
  <c r="Q31" i="17"/>
  <c r="S31" i="17" a="1"/>
  <c r="S31" i="17"/>
  <c r="Q30" i="17" a="1"/>
  <c r="Q30" i="17"/>
  <c r="S30" i="17" a="1"/>
  <c r="S30" i="17"/>
  <c r="Q29" i="17" a="1"/>
  <c r="Q29" i="17"/>
  <c r="S29" i="17" a="1"/>
  <c r="S29" i="17"/>
  <c r="Q28" i="17" a="1"/>
  <c r="Q28" i="17"/>
  <c r="S28" i="17" a="1"/>
  <c r="S28" i="17"/>
  <c r="Q27" i="17" a="1"/>
  <c r="Q27" i="17"/>
  <c r="S27" i="17" a="1"/>
  <c r="S27" i="17"/>
  <c r="Q26" i="17" a="1"/>
  <c r="Q26" i="17"/>
  <c r="S26" i="17" a="1"/>
  <c r="S26" i="17"/>
  <c r="Q25" i="17" a="1"/>
  <c r="Q25" i="17"/>
  <c r="S25" i="17" a="1"/>
  <c r="S25" i="17"/>
  <c r="Q24" i="17" a="1"/>
  <c r="Q24" i="17"/>
  <c r="S24" i="17" a="1"/>
  <c r="S24" i="17"/>
  <c r="Q23" i="17" a="1"/>
  <c r="Q23" i="17"/>
  <c r="S23" i="17" a="1"/>
  <c r="S23" i="17"/>
  <c r="Q22" i="17" a="1"/>
  <c r="Q22" i="17"/>
  <c r="S22" i="17" a="1"/>
  <c r="S22" i="17"/>
  <c r="Q21" i="17" a="1"/>
  <c r="Q21" i="17"/>
  <c r="S21" i="17" a="1"/>
  <c r="S21" i="17"/>
  <c r="Q20" i="17" a="1"/>
  <c r="Q20" i="17"/>
  <c r="S20" i="17" a="1"/>
  <c r="S20" i="17"/>
  <c r="Q19" i="17" a="1"/>
  <c r="Q19" i="17"/>
  <c r="S19" i="17" a="1"/>
  <c r="S19" i="17"/>
  <c r="Q18" i="17" a="1"/>
  <c r="Q18" i="17"/>
  <c r="S18" i="17" a="1"/>
  <c r="S18" i="17"/>
  <c r="Q17" i="17" a="1"/>
  <c r="Q17" i="17"/>
  <c r="S17" i="17" a="1"/>
  <c r="S17" i="17"/>
  <c r="Q16" i="17" a="1"/>
  <c r="Q16" i="17"/>
  <c r="S16" i="17" a="1"/>
  <c r="S16" i="17"/>
  <c r="Q15" i="17" a="1"/>
  <c r="Q15" i="17"/>
  <c r="S15" i="17" a="1"/>
  <c r="S15" i="17"/>
  <c r="Q14" i="17" a="1"/>
  <c r="Q14" i="17"/>
  <c r="S14" i="17" a="1"/>
  <c r="S14" i="17"/>
  <c r="Q13" i="17" a="1"/>
  <c r="Q13" i="17"/>
  <c r="S13" i="17" a="1"/>
  <c r="S13" i="17"/>
  <c r="AE22" i="27"/>
  <c r="Q6" i="17" a="1"/>
  <c r="Q6" i="17"/>
  <c r="G26" i="30"/>
  <c r="H26" i="30"/>
  <c r="I26" i="30"/>
  <c r="J26" i="30"/>
  <c r="K26" i="30"/>
  <c r="L26" i="30"/>
  <c r="M26" i="30"/>
  <c r="N26" i="30"/>
  <c r="K26" i="36"/>
  <c r="L26" i="36"/>
  <c r="M26" i="36"/>
  <c r="N26" i="36"/>
  <c r="O26" i="36"/>
  <c r="P26" i="36"/>
  <c r="Q26" i="36"/>
  <c r="R26" i="36"/>
  <c r="AF19" i="27"/>
  <c r="AE19" i="27"/>
  <c r="G3" i="27"/>
  <c r="G4" i="27"/>
  <c r="AE21" i="27"/>
  <c r="F3" i="27"/>
  <c r="F4" i="27"/>
  <c r="C17" i="25"/>
  <c r="G25" i="30"/>
  <c r="H25" i="30"/>
  <c r="I25" i="30"/>
  <c r="J25" i="30"/>
  <c r="K25" i="30"/>
  <c r="L25" i="30"/>
  <c r="M25" i="30"/>
  <c r="N25" i="30"/>
  <c r="G24" i="30"/>
  <c r="H24" i="30"/>
  <c r="I24" i="30"/>
  <c r="J24" i="30"/>
  <c r="K24" i="30"/>
  <c r="L24" i="30"/>
  <c r="M24" i="30"/>
  <c r="N24"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AF24" i="27"/>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I4" i="27"/>
  <c r="H4" i="27"/>
  <c r="B2" i="37"/>
  <c r="D2" i="37" a="1"/>
  <c r="D2" i="37"/>
  <c r="AF23" i="27"/>
  <c r="AF15" i="27"/>
  <c r="AE23" i="27"/>
  <c r="AE15" i="27"/>
  <c r="AO2" i="41"/>
  <c r="AP2" i="41"/>
  <c r="AQ2" i="41"/>
  <c r="AR2" i="41"/>
  <c r="AS2" i="41"/>
  <c r="AT2" i="41"/>
  <c r="AU2" i="41"/>
  <c r="AO3" i="41"/>
  <c r="AP3" i="41"/>
  <c r="AQ3" i="41"/>
  <c r="AR3" i="41"/>
  <c r="AS3" i="41"/>
  <c r="AT3" i="41"/>
  <c r="AU3" i="41"/>
  <c r="AL4" i="41"/>
  <c r="AM4" i="41"/>
  <c r="AN4" i="41"/>
  <c r="AR4" i="41"/>
  <c r="AS4" i="41"/>
  <c r="AT4" i="41"/>
  <c r="AU4" i="41"/>
  <c r="AQ4" i="41"/>
  <c r="AP4" i="41"/>
  <c r="AO4" i="41"/>
  <c r="AK2" i="41"/>
  <c r="C19" i="35"/>
  <c r="C24" i="36"/>
  <c r="B119" i="11" a="1"/>
  <c r="B119" i="11"/>
  <c r="AN2" i="41"/>
  <c r="AN3" i="41"/>
  <c r="AM2" i="41"/>
  <c r="AM3" i="41"/>
  <c r="AL2" i="41"/>
  <c r="AL3" i="41"/>
  <c r="F5" i="6"/>
  <c r="E5" i="6"/>
  <c r="E15" i="30" a="1"/>
  <c r="I15" i="36" a="1"/>
  <c r="Y2" i="26"/>
  <c r="Y3" i="26"/>
  <c r="Y4" i="26"/>
  <c r="T4" i="27"/>
  <c r="S4" i="27"/>
  <c r="R4" i="27"/>
  <c r="Q4" i="27"/>
  <c r="P4" i="27"/>
  <c r="O4" i="27"/>
  <c r="T3" i="27"/>
  <c r="S3" i="27"/>
  <c r="R3" i="27"/>
  <c r="Q3" i="27"/>
  <c r="P3" i="27"/>
  <c r="O3" i="27"/>
  <c r="K32" i="35" a="1"/>
  <c r="K32" i="35"/>
  <c r="K33" i="35" a="1"/>
  <c r="K33" i="35"/>
  <c r="K34" i="35" a="1"/>
  <c r="K34" i="35"/>
  <c r="K35" i="35" a="1"/>
  <c r="K35" i="35"/>
  <c r="K36" i="35" a="1"/>
  <c r="K36" i="35"/>
  <c r="K37" i="35" a="1"/>
  <c r="K37" i="35"/>
  <c r="K38" i="35" a="1"/>
  <c r="K38" i="35"/>
  <c r="K32" i="25" a="1"/>
  <c r="K32" i="25"/>
  <c r="K33" i="25" a="1"/>
  <c r="K33" i="25"/>
  <c r="K34" i="25" a="1"/>
  <c r="K34" i="25"/>
  <c r="K35" i="25" a="1"/>
  <c r="K35" i="25"/>
  <c r="K36" i="25" a="1"/>
  <c r="K36" i="25"/>
  <c r="K37" i="25" a="1"/>
  <c r="K37" i="25"/>
  <c r="K38" i="25" a="1"/>
  <c r="K38" i="25"/>
  <c r="T2" i="27"/>
  <c r="R2" i="27"/>
  <c r="P2" i="27"/>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P2" i="31" a="1"/>
  <c r="P2" i="31"/>
  <c r="O2" i="31" a="1"/>
  <c r="O2" i="31"/>
  <c r="B148" i="11" a="1"/>
  <c r="D176" i="11"/>
  <c r="H46" i="35" a="1"/>
  <c r="H46" i="35"/>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6" i="12"/>
  <c r="G15" i="12"/>
  <c r="G18" i="12"/>
  <c r="G17" i="12"/>
  <c r="H46" i="25" a="1"/>
  <c r="H46" i="25"/>
  <c r="H45" i="25" a="1"/>
  <c r="H45" i="25"/>
  <c r="C19" i="25"/>
  <c r="C18" i="25"/>
  <c r="C18" i="35"/>
  <c r="C23" i="36"/>
  <c r="L6" i="21" a="1"/>
  <c r="L6" i="21"/>
  <c r="S6" i="17" a="1"/>
  <c r="S6" i="17"/>
  <c r="E5" i="21"/>
  <c r="L5" i="21" a="1"/>
  <c r="L5" i="21"/>
  <c r="D35" i="21"/>
  <c r="S7" i="17" a="1"/>
  <c r="S7" i="17"/>
  <c r="AK16" i="27" s="1"/>
  <c r="I3" i="27"/>
  <c r="F6" i="6"/>
  <c r="R7" i="17" a="1"/>
  <c r="R7" i="17"/>
  <c r="AJ16" i="27" s="1"/>
  <c r="E6" i="6"/>
  <c r="AE17" i="27"/>
  <c r="H3" i="27"/>
  <c r="AK22" i="27"/>
  <c r="AK17" i="27"/>
  <c r="AJ22" i="27"/>
  <c r="AJ17" i="27"/>
  <c r="AL17" i="27"/>
  <c r="AF22" i="27"/>
  <c r="AF17" i="27"/>
  <c r="AM17" i="27"/>
  <c r="J26" i="36"/>
  <c r="J25" i="36"/>
  <c r="J24" i="36"/>
  <c r="J22" i="36"/>
  <c r="J21" i="36"/>
  <c r="J19" i="36"/>
  <c r="J17" i="36"/>
  <c r="F26" i="30"/>
  <c r="F25" i="30"/>
  <c r="F24" i="30"/>
  <c r="F22" i="30"/>
  <c r="F21" i="30"/>
  <c r="F19" i="30"/>
  <c r="F17" i="30"/>
  <c r="P105" i="17" a="1"/>
  <c r="P105" i="17"/>
  <c r="R105" i="17" a="1"/>
  <c r="R105" i="17"/>
  <c r="P106" i="17" a="1"/>
  <c r="P106" i="17"/>
  <c r="R106" i="17" a="1"/>
  <c r="R106" i="17"/>
  <c r="P107" i="17" a="1"/>
  <c r="P107" i="17"/>
  <c r="R107" i="17" a="1"/>
  <c r="R107" i="17"/>
  <c r="P108" i="17" a="1"/>
  <c r="P108" i="17"/>
  <c r="R108" i="17" a="1"/>
  <c r="R108" i="17"/>
  <c r="P109" i="17" a="1"/>
  <c r="P109" i="17"/>
  <c r="R109" i="17" a="1"/>
  <c r="R109" i="17"/>
  <c r="P110" i="17" a="1"/>
  <c r="P110" i="17"/>
  <c r="R110" i="17" a="1"/>
  <c r="R110" i="17"/>
  <c r="P111" i="17" a="1"/>
  <c r="P111" i="17"/>
  <c r="R111" i="17" a="1"/>
  <c r="R111" i="17"/>
  <c r="P112" i="17" a="1"/>
  <c r="P112" i="17"/>
  <c r="R112" i="17" a="1"/>
  <c r="R112" i="17"/>
  <c r="P113" i="17" a="1"/>
  <c r="P113" i="17"/>
  <c r="R113" i="17" a="1"/>
  <c r="R113" i="17"/>
  <c r="P114" i="17" a="1"/>
  <c r="P114" i="17"/>
  <c r="R114" i="17" a="1"/>
  <c r="R114" i="17"/>
  <c r="P115" i="17" a="1"/>
  <c r="P115" i="17"/>
  <c r="R115" i="17" a="1"/>
  <c r="R115" i="17"/>
  <c r="P116" i="17" a="1"/>
  <c r="P116" i="17"/>
  <c r="R116" i="17" a="1"/>
  <c r="R116" i="17"/>
  <c r="P117" i="17" a="1"/>
  <c r="P117" i="17"/>
  <c r="R117" i="17" a="1"/>
  <c r="R117" i="17"/>
  <c r="P118" i="17" a="1"/>
  <c r="P118" i="17"/>
  <c r="R118" i="17" a="1"/>
  <c r="R118" i="17"/>
  <c r="P119" i="17" a="1"/>
  <c r="P119" i="17"/>
  <c r="R119" i="17" a="1"/>
  <c r="R119" i="17"/>
  <c r="P120" i="17" a="1"/>
  <c r="P120" i="17"/>
  <c r="R120" i="17" a="1"/>
  <c r="R120" i="17"/>
  <c r="P121" i="17" a="1"/>
  <c r="P121" i="17"/>
  <c r="R121" i="17" a="1"/>
  <c r="R121" i="17"/>
  <c r="P122" i="17" a="1"/>
  <c r="P122" i="17"/>
  <c r="R122" i="17" a="1"/>
  <c r="R122" i="17"/>
  <c r="P123" i="17" a="1"/>
  <c r="P123" i="17"/>
  <c r="R123" i="17" a="1"/>
  <c r="R123" i="17"/>
  <c r="P124" i="17" a="1"/>
  <c r="P124" i="17"/>
  <c r="R124" i="17" a="1"/>
  <c r="R124" i="17"/>
  <c r="P125" i="17" a="1"/>
  <c r="P125" i="17"/>
  <c r="R125" i="17" a="1"/>
  <c r="R125" i="17"/>
  <c r="P126" i="17" a="1"/>
  <c r="P126" i="17"/>
  <c r="R126" i="17" a="1"/>
  <c r="R126" i="17"/>
  <c r="P127" i="17" a="1"/>
  <c r="P127" i="17"/>
  <c r="R127" i="17" a="1"/>
  <c r="R127" i="17"/>
  <c r="P128" i="17" a="1"/>
  <c r="P128" i="17"/>
  <c r="R128" i="17" a="1"/>
  <c r="R128" i="17"/>
  <c r="P129" i="17" a="1"/>
  <c r="P129" i="17"/>
  <c r="R129" i="17" a="1"/>
  <c r="R129" i="17"/>
  <c r="P130" i="17" a="1"/>
  <c r="P130" i="17"/>
  <c r="R130" i="17" a="1"/>
  <c r="R130" i="17"/>
  <c r="P131" i="17" a="1"/>
  <c r="P131" i="17"/>
  <c r="R131" i="17" a="1"/>
  <c r="R131" i="17"/>
  <c r="P132" i="17" a="1"/>
  <c r="P132" i="17"/>
  <c r="R132" i="17" a="1"/>
  <c r="R132" i="17"/>
  <c r="P133" i="17" a="1"/>
  <c r="P133" i="17"/>
  <c r="R133" i="17" a="1"/>
  <c r="R133" i="17"/>
  <c r="P134" i="17" a="1"/>
  <c r="P134" i="17"/>
  <c r="R134" i="17" a="1"/>
  <c r="R134" i="17"/>
  <c r="P135" i="17" a="1"/>
  <c r="P135" i="17"/>
  <c r="R135" i="17" a="1"/>
  <c r="R135" i="17"/>
  <c r="P136" i="17" a="1"/>
  <c r="P136" i="17"/>
  <c r="R136" i="17" a="1"/>
  <c r="R136" i="17"/>
  <c r="P137" i="17" a="1"/>
  <c r="P137" i="17"/>
  <c r="R137" i="17" a="1"/>
  <c r="R137" i="17"/>
  <c r="P138" i="17" a="1"/>
  <c r="P138" i="17"/>
  <c r="R138" i="17" a="1"/>
  <c r="R138" i="17"/>
  <c r="P139" i="17" a="1"/>
  <c r="P139" i="17"/>
  <c r="R139" i="17" a="1"/>
  <c r="R139" i="17"/>
  <c r="P140" i="17" a="1"/>
  <c r="P140" i="17"/>
  <c r="R140" i="17" a="1"/>
  <c r="R140" i="17"/>
  <c r="P141" i="17" a="1"/>
  <c r="P141" i="17"/>
  <c r="R141" i="17" a="1"/>
  <c r="R141" i="17"/>
  <c r="P142" i="17" a="1"/>
  <c r="P142" i="17"/>
  <c r="R142" i="17" a="1"/>
  <c r="R142" i="17"/>
  <c r="P143" i="17" a="1"/>
  <c r="P143" i="17"/>
  <c r="R143" i="17" a="1"/>
  <c r="R143" i="17"/>
  <c r="P144" i="17" a="1"/>
  <c r="P144" i="17"/>
  <c r="R144" i="17" a="1"/>
  <c r="R144" i="17"/>
  <c r="P145" i="17" a="1"/>
  <c r="P145" i="17"/>
  <c r="R145" i="17" a="1"/>
  <c r="R145" i="17"/>
  <c r="P146" i="17" a="1"/>
  <c r="P146" i="17"/>
  <c r="R146" i="17" a="1"/>
  <c r="R146" i="17"/>
  <c r="P147" i="17" a="1"/>
  <c r="P147" i="17"/>
  <c r="R147" i="17" a="1"/>
  <c r="R147" i="17"/>
  <c r="P148" i="17" a="1"/>
  <c r="P148" i="17"/>
  <c r="R148" i="17" a="1"/>
  <c r="R148" i="17"/>
  <c r="P149" i="17" a="1"/>
  <c r="P149" i="17"/>
  <c r="R149" i="17" a="1"/>
  <c r="R149" i="17"/>
  <c r="P150" i="17" a="1"/>
  <c r="P150" i="17"/>
  <c r="R150" i="17" a="1"/>
  <c r="R150" i="17"/>
  <c r="P151" i="17" a="1"/>
  <c r="P151" i="17"/>
  <c r="R151" i="17" a="1"/>
  <c r="R151" i="17"/>
  <c r="P152" i="17" a="1"/>
  <c r="P152" i="17"/>
  <c r="R152" i="17" a="1"/>
  <c r="R152" i="17"/>
  <c r="P153" i="17" a="1"/>
  <c r="P153" i="17"/>
  <c r="R153" i="17" a="1"/>
  <c r="R153" i="17"/>
  <c r="P154" i="17" a="1"/>
  <c r="P154" i="17"/>
  <c r="R154" i="17" a="1"/>
  <c r="R154" i="17"/>
  <c r="P155" i="17" a="1"/>
  <c r="P155" i="17"/>
  <c r="R155" i="17" a="1"/>
  <c r="R155" i="17"/>
  <c r="P156" i="17" a="1"/>
  <c r="P156" i="17"/>
  <c r="R156" i="17" a="1"/>
  <c r="R156" i="17"/>
  <c r="P157" i="17" a="1"/>
  <c r="P157" i="17"/>
  <c r="R157" i="17" a="1"/>
  <c r="R157" i="17"/>
  <c r="P158" i="17" a="1"/>
  <c r="P158" i="17"/>
  <c r="R158" i="17" a="1"/>
  <c r="R158" i="17"/>
  <c r="P159" i="17" a="1"/>
  <c r="P159" i="17"/>
  <c r="R159" i="17" a="1"/>
  <c r="R159" i="17"/>
  <c r="P160" i="17" a="1"/>
  <c r="P160" i="17"/>
  <c r="R160" i="17" a="1"/>
  <c r="R160" i="17"/>
  <c r="P161" i="17" a="1"/>
  <c r="P161" i="17"/>
  <c r="R161" i="17" a="1"/>
  <c r="R161" i="17"/>
  <c r="P162" i="17" a="1"/>
  <c r="P162" i="17"/>
  <c r="R162" i="17" a="1"/>
  <c r="R162" i="17"/>
  <c r="P163" i="17" a="1"/>
  <c r="P163" i="17"/>
  <c r="R163" i="17" a="1"/>
  <c r="R163" i="17"/>
  <c r="P164" i="17" a="1"/>
  <c r="P164" i="17"/>
  <c r="R164" i="17" a="1"/>
  <c r="R164" i="17"/>
  <c r="P165" i="17" a="1"/>
  <c r="P165" i="17"/>
  <c r="R165" i="17" a="1"/>
  <c r="R165" i="17"/>
  <c r="P166" i="17" a="1"/>
  <c r="P166" i="17"/>
  <c r="R166" i="17" a="1"/>
  <c r="R166" i="17"/>
  <c r="P167" i="17" a="1"/>
  <c r="P167" i="17"/>
  <c r="R167" i="17" a="1"/>
  <c r="R167" i="17"/>
  <c r="P168" i="17" a="1"/>
  <c r="P168" i="17"/>
  <c r="R168" i="17" a="1"/>
  <c r="R168" i="17"/>
  <c r="P169" i="17" a="1"/>
  <c r="P169" i="17"/>
  <c r="R169" i="17" a="1"/>
  <c r="R169" i="17"/>
  <c r="P170" i="17" a="1"/>
  <c r="P170" i="17"/>
  <c r="R170" i="17" a="1"/>
  <c r="R170" i="17"/>
  <c r="P171" i="17" a="1"/>
  <c r="P171" i="17"/>
  <c r="R171" i="17" a="1"/>
  <c r="R171" i="17"/>
  <c r="P172" i="17" a="1"/>
  <c r="P172" i="17"/>
  <c r="R172" i="17" a="1"/>
  <c r="R172" i="17"/>
  <c r="P173" i="17" a="1"/>
  <c r="P173" i="17"/>
  <c r="R173" i="17" a="1"/>
  <c r="R173" i="17"/>
  <c r="P174" i="17" a="1"/>
  <c r="P174" i="17"/>
  <c r="R174" i="17" a="1"/>
  <c r="R174" i="17"/>
  <c r="P175" i="17" a="1"/>
  <c r="P175" i="17"/>
  <c r="R175" i="17" a="1"/>
  <c r="R175" i="17"/>
  <c r="P176" i="17" a="1"/>
  <c r="P176" i="17"/>
  <c r="R176" i="17" a="1"/>
  <c r="R176" i="17"/>
  <c r="P177" i="17" a="1"/>
  <c r="P177" i="17"/>
  <c r="R177" i="17" a="1"/>
  <c r="R177" i="17"/>
  <c r="P178" i="17" a="1"/>
  <c r="P178" i="17"/>
  <c r="R178" i="17" a="1"/>
  <c r="R178" i="17"/>
  <c r="P179" i="17" a="1"/>
  <c r="P179" i="17"/>
  <c r="R179" i="17" a="1"/>
  <c r="R179" i="17"/>
  <c r="P180" i="17" a="1"/>
  <c r="P180" i="17"/>
  <c r="R180" i="17" a="1"/>
  <c r="R180" i="17"/>
  <c r="P181" i="17" a="1"/>
  <c r="P181" i="17"/>
  <c r="R181" i="17" a="1"/>
  <c r="R181" i="17"/>
  <c r="P182" i="17" a="1"/>
  <c r="P182" i="17"/>
  <c r="R182" i="17" a="1"/>
  <c r="R182" i="17"/>
  <c r="P183" i="17" a="1"/>
  <c r="P183" i="17"/>
  <c r="R183" i="17" a="1"/>
  <c r="R183" i="17"/>
  <c r="P184" i="17" a="1"/>
  <c r="P184" i="17"/>
  <c r="R184" i="17" a="1"/>
  <c r="R184" i="17"/>
  <c r="P185" i="17" a="1"/>
  <c r="P185" i="17"/>
  <c r="R185" i="17" a="1"/>
  <c r="R185" i="17"/>
  <c r="P186" i="17" a="1"/>
  <c r="P186" i="17"/>
  <c r="R186" i="17" a="1"/>
  <c r="R186" i="17"/>
  <c r="P187" i="17" a="1"/>
  <c r="P187" i="17"/>
  <c r="R187" i="17" a="1"/>
  <c r="R187" i="17"/>
  <c r="P188" i="17" a="1"/>
  <c r="P188" i="17"/>
  <c r="R188" i="17" a="1"/>
  <c r="R188" i="17"/>
  <c r="P189" i="17" a="1"/>
  <c r="P189" i="17"/>
  <c r="R189" i="17" a="1"/>
  <c r="R189" i="17"/>
  <c r="P190" i="17" a="1"/>
  <c r="P190" i="17"/>
  <c r="R190" i="17" a="1"/>
  <c r="R190" i="17"/>
  <c r="P191" i="17" a="1"/>
  <c r="P191" i="17"/>
  <c r="R191" i="17" a="1"/>
  <c r="R191" i="17"/>
  <c r="P192" i="17" a="1"/>
  <c r="P192" i="17"/>
  <c r="R192" i="17" a="1"/>
  <c r="R192" i="17"/>
  <c r="P193" i="17" a="1"/>
  <c r="P193" i="17"/>
  <c r="R193" i="17" a="1"/>
  <c r="R193" i="17"/>
  <c r="P194" i="17" a="1"/>
  <c r="P194" i="17"/>
  <c r="R194" i="17" a="1"/>
  <c r="R194" i="17"/>
  <c r="P195" i="17" a="1"/>
  <c r="P195" i="17"/>
  <c r="R195" i="17" a="1"/>
  <c r="R195" i="17"/>
  <c r="P196" i="17" a="1"/>
  <c r="P196" i="17"/>
  <c r="R196" i="17" a="1"/>
  <c r="R196" i="17"/>
  <c r="P197" i="17" a="1"/>
  <c r="P197" i="17"/>
  <c r="R197" i="17" a="1"/>
  <c r="R197" i="17"/>
  <c r="P198" i="17" a="1"/>
  <c r="P198" i="17"/>
  <c r="R198" i="17" a="1"/>
  <c r="R198" i="17"/>
  <c r="P199" i="17" a="1"/>
  <c r="P199" i="17"/>
  <c r="R199" i="17" a="1"/>
  <c r="R199" i="17"/>
  <c r="P200" i="17" a="1"/>
  <c r="P200" i="17"/>
  <c r="R200" i="17" a="1"/>
  <c r="R200" i="17"/>
  <c r="P201" i="17" a="1"/>
  <c r="P201" i="17"/>
  <c r="R201" i="17" a="1"/>
  <c r="R201" i="17"/>
  <c r="P202" i="17" a="1"/>
  <c r="P202" i="17"/>
  <c r="R202" i="17" a="1"/>
  <c r="R202" i="17"/>
  <c r="P203" i="17" a="1"/>
  <c r="P203" i="17"/>
  <c r="R203" i="17" a="1"/>
  <c r="R203" i="17"/>
  <c r="P204" i="17" a="1"/>
  <c r="P204" i="17"/>
  <c r="R204" i="17" a="1"/>
  <c r="R204" i="17"/>
  <c r="P205" i="17" a="1"/>
  <c r="P205" i="17"/>
  <c r="R205" i="17" a="1"/>
  <c r="R205" i="17"/>
  <c r="P206" i="17" a="1"/>
  <c r="P206" i="17"/>
  <c r="R206" i="17" a="1"/>
  <c r="R206" i="17"/>
  <c r="P207" i="17" a="1"/>
  <c r="P207" i="17"/>
  <c r="R207" i="17" a="1"/>
  <c r="R207" i="17"/>
  <c r="P208" i="17" a="1"/>
  <c r="P208" i="17"/>
  <c r="R208" i="17" a="1"/>
  <c r="R208" i="17"/>
  <c r="P209" i="17" a="1"/>
  <c r="P209" i="17"/>
  <c r="R209" i="17" a="1"/>
  <c r="R209" i="17"/>
  <c r="P210" i="17" a="1"/>
  <c r="P210" i="17"/>
  <c r="R210" i="17" a="1"/>
  <c r="R210" i="17"/>
  <c r="P211" i="17" a="1"/>
  <c r="P211" i="17"/>
  <c r="R211" i="17" a="1"/>
  <c r="R211" i="17"/>
  <c r="P212" i="17" a="1"/>
  <c r="P212" i="17"/>
  <c r="R212" i="17" a="1"/>
  <c r="R212" i="17"/>
  <c r="P213" i="17" a="1"/>
  <c r="P213" i="17"/>
  <c r="R213" i="17" a="1"/>
  <c r="R213" i="17"/>
  <c r="P214" i="17" a="1"/>
  <c r="P214" i="17"/>
  <c r="R214" i="17" a="1"/>
  <c r="R214" i="17"/>
  <c r="P215" i="17" a="1"/>
  <c r="P215" i="17"/>
  <c r="R215" i="17" a="1"/>
  <c r="R215" i="17"/>
  <c r="P216" i="17" a="1"/>
  <c r="P216" i="17"/>
  <c r="R216" i="17" a="1"/>
  <c r="R216" i="17"/>
  <c r="P217" i="17" a="1"/>
  <c r="P217" i="17"/>
  <c r="R217" i="17" a="1"/>
  <c r="R217" i="17"/>
  <c r="P218" i="17" a="1"/>
  <c r="P218" i="17"/>
  <c r="R218" i="17" a="1"/>
  <c r="R218" i="17"/>
  <c r="P219" i="17" a="1"/>
  <c r="P219" i="17"/>
  <c r="R219" i="17" a="1"/>
  <c r="R219" i="17"/>
  <c r="P220" i="17" a="1"/>
  <c r="P220" i="17"/>
  <c r="R220" i="17" a="1"/>
  <c r="R220" i="17"/>
  <c r="P221" i="17" a="1"/>
  <c r="P221" i="17"/>
  <c r="R221" i="17" a="1"/>
  <c r="R221" i="17"/>
  <c r="P222" i="17" a="1"/>
  <c r="P222" i="17"/>
  <c r="R222" i="17" a="1"/>
  <c r="R222" i="17"/>
  <c r="P223" i="17" a="1"/>
  <c r="P223" i="17"/>
  <c r="R223" i="17" a="1"/>
  <c r="R223" i="17"/>
  <c r="P224" i="17" a="1"/>
  <c r="P224" i="17"/>
  <c r="R224" i="17" a="1"/>
  <c r="R224" i="17"/>
  <c r="P225" i="17" a="1"/>
  <c r="P225" i="17"/>
  <c r="R225" i="17" a="1"/>
  <c r="R225" i="17"/>
  <c r="P226" i="17" a="1"/>
  <c r="P226" i="17"/>
  <c r="R226" i="17" a="1"/>
  <c r="R226" i="17"/>
  <c r="P227" i="17" a="1"/>
  <c r="P227" i="17"/>
  <c r="R227" i="17" a="1"/>
  <c r="R227" i="17"/>
  <c r="P228" i="17" a="1"/>
  <c r="P228" i="17"/>
  <c r="R228" i="17" a="1"/>
  <c r="R228" i="17"/>
  <c r="P229" i="17" a="1"/>
  <c r="P229" i="17"/>
  <c r="R229" i="17" a="1"/>
  <c r="R229" i="17"/>
  <c r="P230" i="17" a="1"/>
  <c r="P230" i="17"/>
  <c r="R230" i="17" a="1"/>
  <c r="R230" i="17"/>
  <c r="P231" i="17" a="1"/>
  <c r="P231" i="17"/>
  <c r="R231" i="17" a="1"/>
  <c r="R231" i="17"/>
  <c r="P232" i="17" a="1"/>
  <c r="P232" i="17"/>
  <c r="R232" i="17" a="1"/>
  <c r="R232" i="17"/>
  <c r="P233" i="17" a="1"/>
  <c r="P233" i="17"/>
  <c r="R233" i="17" a="1"/>
  <c r="R233" i="17"/>
  <c r="P234" i="17" a="1"/>
  <c r="P234" i="17"/>
  <c r="R234" i="17" a="1"/>
  <c r="R234" i="17"/>
  <c r="P235" i="17" a="1"/>
  <c r="P235" i="17"/>
  <c r="R235" i="17" a="1"/>
  <c r="R235" i="17"/>
  <c r="P236" i="17" a="1"/>
  <c r="P236" i="17"/>
  <c r="R236" i="17" a="1"/>
  <c r="R236" i="17"/>
  <c r="P237" i="17" a="1"/>
  <c r="P237" i="17"/>
  <c r="R237" i="17" a="1"/>
  <c r="R237" i="17"/>
  <c r="P238" i="17" a="1"/>
  <c r="P238" i="17"/>
  <c r="R238" i="17" a="1"/>
  <c r="R238" i="17"/>
  <c r="P239" i="17" a="1"/>
  <c r="P239" i="17"/>
  <c r="R239" i="17" a="1"/>
  <c r="R239" i="17"/>
  <c r="P240" i="17" a="1"/>
  <c r="P240" i="17"/>
  <c r="R240" i="17" a="1"/>
  <c r="R240" i="17"/>
  <c r="P241" i="17" a="1"/>
  <c r="P241" i="17"/>
  <c r="R241" i="17" a="1"/>
  <c r="R241" i="17"/>
  <c r="P242" i="17" a="1"/>
  <c r="P242" i="17"/>
  <c r="R242" i="17" a="1"/>
  <c r="R242" i="17"/>
  <c r="P243" i="17" a="1"/>
  <c r="P243" i="17"/>
  <c r="R243" i="17" a="1"/>
  <c r="R243" i="17"/>
  <c r="P244" i="17" a="1"/>
  <c r="P244" i="17"/>
  <c r="R244" i="17" a="1"/>
  <c r="R244" i="17"/>
  <c r="P245" i="17" a="1"/>
  <c r="P245" i="17"/>
  <c r="R245" i="17" a="1"/>
  <c r="R245" i="17"/>
  <c r="P246" i="17" a="1"/>
  <c r="P246" i="17"/>
  <c r="R246" i="17" a="1"/>
  <c r="R246" i="17"/>
  <c r="P249" i="17" a="1"/>
  <c r="P249" i="17"/>
  <c r="R249" i="17" a="1"/>
  <c r="R249" i="17"/>
  <c r="P247" i="17" a="1"/>
  <c r="P247" i="17"/>
  <c r="R247" i="17" a="1"/>
  <c r="R247" i="17"/>
  <c r="P248" i="17" a="1"/>
  <c r="P248" i="17"/>
  <c r="R248" i="17" a="1"/>
  <c r="R248" i="17"/>
  <c r="AM22" i="27"/>
  <c r="AL22" i="27"/>
  <c r="I18" i="35"/>
  <c r="J18" i="35"/>
  <c r="K18" i="35"/>
  <c r="L18" i="35"/>
  <c r="M18" i="35"/>
  <c r="N18" i="35"/>
  <c r="O18" i="35"/>
  <c r="A147" i="11"/>
  <c r="B147" i="11" a="1"/>
  <c r="L175" i="11"/>
  <c r="Q105" i="17" a="1"/>
  <c r="Q105" i="17"/>
  <c r="S105" i="17" a="1"/>
  <c r="S105" i="17"/>
  <c r="Q106" i="17" a="1"/>
  <c r="Q106" i="17"/>
  <c r="S106" i="17" a="1"/>
  <c r="S106" i="17"/>
  <c r="Q107" i="17" a="1"/>
  <c r="Q107" i="17"/>
  <c r="S107" i="17" a="1"/>
  <c r="S107" i="17"/>
  <c r="Q108" i="17" a="1"/>
  <c r="Q108" i="17"/>
  <c r="S108" i="17" a="1"/>
  <c r="S108" i="17"/>
  <c r="Q109" i="17" a="1"/>
  <c r="Q109" i="17"/>
  <c r="S109" i="17" a="1"/>
  <c r="S109" i="17"/>
  <c r="Q110" i="17" a="1"/>
  <c r="Q110" i="17"/>
  <c r="S110" i="17" a="1"/>
  <c r="S110" i="17"/>
  <c r="Q111" i="17" a="1"/>
  <c r="Q111" i="17"/>
  <c r="S111" i="17" a="1"/>
  <c r="S111" i="17"/>
  <c r="Q112" i="17" a="1"/>
  <c r="Q112" i="17"/>
  <c r="S112" i="17" a="1"/>
  <c r="S112" i="17"/>
  <c r="Q113" i="17" a="1"/>
  <c r="Q113" i="17"/>
  <c r="S113" i="17" a="1"/>
  <c r="S113" i="17"/>
  <c r="Q114" i="17" a="1"/>
  <c r="Q114" i="17"/>
  <c r="S114" i="17" a="1"/>
  <c r="S114" i="17"/>
  <c r="Q115" i="17" a="1"/>
  <c r="Q115" i="17"/>
  <c r="S115" i="17" a="1"/>
  <c r="S115" i="17"/>
  <c r="Q116" i="17" a="1"/>
  <c r="Q116" i="17"/>
  <c r="S116" i="17" a="1"/>
  <c r="S116" i="17"/>
  <c r="Q117" i="17" a="1"/>
  <c r="Q117" i="17"/>
  <c r="S117" i="17" a="1"/>
  <c r="S117" i="17"/>
  <c r="Q118" i="17" a="1"/>
  <c r="Q118" i="17"/>
  <c r="S118" i="17" a="1"/>
  <c r="S118" i="17"/>
  <c r="Q119" i="17" a="1"/>
  <c r="Q119" i="17"/>
  <c r="S119" i="17" a="1"/>
  <c r="S119" i="17"/>
  <c r="Q120" i="17" a="1"/>
  <c r="Q120" i="17"/>
  <c r="S120" i="17" a="1"/>
  <c r="S120" i="17"/>
  <c r="Q121" i="17" a="1"/>
  <c r="Q121" i="17"/>
  <c r="S121" i="17" a="1"/>
  <c r="S121" i="17"/>
  <c r="Q122" i="17" a="1"/>
  <c r="Q122" i="17"/>
  <c r="S122" i="17" a="1"/>
  <c r="S122" i="17"/>
  <c r="Q123" i="17" a="1"/>
  <c r="Q123" i="17"/>
  <c r="S123" i="17" a="1"/>
  <c r="S123" i="17"/>
  <c r="Q124" i="17" a="1"/>
  <c r="Q124" i="17"/>
  <c r="S124" i="17" a="1"/>
  <c r="S124" i="17"/>
  <c r="Q125" i="17" a="1"/>
  <c r="Q125" i="17"/>
  <c r="S125" i="17" a="1"/>
  <c r="S125" i="17"/>
  <c r="Q126" i="17" a="1"/>
  <c r="Q126" i="17"/>
  <c r="S126" i="17" a="1"/>
  <c r="S126" i="17"/>
  <c r="Q127" i="17" a="1"/>
  <c r="Q127" i="17"/>
  <c r="S127" i="17" a="1"/>
  <c r="S127" i="17"/>
  <c r="Q128" i="17" a="1"/>
  <c r="Q128" i="17"/>
  <c r="S128" i="17" a="1"/>
  <c r="S128" i="17"/>
  <c r="Q129" i="17" a="1"/>
  <c r="Q129" i="17"/>
  <c r="S129" i="17" a="1"/>
  <c r="S129" i="17"/>
  <c r="Q130" i="17" a="1"/>
  <c r="Q130" i="17"/>
  <c r="S130" i="17" a="1"/>
  <c r="S130" i="17"/>
  <c r="Q131" i="17" a="1"/>
  <c r="Q131" i="17"/>
  <c r="S131" i="17" a="1"/>
  <c r="S131" i="17"/>
  <c r="Q132" i="17" a="1"/>
  <c r="Q132" i="17"/>
  <c r="S132" i="17" a="1"/>
  <c r="S132" i="17"/>
  <c r="Q133" i="17" a="1"/>
  <c r="Q133" i="17"/>
  <c r="S133" i="17" a="1"/>
  <c r="S133" i="17"/>
  <c r="Q134" i="17" a="1"/>
  <c r="Q134" i="17"/>
  <c r="S134" i="17" a="1"/>
  <c r="S134" i="17"/>
  <c r="Q135" i="17" a="1"/>
  <c r="Q135" i="17"/>
  <c r="S135" i="17" a="1"/>
  <c r="S135" i="17"/>
  <c r="Q136" i="17" a="1"/>
  <c r="Q136" i="17"/>
  <c r="S136" i="17" a="1"/>
  <c r="S136" i="17"/>
  <c r="Q137" i="17" a="1"/>
  <c r="Q137" i="17"/>
  <c r="S137" i="17" a="1"/>
  <c r="S137" i="17"/>
  <c r="Q138" i="17" a="1"/>
  <c r="Q138" i="17"/>
  <c r="S138" i="17" a="1"/>
  <c r="S138" i="17"/>
  <c r="Q139" i="17" a="1"/>
  <c r="Q139" i="17"/>
  <c r="S139" i="17" a="1"/>
  <c r="S139" i="17"/>
  <c r="Q140" i="17" a="1"/>
  <c r="Q140" i="17"/>
  <c r="S140" i="17" a="1"/>
  <c r="S140" i="17"/>
  <c r="Q141" i="17" a="1"/>
  <c r="Q141" i="17"/>
  <c r="S141" i="17" a="1"/>
  <c r="S141" i="17"/>
  <c r="Q142" i="17" a="1"/>
  <c r="Q142" i="17"/>
  <c r="S142" i="17" a="1"/>
  <c r="S142" i="17"/>
  <c r="Q143" i="17" a="1"/>
  <c r="Q143" i="17"/>
  <c r="S143" i="17" a="1"/>
  <c r="S143" i="17"/>
  <c r="Q144" i="17" a="1"/>
  <c r="Q144" i="17"/>
  <c r="S144" i="17" a="1"/>
  <c r="S144" i="17"/>
  <c r="Q145" i="17" a="1"/>
  <c r="Q145" i="17"/>
  <c r="S145" i="17" a="1"/>
  <c r="S145" i="17"/>
  <c r="Q146" i="17" a="1"/>
  <c r="Q146" i="17"/>
  <c r="S146" i="17" a="1"/>
  <c r="S146" i="17"/>
  <c r="Q147" i="17" a="1"/>
  <c r="Q147" i="17"/>
  <c r="S147" i="17" a="1"/>
  <c r="S147" i="17"/>
  <c r="Q148" i="17" a="1"/>
  <c r="Q148" i="17"/>
  <c r="S148" i="17" a="1"/>
  <c r="S148" i="17"/>
  <c r="Q149" i="17" a="1"/>
  <c r="Q149" i="17"/>
  <c r="S149" i="17" a="1"/>
  <c r="S149" i="17"/>
  <c r="Q150" i="17" a="1"/>
  <c r="Q150" i="17"/>
  <c r="S150" i="17" a="1"/>
  <c r="S150" i="17"/>
  <c r="Q151" i="17" a="1"/>
  <c r="Q151" i="17"/>
  <c r="S151" i="17" a="1"/>
  <c r="S151" i="17"/>
  <c r="Q152" i="17" a="1"/>
  <c r="Q152" i="17"/>
  <c r="S152" i="17" a="1"/>
  <c r="S152" i="17"/>
  <c r="Q153" i="17" a="1"/>
  <c r="Q153" i="17"/>
  <c r="S153" i="17" a="1"/>
  <c r="S153" i="17"/>
  <c r="Q154" i="17" a="1"/>
  <c r="Q154" i="17"/>
  <c r="S154" i="17" a="1"/>
  <c r="S154" i="17"/>
  <c r="Q155" i="17" a="1"/>
  <c r="Q155" i="17"/>
  <c r="S155" i="17" a="1"/>
  <c r="S155" i="17"/>
  <c r="Q156" i="17" a="1"/>
  <c r="Q156" i="17"/>
  <c r="S156" i="17" a="1"/>
  <c r="S156" i="17"/>
  <c r="Q157" i="17" a="1"/>
  <c r="Q157" i="17"/>
  <c r="S157" i="17" a="1"/>
  <c r="S157" i="17"/>
  <c r="Q158" i="17" a="1"/>
  <c r="Q158" i="17"/>
  <c r="S158" i="17" a="1"/>
  <c r="S158" i="17"/>
  <c r="Q159" i="17" a="1"/>
  <c r="Q159" i="17"/>
  <c r="S159" i="17" a="1"/>
  <c r="S159" i="17"/>
  <c r="Q160" i="17" a="1"/>
  <c r="Q160" i="17"/>
  <c r="S160" i="17" a="1"/>
  <c r="S160" i="17"/>
  <c r="Q161" i="17" a="1"/>
  <c r="Q161" i="17"/>
  <c r="S161" i="17" a="1"/>
  <c r="S161" i="17"/>
  <c r="Q162" i="17" a="1"/>
  <c r="Q162" i="17"/>
  <c r="S162" i="17" a="1"/>
  <c r="S162" i="17"/>
  <c r="Q163" i="17" a="1"/>
  <c r="Q163" i="17"/>
  <c r="S163" i="17" a="1"/>
  <c r="S163" i="17"/>
  <c r="Q164" i="17" a="1"/>
  <c r="Q164" i="17"/>
  <c r="S164" i="17" a="1"/>
  <c r="S164" i="17"/>
  <c r="Q165" i="17" a="1"/>
  <c r="Q165" i="17"/>
  <c r="S165" i="17" a="1"/>
  <c r="S165" i="17"/>
  <c r="Q166" i="17" a="1"/>
  <c r="Q166" i="17"/>
  <c r="S166" i="17" a="1"/>
  <c r="S166" i="17"/>
  <c r="Q167" i="17" a="1"/>
  <c r="Q167" i="17"/>
  <c r="S167" i="17" a="1"/>
  <c r="S167" i="17"/>
  <c r="Q168" i="17" a="1"/>
  <c r="Q168" i="17"/>
  <c r="S168" i="17" a="1"/>
  <c r="S168" i="17"/>
  <c r="Q169" i="17" a="1"/>
  <c r="Q169" i="17"/>
  <c r="S169" i="17" a="1"/>
  <c r="S169" i="17"/>
  <c r="Q170" i="17" a="1"/>
  <c r="Q170" i="17"/>
  <c r="S170" i="17" a="1"/>
  <c r="S170" i="17"/>
  <c r="Q171" i="17" a="1"/>
  <c r="Q171" i="17"/>
  <c r="S171" i="17" a="1"/>
  <c r="S171" i="17"/>
  <c r="Q172" i="17" a="1"/>
  <c r="Q172" i="17"/>
  <c r="S172" i="17" a="1"/>
  <c r="S172" i="17"/>
  <c r="Q173" i="17" a="1"/>
  <c r="Q173" i="17"/>
  <c r="S173" i="17" a="1"/>
  <c r="S173" i="17"/>
  <c r="Q174" i="17" a="1"/>
  <c r="Q174" i="17"/>
  <c r="S174" i="17" a="1"/>
  <c r="S174" i="17"/>
  <c r="Q175" i="17" a="1"/>
  <c r="Q175" i="17"/>
  <c r="S175" i="17" a="1"/>
  <c r="S175" i="17"/>
  <c r="Q176" i="17" a="1"/>
  <c r="Q176" i="17"/>
  <c r="S176" i="17" a="1"/>
  <c r="S176" i="17"/>
  <c r="Q177" i="17" a="1"/>
  <c r="Q177" i="17"/>
  <c r="S177" i="17" a="1"/>
  <c r="S177" i="17"/>
  <c r="Q178" i="17" a="1"/>
  <c r="Q178" i="17"/>
  <c r="S178" i="17" a="1"/>
  <c r="S178" i="17"/>
  <c r="Q179" i="17" a="1"/>
  <c r="Q179" i="17"/>
  <c r="S179" i="17" a="1"/>
  <c r="S179" i="17"/>
  <c r="Q180" i="17" a="1"/>
  <c r="Q180" i="17"/>
  <c r="S180" i="17" a="1"/>
  <c r="S180" i="17"/>
  <c r="Q181" i="17" a="1"/>
  <c r="Q181" i="17"/>
  <c r="S181" i="17" a="1"/>
  <c r="S181" i="17"/>
  <c r="Q182" i="17" a="1"/>
  <c r="Q182" i="17"/>
  <c r="S182" i="17" a="1"/>
  <c r="S182" i="17"/>
  <c r="Q183" i="17" a="1"/>
  <c r="Q183" i="17"/>
  <c r="S183" i="17" a="1"/>
  <c r="S183" i="17"/>
  <c r="Q184" i="17" a="1"/>
  <c r="Q184" i="17"/>
  <c r="S184" i="17" a="1"/>
  <c r="S184" i="17"/>
  <c r="Q185" i="17" a="1"/>
  <c r="Q185" i="17"/>
  <c r="S185" i="17" a="1"/>
  <c r="S185" i="17"/>
  <c r="Q186" i="17" a="1"/>
  <c r="Q186" i="17"/>
  <c r="S186" i="17" a="1"/>
  <c r="S186" i="17"/>
  <c r="Q187" i="17" a="1"/>
  <c r="Q187" i="17"/>
  <c r="S187" i="17" a="1"/>
  <c r="S187" i="17"/>
  <c r="Q188" i="17" a="1"/>
  <c r="Q188" i="17"/>
  <c r="S188" i="17" a="1"/>
  <c r="S188" i="17"/>
  <c r="Q189" i="17" a="1"/>
  <c r="Q189" i="17"/>
  <c r="S189" i="17" a="1"/>
  <c r="S189" i="17"/>
  <c r="Q190" i="17" a="1"/>
  <c r="Q190" i="17"/>
  <c r="S190" i="17" a="1"/>
  <c r="S190" i="17"/>
  <c r="Q191" i="17" a="1"/>
  <c r="Q191" i="17"/>
  <c r="S191" i="17" a="1"/>
  <c r="S191" i="17"/>
  <c r="Q192" i="17" a="1"/>
  <c r="Q192" i="17"/>
  <c r="S192" i="17" a="1"/>
  <c r="S192" i="17"/>
  <c r="Q193" i="17" a="1"/>
  <c r="Q193" i="17"/>
  <c r="S193" i="17" a="1"/>
  <c r="S193" i="17"/>
  <c r="Q194" i="17" a="1"/>
  <c r="Q194" i="17"/>
  <c r="S194" i="17" a="1"/>
  <c r="S194" i="17"/>
  <c r="Q195" i="17" a="1"/>
  <c r="Q195" i="17"/>
  <c r="S195" i="17" a="1"/>
  <c r="S195" i="17"/>
  <c r="Q196" i="17" a="1"/>
  <c r="Q196" i="17"/>
  <c r="S196" i="17" a="1"/>
  <c r="S196" i="17"/>
  <c r="Q197" i="17" a="1"/>
  <c r="Q197" i="17"/>
  <c r="S197" i="17" a="1"/>
  <c r="S197" i="17"/>
  <c r="Q198" i="17" a="1"/>
  <c r="Q198" i="17"/>
  <c r="S198" i="17" a="1"/>
  <c r="S198" i="17"/>
  <c r="Q199" i="17" a="1"/>
  <c r="Q199" i="17"/>
  <c r="S199" i="17" a="1"/>
  <c r="S199" i="17"/>
  <c r="Q200" i="17" a="1"/>
  <c r="Q200" i="17"/>
  <c r="S200" i="17" a="1"/>
  <c r="S200" i="17"/>
  <c r="Q201" i="17" a="1"/>
  <c r="Q201" i="17"/>
  <c r="S201" i="17" a="1"/>
  <c r="S201" i="17"/>
  <c r="Q202" i="17" a="1"/>
  <c r="Q202" i="17"/>
  <c r="S202" i="17" a="1"/>
  <c r="S202" i="17"/>
  <c r="Q203" i="17" a="1"/>
  <c r="Q203" i="17"/>
  <c r="S203" i="17" a="1"/>
  <c r="S203" i="17"/>
  <c r="Q204" i="17" a="1"/>
  <c r="Q204" i="17"/>
  <c r="S204" i="17" a="1"/>
  <c r="S204" i="17"/>
  <c r="Q205" i="17" a="1"/>
  <c r="Q205" i="17"/>
  <c r="S205" i="17" a="1"/>
  <c r="S205" i="17"/>
  <c r="Q206" i="17" a="1"/>
  <c r="Q206" i="17"/>
  <c r="S206" i="17" a="1"/>
  <c r="S206" i="17"/>
  <c r="Q207" i="17" a="1"/>
  <c r="Q207" i="17"/>
  <c r="S207" i="17" a="1"/>
  <c r="S207" i="17"/>
  <c r="Q208" i="17" a="1"/>
  <c r="Q208" i="17"/>
  <c r="S208" i="17" a="1"/>
  <c r="S208" i="17"/>
  <c r="Q209" i="17" a="1"/>
  <c r="Q209" i="17"/>
  <c r="S209" i="17" a="1"/>
  <c r="S209" i="17"/>
  <c r="Q210" i="17" a="1"/>
  <c r="Q210" i="17"/>
  <c r="S210" i="17" a="1"/>
  <c r="S210" i="17"/>
  <c r="Q211" i="17" a="1"/>
  <c r="Q211" i="17"/>
  <c r="S211" i="17" a="1"/>
  <c r="S211" i="17"/>
  <c r="Q212" i="17" a="1"/>
  <c r="Q212" i="17"/>
  <c r="S212" i="17" a="1"/>
  <c r="S212" i="17"/>
  <c r="Q213" i="17" a="1"/>
  <c r="Q213" i="17"/>
  <c r="S213" i="17" a="1"/>
  <c r="S213" i="17"/>
  <c r="Q214" i="17" a="1"/>
  <c r="Q214" i="17"/>
  <c r="S214" i="17" a="1"/>
  <c r="S214" i="17"/>
  <c r="Q215" i="17" a="1"/>
  <c r="Q215" i="17"/>
  <c r="S215" i="17" a="1"/>
  <c r="S215" i="17"/>
  <c r="Q216" i="17" a="1"/>
  <c r="Q216" i="17"/>
  <c r="S216" i="17" a="1"/>
  <c r="S216" i="17"/>
  <c r="Q217" i="17" a="1"/>
  <c r="Q217" i="17"/>
  <c r="S217" i="17" a="1"/>
  <c r="S217" i="17"/>
  <c r="Q218" i="17" a="1"/>
  <c r="Q218" i="17"/>
  <c r="S218" i="17" a="1"/>
  <c r="S218" i="17"/>
  <c r="Q219" i="17" a="1"/>
  <c r="Q219" i="17"/>
  <c r="S219" i="17" a="1"/>
  <c r="S219" i="17"/>
  <c r="Q220" i="17" a="1"/>
  <c r="Q220" i="17"/>
  <c r="S220" i="17" a="1"/>
  <c r="S220" i="17"/>
  <c r="Q221" i="17" a="1"/>
  <c r="Q221" i="17"/>
  <c r="S221" i="17" a="1"/>
  <c r="S221" i="17"/>
  <c r="Q222" i="17" a="1"/>
  <c r="Q222" i="17"/>
  <c r="S222" i="17" a="1"/>
  <c r="S222" i="17"/>
  <c r="Q223" i="17" a="1"/>
  <c r="Q223" i="17"/>
  <c r="S223" i="17" a="1"/>
  <c r="S223" i="17"/>
  <c r="Q224" i="17" a="1"/>
  <c r="Q224" i="17"/>
  <c r="S224" i="17" a="1"/>
  <c r="S224" i="17"/>
  <c r="Q225" i="17" a="1"/>
  <c r="Q225" i="17"/>
  <c r="S225" i="17" a="1"/>
  <c r="S225" i="17"/>
  <c r="Q226" i="17" a="1"/>
  <c r="Q226" i="17"/>
  <c r="S226" i="17" a="1"/>
  <c r="S226" i="17"/>
  <c r="Q227" i="17" a="1"/>
  <c r="Q227" i="17"/>
  <c r="S227" i="17" a="1"/>
  <c r="S227" i="17"/>
  <c r="Q228" i="17" a="1"/>
  <c r="Q228" i="17"/>
  <c r="S228" i="17" a="1"/>
  <c r="S228" i="17"/>
  <c r="Q229" i="17" a="1"/>
  <c r="Q229" i="17"/>
  <c r="S229" i="17" a="1"/>
  <c r="S229" i="17"/>
  <c r="Q230" i="17" a="1"/>
  <c r="Q230" i="17"/>
  <c r="S230" i="17" a="1"/>
  <c r="S230" i="17"/>
  <c r="Q231" i="17" a="1"/>
  <c r="Q231" i="17"/>
  <c r="S231" i="17" a="1"/>
  <c r="S231" i="17"/>
  <c r="Q232" i="17" a="1"/>
  <c r="Q232" i="17"/>
  <c r="S232" i="17" a="1"/>
  <c r="S232" i="17"/>
  <c r="Q233" i="17" a="1"/>
  <c r="Q233" i="17"/>
  <c r="S233" i="17" a="1"/>
  <c r="S233" i="17"/>
  <c r="Q234" i="17" a="1"/>
  <c r="Q234" i="17"/>
  <c r="S234" i="17" a="1"/>
  <c r="S234" i="17"/>
  <c r="Q235" i="17" a="1"/>
  <c r="Q235" i="17"/>
  <c r="S235" i="17" a="1"/>
  <c r="S235" i="17"/>
  <c r="Q236" i="17" a="1"/>
  <c r="Q236" i="17"/>
  <c r="S236" i="17" a="1"/>
  <c r="S236" i="17"/>
  <c r="Q237" i="17" a="1"/>
  <c r="Q237" i="17"/>
  <c r="S237" i="17" a="1"/>
  <c r="S237" i="17"/>
  <c r="Q238" i="17" a="1"/>
  <c r="Q238" i="17"/>
  <c r="S238" i="17" a="1"/>
  <c r="S238" i="17"/>
  <c r="Q239" i="17" a="1"/>
  <c r="Q239" i="17"/>
  <c r="S239" i="17" a="1"/>
  <c r="S239" i="17"/>
  <c r="Q240" i="17" a="1"/>
  <c r="Q240" i="17"/>
  <c r="S240" i="17" a="1"/>
  <c r="S240" i="17"/>
  <c r="Q241" i="17" a="1"/>
  <c r="Q241" i="17"/>
  <c r="S241" i="17" a="1"/>
  <c r="S241" i="17"/>
  <c r="Q242" i="17" a="1"/>
  <c r="Q242" i="17"/>
  <c r="S242" i="17" a="1"/>
  <c r="S242" i="17"/>
  <c r="Q243" i="17" a="1"/>
  <c r="Q243" i="17"/>
  <c r="S243" i="17" a="1"/>
  <c r="S243" i="17"/>
  <c r="Q244" i="17" a="1"/>
  <c r="Q244" i="17"/>
  <c r="S244" i="17" a="1"/>
  <c r="S244" i="17"/>
  <c r="Q245" i="17" a="1"/>
  <c r="Q245" i="17"/>
  <c r="S245" i="17" a="1"/>
  <c r="S245" i="17"/>
  <c r="Q246" i="17" a="1"/>
  <c r="Q246" i="17"/>
  <c r="S246" i="17" a="1"/>
  <c r="S246" i="17"/>
  <c r="Q249" i="17" a="1"/>
  <c r="Q249" i="17"/>
  <c r="S249" i="17" a="1"/>
  <c r="S249" i="17"/>
  <c r="Q247" i="17" a="1"/>
  <c r="Q247" i="17"/>
  <c r="S247" i="17" a="1"/>
  <c r="S247" i="17"/>
  <c r="Q248" i="17" a="1"/>
  <c r="Q248" i="17"/>
  <c r="S248" i="17" a="1"/>
  <c r="S248" i="17"/>
  <c r="U2001" i="31" a="1"/>
  <c r="U2001" i="31"/>
  <c r="W2001" i="31" a="1"/>
  <c r="W2001" i="31"/>
  <c r="V2001" i="31" a="1"/>
  <c r="V2001" i="31"/>
  <c r="X2001" i="31" a="1"/>
  <c r="X2001" i="31"/>
  <c r="U2000" i="31" a="1"/>
  <c r="U2000" i="31"/>
  <c r="W2000" i="31" a="1"/>
  <c r="W2000" i="31"/>
  <c r="V2000" i="31" a="1"/>
  <c r="V2000" i="31"/>
  <c r="X2000" i="31" a="1"/>
  <c r="X2000" i="31"/>
  <c r="U1999" i="31" a="1"/>
  <c r="U1999" i="31"/>
  <c r="W1999" i="31" a="1"/>
  <c r="W1999" i="31"/>
  <c r="V1999" i="31" a="1"/>
  <c r="V1999" i="31"/>
  <c r="X1999" i="31" a="1"/>
  <c r="X1999" i="31"/>
  <c r="U1998" i="31" a="1"/>
  <c r="U1998" i="31"/>
  <c r="W1998" i="31" a="1"/>
  <c r="W1998" i="31"/>
  <c r="V1998" i="31" a="1"/>
  <c r="V1998" i="31"/>
  <c r="X1998" i="31" a="1"/>
  <c r="X1998" i="31"/>
  <c r="U1997" i="31" a="1"/>
  <c r="U1997" i="31"/>
  <c r="W1997" i="31" a="1"/>
  <c r="W1997" i="31"/>
  <c r="V1997" i="31" a="1"/>
  <c r="V1997" i="31"/>
  <c r="X1997" i="31" a="1"/>
  <c r="X1997" i="31"/>
  <c r="U1996" i="31" a="1"/>
  <c r="U1996" i="31"/>
  <c r="W1996" i="31" a="1"/>
  <c r="W1996" i="31"/>
  <c r="V1996" i="31" a="1"/>
  <c r="V1996" i="31"/>
  <c r="X1996" i="31" a="1"/>
  <c r="X1996" i="31"/>
  <c r="U1995" i="31" a="1"/>
  <c r="U1995" i="31"/>
  <c r="W1995" i="31" a="1"/>
  <c r="W1995" i="31"/>
  <c r="V1995" i="31" a="1"/>
  <c r="V1995" i="31"/>
  <c r="X1995" i="31" a="1"/>
  <c r="X1995" i="31"/>
  <c r="U1994" i="31" a="1"/>
  <c r="U1994" i="31"/>
  <c r="W1994" i="31" a="1"/>
  <c r="W1994" i="31"/>
  <c r="V1994" i="31" a="1"/>
  <c r="V1994" i="31"/>
  <c r="X1994" i="31" a="1"/>
  <c r="X1994" i="31"/>
  <c r="U1993" i="31" a="1"/>
  <c r="U1993" i="31"/>
  <c r="W1993" i="31" a="1"/>
  <c r="W1993" i="31"/>
  <c r="V1993" i="31" a="1"/>
  <c r="V1993" i="31"/>
  <c r="X1993" i="31" a="1"/>
  <c r="X1993" i="31"/>
  <c r="U1992" i="31" a="1"/>
  <c r="U1992" i="31"/>
  <c r="W1992" i="31" a="1"/>
  <c r="W1992" i="31"/>
  <c r="V1992" i="31" a="1"/>
  <c r="V1992" i="31"/>
  <c r="X1992" i="31" a="1"/>
  <c r="X1992" i="31"/>
  <c r="U1991" i="31" a="1"/>
  <c r="U1991" i="31"/>
  <c r="W1991" i="31" a="1"/>
  <c r="W1991" i="31"/>
  <c r="V1991" i="31" a="1"/>
  <c r="V1991" i="31"/>
  <c r="X1991" i="31" a="1"/>
  <c r="X1991" i="31"/>
  <c r="U1990" i="31" a="1"/>
  <c r="U1990" i="31"/>
  <c r="W1990" i="31" a="1"/>
  <c r="W1990" i="31"/>
  <c r="V1990" i="31" a="1"/>
  <c r="V1990" i="31"/>
  <c r="X1990" i="31" a="1"/>
  <c r="X1990" i="31"/>
  <c r="U1989" i="31" a="1"/>
  <c r="U1989" i="31"/>
  <c r="W1989" i="31" a="1"/>
  <c r="W1989" i="31"/>
  <c r="V1989" i="31" a="1"/>
  <c r="V1989" i="31"/>
  <c r="X1989" i="31" a="1"/>
  <c r="X1989" i="31"/>
  <c r="U1988" i="31" a="1"/>
  <c r="U1988" i="31"/>
  <c r="W1988" i="31" a="1"/>
  <c r="W1988" i="31"/>
  <c r="V1988" i="31" a="1"/>
  <c r="V1988" i="31"/>
  <c r="X1988" i="31" a="1"/>
  <c r="X1988" i="31"/>
  <c r="U1987" i="31" a="1"/>
  <c r="U1987" i="31"/>
  <c r="W1987" i="31" a="1"/>
  <c r="W1987" i="31"/>
  <c r="V1987" i="31" a="1"/>
  <c r="V1987" i="31"/>
  <c r="X1987" i="31" a="1"/>
  <c r="X1987" i="31"/>
  <c r="U1986" i="31" a="1"/>
  <c r="U1986" i="31"/>
  <c r="W1986" i="31" a="1"/>
  <c r="W1986" i="31"/>
  <c r="V1986" i="31" a="1"/>
  <c r="V1986" i="31"/>
  <c r="X1986" i="31" a="1"/>
  <c r="X1986" i="31"/>
  <c r="U1985" i="31" a="1"/>
  <c r="U1985" i="31"/>
  <c r="W1985" i="31" a="1"/>
  <c r="W1985" i="31"/>
  <c r="V1985" i="31" a="1"/>
  <c r="V1985" i="31"/>
  <c r="X1985" i="31" a="1"/>
  <c r="X1985" i="31"/>
  <c r="U1984" i="31" a="1"/>
  <c r="U1984" i="31"/>
  <c r="W1984" i="31" a="1"/>
  <c r="W1984" i="31"/>
  <c r="V1984" i="31" a="1"/>
  <c r="V1984" i="31"/>
  <c r="X1984" i="31" a="1"/>
  <c r="X1984" i="31"/>
  <c r="U1983" i="31" a="1"/>
  <c r="U1983" i="31"/>
  <c r="W1983" i="31" a="1"/>
  <c r="W1983" i="31"/>
  <c r="V1983" i="31" a="1"/>
  <c r="V1983" i="31"/>
  <c r="X1983" i="31" a="1"/>
  <c r="X1983" i="31"/>
  <c r="U1982" i="31" a="1"/>
  <c r="U1982" i="31"/>
  <c r="W1982" i="31" a="1"/>
  <c r="W1982" i="31"/>
  <c r="V1982" i="31" a="1"/>
  <c r="V1982" i="31"/>
  <c r="X1982" i="31" a="1"/>
  <c r="X1982" i="31"/>
  <c r="U1981" i="31" a="1"/>
  <c r="U1981" i="31"/>
  <c r="W1981" i="31" a="1"/>
  <c r="W1981" i="31"/>
  <c r="V1981" i="31" a="1"/>
  <c r="V1981" i="31"/>
  <c r="X1981" i="31" a="1"/>
  <c r="X1981" i="31"/>
  <c r="U1980" i="31" a="1"/>
  <c r="U1980" i="31"/>
  <c r="W1980" i="31" a="1"/>
  <c r="W1980" i="31"/>
  <c r="V1980" i="31" a="1"/>
  <c r="V1980" i="31"/>
  <c r="X1980" i="31" a="1"/>
  <c r="X1980" i="31"/>
  <c r="U1979" i="31" a="1"/>
  <c r="U1979" i="31"/>
  <c r="W1979" i="31" a="1"/>
  <c r="W1979" i="31"/>
  <c r="V1979" i="31" a="1"/>
  <c r="V1979" i="31"/>
  <c r="X1979" i="31" a="1"/>
  <c r="X1979" i="31"/>
  <c r="U1978" i="31" a="1"/>
  <c r="U1978" i="31"/>
  <c r="W1978" i="31" a="1"/>
  <c r="W1978" i="31"/>
  <c r="V1978" i="31" a="1"/>
  <c r="V1978" i="31"/>
  <c r="X1978" i="31" a="1"/>
  <c r="X1978" i="31"/>
  <c r="U1977" i="31" a="1"/>
  <c r="U1977" i="31"/>
  <c r="W1977" i="31" a="1"/>
  <c r="W1977" i="31"/>
  <c r="V1977" i="31" a="1"/>
  <c r="V1977" i="31"/>
  <c r="X1977" i="31" a="1"/>
  <c r="X1977" i="31"/>
  <c r="U1976" i="31" a="1"/>
  <c r="U1976" i="31"/>
  <c r="W1976" i="31" a="1"/>
  <c r="W1976" i="31"/>
  <c r="V1976" i="31" a="1"/>
  <c r="V1976" i="31"/>
  <c r="X1976" i="31" a="1"/>
  <c r="X1976" i="31"/>
  <c r="U1975" i="31" a="1"/>
  <c r="U1975" i="31"/>
  <c r="W1975" i="31" a="1"/>
  <c r="W1975" i="31"/>
  <c r="V1975" i="31" a="1"/>
  <c r="V1975" i="31"/>
  <c r="X1975" i="31" a="1"/>
  <c r="X1975" i="31"/>
  <c r="U1974" i="31" a="1"/>
  <c r="U1974" i="31"/>
  <c r="W1974" i="31" a="1"/>
  <c r="W1974" i="31"/>
  <c r="V1974" i="31" a="1"/>
  <c r="V1974" i="31"/>
  <c r="X1974" i="31" a="1"/>
  <c r="X1974" i="31"/>
  <c r="U1973" i="31" a="1"/>
  <c r="U1973" i="31"/>
  <c r="W1973" i="31" a="1"/>
  <c r="W1973" i="31"/>
  <c r="V1973" i="31" a="1"/>
  <c r="V1973" i="31"/>
  <c r="X1973" i="31" a="1"/>
  <c r="X1973" i="31"/>
  <c r="U1972" i="31" a="1"/>
  <c r="U1972" i="31"/>
  <c r="W1972" i="31" a="1"/>
  <c r="W1972" i="31"/>
  <c r="V1972" i="31" a="1"/>
  <c r="V1972" i="31"/>
  <c r="X1972" i="31" a="1"/>
  <c r="X1972" i="31"/>
  <c r="U1971" i="31" a="1"/>
  <c r="U1971" i="31"/>
  <c r="W1971" i="31" a="1"/>
  <c r="W1971" i="31"/>
  <c r="V1971" i="31" a="1"/>
  <c r="V1971" i="31"/>
  <c r="X1971" i="31" a="1"/>
  <c r="X1971" i="31"/>
  <c r="U1970" i="31" a="1"/>
  <c r="U1970" i="31"/>
  <c r="W1970" i="31" a="1"/>
  <c r="W1970" i="31"/>
  <c r="V1970" i="31" a="1"/>
  <c r="V1970" i="31"/>
  <c r="X1970" i="31" a="1"/>
  <c r="X1970" i="31"/>
  <c r="U1969" i="31" a="1"/>
  <c r="U1969" i="31"/>
  <c r="W1969" i="31" a="1"/>
  <c r="W1969" i="31"/>
  <c r="V1969" i="31" a="1"/>
  <c r="V1969" i="31"/>
  <c r="X1969" i="31" a="1"/>
  <c r="X1969" i="31"/>
  <c r="U1968" i="31" a="1"/>
  <c r="U1968" i="31"/>
  <c r="W1968" i="31" a="1"/>
  <c r="W1968" i="31"/>
  <c r="V1968" i="31" a="1"/>
  <c r="V1968" i="31"/>
  <c r="X1968" i="31" a="1"/>
  <c r="X1968" i="31"/>
  <c r="U1967" i="31" a="1"/>
  <c r="U1967" i="31"/>
  <c r="W1967" i="31" a="1"/>
  <c r="W1967" i="31"/>
  <c r="V1967" i="31" a="1"/>
  <c r="V1967" i="31"/>
  <c r="X1967" i="31" a="1"/>
  <c r="X1967" i="31"/>
  <c r="U1966" i="31" a="1"/>
  <c r="U1966" i="31"/>
  <c r="W1966" i="31" a="1"/>
  <c r="W1966" i="31"/>
  <c r="V1966" i="31" a="1"/>
  <c r="V1966" i="31"/>
  <c r="X1966" i="31" a="1"/>
  <c r="X1966" i="31"/>
  <c r="U1965" i="31" a="1"/>
  <c r="U1965" i="31"/>
  <c r="W1965" i="31" a="1"/>
  <c r="W1965" i="31"/>
  <c r="V1965" i="31" a="1"/>
  <c r="V1965" i="31"/>
  <c r="X1965" i="31" a="1"/>
  <c r="X1965" i="31"/>
  <c r="U1964" i="31" a="1"/>
  <c r="U1964" i="31"/>
  <c r="W1964" i="31" a="1"/>
  <c r="W1964" i="31"/>
  <c r="V1964" i="31" a="1"/>
  <c r="V1964" i="31"/>
  <c r="X1964" i="31" a="1"/>
  <c r="X1964" i="31"/>
  <c r="U1963" i="31" a="1"/>
  <c r="U1963" i="31"/>
  <c r="W1963" i="31" a="1"/>
  <c r="W1963" i="31"/>
  <c r="V1963" i="31" a="1"/>
  <c r="V1963" i="31"/>
  <c r="X1963" i="31" a="1"/>
  <c r="X1963" i="31"/>
  <c r="U1962" i="31" a="1"/>
  <c r="U1962" i="31"/>
  <c r="W1962" i="31" a="1"/>
  <c r="W1962" i="31"/>
  <c r="V1962" i="31" a="1"/>
  <c r="V1962" i="31"/>
  <c r="X1962" i="31" a="1"/>
  <c r="X1962" i="31"/>
  <c r="U1961" i="31" a="1"/>
  <c r="U1961" i="31"/>
  <c r="W1961" i="31" a="1"/>
  <c r="W1961" i="31"/>
  <c r="V1961" i="31" a="1"/>
  <c r="V1961" i="31"/>
  <c r="X1961" i="31" a="1"/>
  <c r="X1961" i="31"/>
  <c r="U1960" i="31" a="1"/>
  <c r="U1960" i="31"/>
  <c r="W1960" i="31" a="1"/>
  <c r="W1960" i="31"/>
  <c r="V1960" i="31" a="1"/>
  <c r="V1960" i="31"/>
  <c r="X1960" i="31" a="1"/>
  <c r="X1960" i="31"/>
  <c r="U1959" i="31" a="1"/>
  <c r="U1959" i="31"/>
  <c r="W1959" i="31" a="1"/>
  <c r="W1959" i="31"/>
  <c r="V1959" i="31" a="1"/>
  <c r="V1959" i="31"/>
  <c r="X1959" i="31" a="1"/>
  <c r="X1959" i="31"/>
  <c r="U1958" i="31" a="1"/>
  <c r="U1958" i="31"/>
  <c r="W1958" i="31" a="1"/>
  <c r="W1958" i="31"/>
  <c r="V1958" i="31" a="1"/>
  <c r="V1958" i="31"/>
  <c r="X1958" i="31" a="1"/>
  <c r="X1958" i="31"/>
  <c r="U1957" i="31" a="1"/>
  <c r="U1957" i="31"/>
  <c r="W1957" i="31" a="1"/>
  <c r="W1957" i="31"/>
  <c r="V1957" i="31" a="1"/>
  <c r="V1957" i="31"/>
  <c r="X1957" i="31" a="1"/>
  <c r="X1957" i="31"/>
  <c r="U1956" i="31" a="1"/>
  <c r="U1956" i="31"/>
  <c r="W1956" i="31" a="1"/>
  <c r="W1956" i="31"/>
  <c r="V1956" i="31" a="1"/>
  <c r="V1956" i="31"/>
  <c r="X1956" i="31" a="1"/>
  <c r="X1956" i="31"/>
  <c r="U1955" i="31" a="1"/>
  <c r="U1955" i="31"/>
  <c r="W1955" i="31" a="1"/>
  <c r="W1955" i="31"/>
  <c r="V1955" i="31" a="1"/>
  <c r="V1955" i="31"/>
  <c r="X1955" i="31" a="1"/>
  <c r="X1955" i="31"/>
  <c r="U1954" i="31" a="1"/>
  <c r="U1954" i="31"/>
  <c r="W1954" i="31" a="1"/>
  <c r="W1954" i="31"/>
  <c r="V1954" i="31" a="1"/>
  <c r="V1954" i="31"/>
  <c r="X1954" i="31" a="1"/>
  <c r="X1954" i="31"/>
  <c r="U1953" i="31" a="1"/>
  <c r="U1953" i="31"/>
  <c r="W1953" i="31" a="1"/>
  <c r="W1953" i="31"/>
  <c r="V1953" i="31" a="1"/>
  <c r="V1953" i="31"/>
  <c r="X1953" i="31" a="1"/>
  <c r="X1953" i="31"/>
  <c r="U1952" i="31" a="1"/>
  <c r="U1952" i="31"/>
  <c r="W1952" i="31" a="1"/>
  <c r="W1952" i="31"/>
  <c r="V1952" i="31" a="1"/>
  <c r="V1952" i="31"/>
  <c r="X1952" i="31" a="1"/>
  <c r="X1952" i="31"/>
  <c r="U1951" i="31" a="1"/>
  <c r="U1951" i="31"/>
  <c r="W1951" i="31" a="1"/>
  <c r="W1951" i="31"/>
  <c r="V1951" i="31" a="1"/>
  <c r="V1951" i="31"/>
  <c r="X1951" i="31" a="1"/>
  <c r="X1951" i="31"/>
  <c r="U1950" i="31" a="1"/>
  <c r="U1950" i="31"/>
  <c r="W1950" i="31" a="1"/>
  <c r="W1950" i="31"/>
  <c r="V1950" i="31" a="1"/>
  <c r="V1950" i="31"/>
  <c r="X1950" i="31" a="1"/>
  <c r="X1950" i="31"/>
  <c r="U1949" i="31" a="1"/>
  <c r="U1949" i="31"/>
  <c r="W1949" i="31" a="1"/>
  <c r="W1949" i="31"/>
  <c r="V1949" i="31" a="1"/>
  <c r="V1949" i="31"/>
  <c r="X1949" i="31" a="1"/>
  <c r="X1949" i="31"/>
  <c r="U1948" i="31" a="1"/>
  <c r="U1948" i="31"/>
  <c r="W1948" i="31" a="1"/>
  <c r="W1948" i="31"/>
  <c r="V1948" i="31" a="1"/>
  <c r="V1948" i="31"/>
  <c r="X1948" i="31" a="1"/>
  <c r="X1948" i="31"/>
  <c r="U1947" i="31" a="1"/>
  <c r="U1947" i="31"/>
  <c r="W1947" i="31" a="1"/>
  <c r="W1947" i="31"/>
  <c r="V1947" i="31" a="1"/>
  <c r="V1947" i="31"/>
  <c r="X1947" i="31" a="1"/>
  <c r="X1947" i="31"/>
  <c r="U1946" i="31" a="1"/>
  <c r="U1946" i="31"/>
  <c r="W1946" i="31" a="1"/>
  <c r="W1946" i="31"/>
  <c r="V1946" i="31" a="1"/>
  <c r="V1946" i="31"/>
  <c r="X1946" i="31" a="1"/>
  <c r="X1946" i="31"/>
  <c r="U1945" i="31" a="1"/>
  <c r="U1945" i="31"/>
  <c r="W1945" i="31" a="1"/>
  <c r="W1945" i="31"/>
  <c r="V1945" i="31" a="1"/>
  <c r="V1945" i="31"/>
  <c r="X1945" i="31" a="1"/>
  <c r="X1945" i="31"/>
  <c r="U1944" i="31" a="1"/>
  <c r="U1944" i="31"/>
  <c r="W1944" i="31" a="1"/>
  <c r="W1944" i="31"/>
  <c r="V1944" i="31" a="1"/>
  <c r="V1944" i="31"/>
  <c r="X1944" i="31" a="1"/>
  <c r="X1944" i="31"/>
  <c r="U1943" i="31" a="1"/>
  <c r="U1943" i="31"/>
  <c r="W1943" i="31" a="1"/>
  <c r="W1943" i="31"/>
  <c r="V1943" i="31" a="1"/>
  <c r="V1943" i="31"/>
  <c r="X1943" i="31" a="1"/>
  <c r="X1943" i="31"/>
  <c r="U1942" i="31" a="1"/>
  <c r="U1942" i="31"/>
  <c r="W1942" i="31" a="1"/>
  <c r="W1942" i="31"/>
  <c r="V1942" i="31" a="1"/>
  <c r="V1942" i="31"/>
  <c r="X1942" i="31" a="1"/>
  <c r="X1942" i="31"/>
  <c r="U1941" i="31" a="1"/>
  <c r="U1941" i="31"/>
  <c r="W1941" i="31" a="1"/>
  <c r="W1941" i="31"/>
  <c r="V1941" i="31" a="1"/>
  <c r="V1941" i="31"/>
  <c r="X1941" i="31" a="1"/>
  <c r="X1941" i="31"/>
  <c r="U1940" i="31" a="1"/>
  <c r="U1940" i="31"/>
  <c r="W1940" i="31" a="1"/>
  <c r="W1940" i="31"/>
  <c r="V1940" i="31" a="1"/>
  <c r="V1940" i="31"/>
  <c r="X1940" i="31" a="1"/>
  <c r="X1940" i="31"/>
  <c r="U1939" i="31" a="1"/>
  <c r="U1939" i="31"/>
  <c r="W1939" i="31" a="1"/>
  <c r="W1939" i="31"/>
  <c r="V1939" i="31" a="1"/>
  <c r="V1939" i="31"/>
  <c r="X1939" i="31" a="1"/>
  <c r="X1939" i="31"/>
  <c r="U1938" i="31" a="1"/>
  <c r="U1938" i="31"/>
  <c r="W1938" i="31" a="1"/>
  <c r="W1938" i="31"/>
  <c r="V1938" i="31" a="1"/>
  <c r="V1938" i="31"/>
  <c r="X1938" i="31" a="1"/>
  <c r="X1938" i="31"/>
  <c r="U1937" i="31" a="1"/>
  <c r="U1937" i="31"/>
  <c r="W1937" i="31" a="1"/>
  <c r="W1937" i="31"/>
  <c r="V1937" i="31" a="1"/>
  <c r="V1937" i="31"/>
  <c r="X1937" i="31" a="1"/>
  <c r="X1937" i="31"/>
  <c r="U1936" i="31" a="1"/>
  <c r="U1936" i="31"/>
  <c r="W1936" i="31" a="1"/>
  <c r="W1936" i="31"/>
  <c r="V1936" i="31" a="1"/>
  <c r="V1936" i="31"/>
  <c r="X1936" i="31" a="1"/>
  <c r="X1936" i="31"/>
  <c r="U1935" i="31" a="1"/>
  <c r="U1935" i="31"/>
  <c r="W1935" i="31" a="1"/>
  <c r="W1935" i="31"/>
  <c r="V1935" i="31" a="1"/>
  <c r="V1935" i="31"/>
  <c r="X1935" i="31" a="1"/>
  <c r="X1935" i="31"/>
  <c r="U1934" i="31" a="1"/>
  <c r="U1934" i="31"/>
  <c r="W1934" i="31" a="1"/>
  <c r="W1934" i="31"/>
  <c r="V1934" i="31" a="1"/>
  <c r="V1934" i="31"/>
  <c r="X1934" i="31" a="1"/>
  <c r="X1934" i="31"/>
  <c r="U1933" i="31" a="1"/>
  <c r="U1933" i="31"/>
  <c r="W1933" i="31" a="1"/>
  <c r="W1933" i="31"/>
  <c r="V1933" i="31" a="1"/>
  <c r="V1933" i="31"/>
  <c r="X1933" i="31" a="1"/>
  <c r="X1933" i="31"/>
  <c r="U1932" i="31" a="1"/>
  <c r="U1932" i="31"/>
  <c r="W1932" i="31" a="1"/>
  <c r="W1932" i="31"/>
  <c r="V1932" i="31" a="1"/>
  <c r="V1932" i="31"/>
  <c r="X1932" i="31" a="1"/>
  <c r="X1932" i="31"/>
  <c r="U1931" i="31" a="1"/>
  <c r="U1931" i="31"/>
  <c r="W1931" i="31" a="1"/>
  <c r="W1931" i="31"/>
  <c r="V1931" i="31" a="1"/>
  <c r="V1931" i="31"/>
  <c r="X1931" i="31" a="1"/>
  <c r="X1931" i="31"/>
  <c r="U1930" i="31" a="1"/>
  <c r="U1930" i="31"/>
  <c r="W1930" i="31" a="1"/>
  <c r="W1930" i="31"/>
  <c r="V1930" i="31" a="1"/>
  <c r="V1930" i="31"/>
  <c r="X1930" i="31" a="1"/>
  <c r="X1930" i="31"/>
  <c r="U1929" i="31" a="1"/>
  <c r="U1929" i="31"/>
  <c r="W1929" i="31" a="1"/>
  <c r="W1929" i="31"/>
  <c r="V1929" i="31" a="1"/>
  <c r="V1929" i="31"/>
  <c r="X1929" i="31" a="1"/>
  <c r="X1929" i="31"/>
  <c r="U1928" i="31" a="1"/>
  <c r="U1928" i="31"/>
  <c r="W1928" i="31" a="1"/>
  <c r="W1928" i="31"/>
  <c r="V1928" i="31" a="1"/>
  <c r="V1928" i="31"/>
  <c r="X1928" i="31" a="1"/>
  <c r="X1928" i="31"/>
  <c r="U1927" i="31" a="1"/>
  <c r="U1927" i="31"/>
  <c r="W1927" i="31" a="1"/>
  <c r="W1927" i="31"/>
  <c r="V1927" i="31" a="1"/>
  <c r="V1927" i="31"/>
  <c r="X1927" i="31" a="1"/>
  <c r="X1927" i="31"/>
  <c r="U1926" i="31" a="1"/>
  <c r="U1926" i="31"/>
  <c r="W1926" i="31" a="1"/>
  <c r="W1926" i="31"/>
  <c r="V1926" i="31" a="1"/>
  <c r="V1926" i="31"/>
  <c r="X1926" i="31" a="1"/>
  <c r="X1926" i="31"/>
  <c r="U1925" i="31" a="1"/>
  <c r="U1925" i="31"/>
  <c r="W1925" i="31" a="1"/>
  <c r="W1925" i="31"/>
  <c r="V1925" i="31" a="1"/>
  <c r="V1925" i="31"/>
  <c r="X1925" i="31" a="1"/>
  <c r="X1925" i="31"/>
  <c r="U1924" i="31" a="1"/>
  <c r="U1924" i="31"/>
  <c r="W1924" i="31" a="1"/>
  <c r="W1924" i="31"/>
  <c r="V1924" i="31" a="1"/>
  <c r="V1924" i="31"/>
  <c r="X1924" i="31" a="1"/>
  <c r="X1924" i="31"/>
  <c r="U1923" i="31" a="1"/>
  <c r="U1923" i="31"/>
  <c r="W1923" i="31" a="1"/>
  <c r="W1923" i="31"/>
  <c r="V1923" i="31" a="1"/>
  <c r="V1923" i="31"/>
  <c r="X1923" i="31" a="1"/>
  <c r="X1923" i="31"/>
  <c r="U1922" i="31" a="1"/>
  <c r="U1922" i="31"/>
  <c r="W1922" i="31" a="1"/>
  <c r="W1922" i="31"/>
  <c r="V1922" i="31" a="1"/>
  <c r="V1922" i="31"/>
  <c r="X1922" i="31" a="1"/>
  <c r="X1922" i="31"/>
  <c r="U1921" i="31" a="1"/>
  <c r="U1921" i="31"/>
  <c r="W1921" i="31" a="1"/>
  <c r="W1921" i="31"/>
  <c r="V1921" i="31" a="1"/>
  <c r="V1921" i="31"/>
  <c r="X1921" i="31" a="1"/>
  <c r="X1921" i="31"/>
  <c r="U1920" i="31" a="1"/>
  <c r="U1920" i="31"/>
  <c r="W1920" i="31" a="1"/>
  <c r="W1920" i="31"/>
  <c r="V1920" i="31" a="1"/>
  <c r="V1920" i="31"/>
  <c r="X1920" i="31" a="1"/>
  <c r="X1920" i="31"/>
  <c r="U1919" i="31" a="1"/>
  <c r="U1919" i="31"/>
  <c r="W1919" i="31" a="1"/>
  <c r="W1919" i="31"/>
  <c r="V1919" i="31" a="1"/>
  <c r="V1919" i="31"/>
  <c r="X1919" i="31" a="1"/>
  <c r="X1919" i="31"/>
  <c r="U1918" i="31" a="1"/>
  <c r="U1918" i="31"/>
  <c r="W1918" i="31" a="1"/>
  <c r="W1918" i="31"/>
  <c r="V1918" i="31" a="1"/>
  <c r="V1918" i="31"/>
  <c r="X1918" i="31" a="1"/>
  <c r="X1918" i="31"/>
  <c r="U1917" i="31" a="1"/>
  <c r="U1917" i="31"/>
  <c r="W1917" i="31" a="1"/>
  <c r="W1917" i="31"/>
  <c r="V1917" i="31" a="1"/>
  <c r="V1917" i="31"/>
  <c r="X1917" i="31" a="1"/>
  <c r="X1917" i="31"/>
  <c r="U1916" i="31" a="1"/>
  <c r="U1916" i="31"/>
  <c r="W1916" i="31" a="1"/>
  <c r="W1916" i="31"/>
  <c r="V1916" i="31" a="1"/>
  <c r="V1916" i="31"/>
  <c r="X1916" i="31" a="1"/>
  <c r="X1916" i="31"/>
  <c r="U1915" i="31" a="1"/>
  <c r="U1915" i="31"/>
  <c r="W1915" i="31" a="1"/>
  <c r="W1915" i="31"/>
  <c r="V1915" i="31" a="1"/>
  <c r="V1915" i="31"/>
  <c r="X1915" i="31" a="1"/>
  <c r="X1915" i="31"/>
  <c r="U1914" i="31" a="1"/>
  <c r="U1914" i="31"/>
  <c r="W1914" i="31" a="1"/>
  <c r="W1914" i="31"/>
  <c r="V1914" i="31" a="1"/>
  <c r="V1914" i="31"/>
  <c r="X1914" i="31" a="1"/>
  <c r="X1914" i="31"/>
  <c r="U1913" i="31" a="1"/>
  <c r="U1913" i="31"/>
  <c r="W1913" i="31" a="1"/>
  <c r="W1913" i="31"/>
  <c r="V1913" i="31" a="1"/>
  <c r="V1913" i="31"/>
  <c r="X1913" i="31" a="1"/>
  <c r="X1913" i="31"/>
  <c r="U1912" i="31" a="1"/>
  <c r="U1912" i="31"/>
  <c r="W1912" i="31" a="1"/>
  <c r="W1912" i="31"/>
  <c r="V1912" i="31" a="1"/>
  <c r="V1912" i="31"/>
  <c r="X1912" i="31" a="1"/>
  <c r="X1912" i="31"/>
  <c r="U1911" i="31" a="1"/>
  <c r="U1911" i="31"/>
  <c r="W1911" i="31" a="1"/>
  <c r="W1911" i="31"/>
  <c r="V1911" i="31" a="1"/>
  <c r="V1911" i="31"/>
  <c r="X1911" i="31" a="1"/>
  <c r="X1911" i="31"/>
  <c r="U1910" i="31" a="1"/>
  <c r="U1910" i="31"/>
  <c r="W1910" i="31" a="1"/>
  <c r="W1910" i="31"/>
  <c r="V1910" i="31" a="1"/>
  <c r="V1910" i="31"/>
  <c r="X1910" i="31" a="1"/>
  <c r="X1910" i="31"/>
  <c r="U1909" i="31" a="1"/>
  <c r="U1909" i="31"/>
  <c r="W1909" i="31" a="1"/>
  <c r="W1909" i="31"/>
  <c r="V1909" i="31" a="1"/>
  <c r="V1909" i="31"/>
  <c r="X1909" i="31" a="1"/>
  <c r="X1909" i="31"/>
  <c r="U1908" i="31" a="1"/>
  <c r="U1908" i="31"/>
  <c r="W1908" i="31" a="1"/>
  <c r="W1908" i="31"/>
  <c r="V1908" i="31" a="1"/>
  <c r="V1908" i="31"/>
  <c r="X1908" i="31" a="1"/>
  <c r="X1908" i="31"/>
  <c r="U1907" i="31" a="1"/>
  <c r="U1907" i="31"/>
  <c r="W1907" i="31" a="1"/>
  <c r="W1907" i="31"/>
  <c r="V1907" i="31" a="1"/>
  <c r="V1907" i="31"/>
  <c r="X1907" i="31" a="1"/>
  <c r="X1907" i="31"/>
  <c r="U1906" i="31" a="1"/>
  <c r="U1906" i="31"/>
  <c r="W1906" i="31" a="1"/>
  <c r="W1906" i="31"/>
  <c r="V1906" i="31" a="1"/>
  <c r="V1906" i="31"/>
  <c r="X1906" i="31" a="1"/>
  <c r="X1906" i="31"/>
  <c r="U1905" i="31" a="1"/>
  <c r="U1905" i="31"/>
  <c r="W1905" i="31" a="1"/>
  <c r="W1905" i="31"/>
  <c r="V1905" i="31" a="1"/>
  <c r="V1905" i="31"/>
  <c r="X1905" i="31" a="1"/>
  <c r="X1905" i="31"/>
  <c r="U1904" i="31" a="1"/>
  <c r="U1904" i="31"/>
  <c r="W1904" i="31" a="1"/>
  <c r="W1904" i="31"/>
  <c r="V1904" i="31" a="1"/>
  <c r="V1904" i="31"/>
  <c r="X1904" i="31" a="1"/>
  <c r="X1904" i="31"/>
  <c r="U1903" i="31" a="1"/>
  <c r="U1903" i="31"/>
  <c r="W1903" i="31" a="1"/>
  <c r="W1903" i="31"/>
  <c r="V1903" i="31" a="1"/>
  <c r="V1903" i="31"/>
  <c r="X1903" i="31" a="1"/>
  <c r="X1903" i="31"/>
  <c r="U1902" i="31" a="1"/>
  <c r="U1902" i="31"/>
  <c r="W1902" i="31" a="1"/>
  <c r="W1902" i="31"/>
  <c r="V1902" i="31" a="1"/>
  <c r="V1902" i="31"/>
  <c r="X1902" i="31" a="1"/>
  <c r="X1902" i="31"/>
  <c r="U1901" i="31" a="1"/>
  <c r="U1901" i="31"/>
  <c r="W1901" i="31" a="1"/>
  <c r="W1901" i="31"/>
  <c r="V1901" i="31" a="1"/>
  <c r="V1901" i="31"/>
  <c r="X1901" i="31" a="1"/>
  <c r="X1901" i="31"/>
  <c r="U1900" i="31" a="1"/>
  <c r="U1900" i="31"/>
  <c r="W1900" i="31" a="1"/>
  <c r="W1900" i="31"/>
  <c r="V1900" i="31" a="1"/>
  <c r="V1900" i="31"/>
  <c r="X1900" i="31" a="1"/>
  <c r="X1900" i="31"/>
  <c r="U1899" i="31" a="1"/>
  <c r="U1899" i="31"/>
  <c r="W1899" i="31" a="1"/>
  <c r="W1899" i="31"/>
  <c r="V1899" i="31" a="1"/>
  <c r="V1899" i="31"/>
  <c r="X1899" i="31" a="1"/>
  <c r="X1899" i="31"/>
  <c r="U1898" i="31" a="1"/>
  <c r="U1898" i="31"/>
  <c r="W1898" i="31" a="1"/>
  <c r="W1898" i="31"/>
  <c r="V1898" i="31" a="1"/>
  <c r="V1898" i="31"/>
  <c r="X1898" i="31" a="1"/>
  <c r="X1898" i="31"/>
  <c r="U1897" i="31" a="1"/>
  <c r="U1897" i="31"/>
  <c r="W1897" i="31" a="1"/>
  <c r="W1897" i="31"/>
  <c r="V1897" i="31" a="1"/>
  <c r="V1897" i="31"/>
  <c r="X1897" i="31" a="1"/>
  <c r="X1897" i="31"/>
  <c r="U1896" i="31" a="1"/>
  <c r="U1896" i="31"/>
  <c r="W1896" i="31" a="1"/>
  <c r="W1896" i="31"/>
  <c r="V1896" i="31" a="1"/>
  <c r="V1896" i="31"/>
  <c r="X1896" i="31" a="1"/>
  <c r="X1896" i="31"/>
  <c r="U1895" i="31" a="1"/>
  <c r="U1895" i="31"/>
  <c r="W1895" i="31" a="1"/>
  <c r="W1895" i="31"/>
  <c r="V1895" i="31" a="1"/>
  <c r="V1895" i="31"/>
  <c r="X1895" i="31" a="1"/>
  <c r="X1895" i="31"/>
  <c r="U1894" i="31" a="1"/>
  <c r="U1894" i="31"/>
  <c r="W1894" i="31" a="1"/>
  <c r="W1894" i="31"/>
  <c r="V1894" i="31" a="1"/>
  <c r="V1894" i="31"/>
  <c r="X1894" i="31" a="1"/>
  <c r="X1894" i="31"/>
  <c r="U1893" i="31" a="1"/>
  <c r="U1893" i="31"/>
  <c r="W1893" i="31" a="1"/>
  <c r="W1893" i="31"/>
  <c r="V1893" i="31" a="1"/>
  <c r="V1893" i="31"/>
  <c r="X1893" i="31" a="1"/>
  <c r="X1893" i="31"/>
  <c r="U1892" i="31" a="1"/>
  <c r="U1892" i="31"/>
  <c r="W1892" i="31" a="1"/>
  <c r="W1892" i="31"/>
  <c r="V1892" i="31" a="1"/>
  <c r="V1892" i="31"/>
  <c r="X1892" i="31" a="1"/>
  <c r="X1892" i="31"/>
  <c r="U1891" i="31" a="1"/>
  <c r="U1891" i="31"/>
  <c r="W1891" i="31" a="1"/>
  <c r="W1891" i="31"/>
  <c r="V1891" i="31" a="1"/>
  <c r="V1891" i="31"/>
  <c r="X1891" i="31" a="1"/>
  <c r="X1891" i="31"/>
  <c r="U1890" i="31" a="1"/>
  <c r="U1890" i="31"/>
  <c r="W1890" i="31" a="1"/>
  <c r="W1890" i="31"/>
  <c r="V1890" i="31" a="1"/>
  <c r="V1890" i="31"/>
  <c r="X1890" i="31" a="1"/>
  <c r="X1890" i="31"/>
  <c r="U1889" i="31" a="1"/>
  <c r="U1889" i="31"/>
  <c r="W1889" i="31" a="1"/>
  <c r="W1889" i="31"/>
  <c r="V1889" i="31" a="1"/>
  <c r="V1889" i="31"/>
  <c r="X1889" i="31" a="1"/>
  <c r="X1889" i="31"/>
  <c r="U1888" i="31" a="1"/>
  <c r="U1888" i="31"/>
  <c r="W1888" i="31" a="1"/>
  <c r="W1888" i="31"/>
  <c r="V1888" i="31" a="1"/>
  <c r="V1888" i="31"/>
  <c r="X1888" i="31" a="1"/>
  <c r="X1888" i="31"/>
  <c r="U1887" i="31" a="1"/>
  <c r="U1887" i="31"/>
  <c r="W1887" i="31" a="1"/>
  <c r="W1887" i="31"/>
  <c r="V1887" i="31" a="1"/>
  <c r="V1887" i="31"/>
  <c r="X1887" i="31" a="1"/>
  <c r="X1887" i="31"/>
  <c r="U1886" i="31" a="1"/>
  <c r="U1886" i="31"/>
  <c r="W1886" i="31" a="1"/>
  <c r="W1886" i="31"/>
  <c r="V1886" i="31" a="1"/>
  <c r="V1886" i="31"/>
  <c r="X1886" i="31" a="1"/>
  <c r="X1886" i="31"/>
  <c r="U1885" i="31" a="1"/>
  <c r="U1885" i="31"/>
  <c r="W1885" i="31" a="1"/>
  <c r="W1885" i="31"/>
  <c r="V1885" i="31" a="1"/>
  <c r="V1885" i="31"/>
  <c r="X1885" i="31" a="1"/>
  <c r="X1885" i="31"/>
  <c r="U1884" i="31" a="1"/>
  <c r="U1884" i="31"/>
  <c r="W1884" i="31" a="1"/>
  <c r="W1884" i="31"/>
  <c r="V1884" i="31" a="1"/>
  <c r="V1884" i="31"/>
  <c r="X1884" i="31" a="1"/>
  <c r="X1884" i="31"/>
  <c r="U1883" i="31" a="1"/>
  <c r="U1883" i="31"/>
  <c r="W1883" i="31" a="1"/>
  <c r="W1883" i="31"/>
  <c r="V1883" i="31" a="1"/>
  <c r="V1883" i="31"/>
  <c r="X1883" i="31" a="1"/>
  <c r="X1883" i="31"/>
  <c r="U1882" i="31" a="1"/>
  <c r="U1882" i="31"/>
  <c r="W1882" i="31" a="1"/>
  <c r="W1882" i="31"/>
  <c r="V1882" i="31" a="1"/>
  <c r="V1882" i="31"/>
  <c r="X1882" i="31" a="1"/>
  <c r="X1882" i="31"/>
  <c r="U1881" i="31" a="1"/>
  <c r="U1881" i="31"/>
  <c r="W1881" i="31" a="1"/>
  <c r="W1881" i="31"/>
  <c r="V1881" i="31" a="1"/>
  <c r="V1881" i="31"/>
  <c r="X1881" i="31" a="1"/>
  <c r="X1881" i="31"/>
  <c r="U1880" i="31" a="1"/>
  <c r="U1880" i="31"/>
  <c r="W1880" i="31" a="1"/>
  <c r="W1880" i="31"/>
  <c r="V1880" i="31" a="1"/>
  <c r="V1880" i="31"/>
  <c r="X1880" i="31" a="1"/>
  <c r="X1880" i="31"/>
  <c r="U1879" i="31" a="1"/>
  <c r="U1879" i="31"/>
  <c r="W1879" i="31" a="1"/>
  <c r="W1879" i="31"/>
  <c r="V1879" i="31" a="1"/>
  <c r="V1879" i="31"/>
  <c r="X1879" i="31" a="1"/>
  <c r="X1879" i="31"/>
  <c r="U1878" i="31" a="1"/>
  <c r="U1878" i="31"/>
  <c r="W1878" i="31" a="1"/>
  <c r="W1878" i="31"/>
  <c r="V1878" i="31" a="1"/>
  <c r="V1878" i="31"/>
  <c r="X1878" i="31" a="1"/>
  <c r="X1878" i="31"/>
  <c r="U1877" i="31" a="1"/>
  <c r="U1877" i="31"/>
  <c r="W1877" i="31" a="1"/>
  <c r="W1877" i="31"/>
  <c r="V1877" i="31" a="1"/>
  <c r="V1877" i="31"/>
  <c r="X1877" i="31" a="1"/>
  <c r="X1877" i="31"/>
  <c r="U1876" i="31" a="1"/>
  <c r="U1876" i="31"/>
  <c r="W1876" i="31" a="1"/>
  <c r="W1876" i="31"/>
  <c r="V1876" i="31" a="1"/>
  <c r="V1876" i="31"/>
  <c r="X1876" i="31" a="1"/>
  <c r="X1876" i="31"/>
  <c r="U1875" i="31" a="1"/>
  <c r="U1875" i="31"/>
  <c r="W1875" i="31" a="1"/>
  <c r="W1875" i="31"/>
  <c r="V1875" i="31" a="1"/>
  <c r="V1875" i="31"/>
  <c r="X1875" i="31" a="1"/>
  <c r="X1875" i="31"/>
  <c r="U1874" i="31" a="1"/>
  <c r="U1874" i="31"/>
  <c r="W1874" i="31" a="1"/>
  <c r="W1874" i="31"/>
  <c r="V1874" i="31" a="1"/>
  <c r="V1874" i="31"/>
  <c r="X1874" i="31" a="1"/>
  <c r="X1874" i="31"/>
  <c r="U1873" i="31" a="1"/>
  <c r="U1873" i="31"/>
  <c r="W1873" i="31" a="1"/>
  <c r="W1873" i="31"/>
  <c r="V1873" i="31" a="1"/>
  <c r="V1873" i="31"/>
  <c r="X1873" i="31" a="1"/>
  <c r="X1873" i="31"/>
  <c r="U1872" i="31" a="1"/>
  <c r="U1872" i="31"/>
  <c r="W1872" i="31" a="1"/>
  <c r="W1872" i="31"/>
  <c r="V1872" i="31" a="1"/>
  <c r="V1872" i="31"/>
  <c r="X1872" i="31" a="1"/>
  <c r="X1872" i="31"/>
  <c r="U1871" i="31" a="1"/>
  <c r="U1871" i="31"/>
  <c r="W1871" i="31" a="1"/>
  <c r="W1871" i="31"/>
  <c r="V1871" i="31" a="1"/>
  <c r="V1871" i="31"/>
  <c r="X1871" i="31" a="1"/>
  <c r="X1871" i="31"/>
  <c r="U1870" i="31" a="1"/>
  <c r="U1870" i="31"/>
  <c r="W1870" i="31" a="1"/>
  <c r="W1870" i="31"/>
  <c r="V1870" i="31" a="1"/>
  <c r="V1870" i="31"/>
  <c r="X1870" i="31" a="1"/>
  <c r="X1870" i="31"/>
  <c r="U1869" i="31" a="1"/>
  <c r="U1869" i="31"/>
  <c r="W1869" i="31" a="1"/>
  <c r="W1869" i="31"/>
  <c r="V1869" i="31" a="1"/>
  <c r="V1869" i="31"/>
  <c r="X1869" i="31" a="1"/>
  <c r="X1869" i="31"/>
  <c r="U1868" i="31" a="1"/>
  <c r="U1868" i="31"/>
  <c r="W1868" i="31" a="1"/>
  <c r="W1868" i="31"/>
  <c r="V1868" i="31" a="1"/>
  <c r="V1868" i="31"/>
  <c r="X1868" i="31" a="1"/>
  <c r="X1868" i="31"/>
  <c r="U1867" i="31" a="1"/>
  <c r="U1867" i="31"/>
  <c r="W1867" i="31" a="1"/>
  <c r="W1867" i="31"/>
  <c r="V1867" i="31" a="1"/>
  <c r="V1867" i="31"/>
  <c r="X1867" i="31" a="1"/>
  <c r="X1867" i="31"/>
  <c r="U1866" i="31" a="1"/>
  <c r="U1866" i="31"/>
  <c r="W1866" i="31" a="1"/>
  <c r="W1866" i="31"/>
  <c r="V1866" i="31" a="1"/>
  <c r="V1866" i="31"/>
  <c r="X1866" i="31" a="1"/>
  <c r="X1866" i="31"/>
  <c r="U1865" i="31" a="1"/>
  <c r="U1865" i="31"/>
  <c r="W1865" i="31" a="1"/>
  <c r="W1865" i="31"/>
  <c r="V1865" i="31" a="1"/>
  <c r="V1865" i="31"/>
  <c r="X1865" i="31" a="1"/>
  <c r="X1865" i="31"/>
  <c r="U1864" i="31" a="1"/>
  <c r="U1864" i="31"/>
  <c r="W1864" i="31" a="1"/>
  <c r="W1864" i="31"/>
  <c r="V1864" i="31" a="1"/>
  <c r="V1864" i="31"/>
  <c r="X1864" i="31" a="1"/>
  <c r="X1864" i="31"/>
  <c r="U1863" i="31" a="1"/>
  <c r="U1863" i="31"/>
  <c r="W1863" i="31" a="1"/>
  <c r="W1863" i="31"/>
  <c r="V1863" i="31" a="1"/>
  <c r="V1863" i="31"/>
  <c r="X1863" i="31" a="1"/>
  <c r="X1863" i="31"/>
  <c r="U1862" i="31" a="1"/>
  <c r="U1862" i="31"/>
  <c r="W1862" i="31" a="1"/>
  <c r="W1862" i="31"/>
  <c r="V1862" i="31" a="1"/>
  <c r="V1862" i="31"/>
  <c r="X1862" i="31" a="1"/>
  <c r="X1862" i="31"/>
  <c r="U1861" i="31" a="1"/>
  <c r="U1861" i="31"/>
  <c r="W1861" i="31" a="1"/>
  <c r="W1861" i="31"/>
  <c r="V1861" i="31" a="1"/>
  <c r="V1861" i="31"/>
  <c r="X1861" i="31" a="1"/>
  <c r="X1861" i="31"/>
  <c r="U1860" i="31" a="1"/>
  <c r="U1860" i="31"/>
  <c r="W1860" i="31" a="1"/>
  <c r="W1860" i="31"/>
  <c r="V1860" i="31" a="1"/>
  <c r="V1860" i="31"/>
  <c r="X1860" i="31" a="1"/>
  <c r="X1860" i="31"/>
  <c r="U1859" i="31" a="1"/>
  <c r="U1859" i="31"/>
  <c r="W1859" i="31" a="1"/>
  <c r="W1859" i="31"/>
  <c r="V1859" i="31" a="1"/>
  <c r="V1859" i="31"/>
  <c r="X1859" i="31" a="1"/>
  <c r="X1859" i="31"/>
  <c r="U1858" i="31" a="1"/>
  <c r="U1858" i="31"/>
  <c r="W1858" i="31" a="1"/>
  <c r="W1858" i="31"/>
  <c r="V1858" i="31" a="1"/>
  <c r="V1858" i="31"/>
  <c r="X1858" i="31" a="1"/>
  <c r="X1858" i="31"/>
  <c r="U1857" i="31" a="1"/>
  <c r="U1857" i="31"/>
  <c r="W1857" i="31" a="1"/>
  <c r="W1857" i="31"/>
  <c r="V1857" i="31" a="1"/>
  <c r="V1857" i="31"/>
  <c r="X1857" i="31" a="1"/>
  <c r="X1857" i="31"/>
  <c r="U1856" i="31" a="1"/>
  <c r="U1856" i="31"/>
  <c r="W1856" i="31" a="1"/>
  <c r="W1856" i="31"/>
  <c r="V1856" i="31" a="1"/>
  <c r="V1856" i="31"/>
  <c r="X1856" i="31" a="1"/>
  <c r="X1856" i="31"/>
  <c r="U1855" i="31" a="1"/>
  <c r="U1855" i="31"/>
  <c r="W1855" i="31" a="1"/>
  <c r="W1855" i="31"/>
  <c r="V1855" i="31" a="1"/>
  <c r="V1855" i="31"/>
  <c r="X1855" i="31" a="1"/>
  <c r="X1855" i="31"/>
  <c r="U1854" i="31" a="1"/>
  <c r="U1854" i="31"/>
  <c r="W1854" i="31" a="1"/>
  <c r="W1854" i="31"/>
  <c r="V1854" i="31" a="1"/>
  <c r="V1854" i="31"/>
  <c r="X1854" i="31" a="1"/>
  <c r="X1854" i="31"/>
  <c r="U1853" i="31" a="1"/>
  <c r="U1853" i="31"/>
  <c r="W1853" i="31" a="1"/>
  <c r="W1853" i="31"/>
  <c r="V1853" i="31" a="1"/>
  <c r="V1853" i="31"/>
  <c r="X1853" i="31" a="1"/>
  <c r="X1853" i="31"/>
  <c r="U1852" i="31" a="1"/>
  <c r="U1852" i="31"/>
  <c r="W1852" i="31" a="1"/>
  <c r="W1852" i="31"/>
  <c r="V1852" i="31" a="1"/>
  <c r="V1852" i="31"/>
  <c r="X1852" i="31" a="1"/>
  <c r="X1852" i="31"/>
  <c r="U1851" i="31" a="1"/>
  <c r="U1851" i="31"/>
  <c r="W1851" i="31" a="1"/>
  <c r="W1851" i="31"/>
  <c r="V1851" i="31" a="1"/>
  <c r="V1851" i="31"/>
  <c r="X1851" i="31" a="1"/>
  <c r="X1851" i="31"/>
  <c r="U1850" i="31" a="1"/>
  <c r="U1850" i="31"/>
  <c r="W1850" i="31" a="1"/>
  <c r="W1850" i="31"/>
  <c r="V1850" i="31" a="1"/>
  <c r="V1850" i="31"/>
  <c r="X1850" i="31" a="1"/>
  <c r="X1850" i="31"/>
  <c r="U1849" i="31" a="1"/>
  <c r="U1849" i="31"/>
  <c r="W1849" i="31" a="1"/>
  <c r="W1849" i="31"/>
  <c r="V1849" i="31" a="1"/>
  <c r="V1849" i="31"/>
  <c r="X1849" i="31" a="1"/>
  <c r="X1849" i="31"/>
  <c r="U1848" i="31" a="1"/>
  <c r="U1848" i="31"/>
  <c r="W1848" i="31" a="1"/>
  <c r="W1848" i="31"/>
  <c r="V1848" i="31" a="1"/>
  <c r="V1848" i="31"/>
  <c r="X1848" i="31" a="1"/>
  <c r="X1848" i="31"/>
  <c r="U1847" i="31" a="1"/>
  <c r="U1847" i="31"/>
  <c r="W1847" i="31" a="1"/>
  <c r="W1847" i="31"/>
  <c r="V1847" i="31" a="1"/>
  <c r="V1847" i="31"/>
  <c r="X1847" i="31" a="1"/>
  <c r="X1847" i="31"/>
  <c r="U1846" i="31" a="1"/>
  <c r="U1846" i="31"/>
  <c r="W1846" i="31" a="1"/>
  <c r="W1846" i="31"/>
  <c r="V1846" i="31" a="1"/>
  <c r="V1846" i="31"/>
  <c r="X1846" i="31" a="1"/>
  <c r="X1846" i="31"/>
  <c r="U1845" i="31" a="1"/>
  <c r="U1845" i="31"/>
  <c r="W1845" i="31" a="1"/>
  <c r="W1845" i="31"/>
  <c r="V1845" i="31" a="1"/>
  <c r="V1845" i="31"/>
  <c r="X1845" i="31" a="1"/>
  <c r="X1845" i="31"/>
  <c r="U1844" i="31" a="1"/>
  <c r="U1844" i="31"/>
  <c r="W1844" i="31" a="1"/>
  <c r="W1844" i="31"/>
  <c r="V1844" i="31" a="1"/>
  <c r="V1844" i="31"/>
  <c r="X1844" i="31" a="1"/>
  <c r="X1844" i="31"/>
  <c r="U1843" i="31" a="1"/>
  <c r="U1843" i="31"/>
  <c r="W1843" i="31" a="1"/>
  <c r="W1843" i="31"/>
  <c r="V1843" i="31" a="1"/>
  <c r="V1843" i="31"/>
  <c r="X1843" i="31" a="1"/>
  <c r="X1843" i="31"/>
  <c r="U1842" i="31" a="1"/>
  <c r="U1842" i="31"/>
  <c r="W1842" i="31" a="1"/>
  <c r="W1842" i="31"/>
  <c r="V1842" i="31" a="1"/>
  <c r="V1842" i="31"/>
  <c r="X1842" i="31" a="1"/>
  <c r="X1842" i="31"/>
  <c r="U1841" i="31" a="1"/>
  <c r="U1841" i="31"/>
  <c r="W1841" i="31" a="1"/>
  <c r="W1841" i="31"/>
  <c r="V1841" i="31" a="1"/>
  <c r="V1841" i="31"/>
  <c r="X1841" i="31" a="1"/>
  <c r="X1841" i="31"/>
  <c r="U1840" i="31" a="1"/>
  <c r="U1840" i="31"/>
  <c r="W1840" i="31" a="1"/>
  <c r="W1840" i="31"/>
  <c r="V1840" i="31" a="1"/>
  <c r="V1840" i="31"/>
  <c r="X1840" i="31" a="1"/>
  <c r="X1840" i="31"/>
  <c r="U1839" i="31" a="1"/>
  <c r="U1839" i="31"/>
  <c r="W1839" i="31" a="1"/>
  <c r="W1839" i="31"/>
  <c r="V1839" i="31" a="1"/>
  <c r="V1839" i="31"/>
  <c r="X1839" i="31" a="1"/>
  <c r="X1839" i="31"/>
  <c r="U1838" i="31" a="1"/>
  <c r="U1838" i="31"/>
  <c r="W1838" i="31" a="1"/>
  <c r="W1838" i="31"/>
  <c r="V1838" i="31" a="1"/>
  <c r="V1838" i="31"/>
  <c r="X1838" i="31" a="1"/>
  <c r="X1838" i="31"/>
  <c r="U1837" i="31" a="1"/>
  <c r="U1837" i="31"/>
  <c r="W1837" i="31" a="1"/>
  <c r="W1837" i="31"/>
  <c r="V1837" i="31" a="1"/>
  <c r="V1837" i="31"/>
  <c r="X1837" i="31" a="1"/>
  <c r="X1837" i="31"/>
  <c r="U1836" i="31" a="1"/>
  <c r="U1836" i="31"/>
  <c r="W1836" i="31" a="1"/>
  <c r="W1836" i="31"/>
  <c r="V1836" i="31" a="1"/>
  <c r="V1836" i="31"/>
  <c r="X1836" i="31" a="1"/>
  <c r="X1836" i="31"/>
  <c r="U1835" i="31" a="1"/>
  <c r="U1835" i="31"/>
  <c r="W1835" i="31" a="1"/>
  <c r="W1835" i="31"/>
  <c r="V1835" i="31" a="1"/>
  <c r="V1835" i="31"/>
  <c r="X1835" i="31" a="1"/>
  <c r="X1835" i="31"/>
  <c r="U1834" i="31" a="1"/>
  <c r="U1834" i="31"/>
  <c r="W1834" i="31" a="1"/>
  <c r="W1834" i="31"/>
  <c r="V1834" i="31" a="1"/>
  <c r="V1834" i="31"/>
  <c r="X1834" i="31" a="1"/>
  <c r="X1834" i="31"/>
  <c r="U1833" i="31" a="1"/>
  <c r="U1833" i="31"/>
  <c r="W1833" i="31" a="1"/>
  <c r="W1833" i="31"/>
  <c r="V1833" i="31" a="1"/>
  <c r="V1833" i="31"/>
  <c r="X1833" i="31" a="1"/>
  <c r="X1833" i="31"/>
  <c r="U1832" i="31" a="1"/>
  <c r="U1832" i="31"/>
  <c r="W1832" i="31" a="1"/>
  <c r="W1832" i="31"/>
  <c r="V1832" i="31" a="1"/>
  <c r="V1832" i="31"/>
  <c r="X1832" i="31" a="1"/>
  <c r="X1832" i="31"/>
  <c r="U1831" i="31" a="1"/>
  <c r="U1831" i="31"/>
  <c r="W1831" i="31" a="1"/>
  <c r="W1831" i="31"/>
  <c r="V1831" i="31" a="1"/>
  <c r="V1831" i="31"/>
  <c r="X1831" i="31" a="1"/>
  <c r="X1831" i="31"/>
  <c r="U1830" i="31" a="1"/>
  <c r="U1830" i="31"/>
  <c r="W1830" i="31" a="1"/>
  <c r="W1830" i="31"/>
  <c r="V1830" i="31" a="1"/>
  <c r="V1830" i="31"/>
  <c r="X1830" i="31" a="1"/>
  <c r="X1830" i="31"/>
  <c r="U1829" i="31" a="1"/>
  <c r="U1829" i="31"/>
  <c r="W1829" i="31" a="1"/>
  <c r="W1829" i="31"/>
  <c r="V1829" i="31" a="1"/>
  <c r="V1829" i="31"/>
  <c r="X1829" i="31" a="1"/>
  <c r="X1829" i="31"/>
  <c r="U1828" i="31" a="1"/>
  <c r="U1828" i="31"/>
  <c r="W1828" i="31" a="1"/>
  <c r="W1828" i="31"/>
  <c r="V1828" i="31" a="1"/>
  <c r="V1828" i="31"/>
  <c r="X1828" i="31" a="1"/>
  <c r="X1828" i="31"/>
  <c r="U1827" i="31" a="1"/>
  <c r="U1827" i="31"/>
  <c r="W1827" i="31" a="1"/>
  <c r="W1827" i="31"/>
  <c r="V1827" i="31" a="1"/>
  <c r="V1827" i="31"/>
  <c r="X1827" i="31" a="1"/>
  <c r="X1827" i="31"/>
  <c r="U1826" i="31" a="1"/>
  <c r="U1826" i="31"/>
  <c r="W1826" i="31" a="1"/>
  <c r="W1826" i="31"/>
  <c r="V1826" i="31" a="1"/>
  <c r="V1826" i="31"/>
  <c r="X1826" i="31" a="1"/>
  <c r="X1826" i="31"/>
  <c r="U1825" i="31" a="1"/>
  <c r="U1825" i="31"/>
  <c r="W1825" i="31" a="1"/>
  <c r="W1825" i="31"/>
  <c r="V1825" i="31" a="1"/>
  <c r="V1825" i="31"/>
  <c r="X1825" i="31" a="1"/>
  <c r="X1825" i="31"/>
  <c r="U1824" i="31" a="1"/>
  <c r="U1824" i="31"/>
  <c r="W1824" i="31" a="1"/>
  <c r="W1824" i="31"/>
  <c r="V1824" i="31" a="1"/>
  <c r="V1824" i="31"/>
  <c r="X1824" i="31" a="1"/>
  <c r="X1824" i="31"/>
  <c r="U1823" i="31" a="1"/>
  <c r="U1823" i="31"/>
  <c r="W1823" i="31" a="1"/>
  <c r="W1823" i="31"/>
  <c r="V1823" i="31" a="1"/>
  <c r="V1823" i="31"/>
  <c r="X1823" i="31" a="1"/>
  <c r="X1823" i="31"/>
  <c r="U1822" i="31" a="1"/>
  <c r="U1822" i="31"/>
  <c r="W1822" i="31" a="1"/>
  <c r="W1822" i="31"/>
  <c r="V1822" i="31" a="1"/>
  <c r="V1822" i="31"/>
  <c r="X1822" i="31" a="1"/>
  <c r="X1822" i="31"/>
  <c r="U1821" i="31" a="1"/>
  <c r="U1821" i="31"/>
  <c r="W1821" i="31" a="1"/>
  <c r="W1821" i="31"/>
  <c r="V1821" i="31" a="1"/>
  <c r="V1821" i="31"/>
  <c r="X1821" i="31" a="1"/>
  <c r="X1821" i="31"/>
  <c r="U1820" i="31" a="1"/>
  <c r="U1820" i="31"/>
  <c r="W1820" i="31" a="1"/>
  <c r="W1820" i="31"/>
  <c r="V1820" i="31" a="1"/>
  <c r="V1820" i="31"/>
  <c r="X1820" i="31" a="1"/>
  <c r="X1820" i="31"/>
  <c r="U1819" i="31" a="1"/>
  <c r="U1819" i="31"/>
  <c r="W1819" i="31" a="1"/>
  <c r="W1819" i="31"/>
  <c r="V1819" i="31" a="1"/>
  <c r="V1819" i="31"/>
  <c r="X1819" i="31" a="1"/>
  <c r="X1819" i="31"/>
  <c r="U1818" i="31" a="1"/>
  <c r="U1818" i="31"/>
  <c r="W1818" i="31" a="1"/>
  <c r="W1818" i="31"/>
  <c r="V1818" i="31" a="1"/>
  <c r="V1818" i="31"/>
  <c r="X1818" i="31" a="1"/>
  <c r="X1818" i="31"/>
  <c r="U1817" i="31" a="1"/>
  <c r="U1817" i="31"/>
  <c r="W1817" i="31" a="1"/>
  <c r="W1817" i="31"/>
  <c r="V1817" i="31" a="1"/>
  <c r="V1817" i="31"/>
  <c r="X1817" i="31" a="1"/>
  <c r="X1817" i="31"/>
  <c r="U1816" i="31" a="1"/>
  <c r="U1816" i="31"/>
  <c r="W1816" i="31" a="1"/>
  <c r="W1816" i="31"/>
  <c r="V1816" i="31" a="1"/>
  <c r="V1816" i="31"/>
  <c r="X1816" i="31" a="1"/>
  <c r="X1816" i="31"/>
  <c r="U1815" i="31" a="1"/>
  <c r="U1815" i="31"/>
  <c r="W1815" i="31" a="1"/>
  <c r="W1815" i="31"/>
  <c r="V1815" i="31" a="1"/>
  <c r="V1815" i="31"/>
  <c r="X1815" i="31" a="1"/>
  <c r="X1815" i="31"/>
  <c r="U1814" i="31" a="1"/>
  <c r="U1814" i="31"/>
  <c r="W1814" i="31" a="1"/>
  <c r="W1814" i="31"/>
  <c r="V1814" i="31" a="1"/>
  <c r="V1814" i="31"/>
  <c r="X1814" i="31" a="1"/>
  <c r="X1814" i="31"/>
  <c r="U1813" i="31" a="1"/>
  <c r="U1813" i="31"/>
  <c r="W1813" i="31" a="1"/>
  <c r="W1813" i="31"/>
  <c r="V1813" i="31" a="1"/>
  <c r="V1813" i="31"/>
  <c r="X1813" i="31" a="1"/>
  <c r="X1813" i="31"/>
  <c r="U1812" i="31" a="1"/>
  <c r="U1812" i="31"/>
  <c r="W1812" i="31" a="1"/>
  <c r="W1812" i="31"/>
  <c r="V1812" i="31" a="1"/>
  <c r="V1812" i="31"/>
  <c r="X1812" i="31" a="1"/>
  <c r="X1812" i="31"/>
  <c r="U1811" i="31" a="1"/>
  <c r="U1811" i="31"/>
  <c r="W1811" i="31" a="1"/>
  <c r="W1811" i="31"/>
  <c r="V1811" i="31" a="1"/>
  <c r="V1811" i="31"/>
  <c r="X1811" i="31" a="1"/>
  <c r="X1811" i="31"/>
  <c r="U1810" i="31" a="1"/>
  <c r="U1810" i="31"/>
  <c r="W1810" i="31" a="1"/>
  <c r="W1810" i="31"/>
  <c r="V1810" i="31" a="1"/>
  <c r="V1810" i="31"/>
  <c r="X1810" i="31" a="1"/>
  <c r="X1810" i="31"/>
  <c r="U1809" i="31" a="1"/>
  <c r="U1809" i="31"/>
  <c r="W1809" i="31" a="1"/>
  <c r="W1809" i="31"/>
  <c r="V1809" i="31" a="1"/>
  <c r="V1809" i="31"/>
  <c r="X1809" i="31" a="1"/>
  <c r="X1809" i="31"/>
  <c r="U1808" i="31" a="1"/>
  <c r="U1808" i="31"/>
  <c r="W1808" i="31" a="1"/>
  <c r="W1808" i="31"/>
  <c r="V1808" i="31" a="1"/>
  <c r="V1808" i="31"/>
  <c r="X1808" i="31" a="1"/>
  <c r="X1808" i="31"/>
  <c r="U1807" i="31" a="1"/>
  <c r="U1807" i="31"/>
  <c r="W1807" i="31" a="1"/>
  <c r="W1807" i="31"/>
  <c r="V1807" i="31" a="1"/>
  <c r="V1807" i="31"/>
  <c r="X1807" i="31" a="1"/>
  <c r="X1807" i="31"/>
  <c r="U1806" i="31" a="1"/>
  <c r="U1806" i="31"/>
  <c r="W1806" i="31" a="1"/>
  <c r="W1806" i="31"/>
  <c r="V1806" i="31" a="1"/>
  <c r="V1806" i="31"/>
  <c r="X1806" i="31" a="1"/>
  <c r="X1806" i="31"/>
  <c r="U1805" i="31" a="1"/>
  <c r="U1805" i="31"/>
  <c r="W1805" i="31" a="1"/>
  <c r="W1805" i="31"/>
  <c r="V1805" i="31" a="1"/>
  <c r="V1805" i="31"/>
  <c r="X1805" i="31" a="1"/>
  <c r="X1805" i="31"/>
  <c r="U1804" i="31" a="1"/>
  <c r="U1804" i="31"/>
  <c r="W1804" i="31" a="1"/>
  <c r="W1804" i="31"/>
  <c r="V1804" i="31" a="1"/>
  <c r="V1804" i="31"/>
  <c r="X1804" i="31" a="1"/>
  <c r="X1804" i="31"/>
  <c r="U1803" i="31" a="1"/>
  <c r="U1803" i="31"/>
  <c r="W1803" i="31" a="1"/>
  <c r="W1803" i="31"/>
  <c r="V1803" i="31" a="1"/>
  <c r="V1803" i="31"/>
  <c r="X1803" i="31" a="1"/>
  <c r="X1803" i="31"/>
  <c r="U1802" i="31" a="1"/>
  <c r="U1802" i="31"/>
  <c r="W1802" i="31" a="1"/>
  <c r="W1802" i="31"/>
  <c r="V1802" i="31" a="1"/>
  <c r="V1802" i="31"/>
  <c r="X1802" i="31" a="1"/>
  <c r="X1802" i="31"/>
  <c r="U1801" i="31" a="1"/>
  <c r="U1801" i="31"/>
  <c r="W1801" i="31" a="1"/>
  <c r="W1801" i="31"/>
  <c r="V1801" i="31" a="1"/>
  <c r="V1801" i="31"/>
  <c r="X1801" i="31" a="1"/>
  <c r="X1801" i="31"/>
  <c r="U1800" i="31" a="1"/>
  <c r="U1800" i="31"/>
  <c r="W1800" i="31" a="1"/>
  <c r="W1800" i="31"/>
  <c r="V1800" i="31" a="1"/>
  <c r="V1800" i="31"/>
  <c r="X1800" i="31" a="1"/>
  <c r="X1800" i="31"/>
  <c r="U1799" i="31" a="1"/>
  <c r="U1799" i="31"/>
  <c r="W1799" i="31" a="1"/>
  <c r="W1799" i="31"/>
  <c r="V1799" i="31" a="1"/>
  <c r="V1799" i="31"/>
  <c r="X1799" i="31" a="1"/>
  <c r="X1799" i="31"/>
  <c r="U1798" i="31" a="1"/>
  <c r="U1798" i="31"/>
  <c r="W1798" i="31" a="1"/>
  <c r="W1798" i="31"/>
  <c r="V1798" i="31" a="1"/>
  <c r="V1798" i="31"/>
  <c r="X1798" i="31" a="1"/>
  <c r="X1798" i="31"/>
  <c r="U1797" i="31" a="1"/>
  <c r="U1797" i="31"/>
  <c r="W1797" i="31" a="1"/>
  <c r="W1797" i="31"/>
  <c r="V1797" i="31" a="1"/>
  <c r="V1797" i="31"/>
  <c r="X1797" i="31" a="1"/>
  <c r="X1797" i="31"/>
  <c r="U1796" i="31" a="1"/>
  <c r="U1796" i="31"/>
  <c r="W1796" i="31" a="1"/>
  <c r="W1796" i="31"/>
  <c r="V1796" i="31" a="1"/>
  <c r="V1796" i="31"/>
  <c r="X1796" i="31" a="1"/>
  <c r="X1796" i="31"/>
  <c r="U1795" i="31" a="1"/>
  <c r="U1795" i="31"/>
  <c r="W1795" i="31" a="1"/>
  <c r="W1795" i="31"/>
  <c r="V1795" i="31" a="1"/>
  <c r="V1795" i="31"/>
  <c r="X1795" i="31" a="1"/>
  <c r="X1795" i="31"/>
  <c r="U1794" i="31" a="1"/>
  <c r="U1794" i="31"/>
  <c r="W1794" i="31" a="1"/>
  <c r="W1794" i="31"/>
  <c r="V1794" i="31" a="1"/>
  <c r="V1794" i="31"/>
  <c r="X1794" i="31" a="1"/>
  <c r="X1794" i="31"/>
  <c r="U1793" i="31" a="1"/>
  <c r="U1793" i="31"/>
  <c r="W1793" i="31" a="1"/>
  <c r="W1793" i="31"/>
  <c r="V1793" i="31" a="1"/>
  <c r="V1793" i="31"/>
  <c r="X1793" i="31" a="1"/>
  <c r="X1793" i="31"/>
  <c r="U1792" i="31" a="1"/>
  <c r="U1792" i="31"/>
  <c r="W1792" i="31" a="1"/>
  <c r="W1792" i="31"/>
  <c r="V1792" i="31" a="1"/>
  <c r="V1792" i="31"/>
  <c r="X1792" i="31" a="1"/>
  <c r="X1792" i="31"/>
  <c r="U1791" i="31" a="1"/>
  <c r="U1791" i="31"/>
  <c r="W1791" i="31" a="1"/>
  <c r="W1791" i="31"/>
  <c r="V1791" i="31" a="1"/>
  <c r="V1791" i="31"/>
  <c r="X1791" i="31" a="1"/>
  <c r="X1791" i="31"/>
  <c r="U1790" i="31" a="1"/>
  <c r="U1790" i="31"/>
  <c r="W1790" i="31" a="1"/>
  <c r="W1790" i="31"/>
  <c r="V1790" i="31" a="1"/>
  <c r="V1790" i="31"/>
  <c r="X1790" i="31" a="1"/>
  <c r="X1790" i="31"/>
  <c r="U1789" i="31" a="1"/>
  <c r="U1789" i="31"/>
  <c r="W1789" i="31" a="1"/>
  <c r="W1789" i="31"/>
  <c r="V1789" i="31" a="1"/>
  <c r="V1789" i="31"/>
  <c r="X1789" i="31" a="1"/>
  <c r="X1789" i="31"/>
  <c r="U1788" i="31" a="1"/>
  <c r="U1788" i="31"/>
  <c r="W1788" i="31" a="1"/>
  <c r="W1788" i="31"/>
  <c r="V1788" i="31" a="1"/>
  <c r="V1788" i="31"/>
  <c r="X1788" i="31" a="1"/>
  <c r="X1788" i="31"/>
  <c r="U1787" i="31" a="1"/>
  <c r="U1787" i="31"/>
  <c r="W1787" i="31" a="1"/>
  <c r="W1787" i="31"/>
  <c r="V1787" i="31" a="1"/>
  <c r="V1787" i="31"/>
  <c r="X1787" i="31" a="1"/>
  <c r="X1787" i="31"/>
  <c r="U1786" i="31" a="1"/>
  <c r="U1786" i="31"/>
  <c r="W1786" i="31" a="1"/>
  <c r="W1786" i="31"/>
  <c r="V1786" i="31" a="1"/>
  <c r="V1786" i="31"/>
  <c r="X1786" i="31" a="1"/>
  <c r="X1786" i="31"/>
  <c r="U1785" i="31" a="1"/>
  <c r="U1785" i="31"/>
  <c r="W1785" i="31" a="1"/>
  <c r="W1785" i="31"/>
  <c r="V1785" i="31" a="1"/>
  <c r="V1785" i="31"/>
  <c r="X1785" i="31" a="1"/>
  <c r="X1785" i="31"/>
  <c r="U1784" i="31" a="1"/>
  <c r="U1784" i="31"/>
  <c r="W1784" i="31" a="1"/>
  <c r="W1784" i="31"/>
  <c r="V1784" i="31" a="1"/>
  <c r="V1784" i="31"/>
  <c r="X1784" i="31" a="1"/>
  <c r="X1784" i="31"/>
  <c r="U1783" i="31" a="1"/>
  <c r="U1783" i="31"/>
  <c r="W1783" i="31" a="1"/>
  <c r="W1783" i="31"/>
  <c r="V1783" i="31" a="1"/>
  <c r="V1783" i="31"/>
  <c r="X1783" i="31" a="1"/>
  <c r="X1783" i="31"/>
  <c r="U1782" i="31" a="1"/>
  <c r="U1782" i="31"/>
  <c r="W1782" i="31" a="1"/>
  <c r="W1782" i="31"/>
  <c r="V1782" i="31" a="1"/>
  <c r="V1782" i="31"/>
  <c r="X1782" i="31" a="1"/>
  <c r="X1782" i="31"/>
  <c r="U1781" i="31" a="1"/>
  <c r="U1781" i="31"/>
  <c r="W1781" i="31" a="1"/>
  <c r="W1781" i="31"/>
  <c r="V1781" i="31" a="1"/>
  <c r="V1781" i="31"/>
  <c r="X1781" i="31" a="1"/>
  <c r="X1781" i="31"/>
  <c r="U1780" i="31" a="1"/>
  <c r="U1780" i="31"/>
  <c r="W1780" i="31" a="1"/>
  <c r="W1780" i="31"/>
  <c r="V1780" i="31" a="1"/>
  <c r="V1780" i="31"/>
  <c r="X1780" i="31" a="1"/>
  <c r="X1780" i="31"/>
  <c r="U1779" i="31" a="1"/>
  <c r="U1779" i="31"/>
  <c r="W1779" i="31" a="1"/>
  <c r="W1779" i="31"/>
  <c r="V1779" i="31" a="1"/>
  <c r="V1779" i="31"/>
  <c r="X1779" i="31" a="1"/>
  <c r="X1779" i="31"/>
  <c r="U1778" i="31" a="1"/>
  <c r="U1778" i="31"/>
  <c r="W1778" i="31" a="1"/>
  <c r="W1778" i="31"/>
  <c r="V1778" i="31" a="1"/>
  <c r="V1778" i="31"/>
  <c r="X1778" i="31" a="1"/>
  <c r="X1778" i="31"/>
  <c r="U1777" i="31" a="1"/>
  <c r="U1777" i="31"/>
  <c r="W1777" i="31" a="1"/>
  <c r="W1777" i="31"/>
  <c r="V1777" i="31" a="1"/>
  <c r="V1777" i="31"/>
  <c r="X1777" i="31" a="1"/>
  <c r="X1777" i="31"/>
  <c r="U1776" i="31" a="1"/>
  <c r="U1776" i="31"/>
  <c r="W1776" i="31" a="1"/>
  <c r="W1776" i="31"/>
  <c r="V1776" i="31" a="1"/>
  <c r="V1776" i="31"/>
  <c r="X1776" i="31" a="1"/>
  <c r="X1776" i="31"/>
  <c r="U1775" i="31" a="1"/>
  <c r="U1775" i="31"/>
  <c r="W1775" i="31" a="1"/>
  <c r="W1775" i="31"/>
  <c r="V1775" i="31" a="1"/>
  <c r="V1775" i="31"/>
  <c r="X1775" i="31" a="1"/>
  <c r="X1775" i="31"/>
  <c r="U1774" i="31" a="1"/>
  <c r="U1774" i="31"/>
  <c r="W1774" i="31" a="1"/>
  <c r="W1774" i="31"/>
  <c r="V1774" i="31" a="1"/>
  <c r="V1774" i="31"/>
  <c r="X1774" i="31" a="1"/>
  <c r="X1774" i="31"/>
  <c r="U1773" i="31" a="1"/>
  <c r="U1773" i="31"/>
  <c r="W1773" i="31" a="1"/>
  <c r="W1773" i="31"/>
  <c r="V1773" i="31" a="1"/>
  <c r="V1773" i="31"/>
  <c r="X1773" i="31" a="1"/>
  <c r="X1773" i="31"/>
  <c r="U1772" i="31" a="1"/>
  <c r="U1772" i="31"/>
  <c r="W1772" i="31" a="1"/>
  <c r="W1772" i="31"/>
  <c r="V1772" i="31" a="1"/>
  <c r="V1772" i="31"/>
  <c r="X1772" i="31" a="1"/>
  <c r="X1772" i="31"/>
  <c r="U1771" i="31" a="1"/>
  <c r="U1771" i="31"/>
  <c r="W1771" i="31" a="1"/>
  <c r="W1771" i="31"/>
  <c r="V1771" i="31" a="1"/>
  <c r="V1771" i="31"/>
  <c r="X1771" i="31" a="1"/>
  <c r="X1771" i="31"/>
  <c r="U1770" i="31" a="1"/>
  <c r="U1770" i="31"/>
  <c r="W1770" i="31" a="1"/>
  <c r="W1770" i="31"/>
  <c r="V1770" i="31" a="1"/>
  <c r="V1770" i="31"/>
  <c r="X1770" i="31" a="1"/>
  <c r="X1770" i="31"/>
  <c r="U1769" i="31" a="1"/>
  <c r="U1769" i="31"/>
  <c r="W1769" i="31" a="1"/>
  <c r="W1769" i="31"/>
  <c r="V1769" i="31" a="1"/>
  <c r="V1769" i="31"/>
  <c r="X1769" i="31" a="1"/>
  <c r="X1769" i="31"/>
  <c r="U1768" i="31" a="1"/>
  <c r="U1768" i="31"/>
  <c r="W1768" i="31" a="1"/>
  <c r="W1768" i="31"/>
  <c r="V1768" i="31" a="1"/>
  <c r="V1768" i="31"/>
  <c r="X1768" i="31" a="1"/>
  <c r="X1768" i="31"/>
  <c r="U1767" i="31" a="1"/>
  <c r="U1767" i="31"/>
  <c r="W1767" i="31" a="1"/>
  <c r="W1767" i="31"/>
  <c r="V1767" i="31" a="1"/>
  <c r="V1767" i="31"/>
  <c r="X1767" i="31" a="1"/>
  <c r="X1767" i="31"/>
  <c r="U1766" i="31" a="1"/>
  <c r="U1766" i="31"/>
  <c r="W1766" i="31" a="1"/>
  <c r="W1766" i="31"/>
  <c r="V1766" i="31" a="1"/>
  <c r="V1766" i="31"/>
  <c r="X1766" i="31" a="1"/>
  <c r="X1766" i="31"/>
  <c r="U1765" i="31" a="1"/>
  <c r="U1765" i="31"/>
  <c r="W1765" i="31" a="1"/>
  <c r="W1765" i="31"/>
  <c r="V1765" i="31" a="1"/>
  <c r="V1765" i="31"/>
  <c r="X1765" i="31" a="1"/>
  <c r="X1765" i="31"/>
  <c r="U1764" i="31" a="1"/>
  <c r="U1764" i="31"/>
  <c r="W1764" i="31" a="1"/>
  <c r="W1764" i="31"/>
  <c r="V1764" i="31" a="1"/>
  <c r="V1764" i="31"/>
  <c r="X1764" i="31" a="1"/>
  <c r="X1764" i="31"/>
  <c r="U1763" i="31" a="1"/>
  <c r="U1763" i="31"/>
  <c r="W1763" i="31" a="1"/>
  <c r="W1763" i="31"/>
  <c r="V1763" i="31" a="1"/>
  <c r="V1763" i="31"/>
  <c r="X1763" i="31" a="1"/>
  <c r="X1763" i="31"/>
  <c r="U1762" i="31" a="1"/>
  <c r="U1762" i="31"/>
  <c r="W1762" i="31" a="1"/>
  <c r="W1762" i="31"/>
  <c r="V1762" i="31" a="1"/>
  <c r="V1762" i="31"/>
  <c r="X1762" i="31" a="1"/>
  <c r="X1762" i="31"/>
  <c r="U1761" i="31" a="1"/>
  <c r="U1761" i="31"/>
  <c r="W1761" i="31" a="1"/>
  <c r="W1761" i="31"/>
  <c r="V1761" i="31" a="1"/>
  <c r="V1761" i="31"/>
  <c r="X1761" i="31" a="1"/>
  <c r="X1761" i="31"/>
  <c r="U1760" i="31" a="1"/>
  <c r="U1760" i="31"/>
  <c r="W1760" i="31" a="1"/>
  <c r="W1760" i="31"/>
  <c r="V1760" i="31" a="1"/>
  <c r="V1760" i="31"/>
  <c r="X1760" i="31" a="1"/>
  <c r="X1760" i="31"/>
  <c r="U1759" i="31" a="1"/>
  <c r="U1759" i="31"/>
  <c r="W1759" i="31" a="1"/>
  <c r="W1759" i="31"/>
  <c r="V1759" i="31" a="1"/>
  <c r="V1759" i="31"/>
  <c r="X1759" i="31" a="1"/>
  <c r="X1759" i="31"/>
  <c r="U1758" i="31" a="1"/>
  <c r="U1758" i="31"/>
  <c r="W1758" i="31" a="1"/>
  <c r="W1758" i="31"/>
  <c r="V1758" i="31" a="1"/>
  <c r="V1758" i="31"/>
  <c r="X1758" i="31" a="1"/>
  <c r="X1758" i="31"/>
  <c r="U1757" i="31" a="1"/>
  <c r="U1757" i="31"/>
  <c r="W1757" i="31" a="1"/>
  <c r="W1757" i="31"/>
  <c r="V1757" i="31" a="1"/>
  <c r="V1757" i="31"/>
  <c r="X1757" i="31" a="1"/>
  <c r="X1757" i="31"/>
  <c r="U1756" i="31" a="1"/>
  <c r="U1756" i="31"/>
  <c r="W1756" i="31" a="1"/>
  <c r="W1756" i="31"/>
  <c r="V1756" i="31" a="1"/>
  <c r="V1756" i="31"/>
  <c r="X1756" i="31" a="1"/>
  <c r="X1756" i="31"/>
  <c r="U1755" i="31" a="1"/>
  <c r="U1755" i="31"/>
  <c r="W1755" i="31" a="1"/>
  <c r="W1755" i="31"/>
  <c r="V1755" i="31" a="1"/>
  <c r="V1755" i="31"/>
  <c r="X1755" i="31" a="1"/>
  <c r="X1755" i="31"/>
  <c r="U1754" i="31" a="1"/>
  <c r="U1754" i="31"/>
  <c r="W1754" i="31" a="1"/>
  <c r="W1754" i="31"/>
  <c r="V1754" i="31" a="1"/>
  <c r="V1754" i="31"/>
  <c r="X1754" i="31" a="1"/>
  <c r="X1754" i="31"/>
  <c r="U1753" i="31" a="1"/>
  <c r="U1753" i="31"/>
  <c r="W1753" i="31" a="1"/>
  <c r="W1753" i="31"/>
  <c r="V1753" i="31" a="1"/>
  <c r="V1753" i="31"/>
  <c r="X1753" i="31" a="1"/>
  <c r="X1753" i="31"/>
  <c r="U1752" i="31" a="1"/>
  <c r="U1752" i="31"/>
  <c r="W1752" i="31" a="1"/>
  <c r="W1752" i="31"/>
  <c r="V1752" i="31" a="1"/>
  <c r="V1752" i="31"/>
  <c r="X1752" i="31" a="1"/>
  <c r="X1752" i="31"/>
  <c r="U1751" i="31" a="1"/>
  <c r="U1751" i="31"/>
  <c r="W1751" i="31" a="1"/>
  <c r="W1751" i="31"/>
  <c r="V1751" i="31" a="1"/>
  <c r="V1751" i="31"/>
  <c r="X1751" i="31" a="1"/>
  <c r="X1751" i="31"/>
  <c r="U1750" i="31" a="1"/>
  <c r="U1750" i="31"/>
  <c r="W1750" i="31" a="1"/>
  <c r="W1750" i="31"/>
  <c r="V1750" i="31" a="1"/>
  <c r="V1750" i="31"/>
  <c r="X1750" i="31" a="1"/>
  <c r="X1750" i="31"/>
  <c r="U1749" i="31" a="1"/>
  <c r="U1749" i="31"/>
  <c r="W1749" i="31" a="1"/>
  <c r="W1749" i="31"/>
  <c r="V1749" i="31" a="1"/>
  <c r="V1749" i="31"/>
  <c r="X1749" i="31" a="1"/>
  <c r="X1749" i="31"/>
  <c r="U1748" i="31" a="1"/>
  <c r="U1748" i="31"/>
  <c r="W1748" i="31" a="1"/>
  <c r="W1748" i="31"/>
  <c r="V1748" i="31" a="1"/>
  <c r="V1748" i="31"/>
  <c r="X1748" i="31" a="1"/>
  <c r="X1748" i="31"/>
  <c r="U1747" i="31" a="1"/>
  <c r="U1747" i="31"/>
  <c r="W1747" i="31" a="1"/>
  <c r="W1747" i="31"/>
  <c r="V1747" i="31" a="1"/>
  <c r="V1747" i="31"/>
  <c r="X1747" i="31" a="1"/>
  <c r="X1747" i="31"/>
  <c r="U1746" i="31" a="1"/>
  <c r="U1746" i="31"/>
  <c r="W1746" i="31" a="1"/>
  <c r="W1746" i="31"/>
  <c r="V1746" i="31" a="1"/>
  <c r="V1746" i="31"/>
  <c r="X1746" i="31" a="1"/>
  <c r="X1746" i="31"/>
  <c r="U1745" i="31" a="1"/>
  <c r="U1745" i="31"/>
  <c r="W1745" i="31" a="1"/>
  <c r="W1745" i="31"/>
  <c r="V1745" i="31" a="1"/>
  <c r="V1745" i="31"/>
  <c r="X1745" i="31" a="1"/>
  <c r="X1745" i="31"/>
  <c r="U1744" i="31" a="1"/>
  <c r="U1744" i="31"/>
  <c r="W1744" i="31" a="1"/>
  <c r="W1744" i="31"/>
  <c r="V1744" i="31" a="1"/>
  <c r="V1744" i="31"/>
  <c r="X1744" i="31" a="1"/>
  <c r="X1744" i="31"/>
  <c r="U1743" i="31" a="1"/>
  <c r="U1743" i="31"/>
  <c r="W1743" i="31" a="1"/>
  <c r="W1743" i="31"/>
  <c r="V1743" i="31" a="1"/>
  <c r="V1743" i="31"/>
  <c r="X1743" i="31" a="1"/>
  <c r="X1743" i="31"/>
  <c r="U1742" i="31" a="1"/>
  <c r="U1742" i="31"/>
  <c r="W1742" i="31" a="1"/>
  <c r="W1742" i="31"/>
  <c r="V1742" i="31" a="1"/>
  <c r="V1742" i="31"/>
  <c r="X1742" i="31" a="1"/>
  <c r="X1742" i="31"/>
  <c r="U1741" i="31" a="1"/>
  <c r="U1741" i="31"/>
  <c r="W1741" i="31" a="1"/>
  <c r="W1741" i="31"/>
  <c r="V1741" i="31" a="1"/>
  <c r="V1741" i="31"/>
  <c r="X1741" i="31" a="1"/>
  <c r="X1741" i="31"/>
  <c r="U1740" i="31" a="1"/>
  <c r="U1740" i="31"/>
  <c r="W1740" i="31" a="1"/>
  <c r="W1740" i="31"/>
  <c r="V1740" i="31" a="1"/>
  <c r="V1740" i="31"/>
  <c r="X1740" i="31" a="1"/>
  <c r="X1740" i="31"/>
  <c r="U1739" i="31" a="1"/>
  <c r="U1739" i="31"/>
  <c r="W1739" i="31" a="1"/>
  <c r="W1739" i="31"/>
  <c r="V1739" i="31" a="1"/>
  <c r="V1739" i="31"/>
  <c r="X1739" i="31" a="1"/>
  <c r="X1739" i="31"/>
  <c r="U1738" i="31" a="1"/>
  <c r="U1738" i="31"/>
  <c r="W1738" i="31" a="1"/>
  <c r="W1738" i="31"/>
  <c r="V1738" i="31" a="1"/>
  <c r="V1738" i="31"/>
  <c r="X1738" i="31" a="1"/>
  <c r="X1738" i="31"/>
  <c r="U1737" i="31" a="1"/>
  <c r="U1737" i="31"/>
  <c r="W1737" i="31" a="1"/>
  <c r="W1737" i="31"/>
  <c r="V1737" i="31" a="1"/>
  <c r="V1737" i="31"/>
  <c r="X1737" i="31" a="1"/>
  <c r="X1737" i="31"/>
  <c r="U1736" i="31" a="1"/>
  <c r="U1736" i="31"/>
  <c r="W1736" i="31" a="1"/>
  <c r="W1736" i="31"/>
  <c r="V1736" i="31" a="1"/>
  <c r="V1736" i="31"/>
  <c r="X1736" i="31" a="1"/>
  <c r="X1736" i="31"/>
  <c r="U1735" i="31" a="1"/>
  <c r="U1735" i="31"/>
  <c r="W1735" i="31" a="1"/>
  <c r="W1735" i="31"/>
  <c r="V1735" i="31" a="1"/>
  <c r="V1735" i="31"/>
  <c r="X1735" i="31" a="1"/>
  <c r="X1735" i="31"/>
  <c r="U1734" i="31" a="1"/>
  <c r="U1734" i="31"/>
  <c r="W1734" i="31" a="1"/>
  <c r="W1734" i="31"/>
  <c r="V1734" i="31" a="1"/>
  <c r="V1734" i="31"/>
  <c r="X1734" i="31" a="1"/>
  <c r="X1734" i="31"/>
  <c r="U1733" i="31" a="1"/>
  <c r="U1733" i="31"/>
  <c r="W1733" i="31" a="1"/>
  <c r="W1733" i="31"/>
  <c r="V1733" i="31" a="1"/>
  <c r="V1733" i="31"/>
  <c r="X1733" i="31" a="1"/>
  <c r="X1733" i="31"/>
  <c r="U1732" i="31" a="1"/>
  <c r="U1732" i="31"/>
  <c r="W1732" i="31" a="1"/>
  <c r="W1732" i="31"/>
  <c r="V1732" i="31" a="1"/>
  <c r="V1732" i="31"/>
  <c r="X1732" i="31" a="1"/>
  <c r="X1732" i="31"/>
  <c r="U1731" i="31" a="1"/>
  <c r="U1731" i="31"/>
  <c r="W1731" i="31" a="1"/>
  <c r="W1731" i="31"/>
  <c r="V1731" i="31" a="1"/>
  <c r="V1731" i="31"/>
  <c r="X1731" i="31" a="1"/>
  <c r="X1731" i="31"/>
  <c r="U1730" i="31" a="1"/>
  <c r="U1730" i="31"/>
  <c r="W1730" i="31" a="1"/>
  <c r="W1730" i="31"/>
  <c r="V1730" i="31" a="1"/>
  <c r="V1730" i="31"/>
  <c r="X1730" i="31" a="1"/>
  <c r="X1730" i="31"/>
  <c r="U1729" i="31" a="1"/>
  <c r="U1729" i="31"/>
  <c r="W1729" i="31" a="1"/>
  <c r="W1729" i="31"/>
  <c r="V1729" i="31" a="1"/>
  <c r="V1729" i="31"/>
  <c r="X1729" i="31" a="1"/>
  <c r="X1729" i="31"/>
  <c r="U1728" i="31" a="1"/>
  <c r="U1728" i="31"/>
  <c r="W1728" i="31" a="1"/>
  <c r="W1728" i="31"/>
  <c r="V1728" i="31" a="1"/>
  <c r="V1728" i="31"/>
  <c r="X1728" i="31" a="1"/>
  <c r="X1728" i="31"/>
  <c r="U1727" i="31" a="1"/>
  <c r="U1727" i="31"/>
  <c r="W1727" i="31" a="1"/>
  <c r="W1727" i="31"/>
  <c r="V1727" i="31" a="1"/>
  <c r="V1727" i="31"/>
  <c r="X1727" i="31" a="1"/>
  <c r="X1727" i="31"/>
  <c r="U1726" i="31" a="1"/>
  <c r="U1726" i="31"/>
  <c r="W1726" i="31" a="1"/>
  <c r="W1726" i="31"/>
  <c r="V1726" i="31" a="1"/>
  <c r="V1726" i="31"/>
  <c r="X1726" i="31" a="1"/>
  <c r="X1726" i="31"/>
  <c r="U1725" i="31" a="1"/>
  <c r="U1725" i="31"/>
  <c r="W1725" i="31" a="1"/>
  <c r="W1725" i="31"/>
  <c r="V1725" i="31" a="1"/>
  <c r="V1725" i="31"/>
  <c r="X1725" i="31" a="1"/>
  <c r="X1725" i="31"/>
  <c r="U1724" i="31" a="1"/>
  <c r="U1724" i="31"/>
  <c r="W1724" i="31" a="1"/>
  <c r="W1724" i="31"/>
  <c r="V1724" i="31" a="1"/>
  <c r="V1724" i="31"/>
  <c r="X1724" i="31" a="1"/>
  <c r="X1724" i="31"/>
  <c r="U1723" i="31" a="1"/>
  <c r="U1723" i="31"/>
  <c r="W1723" i="31" a="1"/>
  <c r="W1723" i="31"/>
  <c r="V1723" i="31" a="1"/>
  <c r="V1723" i="31"/>
  <c r="X1723" i="31" a="1"/>
  <c r="X1723" i="31"/>
  <c r="U1722" i="31" a="1"/>
  <c r="U1722" i="31"/>
  <c r="W1722" i="31" a="1"/>
  <c r="W1722" i="31"/>
  <c r="V1722" i="31" a="1"/>
  <c r="V1722" i="31"/>
  <c r="X1722" i="31" a="1"/>
  <c r="X1722" i="31"/>
  <c r="U1721" i="31" a="1"/>
  <c r="U1721" i="31"/>
  <c r="W1721" i="31" a="1"/>
  <c r="W1721" i="31"/>
  <c r="V1721" i="31" a="1"/>
  <c r="V1721" i="31"/>
  <c r="X1721" i="31" a="1"/>
  <c r="X1721" i="31"/>
  <c r="U1720" i="31" a="1"/>
  <c r="U1720" i="31"/>
  <c r="W1720" i="31" a="1"/>
  <c r="W1720" i="31"/>
  <c r="V1720" i="31" a="1"/>
  <c r="V1720" i="31"/>
  <c r="X1720" i="31" a="1"/>
  <c r="X1720" i="31"/>
  <c r="U1719" i="31" a="1"/>
  <c r="U1719" i="31"/>
  <c r="W1719" i="31" a="1"/>
  <c r="W1719" i="31"/>
  <c r="V1719" i="31" a="1"/>
  <c r="V1719" i="31"/>
  <c r="X1719" i="31" a="1"/>
  <c r="X1719" i="31"/>
  <c r="U1718" i="31" a="1"/>
  <c r="U1718" i="31"/>
  <c r="W1718" i="31" a="1"/>
  <c r="W1718" i="31"/>
  <c r="V1718" i="31" a="1"/>
  <c r="V1718" i="31"/>
  <c r="X1718" i="31" a="1"/>
  <c r="X1718" i="31"/>
  <c r="U1717" i="31" a="1"/>
  <c r="U1717" i="31"/>
  <c r="W1717" i="31" a="1"/>
  <c r="W1717" i="31"/>
  <c r="V1717" i="31" a="1"/>
  <c r="V1717" i="31"/>
  <c r="X1717" i="31" a="1"/>
  <c r="X1717" i="31"/>
  <c r="U1716" i="31" a="1"/>
  <c r="U1716" i="31"/>
  <c r="W1716" i="31" a="1"/>
  <c r="W1716" i="31"/>
  <c r="V1716" i="31" a="1"/>
  <c r="V1716" i="31"/>
  <c r="X1716" i="31" a="1"/>
  <c r="X1716" i="31"/>
  <c r="U1715" i="31" a="1"/>
  <c r="U1715" i="31"/>
  <c r="W1715" i="31" a="1"/>
  <c r="W1715" i="31"/>
  <c r="V1715" i="31" a="1"/>
  <c r="V1715" i="31"/>
  <c r="X1715" i="31" a="1"/>
  <c r="X1715" i="31"/>
  <c r="U1714" i="31" a="1"/>
  <c r="U1714" i="31"/>
  <c r="W1714" i="31" a="1"/>
  <c r="W1714" i="31"/>
  <c r="V1714" i="31" a="1"/>
  <c r="V1714" i="31"/>
  <c r="X1714" i="31" a="1"/>
  <c r="X1714" i="31"/>
  <c r="U1713" i="31" a="1"/>
  <c r="U1713" i="31"/>
  <c r="W1713" i="31" a="1"/>
  <c r="W1713" i="31"/>
  <c r="V1713" i="31" a="1"/>
  <c r="V1713" i="31"/>
  <c r="X1713" i="31" a="1"/>
  <c r="X1713" i="31"/>
  <c r="U1712" i="31" a="1"/>
  <c r="U1712" i="31"/>
  <c r="W1712" i="31" a="1"/>
  <c r="W1712" i="31"/>
  <c r="V1712" i="31" a="1"/>
  <c r="V1712" i="31"/>
  <c r="X1712" i="31" a="1"/>
  <c r="X1712" i="31"/>
  <c r="U1711" i="31" a="1"/>
  <c r="U1711" i="31"/>
  <c r="W1711" i="31" a="1"/>
  <c r="W1711" i="31"/>
  <c r="V1711" i="31" a="1"/>
  <c r="V1711" i="31"/>
  <c r="X1711" i="31" a="1"/>
  <c r="X1711" i="31"/>
  <c r="U1710" i="31" a="1"/>
  <c r="U1710" i="31"/>
  <c r="W1710" i="31" a="1"/>
  <c r="W1710" i="31"/>
  <c r="V1710" i="31" a="1"/>
  <c r="V1710" i="31"/>
  <c r="X1710" i="31" a="1"/>
  <c r="X1710" i="31"/>
  <c r="U1709" i="31" a="1"/>
  <c r="U1709" i="31"/>
  <c r="W1709" i="31" a="1"/>
  <c r="W1709" i="31"/>
  <c r="V1709" i="31" a="1"/>
  <c r="V1709" i="31"/>
  <c r="X1709" i="31" a="1"/>
  <c r="X1709" i="31"/>
  <c r="U1708" i="31" a="1"/>
  <c r="U1708" i="31"/>
  <c r="W1708" i="31" a="1"/>
  <c r="W1708" i="31"/>
  <c r="V1708" i="31" a="1"/>
  <c r="V1708" i="31"/>
  <c r="X1708" i="31" a="1"/>
  <c r="X1708" i="31"/>
  <c r="U1707" i="31" a="1"/>
  <c r="U1707" i="31"/>
  <c r="W1707" i="31" a="1"/>
  <c r="W1707" i="31"/>
  <c r="V1707" i="31" a="1"/>
  <c r="V1707" i="31"/>
  <c r="X1707" i="31" a="1"/>
  <c r="X1707" i="31"/>
  <c r="U1706" i="31" a="1"/>
  <c r="U1706" i="31"/>
  <c r="W1706" i="31" a="1"/>
  <c r="W1706" i="31"/>
  <c r="V1706" i="31" a="1"/>
  <c r="V1706" i="31"/>
  <c r="X1706" i="31" a="1"/>
  <c r="X1706" i="31"/>
  <c r="U1705" i="31" a="1"/>
  <c r="U1705" i="31"/>
  <c r="W1705" i="31" a="1"/>
  <c r="W1705" i="31"/>
  <c r="V1705" i="31" a="1"/>
  <c r="V1705" i="31"/>
  <c r="X1705" i="31" a="1"/>
  <c r="X1705" i="31"/>
  <c r="U1704" i="31" a="1"/>
  <c r="U1704" i="31"/>
  <c r="W1704" i="31" a="1"/>
  <c r="W1704" i="31"/>
  <c r="V1704" i="31" a="1"/>
  <c r="V1704" i="31"/>
  <c r="X1704" i="31" a="1"/>
  <c r="X1704" i="31"/>
  <c r="U1703" i="31" a="1"/>
  <c r="U1703" i="31"/>
  <c r="W1703" i="31" a="1"/>
  <c r="W1703" i="31"/>
  <c r="V1703" i="31" a="1"/>
  <c r="V1703" i="31"/>
  <c r="X1703" i="31" a="1"/>
  <c r="X1703" i="31"/>
  <c r="U1702" i="31" a="1"/>
  <c r="U1702" i="31"/>
  <c r="W1702" i="31" a="1"/>
  <c r="W1702" i="31"/>
  <c r="V1702" i="31" a="1"/>
  <c r="V1702" i="31"/>
  <c r="X1702" i="31" a="1"/>
  <c r="X1702" i="31"/>
  <c r="U1701" i="31" a="1"/>
  <c r="U1701" i="31"/>
  <c r="W1701" i="31" a="1"/>
  <c r="W1701" i="31"/>
  <c r="V1701" i="31" a="1"/>
  <c r="V1701" i="31"/>
  <c r="X1701" i="31" a="1"/>
  <c r="X1701" i="31"/>
  <c r="U1700" i="31" a="1"/>
  <c r="U1700" i="31"/>
  <c r="W1700" i="31" a="1"/>
  <c r="W1700" i="31"/>
  <c r="V1700" i="31" a="1"/>
  <c r="V1700" i="31"/>
  <c r="X1700" i="31" a="1"/>
  <c r="X1700" i="31"/>
  <c r="U1699" i="31" a="1"/>
  <c r="U1699" i="31"/>
  <c r="W1699" i="31" a="1"/>
  <c r="W1699" i="31"/>
  <c r="V1699" i="31" a="1"/>
  <c r="V1699" i="31"/>
  <c r="X1699" i="31" a="1"/>
  <c r="X1699" i="31"/>
  <c r="U1698" i="31" a="1"/>
  <c r="U1698" i="31"/>
  <c r="W1698" i="31" a="1"/>
  <c r="W1698" i="31"/>
  <c r="V1698" i="31" a="1"/>
  <c r="V1698" i="31"/>
  <c r="X1698" i="31" a="1"/>
  <c r="X1698" i="31"/>
  <c r="U1697" i="31" a="1"/>
  <c r="U1697" i="31"/>
  <c r="W1697" i="31" a="1"/>
  <c r="W1697" i="31"/>
  <c r="V1697" i="31" a="1"/>
  <c r="V1697" i="31"/>
  <c r="X1697" i="31" a="1"/>
  <c r="X1697" i="31"/>
  <c r="U1696" i="31" a="1"/>
  <c r="U1696" i="31"/>
  <c r="W1696" i="31" a="1"/>
  <c r="W1696" i="31"/>
  <c r="V1696" i="31" a="1"/>
  <c r="V1696" i="31"/>
  <c r="X1696" i="31" a="1"/>
  <c r="X1696" i="31"/>
  <c r="U1695" i="31" a="1"/>
  <c r="U1695" i="31"/>
  <c r="W1695" i="31" a="1"/>
  <c r="W1695" i="31"/>
  <c r="V1695" i="31" a="1"/>
  <c r="V1695" i="31"/>
  <c r="X1695" i="31" a="1"/>
  <c r="X1695" i="31"/>
  <c r="U1694" i="31" a="1"/>
  <c r="U1694" i="31"/>
  <c r="W1694" i="31" a="1"/>
  <c r="W1694" i="31"/>
  <c r="V1694" i="31" a="1"/>
  <c r="V1694" i="31"/>
  <c r="X1694" i="31" a="1"/>
  <c r="X1694" i="31"/>
  <c r="U1693" i="31" a="1"/>
  <c r="U1693" i="31"/>
  <c r="W1693" i="31" a="1"/>
  <c r="W1693" i="31"/>
  <c r="V1693" i="31" a="1"/>
  <c r="V1693" i="31"/>
  <c r="X1693" i="31" a="1"/>
  <c r="X1693" i="31"/>
  <c r="U1692" i="31" a="1"/>
  <c r="U1692" i="31"/>
  <c r="W1692" i="31" a="1"/>
  <c r="W1692" i="31"/>
  <c r="V1692" i="31" a="1"/>
  <c r="V1692" i="31"/>
  <c r="X1692" i="31" a="1"/>
  <c r="X1692" i="31"/>
  <c r="U1691" i="31" a="1"/>
  <c r="U1691" i="31"/>
  <c r="W1691" i="31" a="1"/>
  <c r="W1691" i="31"/>
  <c r="V1691" i="31" a="1"/>
  <c r="V1691" i="31"/>
  <c r="X1691" i="31" a="1"/>
  <c r="X1691" i="31"/>
  <c r="U1690" i="31" a="1"/>
  <c r="U1690" i="31"/>
  <c r="W1690" i="31" a="1"/>
  <c r="W1690" i="31"/>
  <c r="V1690" i="31" a="1"/>
  <c r="V1690" i="31"/>
  <c r="X1690" i="31" a="1"/>
  <c r="X1690" i="31"/>
  <c r="U1689" i="31" a="1"/>
  <c r="U1689" i="31"/>
  <c r="W1689" i="31" a="1"/>
  <c r="W1689" i="31"/>
  <c r="V1689" i="31" a="1"/>
  <c r="V1689" i="31"/>
  <c r="X1689" i="31" a="1"/>
  <c r="X1689" i="31"/>
  <c r="U1688" i="31" a="1"/>
  <c r="U1688" i="31"/>
  <c r="W1688" i="31" a="1"/>
  <c r="W1688" i="31"/>
  <c r="V1688" i="31" a="1"/>
  <c r="V1688" i="31"/>
  <c r="X1688" i="31" a="1"/>
  <c r="X1688" i="31"/>
  <c r="U1687" i="31" a="1"/>
  <c r="U1687" i="31"/>
  <c r="W1687" i="31" a="1"/>
  <c r="W1687" i="31"/>
  <c r="V1687" i="31" a="1"/>
  <c r="V1687" i="31"/>
  <c r="X1687" i="31" a="1"/>
  <c r="X1687" i="31"/>
  <c r="U1686" i="31" a="1"/>
  <c r="U1686" i="31"/>
  <c r="W1686" i="31" a="1"/>
  <c r="W1686" i="31"/>
  <c r="V1686" i="31" a="1"/>
  <c r="V1686" i="31"/>
  <c r="X1686" i="31" a="1"/>
  <c r="X1686" i="31"/>
  <c r="U1685" i="31" a="1"/>
  <c r="U1685" i="31"/>
  <c r="W1685" i="31" a="1"/>
  <c r="W1685" i="31"/>
  <c r="V1685" i="31" a="1"/>
  <c r="V1685" i="31"/>
  <c r="X1685" i="31" a="1"/>
  <c r="X1685" i="31"/>
  <c r="U1684" i="31" a="1"/>
  <c r="U1684" i="31"/>
  <c r="W1684" i="31" a="1"/>
  <c r="W1684" i="31"/>
  <c r="V1684" i="31" a="1"/>
  <c r="V1684" i="31"/>
  <c r="X1684" i="31" a="1"/>
  <c r="X1684" i="31"/>
  <c r="U1683" i="31" a="1"/>
  <c r="U1683" i="31"/>
  <c r="W1683" i="31" a="1"/>
  <c r="W1683" i="31"/>
  <c r="V1683" i="31" a="1"/>
  <c r="V1683" i="31"/>
  <c r="X1683" i="31" a="1"/>
  <c r="X1683" i="31"/>
  <c r="U1682" i="31" a="1"/>
  <c r="U1682" i="31"/>
  <c r="W1682" i="31" a="1"/>
  <c r="W1682" i="31"/>
  <c r="V1682" i="31" a="1"/>
  <c r="V1682" i="31"/>
  <c r="X1682" i="31" a="1"/>
  <c r="X1682" i="31"/>
  <c r="U1681" i="31" a="1"/>
  <c r="U1681" i="31"/>
  <c r="W1681" i="31" a="1"/>
  <c r="W1681" i="31"/>
  <c r="V1681" i="31" a="1"/>
  <c r="V1681" i="31"/>
  <c r="X1681" i="31" a="1"/>
  <c r="X1681" i="31"/>
  <c r="U1680" i="31" a="1"/>
  <c r="U1680" i="31"/>
  <c r="W1680" i="31" a="1"/>
  <c r="W1680" i="31"/>
  <c r="V1680" i="31" a="1"/>
  <c r="V1680" i="31"/>
  <c r="X1680" i="31" a="1"/>
  <c r="X1680" i="31"/>
  <c r="U1679" i="31" a="1"/>
  <c r="U1679" i="31"/>
  <c r="W1679" i="31" a="1"/>
  <c r="W1679" i="31"/>
  <c r="V1679" i="31" a="1"/>
  <c r="V1679" i="31"/>
  <c r="X1679" i="31" a="1"/>
  <c r="X1679" i="31"/>
  <c r="U1678" i="31" a="1"/>
  <c r="U1678" i="31"/>
  <c r="W1678" i="31" a="1"/>
  <c r="W1678" i="31"/>
  <c r="V1678" i="31" a="1"/>
  <c r="V1678" i="31"/>
  <c r="X1678" i="31" a="1"/>
  <c r="X1678" i="31"/>
  <c r="U1677" i="31" a="1"/>
  <c r="U1677" i="31"/>
  <c r="W1677" i="31" a="1"/>
  <c r="W1677" i="31"/>
  <c r="V1677" i="31" a="1"/>
  <c r="V1677" i="31"/>
  <c r="X1677" i="31" a="1"/>
  <c r="X1677" i="31"/>
  <c r="U1676" i="31" a="1"/>
  <c r="U1676" i="31"/>
  <c r="W1676" i="31" a="1"/>
  <c r="W1676" i="31"/>
  <c r="V1676" i="31" a="1"/>
  <c r="V1676" i="31"/>
  <c r="X1676" i="31" a="1"/>
  <c r="X1676" i="31"/>
  <c r="U1675" i="31" a="1"/>
  <c r="U1675" i="31"/>
  <c r="W1675" i="31" a="1"/>
  <c r="W1675" i="31"/>
  <c r="V1675" i="31" a="1"/>
  <c r="V1675" i="31"/>
  <c r="X1675" i="31" a="1"/>
  <c r="X1675" i="31"/>
  <c r="U1674" i="31" a="1"/>
  <c r="U1674" i="31"/>
  <c r="W1674" i="31" a="1"/>
  <c r="W1674" i="31"/>
  <c r="V1674" i="31" a="1"/>
  <c r="V1674" i="31"/>
  <c r="X1674" i="31" a="1"/>
  <c r="X1674" i="31"/>
  <c r="U1673" i="31" a="1"/>
  <c r="U1673" i="31"/>
  <c r="W1673" i="31" a="1"/>
  <c r="W1673" i="31"/>
  <c r="V1673" i="31" a="1"/>
  <c r="V1673" i="31"/>
  <c r="X1673" i="31" a="1"/>
  <c r="X1673" i="31"/>
  <c r="U1672" i="31" a="1"/>
  <c r="U1672" i="31"/>
  <c r="W1672" i="31" a="1"/>
  <c r="W1672" i="31"/>
  <c r="V1672" i="31" a="1"/>
  <c r="V1672" i="31"/>
  <c r="X1672" i="31" a="1"/>
  <c r="X1672" i="31"/>
  <c r="U1671" i="31" a="1"/>
  <c r="U1671" i="31"/>
  <c r="W1671" i="31" a="1"/>
  <c r="W1671" i="31"/>
  <c r="V1671" i="31" a="1"/>
  <c r="V1671" i="31"/>
  <c r="X1671" i="31" a="1"/>
  <c r="X1671" i="31"/>
  <c r="U1670" i="31" a="1"/>
  <c r="U1670" i="31"/>
  <c r="W1670" i="31" a="1"/>
  <c r="W1670" i="31"/>
  <c r="V1670" i="31" a="1"/>
  <c r="V1670" i="31"/>
  <c r="X1670" i="31" a="1"/>
  <c r="X1670" i="31"/>
  <c r="U1669" i="31" a="1"/>
  <c r="U1669" i="31"/>
  <c r="W1669" i="31" a="1"/>
  <c r="W1669" i="31"/>
  <c r="V1669" i="31" a="1"/>
  <c r="V1669" i="31"/>
  <c r="X1669" i="31" a="1"/>
  <c r="X1669" i="31"/>
  <c r="U1668" i="31" a="1"/>
  <c r="U1668" i="31"/>
  <c r="W1668" i="31" a="1"/>
  <c r="W1668" i="31"/>
  <c r="V1668" i="31" a="1"/>
  <c r="V1668" i="31"/>
  <c r="X1668" i="31" a="1"/>
  <c r="X1668" i="31"/>
  <c r="U1667" i="31" a="1"/>
  <c r="U1667" i="31"/>
  <c r="W1667" i="31" a="1"/>
  <c r="W1667" i="31"/>
  <c r="V1667" i="31" a="1"/>
  <c r="V1667" i="31"/>
  <c r="X1667" i="31" a="1"/>
  <c r="X1667" i="31"/>
  <c r="U1666" i="31" a="1"/>
  <c r="U1666" i="31"/>
  <c r="W1666" i="31" a="1"/>
  <c r="W1666" i="31"/>
  <c r="V1666" i="31" a="1"/>
  <c r="V1666" i="31"/>
  <c r="X1666" i="31" a="1"/>
  <c r="X1666" i="31"/>
  <c r="U1665" i="31" a="1"/>
  <c r="U1665" i="31"/>
  <c r="W1665" i="31" a="1"/>
  <c r="W1665" i="31"/>
  <c r="V1665" i="31" a="1"/>
  <c r="V1665" i="31"/>
  <c r="X1665" i="31" a="1"/>
  <c r="X1665" i="31"/>
  <c r="U1664" i="31" a="1"/>
  <c r="U1664" i="31"/>
  <c r="W1664" i="31" a="1"/>
  <c r="W1664" i="31"/>
  <c r="V1664" i="31" a="1"/>
  <c r="V1664" i="31"/>
  <c r="X1664" i="31" a="1"/>
  <c r="X1664" i="31"/>
  <c r="U1663" i="31" a="1"/>
  <c r="U1663" i="31"/>
  <c r="W1663" i="31" a="1"/>
  <c r="W1663" i="31"/>
  <c r="V1663" i="31" a="1"/>
  <c r="V1663" i="31"/>
  <c r="X1663" i="31" a="1"/>
  <c r="X1663" i="31"/>
  <c r="U1662" i="31" a="1"/>
  <c r="U1662" i="31"/>
  <c r="W1662" i="31" a="1"/>
  <c r="W1662" i="31"/>
  <c r="V1662" i="31" a="1"/>
  <c r="V1662" i="31"/>
  <c r="X1662" i="31" a="1"/>
  <c r="X1662" i="31"/>
  <c r="U1661" i="31" a="1"/>
  <c r="U1661" i="31"/>
  <c r="W1661" i="31" a="1"/>
  <c r="W1661" i="31"/>
  <c r="V1661" i="31" a="1"/>
  <c r="V1661" i="31"/>
  <c r="X1661" i="31" a="1"/>
  <c r="X1661" i="31"/>
  <c r="U1660" i="31" a="1"/>
  <c r="U1660" i="31"/>
  <c r="W1660" i="31" a="1"/>
  <c r="W1660" i="31"/>
  <c r="V1660" i="31" a="1"/>
  <c r="V1660" i="31"/>
  <c r="X1660" i="31" a="1"/>
  <c r="X1660" i="31"/>
  <c r="U1659" i="31" a="1"/>
  <c r="U1659" i="31"/>
  <c r="W1659" i="31" a="1"/>
  <c r="W1659" i="31"/>
  <c r="V1659" i="31" a="1"/>
  <c r="V1659" i="31"/>
  <c r="X1659" i="31" a="1"/>
  <c r="X1659" i="31"/>
  <c r="U1658" i="31" a="1"/>
  <c r="U1658" i="31"/>
  <c r="W1658" i="31" a="1"/>
  <c r="W1658" i="31"/>
  <c r="V1658" i="31" a="1"/>
  <c r="V1658" i="31"/>
  <c r="X1658" i="31" a="1"/>
  <c r="X1658" i="31"/>
  <c r="U1657" i="31" a="1"/>
  <c r="U1657" i="31"/>
  <c r="W1657" i="31" a="1"/>
  <c r="W1657" i="31"/>
  <c r="V1657" i="31" a="1"/>
  <c r="V1657" i="31"/>
  <c r="X1657" i="31" a="1"/>
  <c r="X1657" i="31"/>
  <c r="U1656" i="31" a="1"/>
  <c r="U1656" i="31"/>
  <c r="W1656" i="31" a="1"/>
  <c r="W1656" i="31"/>
  <c r="V1656" i="31" a="1"/>
  <c r="V1656" i="31"/>
  <c r="X1656" i="31" a="1"/>
  <c r="X1656" i="31"/>
  <c r="U1655" i="31" a="1"/>
  <c r="U1655" i="31"/>
  <c r="W1655" i="31" a="1"/>
  <c r="W1655" i="31"/>
  <c r="V1655" i="31" a="1"/>
  <c r="V1655" i="31"/>
  <c r="X1655" i="31" a="1"/>
  <c r="X1655" i="31"/>
  <c r="U1654" i="31" a="1"/>
  <c r="U1654" i="31"/>
  <c r="W1654" i="31" a="1"/>
  <c r="W1654" i="31"/>
  <c r="V1654" i="31" a="1"/>
  <c r="V1654" i="31"/>
  <c r="X1654" i="31" a="1"/>
  <c r="X1654" i="31"/>
  <c r="U1653" i="31" a="1"/>
  <c r="U1653" i="31"/>
  <c r="W1653" i="31" a="1"/>
  <c r="W1653" i="31"/>
  <c r="V1653" i="31" a="1"/>
  <c r="V1653" i="31"/>
  <c r="X1653" i="31" a="1"/>
  <c r="X1653" i="31"/>
  <c r="U1652" i="31" a="1"/>
  <c r="U1652" i="31"/>
  <c r="W1652" i="31" a="1"/>
  <c r="W1652" i="31"/>
  <c r="V1652" i="31" a="1"/>
  <c r="V1652" i="31"/>
  <c r="X1652" i="31" a="1"/>
  <c r="X1652" i="31"/>
  <c r="U1651" i="31" a="1"/>
  <c r="U1651" i="31"/>
  <c r="W1651" i="31" a="1"/>
  <c r="W1651" i="31"/>
  <c r="V1651" i="31" a="1"/>
  <c r="V1651" i="31"/>
  <c r="X1651" i="31" a="1"/>
  <c r="X1651" i="31"/>
  <c r="U1650" i="31" a="1"/>
  <c r="U1650" i="31"/>
  <c r="W1650" i="31" a="1"/>
  <c r="W1650" i="31"/>
  <c r="V1650" i="31" a="1"/>
  <c r="V1650" i="31"/>
  <c r="X1650" i="31" a="1"/>
  <c r="X1650" i="31"/>
  <c r="U1649" i="31" a="1"/>
  <c r="U1649" i="31"/>
  <c r="W1649" i="31" a="1"/>
  <c r="W1649" i="31"/>
  <c r="V1649" i="31" a="1"/>
  <c r="V1649" i="31"/>
  <c r="X1649" i="31" a="1"/>
  <c r="X1649" i="31"/>
  <c r="U1648" i="31" a="1"/>
  <c r="U1648" i="31"/>
  <c r="W1648" i="31" a="1"/>
  <c r="W1648" i="31"/>
  <c r="V1648" i="31" a="1"/>
  <c r="V1648" i="31"/>
  <c r="X1648" i="31" a="1"/>
  <c r="X1648" i="31"/>
  <c r="U1647" i="31" a="1"/>
  <c r="U1647" i="31"/>
  <c r="W1647" i="31" a="1"/>
  <c r="W1647" i="31"/>
  <c r="V1647" i="31" a="1"/>
  <c r="V1647" i="31"/>
  <c r="X1647" i="31" a="1"/>
  <c r="X1647" i="31"/>
  <c r="U1646" i="31" a="1"/>
  <c r="U1646" i="31"/>
  <c r="W1646" i="31" a="1"/>
  <c r="W1646" i="31"/>
  <c r="V1646" i="31" a="1"/>
  <c r="V1646" i="31"/>
  <c r="X1646" i="31" a="1"/>
  <c r="X1646" i="31"/>
  <c r="U1645" i="31" a="1"/>
  <c r="U1645" i="31"/>
  <c r="W1645" i="31" a="1"/>
  <c r="W1645" i="31"/>
  <c r="V1645" i="31" a="1"/>
  <c r="V1645" i="31"/>
  <c r="X1645" i="31" a="1"/>
  <c r="X1645" i="31"/>
  <c r="U1644" i="31" a="1"/>
  <c r="U1644" i="31"/>
  <c r="W1644" i="31" a="1"/>
  <c r="W1644" i="31"/>
  <c r="V1644" i="31" a="1"/>
  <c r="V1644" i="31"/>
  <c r="X1644" i="31" a="1"/>
  <c r="X1644" i="31"/>
  <c r="U1643" i="31" a="1"/>
  <c r="U1643" i="31"/>
  <c r="W1643" i="31" a="1"/>
  <c r="W1643" i="31"/>
  <c r="V1643" i="31" a="1"/>
  <c r="V1643" i="31"/>
  <c r="X1643" i="31" a="1"/>
  <c r="X1643" i="31"/>
  <c r="U1642" i="31" a="1"/>
  <c r="U1642" i="31"/>
  <c r="W1642" i="31" a="1"/>
  <c r="W1642" i="31"/>
  <c r="V1642" i="31" a="1"/>
  <c r="V1642" i="31"/>
  <c r="X1642" i="31" a="1"/>
  <c r="X1642" i="31"/>
  <c r="U1641" i="31" a="1"/>
  <c r="U1641" i="31"/>
  <c r="W1641" i="31" a="1"/>
  <c r="W1641" i="31"/>
  <c r="V1641" i="31" a="1"/>
  <c r="V1641" i="31"/>
  <c r="X1641" i="31" a="1"/>
  <c r="X1641" i="31"/>
  <c r="U1640" i="31" a="1"/>
  <c r="U1640" i="31"/>
  <c r="W1640" i="31" a="1"/>
  <c r="W1640" i="31"/>
  <c r="V1640" i="31" a="1"/>
  <c r="V1640" i="31"/>
  <c r="X1640" i="31" a="1"/>
  <c r="X1640" i="31"/>
  <c r="U1639" i="31" a="1"/>
  <c r="U1639" i="31"/>
  <c r="W1639" i="31" a="1"/>
  <c r="W1639" i="31"/>
  <c r="V1639" i="31" a="1"/>
  <c r="V1639" i="31"/>
  <c r="X1639" i="31" a="1"/>
  <c r="X1639" i="31"/>
  <c r="U1638" i="31" a="1"/>
  <c r="U1638" i="31"/>
  <c r="W1638" i="31" a="1"/>
  <c r="W1638" i="31"/>
  <c r="V1638" i="31" a="1"/>
  <c r="V1638" i="31"/>
  <c r="X1638" i="31" a="1"/>
  <c r="X1638" i="31"/>
  <c r="U1637" i="31" a="1"/>
  <c r="U1637" i="31"/>
  <c r="W1637" i="31" a="1"/>
  <c r="W1637" i="31"/>
  <c r="V1637" i="31" a="1"/>
  <c r="V1637" i="31"/>
  <c r="X1637" i="31" a="1"/>
  <c r="X1637" i="31"/>
  <c r="U1636" i="31" a="1"/>
  <c r="U1636" i="31"/>
  <c r="W1636" i="31" a="1"/>
  <c r="W1636" i="31"/>
  <c r="V1636" i="31" a="1"/>
  <c r="V1636" i="31"/>
  <c r="X1636" i="31" a="1"/>
  <c r="X1636" i="31"/>
  <c r="U1635" i="31" a="1"/>
  <c r="U1635" i="31"/>
  <c r="W1635" i="31" a="1"/>
  <c r="W1635" i="31"/>
  <c r="V1635" i="31" a="1"/>
  <c r="V1635" i="31"/>
  <c r="X1635" i="31" a="1"/>
  <c r="X1635" i="31"/>
  <c r="U1634" i="31" a="1"/>
  <c r="U1634" i="31"/>
  <c r="W1634" i="31" a="1"/>
  <c r="W1634" i="31"/>
  <c r="V1634" i="31" a="1"/>
  <c r="V1634" i="31"/>
  <c r="X1634" i="31" a="1"/>
  <c r="X1634" i="31"/>
  <c r="U1633" i="31" a="1"/>
  <c r="U1633" i="31"/>
  <c r="W1633" i="31" a="1"/>
  <c r="W1633" i="31"/>
  <c r="V1633" i="31" a="1"/>
  <c r="V1633" i="31"/>
  <c r="X1633" i="31" a="1"/>
  <c r="X1633" i="31"/>
  <c r="U1632" i="31" a="1"/>
  <c r="U1632" i="31"/>
  <c r="W1632" i="31" a="1"/>
  <c r="W1632" i="31"/>
  <c r="V1632" i="31" a="1"/>
  <c r="V1632" i="31"/>
  <c r="X1632" i="31" a="1"/>
  <c r="X1632" i="31"/>
  <c r="U1631" i="31" a="1"/>
  <c r="U1631" i="31"/>
  <c r="W1631" i="31" a="1"/>
  <c r="W1631" i="31"/>
  <c r="V1631" i="31" a="1"/>
  <c r="V1631" i="31"/>
  <c r="X1631" i="31" a="1"/>
  <c r="X1631" i="31"/>
  <c r="U1630" i="31" a="1"/>
  <c r="U1630" i="31"/>
  <c r="W1630" i="31" a="1"/>
  <c r="W1630" i="31"/>
  <c r="V1630" i="31" a="1"/>
  <c r="V1630" i="31"/>
  <c r="X1630" i="31" a="1"/>
  <c r="X1630" i="31"/>
  <c r="U1629" i="31" a="1"/>
  <c r="U1629" i="31"/>
  <c r="W1629" i="31" a="1"/>
  <c r="W1629" i="31"/>
  <c r="V1629" i="31" a="1"/>
  <c r="V1629" i="31"/>
  <c r="X1629" i="31" a="1"/>
  <c r="X1629" i="31"/>
  <c r="U1628" i="31" a="1"/>
  <c r="U1628" i="31"/>
  <c r="W1628" i="31" a="1"/>
  <c r="W1628" i="31"/>
  <c r="V1628" i="31" a="1"/>
  <c r="V1628" i="31"/>
  <c r="X1628" i="31" a="1"/>
  <c r="X1628" i="31"/>
  <c r="U1627" i="31" a="1"/>
  <c r="U1627" i="31"/>
  <c r="W1627" i="31" a="1"/>
  <c r="W1627" i="31"/>
  <c r="V1627" i="31" a="1"/>
  <c r="V1627" i="31"/>
  <c r="X1627" i="31" a="1"/>
  <c r="X1627" i="31"/>
  <c r="U1626" i="31" a="1"/>
  <c r="U1626" i="31"/>
  <c r="W1626" i="31" a="1"/>
  <c r="W1626" i="31"/>
  <c r="V1626" i="31" a="1"/>
  <c r="V1626" i="31"/>
  <c r="X1626" i="31" a="1"/>
  <c r="X1626" i="31"/>
  <c r="U1625" i="31" a="1"/>
  <c r="U1625" i="31"/>
  <c r="W1625" i="31" a="1"/>
  <c r="W1625" i="31"/>
  <c r="V1625" i="31" a="1"/>
  <c r="V1625" i="31"/>
  <c r="X1625" i="31" a="1"/>
  <c r="X1625" i="31"/>
  <c r="U1624" i="31" a="1"/>
  <c r="U1624" i="31"/>
  <c r="W1624" i="31" a="1"/>
  <c r="W1624" i="31"/>
  <c r="V1624" i="31" a="1"/>
  <c r="V1624" i="31"/>
  <c r="X1624" i="31" a="1"/>
  <c r="X1624" i="31"/>
  <c r="U1623" i="31" a="1"/>
  <c r="U1623" i="31"/>
  <c r="W1623" i="31" a="1"/>
  <c r="W1623" i="31"/>
  <c r="V1623" i="31" a="1"/>
  <c r="V1623" i="31"/>
  <c r="X1623" i="31" a="1"/>
  <c r="X1623" i="31"/>
  <c r="U1622" i="31" a="1"/>
  <c r="U1622" i="31"/>
  <c r="W1622" i="31" a="1"/>
  <c r="W1622" i="31"/>
  <c r="V1622" i="31" a="1"/>
  <c r="V1622" i="31"/>
  <c r="X1622" i="31" a="1"/>
  <c r="X1622" i="31"/>
  <c r="U1621" i="31" a="1"/>
  <c r="U1621" i="31"/>
  <c r="W1621" i="31" a="1"/>
  <c r="W1621" i="31"/>
  <c r="V1621" i="31" a="1"/>
  <c r="V1621" i="31"/>
  <c r="X1621" i="31" a="1"/>
  <c r="X1621" i="31"/>
  <c r="U1620" i="31" a="1"/>
  <c r="U1620" i="31"/>
  <c r="W1620" i="31" a="1"/>
  <c r="W1620" i="31"/>
  <c r="V1620" i="31" a="1"/>
  <c r="V1620" i="31"/>
  <c r="X1620" i="31" a="1"/>
  <c r="X1620" i="31"/>
  <c r="U1619" i="31" a="1"/>
  <c r="U1619" i="31"/>
  <c r="W1619" i="31" a="1"/>
  <c r="W1619" i="31"/>
  <c r="V1619" i="31" a="1"/>
  <c r="V1619" i="31"/>
  <c r="X1619" i="31" a="1"/>
  <c r="X1619" i="31"/>
  <c r="U1618" i="31" a="1"/>
  <c r="U1618" i="31"/>
  <c r="W1618" i="31" a="1"/>
  <c r="W1618" i="31"/>
  <c r="V1618" i="31" a="1"/>
  <c r="V1618" i="31"/>
  <c r="X1618" i="31" a="1"/>
  <c r="X1618" i="31"/>
  <c r="U1617" i="31" a="1"/>
  <c r="U1617" i="31"/>
  <c r="W1617" i="31" a="1"/>
  <c r="W1617" i="31"/>
  <c r="V1617" i="31" a="1"/>
  <c r="V1617" i="31"/>
  <c r="X1617" i="31" a="1"/>
  <c r="X1617" i="31"/>
  <c r="U1616" i="31" a="1"/>
  <c r="U1616" i="31"/>
  <c r="W1616" i="31" a="1"/>
  <c r="W1616" i="31"/>
  <c r="V1616" i="31" a="1"/>
  <c r="V1616" i="31"/>
  <c r="X1616" i="31" a="1"/>
  <c r="X1616" i="31"/>
  <c r="U1615" i="31" a="1"/>
  <c r="U1615" i="31"/>
  <c r="W1615" i="31" a="1"/>
  <c r="W1615" i="31"/>
  <c r="V1615" i="31" a="1"/>
  <c r="V1615" i="31"/>
  <c r="X1615" i="31" a="1"/>
  <c r="X1615" i="31"/>
  <c r="U1614" i="31" a="1"/>
  <c r="U1614" i="31"/>
  <c r="W1614" i="31" a="1"/>
  <c r="W1614" i="31"/>
  <c r="V1614" i="31" a="1"/>
  <c r="V1614" i="31"/>
  <c r="X1614" i="31" a="1"/>
  <c r="X1614" i="31"/>
  <c r="U1613" i="31" a="1"/>
  <c r="U1613" i="31"/>
  <c r="W1613" i="31" a="1"/>
  <c r="W1613" i="31"/>
  <c r="V1613" i="31" a="1"/>
  <c r="V1613" i="31"/>
  <c r="X1613" i="31" a="1"/>
  <c r="X1613" i="31"/>
  <c r="U1612" i="31" a="1"/>
  <c r="U1612" i="31"/>
  <c r="W1612" i="31" a="1"/>
  <c r="W1612" i="31"/>
  <c r="V1612" i="31" a="1"/>
  <c r="V1612" i="31"/>
  <c r="X1612" i="31" a="1"/>
  <c r="X1612" i="31"/>
  <c r="U1611" i="31" a="1"/>
  <c r="U1611" i="31"/>
  <c r="W1611" i="31" a="1"/>
  <c r="W1611" i="31"/>
  <c r="V1611" i="31" a="1"/>
  <c r="V1611" i="31"/>
  <c r="X1611" i="31" a="1"/>
  <c r="X1611" i="31"/>
  <c r="U1610" i="31" a="1"/>
  <c r="U1610" i="31"/>
  <c r="W1610" i="31" a="1"/>
  <c r="W1610" i="31"/>
  <c r="V1610" i="31" a="1"/>
  <c r="V1610" i="31"/>
  <c r="X1610" i="31" a="1"/>
  <c r="X1610" i="31"/>
  <c r="U1609" i="31" a="1"/>
  <c r="U1609" i="31"/>
  <c r="W1609" i="31" a="1"/>
  <c r="W1609" i="31"/>
  <c r="V1609" i="31" a="1"/>
  <c r="V1609" i="31"/>
  <c r="X1609" i="31" a="1"/>
  <c r="X1609" i="31"/>
  <c r="U1608" i="31" a="1"/>
  <c r="U1608" i="31"/>
  <c r="W1608" i="31" a="1"/>
  <c r="W1608" i="31"/>
  <c r="V1608" i="31" a="1"/>
  <c r="V1608" i="31"/>
  <c r="X1608" i="31" a="1"/>
  <c r="X1608" i="31"/>
  <c r="U1607" i="31" a="1"/>
  <c r="U1607" i="31"/>
  <c r="W1607" i="31" a="1"/>
  <c r="W1607" i="31"/>
  <c r="V1607" i="31" a="1"/>
  <c r="V1607" i="31"/>
  <c r="X1607" i="31" a="1"/>
  <c r="X1607" i="31"/>
  <c r="U1606" i="31" a="1"/>
  <c r="U1606" i="31"/>
  <c r="W1606" i="31" a="1"/>
  <c r="W1606" i="31"/>
  <c r="V1606" i="31" a="1"/>
  <c r="V1606" i="31"/>
  <c r="X1606" i="31" a="1"/>
  <c r="X1606" i="31"/>
  <c r="U1605" i="31" a="1"/>
  <c r="U1605" i="31"/>
  <c r="W1605" i="31" a="1"/>
  <c r="W1605" i="31"/>
  <c r="V1605" i="31" a="1"/>
  <c r="V1605" i="31"/>
  <c r="X1605" i="31" a="1"/>
  <c r="X1605" i="31"/>
  <c r="U1604" i="31" a="1"/>
  <c r="U1604" i="31"/>
  <c r="W1604" i="31" a="1"/>
  <c r="W1604" i="31"/>
  <c r="V1604" i="31" a="1"/>
  <c r="V1604" i="31"/>
  <c r="X1604" i="31" a="1"/>
  <c r="X1604" i="31"/>
  <c r="U1603" i="31" a="1"/>
  <c r="U1603" i="31"/>
  <c r="W1603" i="31" a="1"/>
  <c r="W1603" i="31"/>
  <c r="V1603" i="31" a="1"/>
  <c r="V1603" i="31"/>
  <c r="X1603" i="31" a="1"/>
  <c r="X1603" i="31"/>
  <c r="U1602" i="31" a="1"/>
  <c r="U1602" i="31"/>
  <c r="W1602" i="31" a="1"/>
  <c r="W1602" i="31"/>
  <c r="V1602" i="31" a="1"/>
  <c r="V1602" i="31"/>
  <c r="X1602" i="31" a="1"/>
  <c r="X1602" i="31"/>
  <c r="U1601" i="31" a="1"/>
  <c r="U1601" i="31"/>
  <c r="W1601" i="31" a="1"/>
  <c r="W1601" i="31"/>
  <c r="V1601" i="31" a="1"/>
  <c r="V1601" i="31"/>
  <c r="X1601" i="31" a="1"/>
  <c r="X1601" i="31"/>
  <c r="U1600" i="31" a="1"/>
  <c r="U1600" i="31"/>
  <c r="W1600" i="31" a="1"/>
  <c r="W1600" i="31"/>
  <c r="V1600" i="31" a="1"/>
  <c r="V1600" i="31"/>
  <c r="X1600" i="31" a="1"/>
  <c r="X1600" i="31"/>
  <c r="U1599" i="31" a="1"/>
  <c r="U1599" i="31"/>
  <c r="W1599" i="31" a="1"/>
  <c r="W1599" i="31"/>
  <c r="V1599" i="31" a="1"/>
  <c r="V1599" i="31"/>
  <c r="X1599" i="31" a="1"/>
  <c r="X1599" i="31"/>
  <c r="U1598" i="31" a="1"/>
  <c r="U1598" i="31"/>
  <c r="W1598" i="31" a="1"/>
  <c r="W1598" i="31"/>
  <c r="V1598" i="31" a="1"/>
  <c r="V1598" i="31"/>
  <c r="X1598" i="31" a="1"/>
  <c r="X1598" i="31"/>
  <c r="U1597" i="31" a="1"/>
  <c r="U1597" i="31"/>
  <c r="W1597" i="31" a="1"/>
  <c r="W1597" i="31"/>
  <c r="V1597" i="31" a="1"/>
  <c r="V1597" i="31"/>
  <c r="X1597" i="31" a="1"/>
  <c r="X1597" i="31"/>
  <c r="U1596" i="31" a="1"/>
  <c r="U1596" i="31"/>
  <c r="W1596" i="31" a="1"/>
  <c r="W1596" i="31"/>
  <c r="V1596" i="31" a="1"/>
  <c r="V1596" i="31"/>
  <c r="X1596" i="31" a="1"/>
  <c r="X1596" i="31"/>
  <c r="U1595" i="31" a="1"/>
  <c r="U1595" i="31"/>
  <c r="W1595" i="31" a="1"/>
  <c r="W1595" i="31"/>
  <c r="V1595" i="31" a="1"/>
  <c r="V1595" i="31"/>
  <c r="X1595" i="31" a="1"/>
  <c r="X1595" i="31"/>
  <c r="U1594" i="31" a="1"/>
  <c r="U1594" i="31"/>
  <c r="W1594" i="31" a="1"/>
  <c r="W1594" i="31"/>
  <c r="V1594" i="31" a="1"/>
  <c r="V1594" i="31"/>
  <c r="X1594" i="31" a="1"/>
  <c r="X1594" i="31"/>
  <c r="U1593" i="31" a="1"/>
  <c r="U1593" i="31"/>
  <c r="W1593" i="31" a="1"/>
  <c r="W1593" i="31"/>
  <c r="V1593" i="31" a="1"/>
  <c r="V1593" i="31"/>
  <c r="X1593" i="31" a="1"/>
  <c r="X1593" i="31"/>
  <c r="U1592" i="31" a="1"/>
  <c r="U1592" i="31"/>
  <c r="W1592" i="31" a="1"/>
  <c r="W1592" i="31"/>
  <c r="V1592" i="31" a="1"/>
  <c r="V1592" i="31"/>
  <c r="X1592" i="31" a="1"/>
  <c r="X1592" i="31"/>
  <c r="U1591" i="31" a="1"/>
  <c r="U1591" i="31"/>
  <c r="W1591" i="31" a="1"/>
  <c r="W1591" i="31"/>
  <c r="V1591" i="31" a="1"/>
  <c r="V1591" i="31"/>
  <c r="X1591" i="31" a="1"/>
  <c r="X1591" i="31"/>
  <c r="U1590" i="31" a="1"/>
  <c r="U1590" i="31"/>
  <c r="W1590" i="31" a="1"/>
  <c r="W1590" i="31"/>
  <c r="V1590" i="31" a="1"/>
  <c r="V1590" i="31"/>
  <c r="X1590" i="31" a="1"/>
  <c r="X1590" i="31"/>
  <c r="U1589" i="31" a="1"/>
  <c r="U1589" i="31"/>
  <c r="W1589" i="31" a="1"/>
  <c r="W1589" i="31"/>
  <c r="V1589" i="31" a="1"/>
  <c r="V1589" i="31"/>
  <c r="X1589" i="31" a="1"/>
  <c r="X1589" i="31"/>
  <c r="U1588" i="31" a="1"/>
  <c r="U1588" i="31"/>
  <c r="W1588" i="31" a="1"/>
  <c r="W1588" i="31"/>
  <c r="V1588" i="31" a="1"/>
  <c r="V1588" i="31"/>
  <c r="X1588" i="31" a="1"/>
  <c r="X1588" i="31"/>
  <c r="U1587" i="31" a="1"/>
  <c r="U1587" i="31"/>
  <c r="W1587" i="31" a="1"/>
  <c r="W1587" i="31"/>
  <c r="V1587" i="31" a="1"/>
  <c r="V1587" i="31"/>
  <c r="X1587" i="31" a="1"/>
  <c r="X1587" i="31"/>
  <c r="U1586" i="31" a="1"/>
  <c r="U1586" i="31"/>
  <c r="W1586" i="31" a="1"/>
  <c r="W1586" i="31"/>
  <c r="V1586" i="31" a="1"/>
  <c r="V1586" i="31"/>
  <c r="X1586" i="31" a="1"/>
  <c r="X1586" i="31"/>
  <c r="U1585" i="31" a="1"/>
  <c r="U1585" i="31"/>
  <c r="W1585" i="31" a="1"/>
  <c r="W1585" i="31"/>
  <c r="V1585" i="31" a="1"/>
  <c r="V1585" i="31"/>
  <c r="X1585" i="31" a="1"/>
  <c r="X1585" i="31"/>
  <c r="U1584" i="31" a="1"/>
  <c r="U1584" i="31"/>
  <c r="W1584" i="31" a="1"/>
  <c r="W1584" i="31"/>
  <c r="V1584" i="31" a="1"/>
  <c r="V1584" i="31"/>
  <c r="X1584" i="31" a="1"/>
  <c r="X1584" i="31"/>
  <c r="U1583" i="31" a="1"/>
  <c r="U1583" i="31"/>
  <c r="W1583" i="31" a="1"/>
  <c r="W1583" i="31"/>
  <c r="V1583" i="31" a="1"/>
  <c r="V1583" i="31"/>
  <c r="X1583" i="31" a="1"/>
  <c r="X1583" i="31"/>
  <c r="U1582" i="31" a="1"/>
  <c r="U1582" i="31"/>
  <c r="W1582" i="31" a="1"/>
  <c r="W1582" i="31"/>
  <c r="V1582" i="31" a="1"/>
  <c r="V1582" i="31"/>
  <c r="X1582" i="31" a="1"/>
  <c r="X1582" i="31"/>
  <c r="U1581" i="31" a="1"/>
  <c r="U1581" i="31"/>
  <c r="W1581" i="31" a="1"/>
  <c r="W1581" i="31"/>
  <c r="V1581" i="31" a="1"/>
  <c r="V1581" i="31"/>
  <c r="X1581" i="31" a="1"/>
  <c r="X1581" i="31"/>
  <c r="U1580" i="31" a="1"/>
  <c r="U1580" i="31"/>
  <c r="W1580" i="31" a="1"/>
  <c r="W1580" i="31"/>
  <c r="V1580" i="31" a="1"/>
  <c r="V1580" i="31"/>
  <c r="X1580" i="31" a="1"/>
  <c r="X1580" i="31"/>
  <c r="U1579" i="31" a="1"/>
  <c r="U1579" i="31"/>
  <c r="W1579" i="31" a="1"/>
  <c r="W1579" i="31"/>
  <c r="V1579" i="31" a="1"/>
  <c r="V1579" i="31"/>
  <c r="X1579" i="31" a="1"/>
  <c r="X1579" i="31"/>
  <c r="U1578" i="31" a="1"/>
  <c r="U1578" i="31"/>
  <c r="W1578" i="31" a="1"/>
  <c r="W1578" i="31"/>
  <c r="V1578" i="31" a="1"/>
  <c r="V1578" i="31"/>
  <c r="X1578" i="31" a="1"/>
  <c r="X1578" i="31"/>
  <c r="U1577" i="31" a="1"/>
  <c r="U1577" i="31"/>
  <c r="W1577" i="31" a="1"/>
  <c r="W1577" i="31"/>
  <c r="V1577" i="31" a="1"/>
  <c r="V1577" i="31"/>
  <c r="X1577" i="31" a="1"/>
  <c r="X1577" i="31"/>
  <c r="U1576" i="31" a="1"/>
  <c r="U1576" i="31"/>
  <c r="W1576" i="31" a="1"/>
  <c r="W1576" i="31"/>
  <c r="V1576" i="31" a="1"/>
  <c r="V1576" i="31"/>
  <c r="X1576" i="31" a="1"/>
  <c r="X1576" i="31"/>
  <c r="U1575" i="31" a="1"/>
  <c r="U1575" i="31"/>
  <c r="W1575" i="31" a="1"/>
  <c r="W1575" i="31"/>
  <c r="V1575" i="31" a="1"/>
  <c r="V1575" i="31"/>
  <c r="X1575" i="31" a="1"/>
  <c r="X1575" i="31"/>
  <c r="U1574" i="31" a="1"/>
  <c r="U1574" i="31"/>
  <c r="W1574" i="31" a="1"/>
  <c r="W1574" i="31"/>
  <c r="V1574" i="31" a="1"/>
  <c r="V1574" i="31"/>
  <c r="X1574" i="31" a="1"/>
  <c r="X1574" i="31"/>
  <c r="U1573" i="31" a="1"/>
  <c r="U1573" i="31"/>
  <c r="W1573" i="31" a="1"/>
  <c r="W1573" i="31"/>
  <c r="V1573" i="31" a="1"/>
  <c r="V1573" i="31"/>
  <c r="X1573" i="31" a="1"/>
  <c r="X1573" i="31"/>
  <c r="U1572" i="31" a="1"/>
  <c r="U1572" i="31"/>
  <c r="W1572" i="31" a="1"/>
  <c r="W1572" i="31"/>
  <c r="V1572" i="31" a="1"/>
  <c r="V1572" i="31"/>
  <c r="X1572" i="31" a="1"/>
  <c r="X1572" i="31"/>
  <c r="U1571" i="31" a="1"/>
  <c r="U1571" i="31"/>
  <c r="W1571" i="31" a="1"/>
  <c r="W1571" i="31"/>
  <c r="V1571" i="31" a="1"/>
  <c r="V1571" i="31"/>
  <c r="X1571" i="31" a="1"/>
  <c r="X1571" i="31"/>
  <c r="U1570" i="31" a="1"/>
  <c r="U1570" i="31"/>
  <c r="W1570" i="31" a="1"/>
  <c r="W1570" i="31"/>
  <c r="V1570" i="31" a="1"/>
  <c r="V1570" i="31"/>
  <c r="X1570" i="31" a="1"/>
  <c r="X1570" i="31"/>
  <c r="U1569" i="31" a="1"/>
  <c r="U1569" i="31"/>
  <c r="W1569" i="31" a="1"/>
  <c r="W1569" i="31"/>
  <c r="V1569" i="31" a="1"/>
  <c r="V1569" i="31"/>
  <c r="X1569" i="31" a="1"/>
  <c r="X1569" i="31"/>
  <c r="U1568" i="31" a="1"/>
  <c r="U1568" i="31"/>
  <c r="W1568" i="31" a="1"/>
  <c r="W1568" i="31"/>
  <c r="V1568" i="31" a="1"/>
  <c r="V1568" i="31"/>
  <c r="X1568" i="31" a="1"/>
  <c r="X1568" i="31"/>
  <c r="U1567" i="31" a="1"/>
  <c r="U1567" i="31"/>
  <c r="W1567" i="31" a="1"/>
  <c r="W1567" i="31"/>
  <c r="V1567" i="31" a="1"/>
  <c r="V1567" i="31"/>
  <c r="X1567" i="31" a="1"/>
  <c r="X1567" i="31"/>
  <c r="U1566" i="31" a="1"/>
  <c r="U1566" i="31"/>
  <c r="W1566" i="31" a="1"/>
  <c r="W1566" i="31"/>
  <c r="V1566" i="31" a="1"/>
  <c r="V1566" i="31"/>
  <c r="X1566" i="31" a="1"/>
  <c r="X1566" i="31"/>
  <c r="U1565" i="31" a="1"/>
  <c r="U1565" i="31"/>
  <c r="W1565" i="31" a="1"/>
  <c r="W1565" i="31"/>
  <c r="V1565" i="31" a="1"/>
  <c r="V1565" i="31"/>
  <c r="X1565" i="31" a="1"/>
  <c r="X1565" i="31"/>
  <c r="U1564" i="31" a="1"/>
  <c r="U1564" i="31"/>
  <c r="W1564" i="31" a="1"/>
  <c r="W1564" i="31"/>
  <c r="V1564" i="31" a="1"/>
  <c r="V1564" i="31"/>
  <c r="X1564" i="31" a="1"/>
  <c r="X1564" i="31"/>
  <c r="U1563" i="31" a="1"/>
  <c r="U1563" i="31"/>
  <c r="W1563" i="31" a="1"/>
  <c r="W1563" i="31"/>
  <c r="V1563" i="31" a="1"/>
  <c r="V1563" i="31"/>
  <c r="X1563" i="31" a="1"/>
  <c r="X1563" i="31"/>
  <c r="U1562" i="31" a="1"/>
  <c r="U1562" i="31"/>
  <c r="W1562" i="31" a="1"/>
  <c r="W1562" i="31"/>
  <c r="V1562" i="31" a="1"/>
  <c r="V1562" i="31"/>
  <c r="X1562" i="31" a="1"/>
  <c r="X1562" i="31"/>
  <c r="U1561" i="31" a="1"/>
  <c r="U1561" i="31"/>
  <c r="W1561" i="31" a="1"/>
  <c r="W1561" i="31"/>
  <c r="V1561" i="31" a="1"/>
  <c r="V1561" i="31"/>
  <c r="X1561" i="31" a="1"/>
  <c r="X1561" i="31"/>
  <c r="U1560" i="31" a="1"/>
  <c r="U1560" i="31"/>
  <c r="W1560" i="31" a="1"/>
  <c r="W1560" i="31"/>
  <c r="V1560" i="31" a="1"/>
  <c r="V1560" i="31"/>
  <c r="X1560" i="31" a="1"/>
  <c r="X1560" i="31"/>
  <c r="U1559" i="31" a="1"/>
  <c r="U1559" i="31"/>
  <c r="W1559" i="31" a="1"/>
  <c r="W1559" i="31"/>
  <c r="V1559" i="31" a="1"/>
  <c r="V1559" i="31"/>
  <c r="X1559" i="31" a="1"/>
  <c r="X1559" i="31"/>
  <c r="U1558" i="31" a="1"/>
  <c r="U1558" i="31"/>
  <c r="W1558" i="31" a="1"/>
  <c r="W1558" i="31"/>
  <c r="V1558" i="31" a="1"/>
  <c r="V1558" i="31"/>
  <c r="X1558" i="31" a="1"/>
  <c r="X1558" i="31"/>
  <c r="U1557" i="31" a="1"/>
  <c r="U1557" i="31"/>
  <c r="W1557" i="31" a="1"/>
  <c r="W1557" i="31"/>
  <c r="V1557" i="31" a="1"/>
  <c r="V1557" i="31"/>
  <c r="X1557" i="31" a="1"/>
  <c r="X1557" i="31"/>
  <c r="U1556" i="31" a="1"/>
  <c r="U1556" i="31"/>
  <c r="W1556" i="31" a="1"/>
  <c r="W1556" i="31"/>
  <c r="V1556" i="31" a="1"/>
  <c r="V1556" i="31"/>
  <c r="X1556" i="31" a="1"/>
  <c r="X1556" i="31"/>
  <c r="U1555" i="31" a="1"/>
  <c r="U1555" i="31"/>
  <c r="W1555" i="31" a="1"/>
  <c r="W1555" i="31"/>
  <c r="V1555" i="31" a="1"/>
  <c r="V1555" i="31"/>
  <c r="X1555" i="31" a="1"/>
  <c r="X1555" i="31"/>
  <c r="U1554" i="31" a="1"/>
  <c r="U1554" i="31"/>
  <c r="W1554" i="31" a="1"/>
  <c r="W1554" i="31"/>
  <c r="V1554" i="31" a="1"/>
  <c r="V1554" i="31"/>
  <c r="X1554" i="31" a="1"/>
  <c r="X1554" i="31"/>
  <c r="U1553" i="31" a="1"/>
  <c r="U1553" i="31"/>
  <c r="W1553" i="31" a="1"/>
  <c r="W1553" i="31"/>
  <c r="V1553" i="31" a="1"/>
  <c r="V1553" i="31"/>
  <c r="X1553" i="31" a="1"/>
  <c r="X1553" i="31"/>
  <c r="U1552" i="31" a="1"/>
  <c r="U1552" i="31"/>
  <c r="W1552" i="31" a="1"/>
  <c r="W1552" i="31"/>
  <c r="V1552" i="31" a="1"/>
  <c r="V1552" i="31"/>
  <c r="X1552" i="31" a="1"/>
  <c r="X1552" i="31"/>
  <c r="U1551" i="31" a="1"/>
  <c r="U1551" i="31"/>
  <c r="W1551" i="31" a="1"/>
  <c r="W1551" i="31"/>
  <c r="V1551" i="31" a="1"/>
  <c r="V1551" i="31"/>
  <c r="X1551" i="31" a="1"/>
  <c r="X1551" i="31"/>
  <c r="U1550" i="31" a="1"/>
  <c r="U1550" i="31"/>
  <c r="W1550" i="31" a="1"/>
  <c r="W1550" i="31"/>
  <c r="V1550" i="31" a="1"/>
  <c r="V1550" i="31"/>
  <c r="X1550" i="31" a="1"/>
  <c r="X1550" i="31"/>
  <c r="U1549" i="31" a="1"/>
  <c r="U1549" i="31"/>
  <c r="W1549" i="31" a="1"/>
  <c r="W1549" i="31"/>
  <c r="V1549" i="31" a="1"/>
  <c r="V1549" i="31"/>
  <c r="X1549" i="31" a="1"/>
  <c r="X1549" i="31"/>
  <c r="U1548" i="31" a="1"/>
  <c r="U1548" i="31"/>
  <c r="W1548" i="31" a="1"/>
  <c r="W1548" i="31"/>
  <c r="V1548" i="31" a="1"/>
  <c r="V1548" i="31"/>
  <c r="X1548" i="31" a="1"/>
  <c r="X1548" i="31"/>
  <c r="U1547" i="31" a="1"/>
  <c r="U1547" i="31"/>
  <c r="W1547" i="31" a="1"/>
  <c r="W1547" i="31"/>
  <c r="V1547" i="31" a="1"/>
  <c r="V1547" i="31"/>
  <c r="X1547" i="31" a="1"/>
  <c r="X1547" i="31"/>
  <c r="U1546" i="31" a="1"/>
  <c r="U1546" i="31"/>
  <c r="W1546" i="31" a="1"/>
  <c r="W1546" i="31"/>
  <c r="V1546" i="31" a="1"/>
  <c r="V1546" i="31"/>
  <c r="X1546" i="31" a="1"/>
  <c r="X1546" i="31"/>
  <c r="U1545" i="31" a="1"/>
  <c r="U1545" i="31"/>
  <c r="W1545" i="31" a="1"/>
  <c r="W1545" i="31"/>
  <c r="V1545" i="31" a="1"/>
  <c r="V1545" i="31"/>
  <c r="X1545" i="31" a="1"/>
  <c r="X1545" i="31"/>
  <c r="U1544" i="31" a="1"/>
  <c r="U1544" i="31"/>
  <c r="W1544" i="31" a="1"/>
  <c r="W1544" i="31"/>
  <c r="V1544" i="31" a="1"/>
  <c r="V1544" i="31"/>
  <c r="X1544" i="31" a="1"/>
  <c r="X1544" i="31"/>
  <c r="U1543" i="31" a="1"/>
  <c r="U1543" i="31"/>
  <c r="W1543" i="31" a="1"/>
  <c r="W1543" i="31"/>
  <c r="V1543" i="31" a="1"/>
  <c r="V1543" i="31"/>
  <c r="X1543" i="31" a="1"/>
  <c r="X1543" i="31"/>
  <c r="U1542" i="31" a="1"/>
  <c r="U1542" i="31"/>
  <c r="W1542" i="31" a="1"/>
  <c r="W1542" i="31"/>
  <c r="V1542" i="31" a="1"/>
  <c r="V1542" i="31"/>
  <c r="X1542" i="31" a="1"/>
  <c r="X1542" i="31"/>
  <c r="U1541" i="31" a="1"/>
  <c r="U1541" i="31"/>
  <c r="W1541" i="31" a="1"/>
  <c r="W1541" i="31"/>
  <c r="V1541" i="31" a="1"/>
  <c r="V1541" i="31"/>
  <c r="X1541" i="31" a="1"/>
  <c r="X1541" i="31"/>
  <c r="U1540" i="31" a="1"/>
  <c r="U1540" i="31"/>
  <c r="W1540" i="31" a="1"/>
  <c r="W1540" i="31"/>
  <c r="V1540" i="31" a="1"/>
  <c r="V1540" i="31"/>
  <c r="X1540" i="31" a="1"/>
  <c r="X1540" i="31"/>
  <c r="U1539" i="31" a="1"/>
  <c r="U1539" i="31"/>
  <c r="W1539" i="31" a="1"/>
  <c r="W1539" i="31"/>
  <c r="V1539" i="31" a="1"/>
  <c r="V1539" i="31"/>
  <c r="X1539" i="31" a="1"/>
  <c r="X1539" i="31"/>
  <c r="U1538" i="31" a="1"/>
  <c r="U1538" i="31"/>
  <c r="W1538" i="31" a="1"/>
  <c r="W1538" i="31"/>
  <c r="V1538" i="31" a="1"/>
  <c r="V1538" i="31"/>
  <c r="X1538" i="31" a="1"/>
  <c r="X1538" i="31"/>
  <c r="U1537" i="31" a="1"/>
  <c r="U1537" i="31"/>
  <c r="W1537" i="31" a="1"/>
  <c r="W1537" i="31"/>
  <c r="V1537" i="31" a="1"/>
  <c r="V1537" i="31"/>
  <c r="X1537" i="31" a="1"/>
  <c r="X1537" i="31"/>
  <c r="U1536" i="31" a="1"/>
  <c r="U1536" i="31"/>
  <c r="W1536" i="31" a="1"/>
  <c r="W1536" i="31"/>
  <c r="V1536" i="31" a="1"/>
  <c r="V1536" i="31"/>
  <c r="X1536" i="31" a="1"/>
  <c r="X1536" i="31"/>
  <c r="U1535" i="31" a="1"/>
  <c r="U1535" i="31"/>
  <c r="W1535" i="31" a="1"/>
  <c r="W1535" i="31"/>
  <c r="V1535" i="31" a="1"/>
  <c r="V1535" i="31"/>
  <c r="X1535" i="31" a="1"/>
  <c r="X1535" i="31"/>
  <c r="U1534" i="31" a="1"/>
  <c r="U1534" i="31"/>
  <c r="W1534" i="31" a="1"/>
  <c r="W1534" i="31"/>
  <c r="V1534" i="31" a="1"/>
  <c r="V1534" i="31"/>
  <c r="X1534" i="31" a="1"/>
  <c r="X1534" i="31"/>
  <c r="U1533" i="31" a="1"/>
  <c r="U1533" i="31"/>
  <c r="W1533" i="31" a="1"/>
  <c r="W1533" i="31"/>
  <c r="V1533" i="31" a="1"/>
  <c r="V1533" i="31"/>
  <c r="X1533" i="31" a="1"/>
  <c r="X1533" i="31"/>
  <c r="U1532" i="31" a="1"/>
  <c r="U1532" i="31"/>
  <c r="W1532" i="31" a="1"/>
  <c r="W1532" i="31"/>
  <c r="V1532" i="31" a="1"/>
  <c r="V1532" i="31"/>
  <c r="X1532" i="31" a="1"/>
  <c r="X1532" i="31"/>
  <c r="U1531" i="31" a="1"/>
  <c r="U1531" i="31"/>
  <c r="W1531" i="31" a="1"/>
  <c r="W1531" i="31"/>
  <c r="V1531" i="31" a="1"/>
  <c r="V1531" i="31"/>
  <c r="X1531" i="31" a="1"/>
  <c r="X1531" i="31"/>
  <c r="U1530" i="31" a="1"/>
  <c r="U1530" i="31"/>
  <c r="W1530" i="31" a="1"/>
  <c r="W1530" i="31"/>
  <c r="V1530" i="31" a="1"/>
  <c r="V1530" i="31"/>
  <c r="X1530" i="31" a="1"/>
  <c r="X1530" i="31"/>
  <c r="U1529" i="31" a="1"/>
  <c r="U1529" i="31"/>
  <c r="W1529" i="31" a="1"/>
  <c r="W1529" i="31"/>
  <c r="V1529" i="31" a="1"/>
  <c r="V1529" i="31"/>
  <c r="X1529" i="31" a="1"/>
  <c r="X1529" i="31"/>
  <c r="U1528" i="31" a="1"/>
  <c r="U1528" i="31"/>
  <c r="W1528" i="31" a="1"/>
  <c r="W1528" i="31"/>
  <c r="V1528" i="31" a="1"/>
  <c r="V1528" i="31"/>
  <c r="X1528" i="31" a="1"/>
  <c r="X1528" i="31"/>
  <c r="U1527" i="31" a="1"/>
  <c r="U1527" i="31"/>
  <c r="W1527" i="31" a="1"/>
  <c r="W1527" i="31"/>
  <c r="V1527" i="31" a="1"/>
  <c r="V1527" i="31"/>
  <c r="X1527" i="31" a="1"/>
  <c r="X1527" i="31"/>
  <c r="U1526" i="31" a="1"/>
  <c r="U1526" i="31"/>
  <c r="W1526" i="31" a="1"/>
  <c r="W1526" i="31"/>
  <c r="V1526" i="31" a="1"/>
  <c r="V1526" i="31"/>
  <c r="X1526" i="31" a="1"/>
  <c r="X1526" i="31"/>
  <c r="U1525" i="31" a="1"/>
  <c r="U1525" i="31"/>
  <c r="W1525" i="31" a="1"/>
  <c r="W1525" i="31"/>
  <c r="V1525" i="31" a="1"/>
  <c r="V1525" i="31"/>
  <c r="X1525" i="31" a="1"/>
  <c r="X1525" i="31"/>
  <c r="U1524" i="31" a="1"/>
  <c r="U1524" i="31"/>
  <c r="W1524" i="31" a="1"/>
  <c r="W1524" i="31"/>
  <c r="V1524" i="31" a="1"/>
  <c r="V1524" i="31"/>
  <c r="X1524" i="31" a="1"/>
  <c r="X1524" i="31"/>
  <c r="U1523" i="31" a="1"/>
  <c r="U1523" i="31"/>
  <c r="W1523" i="31" a="1"/>
  <c r="W1523" i="31"/>
  <c r="V1523" i="31" a="1"/>
  <c r="V1523" i="31"/>
  <c r="X1523" i="31" a="1"/>
  <c r="X1523" i="31"/>
  <c r="U1522" i="31" a="1"/>
  <c r="U1522" i="31"/>
  <c r="W1522" i="31" a="1"/>
  <c r="W1522" i="31"/>
  <c r="V1522" i="31" a="1"/>
  <c r="V1522" i="31"/>
  <c r="X1522" i="31" a="1"/>
  <c r="X1522" i="31"/>
  <c r="U1521" i="31" a="1"/>
  <c r="U1521" i="31"/>
  <c r="W1521" i="31" a="1"/>
  <c r="W1521" i="31"/>
  <c r="V1521" i="31" a="1"/>
  <c r="V1521" i="31"/>
  <c r="X1521" i="31" a="1"/>
  <c r="X1521" i="31"/>
  <c r="U1520" i="31" a="1"/>
  <c r="U1520" i="31"/>
  <c r="W1520" i="31" a="1"/>
  <c r="W1520" i="31"/>
  <c r="V1520" i="31" a="1"/>
  <c r="V1520" i="31"/>
  <c r="X1520" i="31" a="1"/>
  <c r="X1520" i="31"/>
  <c r="U1519" i="31" a="1"/>
  <c r="U1519" i="31"/>
  <c r="W1519" i="31" a="1"/>
  <c r="W1519" i="31"/>
  <c r="V1519" i="31" a="1"/>
  <c r="V1519" i="31"/>
  <c r="X1519" i="31" a="1"/>
  <c r="X1519" i="31"/>
  <c r="U1518" i="31" a="1"/>
  <c r="U1518" i="31"/>
  <c r="W1518" i="31" a="1"/>
  <c r="W1518" i="31"/>
  <c r="V1518" i="31" a="1"/>
  <c r="V1518" i="31"/>
  <c r="X1518" i="31" a="1"/>
  <c r="X1518" i="31"/>
  <c r="U1517" i="31" a="1"/>
  <c r="U1517" i="31"/>
  <c r="W1517" i="31" a="1"/>
  <c r="W1517" i="31"/>
  <c r="V1517" i="31" a="1"/>
  <c r="V1517" i="31"/>
  <c r="X1517" i="31" a="1"/>
  <c r="X1517" i="31"/>
  <c r="U1516" i="31" a="1"/>
  <c r="U1516" i="31"/>
  <c r="W1516" i="31" a="1"/>
  <c r="W1516" i="31"/>
  <c r="V1516" i="31" a="1"/>
  <c r="V1516" i="31"/>
  <c r="X1516" i="31" a="1"/>
  <c r="X1516" i="31"/>
  <c r="U1515" i="31" a="1"/>
  <c r="U1515" i="31"/>
  <c r="W1515" i="31" a="1"/>
  <c r="W1515" i="31"/>
  <c r="V1515" i="31" a="1"/>
  <c r="V1515" i="31"/>
  <c r="X1515" i="31" a="1"/>
  <c r="X1515" i="31"/>
  <c r="U1514" i="31" a="1"/>
  <c r="U1514" i="31"/>
  <c r="W1514" i="31" a="1"/>
  <c r="W1514" i="31"/>
  <c r="V1514" i="31" a="1"/>
  <c r="V1514" i="31"/>
  <c r="X1514" i="31" a="1"/>
  <c r="X1514" i="31"/>
  <c r="U1513" i="31" a="1"/>
  <c r="U1513" i="31"/>
  <c r="W1513" i="31" a="1"/>
  <c r="W1513" i="31"/>
  <c r="V1513" i="31" a="1"/>
  <c r="V1513" i="31"/>
  <c r="X1513" i="31" a="1"/>
  <c r="X1513" i="31"/>
  <c r="U1512" i="31" a="1"/>
  <c r="U1512" i="31"/>
  <c r="W1512" i="31" a="1"/>
  <c r="W1512" i="31"/>
  <c r="V1512" i="31" a="1"/>
  <c r="V1512" i="31"/>
  <c r="X1512" i="31" a="1"/>
  <c r="X1512" i="31"/>
  <c r="U1511" i="31" a="1"/>
  <c r="U1511" i="31"/>
  <c r="W1511" i="31" a="1"/>
  <c r="W1511" i="31"/>
  <c r="V1511" i="31" a="1"/>
  <c r="V1511" i="31"/>
  <c r="X1511" i="31" a="1"/>
  <c r="X1511" i="31"/>
  <c r="U1510" i="31" a="1"/>
  <c r="U1510" i="31"/>
  <c r="W1510" i="31" a="1"/>
  <c r="W1510" i="31"/>
  <c r="V1510" i="31" a="1"/>
  <c r="V1510" i="31"/>
  <c r="X1510" i="31" a="1"/>
  <c r="X1510" i="31"/>
  <c r="U1509" i="31" a="1"/>
  <c r="U1509" i="31"/>
  <c r="W1509" i="31" a="1"/>
  <c r="W1509" i="31"/>
  <c r="V1509" i="31" a="1"/>
  <c r="V1509" i="31"/>
  <c r="X1509" i="31" a="1"/>
  <c r="X1509" i="31"/>
  <c r="U1508" i="31" a="1"/>
  <c r="U1508" i="31"/>
  <c r="W1508" i="31" a="1"/>
  <c r="W1508" i="31"/>
  <c r="V1508" i="31" a="1"/>
  <c r="V1508" i="31"/>
  <c r="X1508" i="31" a="1"/>
  <c r="X1508" i="31"/>
  <c r="U1507" i="31" a="1"/>
  <c r="U1507" i="31"/>
  <c r="W1507" i="31" a="1"/>
  <c r="W1507" i="31"/>
  <c r="V1507" i="31" a="1"/>
  <c r="V1507" i="31"/>
  <c r="X1507" i="31" a="1"/>
  <c r="X1507" i="31"/>
  <c r="U1506" i="31" a="1"/>
  <c r="U1506" i="31"/>
  <c r="W1506" i="31" a="1"/>
  <c r="W1506" i="31"/>
  <c r="V1506" i="31" a="1"/>
  <c r="V1506" i="31"/>
  <c r="X1506" i="31" a="1"/>
  <c r="X1506" i="31"/>
  <c r="U1505" i="31" a="1"/>
  <c r="U1505" i="31"/>
  <c r="W1505" i="31" a="1"/>
  <c r="W1505" i="31"/>
  <c r="V1505" i="31" a="1"/>
  <c r="V1505" i="31"/>
  <c r="X1505" i="31" a="1"/>
  <c r="X1505" i="31"/>
  <c r="U1504" i="31" a="1"/>
  <c r="U1504" i="31"/>
  <c r="W1504" i="31" a="1"/>
  <c r="W1504" i="31"/>
  <c r="V1504" i="31" a="1"/>
  <c r="V1504" i="31"/>
  <c r="X1504" i="31" a="1"/>
  <c r="X1504" i="31"/>
  <c r="U1503" i="31" a="1"/>
  <c r="U1503" i="31"/>
  <c r="W1503" i="31" a="1"/>
  <c r="W1503" i="31"/>
  <c r="V1503" i="31" a="1"/>
  <c r="V1503" i="31"/>
  <c r="X1503" i="31" a="1"/>
  <c r="X1503" i="31"/>
  <c r="U1502" i="31" a="1"/>
  <c r="U1502" i="31"/>
  <c r="W1502" i="31" a="1"/>
  <c r="W1502" i="31"/>
  <c r="V1502" i="31" a="1"/>
  <c r="V1502" i="31"/>
  <c r="X1502" i="31" a="1"/>
  <c r="X1502" i="31"/>
  <c r="U1501" i="31" a="1"/>
  <c r="U1501" i="31"/>
  <c r="W1501" i="31" a="1"/>
  <c r="W1501" i="31"/>
  <c r="V1501" i="31" a="1"/>
  <c r="V1501" i="31"/>
  <c r="X1501" i="31" a="1"/>
  <c r="X1501" i="31"/>
  <c r="U1500" i="31" a="1"/>
  <c r="U1500" i="31"/>
  <c r="W1500" i="31" a="1"/>
  <c r="W1500" i="31"/>
  <c r="V1500" i="31" a="1"/>
  <c r="V1500" i="31"/>
  <c r="X1500" i="31" a="1"/>
  <c r="X1500" i="31"/>
  <c r="U1499" i="31" a="1"/>
  <c r="U1499" i="31"/>
  <c r="W1499" i="31" a="1"/>
  <c r="W1499" i="31"/>
  <c r="V1499" i="31" a="1"/>
  <c r="V1499" i="31"/>
  <c r="X1499" i="31" a="1"/>
  <c r="X1499" i="31"/>
  <c r="U1498" i="31" a="1"/>
  <c r="U1498" i="31"/>
  <c r="W1498" i="31" a="1"/>
  <c r="W1498" i="31"/>
  <c r="V1498" i="31" a="1"/>
  <c r="V1498" i="31"/>
  <c r="X1498" i="31" a="1"/>
  <c r="X1498" i="31"/>
  <c r="U1497" i="31" a="1"/>
  <c r="U1497" i="31"/>
  <c r="W1497" i="31" a="1"/>
  <c r="W1497" i="31"/>
  <c r="V1497" i="31" a="1"/>
  <c r="V1497" i="31"/>
  <c r="X1497" i="31" a="1"/>
  <c r="X1497" i="31"/>
  <c r="U1496" i="31" a="1"/>
  <c r="U1496" i="31"/>
  <c r="W1496" i="31" a="1"/>
  <c r="W1496" i="31"/>
  <c r="V1496" i="31" a="1"/>
  <c r="V1496" i="31"/>
  <c r="X1496" i="31" a="1"/>
  <c r="X1496" i="31"/>
  <c r="U1495" i="31" a="1"/>
  <c r="U1495" i="31"/>
  <c r="W1495" i="31" a="1"/>
  <c r="W1495" i="31"/>
  <c r="V1495" i="31" a="1"/>
  <c r="V1495" i="31"/>
  <c r="X1495" i="31" a="1"/>
  <c r="X1495" i="31"/>
  <c r="U1494" i="31" a="1"/>
  <c r="U1494" i="31"/>
  <c r="W1494" i="31" a="1"/>
  <c r="W1494" i="31"/>
  <c r="V1494" i="31" a="1"/>
  <c r="V1494" i="31"/>
  <c r="X1494" i="31" a="1"/>
  <c r="X1494" i="31"/>
  <c r="U1493" i="31" a="1"/>
  <c r="U1493" i="31"/>
  <c r="W1493" i="31" a="1"/>
  <c r="W1493" i="31"/>
  <c r="V1493" i="31" a="1"/>
  <c r="V1493" i="31"/>
  <c r="X1493" i="31" a="1"/>
  <c r="X1493" i="31"/>
  <c r="U1492" i="31" a="1"/>
  <c r="U1492" i="31"/>
  <c r="W1492" i="31" a="1"/>
  <c r="W1492" i="31"/>
  <c r="V1492" i="31" a="1"/>
  <c r="V1492" i="31"/>
  <c r="X1492" i="31" a="1"/>
  <c r="X1492" i="31"/>
  <c r="U1491" i="31" a="1"/>
  <c r="U1491" i="31"/>
  <c r="W1491" i="31" a="1"/>
  <c r="W1491" i="31"/>
  <c r="V1491" i="31" a="1"/>
  <c r="V1491" i="31"/>
  <c r="X1491" i="31" a="1"/>
  <c r="X1491" i="31"/>
  <c r="U1490" i="31" a="1"/>
  <c r="U1490" i="31"/>
  <c r="W1490" i="31" a="1"/>
  <c r="W1490" i="31"/>
  <c r="V1490" i="31" a="1"/>
  <c r="V1490" i="31"/>
  <c r="X1490" i="31" a="1"/>
  <c r="X1490" i="31"/>
  <c r="U1489" i="31" a="1"/>
  <c r="U1489" i="31"/>
  <c r="W1489" i="31" a="1"/>
  <c r="W1489" i="31"/>
  <c r="V1489" i="31" a="1"/>
  <c r="V1489" i="31"/>
  <c r="X1489" i="31" a="1"/>
  <c r="X1489" i="31"/>
  <c r="U1488" i="31" a="1"/>
  <c r="U1488" i="31"/>
  <c r="W1488" i="31" a="1"/>
  <c r="W1488" i="31"/>
  <c r="V1488" i="31" a="1"/>
  <c r="V1488" i="31"/>
  <c r="X1488" i="31" a="1"/>
  <c r="X1488" i="31"/>
  <c r="U1487" i="31" a="1"/>
  <c r="U1487" i="31"/>
  <c r="W1487" i="31" a="1"/>
  <c r="W1487" i="31"/>
  <c r="V1487" i="31" a="1"/>
  <c r="V1487" i="31"/>
  <c r="X1487" i="31" a="1"/>
  <c r="X1487" i="31"/>
  <c r="U1486" i="31" a="1"/>
  <c r="U1486" i="31"/>
  <c r="W1486" i="31" a="1"/>
  <c r="W1486" i="31"/>
  <c r="V1486" i="31" a="1"/>
  <c r="V1486" i="31"/>
  <c r="X1486" i="31" a="1"/>
  <c r="X1486" i="31"/>
  <c r="U1485" i="31" a="1"/>
  <c r="U1485" i="31"/>
  <c r="W1485" i="31" a="1"/>
  <c r="W1485" i="31"/>
  <c r="V1485" i="31" a="1"/>
  <c r="V1485" i="31"/>
  <c r="X1485" i="31" a="1"/>
  <c r="X1485" i="31"/>
  <c r="U1484" i="31" a="1"/>
  <c r="U1484" i="31"/>
  <c r="W1484" i="31" a="1"/>
  <c r="W1484" i="31"/>
  <c r="V1484" i="31" a="1"/>
  <c r="V1484" i="31"/>
  <c r="X1484" i="31" a="1"/>
  <c r="X1484" i="31"/>
  <c r="U1483" i="31" a="1"/>
  <c r="U1483" i="31"/>
  <c r="W1483" i="31" a="1"/>
  <c r="W1483" i="31"/>
  <c r="V1483" i="31" a="1"/>
  <c r="V1483" i="31"/>
  <c r="X1483" i="31" a="1"/>
  <c r="X1483" i="31"/>
  <c r="U1482" i="31" a="1"/>
  <c r="U1482" i="31"/>
  <c r="W1482" i="31" a="1"/>
  <c r="W1482" i="31"/>
  <c r="V1482" i="31" a="1"/>
  <c r="V1482" i="31"/>
  <c r="X1482" i="31" a="1"/>
  <c r="X1482" i="31"/>
  <c r="U1481" i="31" a="1"/>
  <c r="U1481" i="31"/>
  <c r="W1481" i="31" a="1"/>
  <c r="W1481" i="31"/>
  <c r="V1481" i="31" a="1"/>
  <c r="V1481" i="31"/>
  <c r="X1481" i="31" a="1"/>
  <c r="X1481" i="31"/>
  <c r="U1480" i="31" a="1"/>
  <c r="U1480" i="31"/>
  <c r="W1480" i="31" a="1"/>
  <c r="W1480" i="31"/>
  <c r="V1480" i="31" a="1"/>
  <c r="V1480" i="31"/>
  <c r="X1480" i="31" a="1"/>
  <c r="X1480" i="31"/>
  <c r="U1479" i="31" a="1"/>
  <c r="U1479" i="31"/>
  <c r="W1479" i="31" a="1"/>
  <c r="W1479" i="31"/>
  <c r="V1479" i="31" a="1"/>
  <c r="V1479" i="31"/>
  <c r="X1479" i="31" a="1"/>
  <c r="X1479" i="31"/>
  <c r="U1478" i="31" a="1"/>
  <c r="U1478" i="31"/>
  <c r="W1478" i="31" a="1"/>
  <c r="W1478" i="31"/>
  <c r="V1478" i="31" a="1"/>
  <c r="V1478" i="31"/>
  <c r="X1478" i="31" a="1"/>
  <c r="X1478" i="31"/>
  <c r="U1477" i="31" a="1"/>
  <c r="U1477" i="31"/>
  <c r="W1477" i="31" a="1"/>
  <c r="W1477" i="31"/>
  <c r="V1477" i="31" a="1"/>
  <c r="V1477" i="31"/>
  <c r="X1477" i="31" a="1"/>
  <c r="X1477" i="31"/>
  <c r="U1476" i="31" a="1"/>
  <c r="U1476" i="31"/>
  <c r="W1476" i="31" a="1"/>
  <c r="W1476" i="31"/>
  <c r="V1476" i="31" a="1"/>
  <c r="V1476" i="31"/>
  <c r="X1476" i="31" a="1"/>
  <c r="X1476" i="31"/>
  <c r="U1475" i="31" a="1"/>
  <c r="U1475" i="31"/>
  <c r="W1475" i="31" a="1"/>
  <c r="W1475" i="31"/>
  <c r="V1475" i="31" a="1"/>
  <c r="V1475" i="31"/>
  <c r="X1475" i="31" a="1"/>
  <c r="X1475" i="31"/>
  <c r="U1474" i="31" a="1"/>
  <c r="U1474" i="31"/>
  <c r="W1474" i="31" a="1"/>
  <c r="W1474" i="31"/>
  <c r="V1474" i="31" a="1"/>
  <c r="V1474" i="31"/>
  <c r="X1474" i="31" a="1"/>
  <c r="X1474" i="31"/>
  <c r="U1473" i="31" a="1"/>
  <c r="U1473" i="31"/>
  <c r="W1473" i="31" a="1"/>
  <c r="W1473" i="31"/>
  <c r="V1473" i="31" a="1"/>
  <c r="V1473" i="31"/>
  <c r="X1473" i="31" a="1"/>
  <c r="X1473" i="31"/>
  <c r="U1472" i="31" a="1"/>
  <c r="U1472" i="31"/>
  <c r="W1472" i="31" a="1"/>
  <c r="W1472" i="31"/>
  <c r="V1472" i="31" a="1"/>
  <c r="V1472" i="31"/>
  <c r="X1472" i="31" a="1"/>
  <c r="X1472" i="31"/>
  <c r="U1471" i="31" a="1"/>
  <c r="U1471" i="31"/>
  <c r="W1471" i="31" a="1"/>
  <c r="W1471" i="31"/>
  <c r="V1471" i="31" a="1"/>
  <c r="V1471" i="31"/>
  <c r="X1471" i="31" a="1"/>
  <c r="X1471" i="31"/>
  <c r="U1470" i="31" a="1"/>
  <c r="U1470" i="31"/>
  <c r="W1470" i="31" a="1"/>
  <c r="W1470" i="31"/>
  <c r="V1470" i="31" a="1"/>
  <c r="V1470" i="31"/>
  <c r="X1470" i="31" a="1"/>
  <c r="X1470" i="31"/>
  <c r="U1469" i="31" a="1"/>
  <c r="U1469" i="31"/>
  <c r="W1469" i="31" a="1"/>
  <c r="W1469" i="31"/>
  <c r="V1469" i="31" a="1"/>
  <c r="V1469" i="31"/>
  <c r="X1469" i="31" a="1"/>
  <c r="X1469" i="31"/>
  <c r="U1468" i="31" a="1"/>
  <c r="U1468" i="31"/>
  <c r="W1468" i="31" a="1"/>
  <c r="W1468" i="31"/>
  <c r="V1468" i="31" a="1"/>
  <c r="V1468" i="31"/>
  <c r="X1468" i="31" a="1"/>
  <c r="X1468" i="31"/>
  <c r="U1467" i="31" a="1"/>
  <c r="U1467" i="31"/>
  <c r="W1467" i="31" a="1"/>
  <c r="W1467" i="31"/>
  <c r="V1467" i="31" a="1"/>
  <c r="V1467" i="31"/>
  <c r="X1467" i="31" a="1"/>
  <c r="X1467" i="31"/>
  <c r="U1466" i="31" a="1"/>
  <c r="U1466" i="31"/>
  <c r="W1466" i="31" a="1"/>
  <c r="W1466" i="31"/>
  <c r="V1466" i="31" a="1"/>
  <c r="V1466" i="31"/>
  <c r="X1466" i="31" a="1"/>
  <c r="X1466" i="31"/>
  <c r="U1465" i="31" a="1"/>
  <c r="U1465" i="31"/>
  <c r="W1465" i="31" a="1"/>
  <c r="W1465" i="31"/>
  <c r="V1465" i="31" a="1"/>
  <c r="V1465" i="31"/>
  <c r="X1465" i="31" a="1"/>
  <c r="X1465" i="31"/>
  <c r="U1464" i="31" a="1"/>
  <c r="U1464" i="31"/>
  <c r="W1464" i="31" a="1"/>
  <c r="W1464" i="31"/>
  <c r="V1464" i="31" a="1"/>
  <c r="V1464" i="31"/>
  <c r="X1464" i="31" a="1"/>
  <c r="X1464" i="31"/>
  <c r="U1463" i="31" a="1"/>
  <c r="U1463" i="31"/>
  <c r="W1463" i="31" a="1"/>
  <c r="W1463" i="31"/>
  <c r="V1463" i="31" a="1"/>
  <c r="V1463" i="31"/>
  <c r="X1463" i="31" a="1"/>
  <c r="X1463" i="31"/>
  <c r="U1462" i="31" a="1"/>
  <c r="U1462" i="31"/>
  <c r="W1462" i="31" a="1"/>
  <c r="W1462" i="31"/>
  <c r="V1462" i="31" a="1"/>
  <c r="V1462" i="31"/>
  <c r="X1462" i="31" a="1"/>
  <c r="X1462" i="31"/>
  <c r="U1461" i="31" a="1"/>
  <c r="U1461" i="31"/>
  <c r="W1461" i="31" a="1"/>
  <c r="W1461" i="31"/>
  <c r="V1461" i="31" a="1"/>
  <c r="V1461" i="31"/>
  <c r="X1461" i="31" a="1"/>
  <c r="X1461" i="31"/>
  <c r="U1460" i="31" a="1"/>
  <c r="U1460" i="31"/>
  <c r="W1460" i="31" a="1"/>
  <c r="W1460" i="31"/>
  <c r="V1460" i="31" a="1"/>
  <c r="V1460" i="31"/>
  <c r="X1460" i="31" a="1"/>
  <c r="X1460" i="31"/>
  <c r="U1459" i="31" a="1"/>
  <c r="U1459" i="31"/>
  <c r="W1459" i="31" a="1"/>
  <c r="W1459" i="31"/>
  <c r="V1459" i="31" a="1"/>
  <c r="V1459" i="31"/>
  <c r="X1459" i="31" a="1"/>
  <c r="X1459" i="31"/>
  <c r="U1458" i="31" a="1"/>
  <c r="U1458" i="31"/>
  <c r="W1458" i="31" a="1"/>
  <c r="W1458" i="31"/>
  <c r="V1458" i="31" a="1"/>
  <c r="V1458" i="31"/>
  <c r="X1458" i="31" a="1"/>
  <c r="X1458" i="31"/>
  <c r="U1457" i="31" a="1"/>
  <c r="U1457" i="31"/>
  <c r="W1457" i="31" a="1"/>
  <c r="W1457" i="31"/>
  <c r="V1457" i="31" a="1"/>
  <c r="V1457" i="31"/>
  <c r="X1457" i="31" a="1"/>
  <c r="X1457" i="31"/>
  <c r="U1456" i="31" a="1"/>
  <c r="U1456" i="31"/>
  <c r="W1456" i="31" a="1"/>
  <c r="W1456" i="31"/>
  <c r="V1456" i="31" a="1"/>
  <c r="V1456" i="31"/>
  <c r="X1456" i="31" a="1"/>
  <c r="X1456" i="31"/>
  <c r="U1455" i="31" a="1"/>
  <c r="U1455" i="31"/>
  <c r="W1455" i="31" a="1"/>
  <c r="W1455" i="31"/>
  <c r="V1455" i="31" a="1"/>
  <c r="V1455" i="31"/>
  <c r="X1455" i="31" a="1"/>
  <c r="X1455" i="31"/>
  <c r="U1454" i="31" a="1"/>
  <c r="U1454" i="31"/>
  <c r="W1454" i="31" a="1"/>
  <c r="W1454" i="31"/>
  <c r="V1454" i="31" a="1"/>
  <c r="V1454" i="31"/>
  <c r="X1454" i="31" a="1"/>
  <c r="X1454" i="31"/>
  <c r="U1453" i="31" a="1"/>
  <c r="U1453" i="31"/>
  <c r="W1453" i="31" a="1"/>
  <c r="W1453" i="31"/>
  <c r="V1453" i="31" a="1"/>
  <c r="V1453" i="31"/>
  <c r="X1453" i="31" a="1"/>
  <c r="X1453" i="31"/>
  <c r="U1452" i="31" a="1"/>
  <c r="U1452" i="31"/>
  <c r="W1452" i="31" a="1"/>
  <c r="W1452" i="31"/>
  <c r="V1452" i="31" a="1"/>
  <c r="V1452" i="31"/>
  <c r="X1452" i="31" a="1"/>
  <c r="X1452" i="31"/>
  <c r="U1451" i="31" a="1"/>
  <c r="U1451" i="31"/>
  <c r="W1451" i="31" a="1"/>
  <c r="W1451" i="31"/>
  <c r="V1451" i="31" a="1"/>
  <c r="V1451" i="31"/>
  <c r="X1451" i="31" a="1"/>
  <c r="X1451" i="31"/>
  <c r="U1450" i="31" a="1"/>
  <c r="U1450" i="31"/>
  <c r="W1450" i="31" a="1"/>
  <c r="W1450" i="31"/>
  <c r="V1450" i="31" a="1"/>
  <c r="V1450" i="31"/>
  <c r="X1450" i="31" a="1"/>
  <c r="X1450" i="31"/>
  <c r="U1449" i="31" a="1"/>
  <c r="U1449" i="31"/>
  <c r="W1449" i="31" a="1"/>
  <c r="W1449" i="31"/>
  <c r="V1449" i="31" a="1"/>
  <c r="V1449" i="31"/>
  <c r="X1449" i="31" a="1"/>
  <c r="X1449" i="31"/>
  <c r="U1448" i="31" a="1"/>
  <c r="U1448" i="31"/>
  <c r="W1448" i="31" a="1"/>
  <c r="W1448" i="31"/>
  <c r="V1448" i="31" a="1"/>
  <c r="V1448" i="31"/>
  <c r="X1448" i="31" a="1"/>
  <c r="X1448" i="31"/>
  <c r="U1447" i="31" a="1"/>
  <c r="U1447" i="31"/>
  <c r="W1447" i="31" a="1"/>
  <c r="W1447" i="31"/>
  <c r="V1447" i="31" a="1"/>
  <c r="V1447" i="31"/>
  <c r="X1447" i="31" a="1"/>
  <c r="X1447" i="31"/>
  <c r="U1446" i="31" a="1"/>
  <c r="U1446" i="31"/>
  <c r="W1446" i="31" a="1"/>
  <c r="W1446" i="31"/>
  <c r="V1446" i="31" a="1"/>
  <c r="V1446" i="31"/>
  <c r="X1446" i="31" a="1"/>
  <c r="X1446" i="31"/>
  <c r="U1445" i="31" a="1"/>
  <c r="U1445" i="31"/>
  <c r="W1445" i="31" a="1"/>
  <c r="W1445" i="31"/>
  <c r="V1445" i="31" a="1"/>
  <c r="V1445" i="31"/>
  <c r="X1445" i="31" a="1"/>
  <c r="X1445" i="31"/>
  <c r="U1444" i="31" a="1"/>
  <c r="U1444" i="31"/>
  <c r="W1444" i="31" a="1"/>
  <c r="W1444" i="31"/>
  <c r="V1444" i="31" a="1"/>
  <c r="V1444" i="31"/>
  <c r="X1444" i="31" a="1"/>
  <c r="X1444" i="31"/>
  <c r="U1443" i="31" a="1"/>
  <c r="U1443" i="31"/>
  <c r="W1443" i="31" a="1"/>
  <c r="W1443" i="31"/>
  <c r="V1443" i="31" a="1"/>
  <c r="V1443" i="31"/>
  <c r="X1443" i="31" a="1"/>
  <c r="X1443" i="31"/>
  <c r="U1442" i="31" a="1"/>
  <c r="U1442" i="31"/>
  <c r="W1442" i="31" a="1"/>
  <c r="W1442" i="31"/>
  <c r="V1442" i="31" a="1"/>
  <c r="V1442" i="31"/>
  <c r="X1442" i="31" a="1"/>
  <c r="X1442" i="31"/>
  <c r="U1441" i="31" a="1"/>
  <c r="U1441" i="31"/>
  <c r="W1441" i="31" a="1"/>
  <c r="W1441" i="31"/>
  <c r="V1441" i="31" a="1"/>
  <c r="V1441" i="31"/>
  <c r="X1441" i="31" a="1"/>
  <c r="X1441" i="31"/>
  <c r="U1440" i="31" a="1"/>
  <c r="U1440" i="31"/>
  <c r="W1440" i="31" a="1"/>
  <c r="W1440" i="31"/>
  <c r="V1440" i="31" a="1"/>
  <c r="V1440" i="31"/>
  <c r="X1440" i="31" a="1"/>
  <c r="X1440" i="31"/>
  <c r="U1439" i="31" a="1"/>
  <c r="U1439" i="31"/>
  <c r="W1439" i="31" a="1"/>
  <c r="W1439" i="31"/>
  <c r="V1439" i="31" a="1"/>
  <c r="V1439" i="31"/>
  <c r="X1439" i="31" a="1"/>
  <c r="X1439" i="31"/>
  <c r="U1438" i="31" a="1"/>
  <c r="U1438" i="31"/>
  <c r="W1438" i="31" a="1"/>
  <c r="W1438" i="31"/>
  <c r="V1438" i="31" a="1"/>
  <c r="V1438" i="31"/>
  <c r="X1438" i="31" a="1"/>
  <c r="X1438" i="31"/>
  <c r="U1437" i="31" a="1"/>
  <c r="U1437" i="31"/>
  <c r="W1437" i="31" a="1"/>
  <c r="W1437" i="31"/>
  <c r="V1437" i="31" a="1"/>
  <c r="V1437" i="31"/>
  <c r="X1437" i="31" a="1"/>
  <c r="X1437" i="31"/>
  <c r="U1436" i="31" a="1"/>
  <c r="U1436" i="31"/>
  <c r="W1436" i="31" a="1"/>
  <c r="W1436" i="31"/>
  <c r="V1436" i="31" a="1"/>
  <c r="V1436" i="31"/>
  <c r="X1436" i="31" a="1"/>
  <c r="X1436" i="31"/>
  <c r="U1435" i="31" a="1"/>
  <c r="U1435" i="31"/>
  <c r="W1435" i="31" a="1"/>
  <c r="W1435" i="31"/>
  <c r="V1435" i="31" a="1"/>
  <c r="V1435" i="31"/>
  <c r="X1435" i="31" a="1"/>
  <c r="X1435" i="31"/>
  <c r="U1434" i="31" a="1"/>
  <c r="U1434" i="31"/>
  <c r="W1434" i="31" a="1"/>
  <c r="W1434" i="31"/>
  <c r="V1434" i="31" a="1"/>
  <c r="V1434" i="31"/>
  <c r="X1434" i="31" a="1"/>
  <c r="X1434" i="31"/>
  <c r="U1433" i="31" a="1"/>
  <c r="U1433" i="31"/>
  <c r="W1433" i="31" a="1"/>
  <c r="W1433" i="31"/>
  <c r="V1433" i="31" a="1"/>
  <c r="V1433" i="31"/>
  <c r="X1433" i="31" a="1"/>
  <c r="X1433" i="31"/>
  <c r="U1432" i="31" a="1"/>
  <c r="U1432" i="31"/>
  <c r="W1432" i="31" a="1"/>
  <c r="W1432" i="31"/>
  <c r="V1432" i="31" a="1"/>
  <c r="V1432" i="31"/>
  <c r="X1432" i="31" a="1"/>
  <c r="X1432" i="31"/>
  <c r="U1431" i="31" a="1"/>
  <c r="U1431" i="31"/>
  <c r="W1431" i="31" a="1"/>
  <c r="W1431" i="31"/>
  <c r="V1431" i="31" a="1"/>
  <c r="V1431" i="31"/>
  <c r="X1431" i="31" a="1"/>
  <c r="X1431" i="31"/>
  <c r="U1430" i="31" a="1"/>
  <c r="U1430" i="31"/>
  <c r="W1430" i="31" a="1"/>
  <c r="W1430" i="31"/>
  <c r="V1430" i="31" a="1"/>
  <c r="V1430" i="31"/>
  <c r="X1430" i="31" a="1"/>
  <c r="X1430" i="31"/>
  <c r="U1429" i="31" a="1"/>
  <c r="U1429" i="31"/>
  <c r="W1429" i="31" a="1"/>
  <c r="W1429" i="31"/>
  <c r="V1429" i="31" a="1"/>
  <c r="V1429" i="31"/>
  <c r="X1429" i="31" a="1"/>
  <c r="X1429" i="31"/>
  <c r="U1428" i="31" a="1"/>
  <c r="U1428" i="31"/>
  <c r="W1428" i="31" a="1"/>
  <c r="W1428" i="31"/>
  <c r="V1428" i="31" a="1"/>
  <c r="V1428" i="31"/>
  <c r="X1428" i="31" a="1"/>
  <c r="X1428" i="31"/>
  <c r="U1427" i="31" a="1"/>
  <c r="U1427" i="31"/>
  <c r="W1427" i="31" a="1"/>
  <c r="W1427" i="31"/>
  <c r="V1427" i="31" a="1"/>
  <c r="V1427" i="31"/>
  <c r="X1427" i="31" a="1"/>
  <c r="X1427" i="31"/>
  <c r="U1426" i="31" a="1"/>
  <c r="U1426" i="31"/>
  <c r="W1426" i="31" a="1"/>
  <c r="W1426" i="31"/>
  <c r="V1426" i="31" a="1"/>
  <c r="V1426" i="31"/>
  <c r="X1426" i="31" a="1"/>
  <c r="X1426" i="31"/>
  <c r="U1425" i="31" a="1"/>
  <c r="U1425" i="31"/>
  <c r="W1425" i="31" a="1"/>
  <c r="W1425" i="31"/>
  <c r="V1425" i="31" a="1"/>
  <c r="V1425" i="31"/>
  <c r="X1425" i="31" a="1"/>
  <c r="X1425" i="31"/>
  <c r="U1424" i="31" a="1"/>
  <c r="U1424" i="31"/>
  <c r="W1424" i="31" a="1"/>
  <c r="W1424" i="31"/>
  <c r="V1424" i="31" a="1"/>
  <c r="V1424" i="31"/>
  <c r="X1424" i="31" a="1"/>
  <c r="X1424" i="31"/>
  <c r="U1423" i="31" a="1"/>
  <c r="U1423" i="31"/>
  <c r="W1423" i="31" a="1"/>
  <c r="W1423" i="31"/>
  <c r="V1423" i="31" a="1"/>
  <c r="V1423" i="31"/>
  <c r="X1423" i="31" a="1"/>
  <c r="X1423" i="31"/>
  <c r="U1422" i="31" a="1"/>
  <c r="U1422" i="31"/>
  <c r="W1422" i="31" a="1"/>
  <c r="W1422" i="31"/>
  <c r="V1422" i="31" a="1"/>
  <c r="V1422" i="31"/>
  <c r="X1422" i="31" a="1"/>
  <c r="X1422" i="31"/>
  <c r="U1421" i="31" a="1"/>
  <c r="U1421" i="31"/>
  <c r="W1421" i="31" a="1"/>
  <c r="W1421" i="31"/>
  <c r="V1421" i="31" a="1"/>
  <c r="V1421" i="31"/>
  <c r="X1421" i="31" a="1"/>
  <c r="X1421" i="31"/>
  <c r="U1420" i="31" a="1"/>
  <c r="U1420" i="31"/>
  <c r="W1420" i="31" a="1"/>
  <c r="W1420" i="31"/>
  <c r="V1420" i="31" a="1"/>
  <c r="V1420" i="31"/>
  <c r="X1420" i="31" a="1"/>
  <c r="X1420" i="31"/>
  <c r="U1419" i="31" a="1"/>
  <c r="U1419" i="31"/>
  <c r="W1419" i="31" a="1"/>
  <c r="W1419" i="31"/>
  <c r="V1419" i="31" a="1"/>
  <c r="V1419" i="31"/>
  <c r="X1419" i="31" a="1"/>
  <c r="X1419" i="31"/>
  <c r="U1418" i="31" a="1"/>
  <c r="U1418" i="31"/>
  <c r="W1418" i="31" a="1"/>
  <c r="W1418" i="31"/>
  <c r="V1418" i="31" a="1"/>
  <c r="V1418" i="31"/>
  <c r="X1418" i="31" a="1"/>
  <c r="X1418" i="31"/>
  <c r="U1417" i="31" a="1"/>
  <c r="U1417" i="31"/>
  <c r="W1417" i="31" a="1"/>
  <c r="W1417" i="31"/>
  <c r="V1417" i="31" a="1"/>
  <c r="V1417" i="31"/>
  <c r="X1417" i="31" a="1"/>
  <c r="X1417" i="31"/>
  <c r="U1416" i="31" a="1"/>
  <c r="U1416" i="31"/>
  <c r="W1416" i="31" a="1"/>
  <c r="W1416" i="31"/>
  <c r="V1416" i="31" a="1"/>
  <c r="V1416" i="31"/>
  <c r="X1416" i="31" a="1"/>
  <c r="X1416" i="31"/>
  <c r="U1415" i="31" a="1"/>
  <c r="U1415" i="31"/>
  <c r="W1415" i="31" a="1"/>
  <c r="W1415" i="31"/>
  <c r="V1415" i="31" a="1"/>
  <c r="V1415" i="31"/>
  <c r="X1415" i="31" a="1"/>
  <c r="X1415" i="31"/>
  <c r="U1414" i="31" a="1"/>
  <c r="U1414" i="31"/>
  <c r="W1414" i="31" a="1"/>
  <c r="W1414" i="31"/>
  <c r="V1414" i="31" a="1"/>
  <c r="V1414" i="31"/>
  <c r="X1414" i="31" a="1"/>
  <c r="X1414" i="31"/>
  <c r="U1413" i="31" a="1"/>
  <c r="U1413" i="31"/>
  <c r="W1413" i="31" a="1"/>
  <c r="W1413" i="31"/>
  <c r="V1413" i="31" a="1"/>
  <c r="V1413" i="31"/>
  <c r="X1413" i="31" a="1"/>
  <c r="X1413" i="31"/>
  <c r="U1412" i="31" a="1"/>
  <c r="U1412" i="31"/>
  <c r="W1412" i="31" a="1"/>
  <c r="W1412" i="31"/>
  <c r="V1412" i="31" a="1"/>
  <c r="V1412" i="31"/>
  <c r="X1412" i="31" a="1"/>
  <c r="X1412" i="31"/>
  <c r="U1411" i="31" a="1"/>
  <c r="U1411" i="31"/>
  <c r="W1411" i="31" a="1"/>
  <c r="W1411" i="31"/>
  <c r="V1411" i="31" a="1"/>
  <c r="V1411" i="31"/>
  <c r="X1411" i="31" a="1"/>
  <c r="X1411" i="31"/>
  <c r="U1410" i="31" a="1"/>
  <c r="U1410" i="31"/>
  <c r="W1410" i="31" a="1"/>
  <c r="W1410" i="31"/>
  <c r="V1410" i="31" a="1"/>
  <c r="V1410" i="31"/>
  <c r="X1410" i="31" a="1"/>
  <c r="X1410" i="31"/>
  <c r="U1409" i="31" a="1"/>
  <c r="U1409" i="31"/>
  <c r="W1409" i="31" a="1"/>
  <c r="W1409" i="31"/>
  <c r="V1409" i="31" a="1"/>
  <c r="V1409" i="31"/>
  <c r="X1409" i="31" a="1"/>
  <c r="X1409" i="31"/>
  <c r="U1408" i="31" a="1"/>
  <c r="U1408" i="31"/>
  <c r="W1408" i="31" a="1"/>
  <c r="W1408" i="31"/>
  <c r="V1408" i="31" a="1"/>
  <c r="V1408" i="31"/>
  <c r="X1408" i="31" a="1"/>
  <c r="X1408" i="31"/>
  <c r="U1407" i="31" a="1"/>
  <c r="U1407" i="31"/>
  <c r="W1407" i="31" a="1"/>
  <c r="W1407" i="31"/>
  <c r="V1407" i="31" a="1"/>
  <c r="V1407" i="31"/>
  <c r="X1407" i="31" a="1"/>
  <c r="X1407" i="31"/>
  <c r="U1406" i="31" a="1"/>
  <c r="U1406" i="31"/>
  <c r="W1406" i="31" a="1"/>
  <c r="W1406" i="31"/>
  <c r="V1406" i="31" a="1"/>
  <c r="V1406" i="31"/>
  <c r="X1406" i="31" a="1"/>
  <c r="X1406" i="31"/>
  <c r="U1405" i="31" a="1"/>
  <c r="U1405" i="31"/>
  <c r="W1405" i="31" a="1"/>
  <c r="W1405" i="31"/>
  <c r="V1405" i="31" a="1"/>
  <c r="V1405" i="31"/>
  <c r="X1405" i="31" a="1"/>
  <c r="X1405" i="31"/>
  <c r="U1404" i="31" a="1"/>
  <c r="U1404" i="31"/>
  <c r="W1404" i="31" a="1"/>
  <c r="W1404" i="31"/>
  <c r="V1404" i="31" a="1"/>
  <c r="V1404" i="31"/>
  <c r="X1404" i="31" a="1"/>
  <c r="X1404" i="31"/>
  <c r="U1403" i="31" a="1"/>
  <c r="U1403" i="31"/>
  <c r="W1403" i="31" a="1"/>
  <c r="W1403" i="31"/>
  <c r="V1403" i="31" a="1"/>
  <c r="V1403" i="31"/>
  <c r="X1403" i="31" a="1"/>
  <c r="X1403" i="31"/>
  <c r="U1402" i="31" a="1"/>
  <c r="U1402" i="31"/>
  <c r="W1402" i="31" a="1"/>
  <c r="W1402" i="31"/>
  <c r="V1402" i="31" a="1"/>
  <c r="V1402" i="31"/>
  <c r="X1402" i="31" a="1"/>
  <c r="X1402" i="31"/>
  <c r="U1401" i="31" a="1"/>
  <c r="U1401" i="31"/>
  <c r="W1401" i="31" a="1"/>
  <c r="W1401" i="31"/>
  <c r="V1401" i="31" a="1"/>
  <c r="V1401" i="31"/>
  <c r="X1401" i="31" a="1"/>
  <c r="X1401" i="31"/>
  <c r="U1400" i="31" a="1"/>
  <c r="U1400" i="31"/>
  <c r="W1400" i="31" a="1"/>
  <c r="W1400" i="31"/>
  <c r="V1400" i="31" a="1"/>
  <c r="V1400" i="31"/>
  <c r="X1400" i="31" a="1"/>
  <c r="X1400" i="31"/>
  <c r="U1399" i="31" a="1"/>
  <c r="U1399" i="31"/>
  <c r="W1399" i="31" a="1"/>
  <c r="W1399" i="31"/>
  <c r="V1399" i="31" a="1"/>
  <c r="V1399" i="31"/>
  <c r="X1399" i="31" a="1"/>
  <c r="X1399" i="31"/>
  <c r="U1398" i="31" a="1"/>
  <c r="U1398" i="31"/>
  <c r="W1398" i="31" a="1"/>
  <c r="W1398" i="31"/>
  <c r="V1398" i="31" a="1"/>
  <c r="V1398" i="31"/>
  <c r="X1398" i="31" a="1"/>
  <c r="X1398" i="31"/>
  <c r="U1397" i="31" a="1"/>
  <c r="U1397" i="31"/>
  <c r="W1397" i="31" a="1"/>
  <c r="W1397" i="31"/>
  <c r="V1397" i="31" a="1"/>
  <c r="V1397" i="31"/>
  <c r="X1397" i="31" a="1"/>
  <c r="X1397" i="31"/>
  <c r="U1396" i="31" a="1"/>
  <c r="U1396" i="31"/>
  <c r="W1396" i="31" a="1"/>
  <c r="W1396" i="31"/>
  <c r="V1396" i="31" a="1"/>
  <c r="V1396" i="31"/>
  <c r="X1396" i="31" a="1"/>
  <c r="X1396" i="31"/>
  <c r="U1395" i="31" a="1"/>
  <c r="U1395" i="31"/>
  <c r="W1395" i="31" a="1"/>
  <c r="W1395" i="31"/>
  <c r="V1395" i="31" a="1"/>
  <c r="V1395" i="31"/>
  <c r="X1395" i="31" a="1"/>
  <c r="X1395" i="31"/>
  <c r="U1394" i="31" a="1"/>
  <c r="U1394" i="31"/>
  <c r="W1394" i="31" a="1"/>
  <c r="W1394" i="31"/>
  <c r="V1394" i="31" a="1"/>
  <c r="V1394" i="31"/>
  <c r="X1394" i="31" a="1"/>
  <c r="X1394" i="31"/>
  <c r="U1393" i="31" a="1"/>
  <c r="U1393" i="31"/>
  <c r="W1393" i="31" a="1"/>
  <c r="W1393" i="31"/>
  <c r="V1393" i="31" a="1"/>
  <c r="V1393" i="31"/>
  <c r="X1393" i="31" a="1"/>
  <c r="X1393" i="31"/>
  <c r="U1392" i="31" a="1"/>
  <c r="U1392" i="31"/>
  <c r="W1392" i="31" a="1"/>
  <c r="W1392" i="31"/>
  <c r="V1392" i="31" a="1"/>
  <c r="V1392" i="31"/>
  <c r="X1392" i="31" a="1"/>
  <c r="X1392" i="31"/>
  <c r="U1391" i="31" a="1"/>
  <c r="U1391" i="31"/>
  <c r="W1391" i="31" a="1"/>
  <c r="W1391" i="31"/>
  <c r="V1391" i="31" a="1"/>
  <c r="V1391" i="31"/>
  <c r="X1391" i="31" a="1"/>
  <c r="X1391" i="31"/>
  <c r="U1390" i="31" a="1"/>
  <c r="U1390" i="31"/>
  <c r="W1390" i="31" a="1"/>
  <c r="W1390" i="31"/>
  <c r="V1390" i="31" a="1"/>
  <c r="V1390" i="31"/>
  <c r="X1390" i="31" a="1"/>
  <c r="X1390" i="31"/>
  <c r="U1389" i="31" a="1"/>
  <c r="U1389" i="31"/>
  <c r="W1389" i="31" a="1"/>
  <c r="W1389" i="31"/>
  <c r="V1389" i="31" a="1"/>
  <c r="V1389" i="31"/>
  <c r="X1389" i="31" a="1"/>
  <c r="X1389" i="31"/>
  <c r="U1388" i="31" a="1"/>
  <c r="U1388" i="31"/>
  <c r="W1388" i="31" a="1"/>
  <c r="W1388" i="31"/>
  <c r="V1388" i="31" a="1"/>
  <c r="V1388" i="31"/>
  <c r="X1388" i="31" a="1"/>
  <c r="X1388" i="31"/>
  <c r="U1387" i="31" a="1"/>
  <c r="U1387" i="31"/>
  <c r="W1387" i="31" a="1"/>
  <c r="W1387" i="31"/>
  <c r="V1387" i="31" a="1"/>
  <c r="V1387" i="31"/>
  <c r="X1387" i="31" a="1"/>
  <c r="X1387" i="31"/>
  <c r="U1386" i="31" a="1"/>
  <c r="U1386" i="31"/>
  <c r="W1386" i="31" a="1"/>
  <c r="W1386" i="31"/>
  <c r="V1386" i="31" a="1"/>
  <c r="V1386" i="31"/>
  <c r="X1386" i="31" a="1"/>
  <c r="X1386" i="31"/>
  <c r="U1385" i="31" a="1"/>
  <c r="U1385" i="31"/>
  <c r="W1385" i="31" a="1"/>
  <c r="W1385" i="31"/>
  <c r="V1385" i="31" a="1"/>
  <c r="V1385" i="31"/>
  <c r="X1385" i="31" a="1"/>
  <c r="X1385" i="31"/>
  <c r="U1384" i="31" a="1"/>
  <c r="U1384" i="31"/>
  <c r="W1384" i="31" a="1"/>
  <c r="W1384" i="31"/>
  <c r="V1384" i="31" a="1"/>
  <c r="V1384" i="31"/>
  <c r="X1384" i="31" a="1"/>
  <c r="X1384" i="31"/>
  <c r="U1383" i="31" a="1"/>
  <c r="U1383" i="31"/>
  <c r="W1383" i="31" a="1"/>
  <c r="W1383" i="31"/>
  <c r="V1383" i="31" a="1"/>
  <c r="V1383" i="31"/>
  <c r="X1383" i="31" a="1"/>
  <c r="X1383" i="31"/>
  <c r="U1382" i="31" a="1"/>
  <c r="U1382" i="31"/>
  <c r="W1382" i="31" a="1"/>
  <c r="W1382" i="31"/>
  <c r="V1382" i="31" a="1"/>
  <c r="V1382" i="31"/>
  <c r="X1382" i="31" a="1"/>
  <c r="X1382" i="31"/>
  <c r="U1381" i="31" a="1"/>
  <c r="U1381" i="31"/>
  <c r="W1381" i="31" a="1"/>
  <c r="W1381" i="31"/>
  <c r="V1381" i="31" a="1"/>
  <c r="V1381" i="31"/>
  <c r="X1381" i="31" a="1"/>
  <c r="X1381" i="31"/>
  <c r="U1380" i="31" a="1"/>
  <c r="U1380" i="31"/>
  <c r="W1380" i="31" a="1"/>
  <c r="W1380" i="31"/>
  <c r="V1380" i="31" a="1"/>
  <c r="V1380" i="31"/>
  <c r="X1380" i="31" a="1"/>
  <c r="X1380" i="31"/>
  <c r="U1379" i="31" a="1"/>
  <c r="U1379" i="31"/>
  <c r="W1379" i="31" a="1"/>
  <c r="W1379" i="31"/>
  <c r="V1379" i="31" a="1"/>
  <c r="V1379" i="31"/>
  <c r="X1379" i="31" a="1"/>
  <c r="X1379" i="31"/>
  <c r="U1378" i="31" a="1"/>
  <c r="U1378" i="31"/>
  <c r="W1378" i="31" a="1"/>
  <c r="W1378" i="31"/>
  <c r="V1378" i="31" a="1"/>
  <c r="V1378" i="31"/>
  <c r="X1378" i="31" a="1"/>
  <c r="X1378" i="31"/>
  <c r="U1377" i="31" a="1"/>
  <c r="U1377" i="31"/>
  <c r="W1377" i="31" a="1"/>
  <c r="W1377" i="31"/>
  <c r="V1377" i="31" a="1"/>
  <c r="V1377" i="31"/>
  <c r="X1377" i="31" a="1"/>
  <c r="X1377" i="31"/>
  <c r="U1376" i="31" a="1"/>
  <c r="U1376" i="31"/>
  <c r="W1376" i="31" a="1"/>
  <c r="W1376" i="31"/>
  <c r="V1376" i="31" a="1"/>
  <c r="V1376" i="31"/>
  <c r="X1376" i="31" a="1"/>
  <c r="X1376" i="31"/>
  <c r="U1375" i="31" a="1"/>
  <c r="U1375" i="31"/>
  <c r="W1375" i="31" a="1"/>
  <c r="W1375" i="31"/>
  <c r="V1375" i="31" a="1"/>
  <c r="V1375" i="31"/>
  <c r="X1375" i="31" a="1"/>
  <c r="X1375" i="31"/>
  <c r="U1374" i="31" a="1"/>
  <c r="U1374" i="31"/>
  <c r="W1374" i="31" a="1"/>
  <c r="W1374" i="31"/>
  <c r="V1374" i="31" a="1"/>
  <c r="V1374" i="31"/>
  <c r="X1374" i="31" a="1"/>
  <c r="X1374" i="31"/>
  <c r="U1373" i="31" a="1"/>
  <c r="U1373" i="31"/>
  <c r="W1373" i="31" a="1"/>
  <c r="W1373" i="31"/>
  <c r="V1373" i="31" a="1"/>
  <c r="V1373" i="31"/>
  <c r="X1373" i="31" a="1"/>
  <c r="X1373" i="31"/>
  <c r="U1372" i="31" a="1"/>
  <c r="U1372" i="31"/>
  <c r="W1372" i="31" a="1"/>
  <c r="W1372" i="31"/>
  <c r="V1372" i="31" a="1"/>
  <c r="V1372" i="31"/>
  <c r="X1372" i="31" a="1"/>
  <c r="X1372" i="31"/>
  <c r="U1371" i="31" a="1"/>
  <c r="U1371" i="31"/>
  <c r="W1371" i="31" a="1"/>
  <c r="W1371" i="31"/>
  <c r="V1371" i="31" a="1"/>
  <c r="V1371" i="31"/>
  <c r="X1371" i="31" a="1"/>
  <c r="X1371" i="31"/>
  <c r="U1370" i="31" a="1"/>
  <c r="U1370" i="31"/>
  <c r="W1370" i="31" a="1"/>
  <c r="W1370" i="31"/>
  <c r="V1370" i="31" a="1"/>
  <c r="V1370" i="31"/>
  <c r="X1370" i="31" a="1"/>
  <c r="X1370" i="31"/>
  <c r="U1369" i="31" a="1"/>
  <c r="U1369" i="31"/>
  <c r="W1369" i="31" a="1"/>
  <c r="W1369" i="31"/>
  <c r="V1369" i="31" a="1"/>
  <c r="V1369" i="31"/>
  <c r="X1369" i="31" a="1"/>
  <c r="X1369" i="31"/>
  <c r="U1368" i="31" a="1"/>
  <c r="U1368" i="31"/>
  <c r="W1368" i="31" a="1"/>
  <c r="W1368" i="31"/>
  <c r="V1368" i="31" a="1"/>
  <c r="V1368" i="31"/>
  <c r="X1368" i="31" a="1"/>
  <c r="X1368" i="31"/>
  <c r="U1367" i="31" a="1"/>
  <c r="U1367" i="31"/>
  <c r="W1367" i="31" a="1"/>
  <c r="W1367" i="31"/>
  <c r="V1367" i="31" a="1"/>
  <c r="V1367" i="31"/>
  <c r="X1367" i="31" a="1"/>
  <c r="X1367" i="31"/>
  <c r="U1366" i="31" a="1"/>
  <c r="U1366" i="31"/>
  <c r="W1366" i="31" a="1"/>
  <c r="W1366" i="31"/>
  <c r="V1366" i="31" a="1"/>
  <c r="V1366" i="31"/>
  <c r="X1366" i="31" a="1"/>
  <c r="X1366" i="31"/>
  <c r="U1365" i="31" a="1"/>
  <c r="U1365" i="31"/>
  <c r="W1365" i="31" a="1"/>
  <c r="W1365" i="31"/>
  <c r="V1365" i="31" a="1"/>
  <c r="V1365" i="31"/>
  <c r="X1365" i="31" a="1"/>
  <c r="X1365" i="31"/>
  <c r="U1364" i="31" a="1"/>
  <c r="U1364" i="31"/>
  <c r="W1364" i="31" a="1"/>
  <c r="W1364" i="31"/>
  <c r="V1364" i="31" a="1"/>
  <c r="V1364" i="31"/>
  <c r="X1364" i="31" a="1"/>
  <c r="X1364" i="31"/>
  <c r="U1363" i="31" a="1"/>
  <c r="U1363" i="31"/>
  <c r="W1363" i="31" a="1"/>
  <c r="W1363" i="31"/>
  <c r="V1363" i="31" a="1"/>
  <c r="V1363" i="31"/>
  <c r="X1363" i="31" a="1"/>
  <c r="X1363" i="31"/>
  <c r="U1362" i="31" a="1"/>
  <c r="U1362" i="31"/>
  <c r="W1362" i="31" a="1"/>
  <c r="W1362" i="31"/>
  <c r="V1362" i="31" a="1"/>
  <c r="V1362" i="31"/>
  <c r="X1362" i="31" a="1"/>
  <c r="X1362" i="31"/>
  <c r="U1361" i="31" a="1"/>
  <c r="U1361" i="31"/>
  <c r="W1361" i="31" a="1"/>
  <c r="W1361" i="31"/>
  <c r="V1361" i="31" a="1"/>
  <c r="V1361" i="31"/>
  <c r="X1361" i="31" a="1"/>
  <c r="X1361" i="31"/>
  <c r="U1360" i="31" a="1"/>
  <c r="U1360" i="31"/>
  <c r="W1360" i="31" a="1"/>
  <c r="W1360" i="31"/>
  <c r="V1360" i="31" a="1"/>
  <c r="V1360" i="31"/>
  <c r="X1360" i="31" a="1"/>
  <c r="X1360" i="31"/>
  <c r="U1359" i="31" a="1"/>
  <c r="U1359" i="31"/>
  <c r="W1359" i="31" a="1"/>
  <c r="W1359" i="31"/>
  <c r="V1359" i="31" a="1"/>
  <c r="V1359" i="31"/>
  <c r="X1359" i="31" a="1"/>
  <c r="X1359" i="31"/>
  <c r="U1358" i="31" a="1"/>
  <c r="U1358" i="31"/>
  <c r="W1358" i="31" a="1"/>
  <c r="W1358" i="31"/>
  <c r="V1358" i="31" a="1"/>
  <c r="V1358" i="31"/>
  <c r="X1358" i="31" a="1"/>
  <c r="X1358" i="31"/>
  <c r="U1357" i="31" a="1"/>
  <c r="U1357" i="31"/>
  <c r="W1357" i="31" a="1"/>
  <c r="W1357" i="31"/>
  <c r="V1357" i="31" a="1"/>
  <c r="V1357" i="31"/>
  <c r="X1357" i="31" a="1"/>
  <c r="X1357" i="31"/>
  <c r="U1356" i="31" a="1"/>
  <c r="U1356" i="31"/>
  <c r="W1356" i="31" a="1"/>
  <c r="W1356" i="31"/>
  <c r="V1356" i="31" a="1"/>
  <c r="V1356" i="31"/>
  <c r="X1356" i="31" a="1"/>
  <c r="X1356" i="31"/>
  <c r="U1355" i="31" a="1"/>
  <c r="U1355" i="31"/>
  <c r="W1355" i="31" a="1"/>
  <c r="W1355" i="31"/>
  <c r="V1355" i="31" a="1"/>
  <c r="V1355" i="31"/>
  <c r="X1355" i="31" a="1"/>
  <c r="X1355" i="31"/>
  <c r="U1354" i="31" a="1"/>
  <c r="U1354" i="31"/>
  <c r="W1354" i="31" a="1"/>
  <c r="W1354" i="31"/>
  <c r="V1354" i="31" a="1"/>
  <c r="V1354" i="31"/>
  <c r="X1354" i="31" a="1"/>
  <c r="X1354" i="31"/>
  <c r="U1353" i="31" a="1"/>
  <c r="U1353" i="31"/>
  <c r="W1353" i="31" a="1"/>
  <c r="W1353" i="31"/>
  <c r="V1353" i="31" a="1"/>
  <c r="V1353" i="31"/>
  <c r="X1353" i="31" a="1"/>
  <c r="X1353" i="31"/>
  <c r="U1352" i="31" a="1"/>
  <c r="U1352" i="31"/>
  <c r="W1352" i="31" a="1"/>
  <c r="W1352" i="31"/>
  <c r="V1352" i="31" a="1"/>
  <c r="V1352" i="31"/>
  <c r="X1352" i="31" a="1"/>
  <c r="X1352" i="31"/>
  <c r="U1351" i="31" a="1"/>
  <c r="U1351" i="31"/>
  <c r="W1351" i="31" a="1"/>
  <c r="W1351" i="31"/>
  <c r="V1351" i="31" a="1"/>
  <c r="V1351" i="31"/>
  <c r="X1351" i="31" a="1"/>
  <c r="X1351" i="31"/>
  <c r="U1350" i="31" a="1"/>
  <c r="U1350" i="31"/>
  <c r="W1350" i="31" a="1"/>
  <c r="W1350" i="31"/>
  <c r="V1350" i="31" a="1"/>
  <c r="V1350" i="31"/>
  <c r="X1350" i="31" a="1"/>
  <c r="X1350" i="31"/>
  <c r="U1349" i="31" a="1"/>
  <c r="U1349" i="31"/>
  <c r="W1349" i="31" a="1"/>
  <c r="W1349" i="31"/>
  <c r="V1349" i="31" a="1"/>
  <c r="V1349" i="31"/>
  <c r="X1349" i="31" a="1"/>
  <c r="X1349" i="31"/>
  <c r="U1348" i="31" a="1"/>
  <c r="U1348" i="31"/>
  <c r="W1348" i="31" a="1"/>
  <c r="W1348" i="31"/>
  <c r="V1348" i="31" a="1"/>
  <c r="V1348" i="31"/>
  <c r="X1348" i="31" a="1"/>
  <c r="X1348" i="31"/>
  <c r="U1347" i="31" a="1"/>
  <c r="U1347" i="31"/>
  <c r="W1347" i="31" a="1"/>
  <c r="W1347" i="31"/>
  <c r="V1347" i="31" a="1"/>
  <c r="V1347" i="31"/>
  <c r="X1347" i="31" a="1"/>
  <c r="X1347" i="31"/>
  <c r="U1346" i="31" a="1"/>
  <c r="U1346" i="31"/>
  <c r="W1346" i="31" a="1"/>
  <c r="W1346" i="31"/>
  <c r="V1346" i="31" a="1"/>
  <c r="V1346" i="31"/>
  <c r="X1346" i="31" a="1"/>
  <c r="X1346" i="31"/>
  <c r="U1345" i="31" a="1"/>
  <c r="U1345" i="31"/>
  <c r="W1345" i="31" a="1"/>
  <c r="W1345" i="31"/>
  <c r="V1345" i="31" a="1"/>
  <c r="V1345" i="31"/>
  <c r="X1345" i="31" a="1"/>
  <c r="X1345" i="31"/>
  <c r="U1344" i="31" a="1"/>
  <c r="U1344" i="31"/>
  <c r="W1344" i="31" a="1"/>
  <c r="W1344" i="31"/>
  <c r="V1344" i="31" a="1"/>
  <c r="V1344" i="31"/>
  <c r="X1344" i="31" a="1"/>
  <c r="X1344" i="31"/>
  <c r="U1343" i="31" a="1"/>
  <c r="U1343" i="31"/>
  <c r="W1343" i="31" a="1"/>
  <c r="W1343" i="31"/>
  <c r="V1343" i="31" a="1"/>
  <c r="V1343" i="31"/>
  <c r="X1343" i="31" a="1"/>
  <c r="X1343" i="31"/>
  <c r="U1342" i="31" a="1"/>
  <c r="U1342" i="31"/>
  <c r="W1342" i="31" a="1"/>
  <c r="W1342" i="31"/>
  <c r="V1342" i="31" a="1"/>
  <c r="V1342" i="31"/>
  <c r="X1342" i="31" a="1"/>
  <c r="X1342" i="31"/>
  <c r="U1341" i="31" a="1"/>
  <c r="U1341" i="31"/>
  <c r="W1341" i="31" a="1"/>
  <c r="W1341" i="31"/>
  <c r="V1341" i="31" a="1"/>
  <c r="V1341" i="31"/>
  <c r="X1341" i="31" a="1"/>
  <c r="X1341" i="31"/>
  <c r="U1340" i="31" a="1"/>
  <c r="U1340" i="31"/>
  <c r="W1340" i="31" a="1"/>
  <c r="W1340" i="31"/>
  <c r="V1340" i="31" a="1"/>
  <c r="V1340" i="31"/>
  <c r="X1340" i="31" a="1"/>
  <c r="X1340" i="31"/>
  <c r="U1339" i="31" a="1"/>
  <c r="U1339" i="31"/>
  <c r="W1339" i="31" a="1"/>
  <c r="W1339" i="31"/>
  <c r="V1339" i="31" a="1"/>
  <c r="V1339" i="31"/>
  <c r="X1339" i="31" a="1"/>
  <c r="X1339" i="31"/>
  <c r="U1338" i="31" a="1"/>
  <c r="U1338" i="31"/>
  <c r="W1338" i="31" a="1"/>
  <c r="W1338" i="31"/>
  <c r="V1338" i="31" a="1"/>
  <c r="V1338" i="31"/>
  <c r="X1338" i="31" a="1"/>
  <c r="X1338" i="31"/>
  <c r="U1337" i="31" a="1"/>
  <c r="U1337" i="31"/>
  <c r="W1337" i="31" a="1"/>
  <c r="W1337" i="31"/>
  <c r="V1337" i="31" a="1"/>
  <c r="V1337" i="31"/>
  <c r="X1337" i="31" a="1"/>
  <c r="X1337" i="31"/>
  <c r="U1336" i="31" a="1"/>
  <c r="U1336" i="31"/>
  <c r="W1336" i="31" a="1"/>
  <c r="W1336" i="31"/>
  <c r="V1336" i="31" a="1"/>
  <c r="V1336" i="31"/>
  <c r="X1336" i="31" a="1"/>
  <c r="X1336" i="31"/>
  <c r="U1335" i="31" a="1"/>
  <c r="U1335" i="31"/>
  <c r="W1335" i="31" a="1"/>
  <c r="W1335" i="31"/>
  <c r="V1335" i="31" a="1"/>
  <c r="V1335" i="31"/>
  <c r="X1335" i="31" a="1"/>
  <c r="X1335" i="31"/>
  <c r="U1334" i="31" a="1"/>
  <c r="U1334" i="31"/>
  <c r="W1334" i="31" a="1"/>
  <c r="W1334" i="31"/>
  <c r="V1334" i="31" a="1"/>
  <c r="V1334" i="31"/>
  <c r="X1334" i="31" a="1"/>
  <c r="X1334" i="31"/>
  <c r="U1333" i="31" a="1"/>
  <c r="U1333" i="31"/>
  <c r="W1333" i="31" a="1"/>
  <c r="W1333" i="31"/>
  <c r="V1333" i="31" a="1"/>
  <c r="V1333" i="31"/>
  <c r="X1333" i="31" a="1"/>
  <c r="X1333" i="31"/>
  <c r="U1332" i="31" a="1"/>
  <c r="U1332" i="31"/>
  <c r="W1332" i="31" a="1"/>
  <c r="W1332" i="31"/>
  <c r="V1332" i="31" a="1"/>
  <c r="V1332" i="31"/>
  <c r="X1332" i="31" a="1"/>
  <c r="X1332" i="31"/>
  <c r="U1331" i="31" a="1"/>
  <c r="U1331" i="31"/>
  <c r="W1331" i="31" a="1"/>
  <c r="W1331" i="31"/>
  <c r="V1331" i="31" a="1"/>
  <c r="V1331" i="31"/>
  <c r="X1331" i="31" a="1"/>
  <c r="X1331" i="31"/>
  <c r="U1330" i="31" a="1"/>
  <c r="U1330" i="31"/>
  <c r="W1330" i="31" a="1"/>
  <c r="W1330" i="31"/>
  <c r="V1330" i="31" a="1"/>
  <c r="V1330" i="31"/>
  <c r="X1330" i="31" a="1"/>
  <c r="X1330" i="31"/>
  <c r="U1329" i="31" a="1"/>
  <c r="U1329" i="31"/>
  <c r="W1329" i="31" a="1"/>
  <c r="W1329" i="31"/>
  <c r="V1329" i="31" a="1"/>
  <c r="V1329" i="31"/>
  <c r="X1329" i="31" a="1"/>
  <c r="X1329" i="31"/>
  <c r="U1328" i="31" a="1"/>
  <c r="U1328" i="31"/>
  <c r="W1328" i="31" a="1"/>
  <c r="W1328" i="31"/>
  <c r="V1328" i="31" a="1"/>
  <c r="V1328" i="31"/>
  <c r="X1328" i="31" a="1"/>
  <c r="X1328" i="31"/>
  <c r="U1327" i="31" a="1"/>
  <c r="U1327" i="31"/>
  <c r="W1327" i="31" a="1"/>
  <c r="W1327" i="31"/>
  <c r="V1327" i="31" a="1"/>
  <c r="V1327" i="31"/>
  <c r="X1327" i="31" a="1"/>
  <c r="X1327" i="31"/>
  <c r="U1326" i="31" a="1"/>
  <c r="U1326" i="31"/>
  <c r="W1326" i="31" a="1"/>
  <c r="W1326" i="31"/>
  <c r="V1326" i="31" a="1"/>
  <c r="V1326" i="31"/>
  <c r="X1326" i="31" a="1"/>
  <c r="X1326" i="31"/>
  <c r="U1325" i="31" a="1"/>
  <c r="U1325" i="31"/>
  <c r="W1325" i="31" a="1"/>
  <c r="W1325" i="31"/>
  <c r="V1325" i="31" a="1"/>
  <c r="V1325" i="31"/>
  <c r="X1325" i="31" a="1"/>
  <c r="X1325" i="31"/>
  <c r="U1324" i="31" a="1"/>
  <c r="U1324" i="31"/>
  <c r="W1324" i="31" a="1"/>
  <c r="W1324" i="31"/>
  <c r="V1324" i="31" a="1"/>
  <c r="V1324" i="31"/>
  <c r="X1324" i="31" a="1"/>
  <c r="X1324" i="31"/>
  <c r="U1323" i="31" a="1"/>
  <c r="U1323" i="31"/>
  <c r="W1323" i="31" a="1"/>
  <c r="W1323" i="31"/>
  <c r="V1323" i="31" a="1"/>
  <c r="V1323" i="31"/>
  <c r="X1323" i="31" a="1"/>
  <c r="X1323" i="31"/>
  <c r="U1322" i="31" a="1"/>
  <c r="U1322" i="31"/>
  <c r="W1322" i="31" a="1"/>
  <c r="W1322" i="31"/>
  <c r="V1322" i="31" a="1"/>
  <c r="V1322" i="31"/>
  <c r="X1322" i="31" a="1"/>
  <c r="X1322" i="31"/>
  <c r="U1321" i="31" a="1"/>
  <c r="U1321" i="31"/>
  <c r="W1321" i="31" a="1"/>
  <c r="W1321" i="31"/>
  <c r="V1321" i="31" a="1"/>
  <c r="V1321" i="31"/>
  <c r="X1321" i="31" a="1"/>
  <c r="X1321" i="31"/>
  <c r="U1320" i="31" a="1"/>
  <c r="U1320" i="31"/>
  <c r="W1320" i="31" a="1"/>
  <c r="W1320" i="31"/>
  <c r="V1320" i="31" a="1"/>
  <c r="V1320" i="31"/>
  <c r="X1320" i="31" a="1"/>
  <c r="X1320" i="31"/>
  <c r="U1319" i="31" a="1"/>
  <c r="U1319" i="31"/>
  <c r="W1319" i="31" a="1"/>
  <c r="W1319" i="31"/>
  <c r="V1319" i="31" a="1"/>
  <c r="V1319" i="31"/>
  <c r="X1319" i="31" a="1"/>
  <c r="X1319" i="31"/>
  <c r="U1318" i="31" a="1"/>
  <c r="U1318" i="31"/>
  <c r="W1318" i="31" a="1"/>
  <c r="W1318" i="31"/>
  <c r="V1318" i="31" a="1"/>
  <c r="V1318" i="31"/>
  <c r="X1318" i="31" a="1"/>
  <c r="X1318" i="31"/>
  <c r="U1317" i="31" a="1"/>
  <c r="U1317" i="31"/>
  <c r="W1317" i="31" a="1"/>
  <c r="W1317" i="31"/>
  <c r="V1317" i="31" a="1"/>
  <c r="V1317" i="31"/>
  <c r="X1317" i="31" a="1"/>
  <c r="X1317" i="31"/>
  <c r="U1316" i="31" a="1"/>
  <c r="U1316" i="31"/>
  <c r="W1316" i="31" a="1"/>
  <c r="W1316" i="31"/>
  <c r="V1316" i="31" a="1"/>
  <c r="V1316" i="31"/>
  <c r="X1316" i="31" a="1"/>
  <c r="X1316" i="31"/>
  <c r="U1315" i="31" a="1"/>
  <c r="U1315" i="31"/>
  <c r="W1315" i="31" a="1"/>
  <c r="W1315" i="31"/>
  <c r="V1315" i="31" a="1"/>
  <c r="V1315" i="31"/>
  <c r="X1315" i="31" a="1"/>
  <c r="X1315" i="31"/>
  <c r="U1314" i="31" a="1"/>
  <c r="U1314" i="31"/>
  <c r="W1314" i="31" a="1"/>
  <c r="W1314" i="31"/>
  <c r="V1314" i="31" a="1"/>
  <c r="V1314" i="31"/>
  <c r="X1314" i="31" a="1"/>
  <c r="X1314" i="31"/>
  <c r="U1313" i="31" a="1"/>
  <c r="U1313" i="31"/>
  <c r="W1313" i="31" a="1"/>
  <c r="W1313" i="31"/>
  <c r="V1313" i="31" a="1"/>
  <c r="V1313" i="31"/>
  <c r="X1313" i="31" a="1"/>
  <c r="X1313" i="31"/>
  <c r="U1312" i="31" a="1"/>
  <c r="U1312" i="31"/>
  <c r="W1312" i="31" a="1"/>
  <c r="W1312" i="31"/>
  <c r="V1312" i="31" a="1"/>
  <c r="V1312" i="31"/>
  <c r="X1312" i="31" a="1"/>
  <c r="X1312" i="31"/>
  <c r="U1311" i="31" a="1"/>
  <c r="U1311" i="31"/>
  <c r="W1311" i="31" a="1"/>
  <c r="W1311" i="31"/>
  <c r="V1311" i="31" a="1"/>
  <c r="V1311" i="31"/>
  <c r="X1311" i="31" a="1"/>
  <c r="X1311" i="31"/>
  <c r="U1310" i="31" a="1"/>
  <c r="U1310" i="31"/>
  <c r="W1310" i="31" a="1"/>
  <c r="W1310" i="31"/>
  <c r="V1310" i="31" a="1"/>
  <c r="V1310" i="31"/>
  <c r="X1310" i="31" a="1"/>
  <c r="X1310" i="31"/>
  <c r="U1309" i="31" a="1"/>
  <c r="U1309" i="31"/>
  <c r="W1309" i="31" a="1"/>
  <c r="W1309" i="31"/>
  <c r="V1309" i="31" a="1"/>
  <c r="V1309" i="31"/>
  <c r="X1309" i="31" a="1"/>
  <c r="X1309" i="31"/>
  <c r="U1308" i="31" a="1"/>
  <c r="U1308" i="31"/>
  <c r="W1308" i="31" a="1"/>
  <c r="W1308" i="31"/>
  <c r="V1308" i="31" a="1"/>
  <c r="V1308" i="31"/>
  <c r="X1308" i="31" a="1"/>
  <c r="X1308" i="31"/>
  <c r="U1307" i="31" a="1"/>
  <c r="U1307" i="31"/>
  <c r="W1307" i="31" a="1"/>
  <c r="W1307" i="31"/>
  <c r="V1307" i="31" a="1"/>
  <c r="V1307" i="31"/>
  <c r="X1307" i="31" a="1"/>
  <c r="X1307" i="31"/>
  <c r="U1306" i="31" a="1"/>
  <c r="U1306" i="31"/>
  <c r="W1306" i="31" a="1"/>
  <c r="W1306" i="31"/>
  <c r="V1306" i="31" a="1"/>
  <c r="V1306" i="31"/>
  <c r="X1306" i="31" a="1"/>
  <c r="X1306" i="31"/>
  <c r="U1305" i="31" a="1"/>
  <c r="U1305" i="31"/>
  <c r="W1305" i="31" a="1"/>
  <c r="W1305" i="31"/>
  <c r="V1305" i="31" a="1"/>
  <c r="V1305" i="31"/>
  <c r="X1305" i="31" a="1"/>
  <c r="X1305" i="31"/>
  <c r="U1304" i="31" a="1"/>
  <c r="U1304" i="31"/>
  <c r="W1304" i="31" a="1"/>
  <c r="W1304" i="31"/>
  <c r="V1304" i="31" a="1"/>
  <c r="V1304" i="31"/>
  <c r="X1304" i="31" a="1"/>
  <c r="X1304" i="31"/>
  <c r="U1303" i="31" a="1"/>
  <c r="U1303" i="31"/>
  <c r="W1303" i="31" a="1"/>
  <c r="W1303" i="31"/>
  <c r="V1303" i="31" a="1"/>
  <c r="V1303" i="31"/>
  <c r="X1303" i="31" a="1"/>
  <c r="X1303" i="31"/>
  <c r="U1302" i="31" a="1"/>
  <c r="U1302" i="31"/>
  <c r="W1302" i="31" a="1"/>
  <c r="W1302" i="31"/>
  <c r="V1302" i="31" a="1"/>
  <c r="V1302" i="31"/>
  <c r="X1302" i="31" a="1"/>
  <c r="X1302" i="31"/>
  <c r="U1301" i="31" a="1"/>
  <c r="U1301" i="31"/>
  <c r="W1301" i="31" a="1"/>
  <c r="W1301" i="31"/>
  <c r="V1301" i="31" a="1"/>
  <c r="V1301" i="31"/>
  <c r="X1301" i="31" a="1"/>
  <c r="X1301" i="31"/>
  <c r="U1300" i="31" a="1"/>
  <c r="U1300" i="31"/>
  <c r="W1300" i="31" a="1"/>
  <c r="W1300" i="31"/>
  <c r="V1300" i="31" a="1"/>
  <c r="V1300" i="31"/>
  <c r="X1300" i="31" a="1"/>
  <c r="X1300" i="31"/>
  <c r="U1299" i="31" a="1"/>
  <c r="U1299" i="31"/>
  <c r="W1299" i="31" a="1"/>
  <c r="W1299" i="31"/>
  <c r="V1299" i="31" a="1"/>
  <c r="V1299" i="31"/>
  <c r="X1299" i="31" a="1"/>
  <c r="X1299" i="31"/>
  <c r="U1298" i="31" a="1"/>
  <c r="U1298" i="31"/>
  <c r="W1298" i="31" a="1"/>
  <c r="W1298" i="31"/>
  <c r="V1298" i="31" a="1"/>
  <c r="V1298" i="31"/>
  <c r="X1298" i="31" a="1"/>
  <c r="X1298" i="31"/>
  <c r="U1297" i="31" a="1"/>
  <c r="U1297" i="31"/>
  <c r="W1297" i="31" a="1"/>
  <c r="W1297" i="31"/>
  <c r="V1297" i="31" a="1"/>
  <c r="V1297" i="31"/>
  <c r="X1297" i="31" a="1"/>
  <c r="X1297" i="31"/>
  <c r="U1296" i="31" a="1"/>
  <c r="U1296" i="31"/>
  <c r="W1296" i="31" a="1"/>
  <c r="W1296" i="31"/>
  <c r="V1296" i="31" a="1"/>
  <c r="V1296" i="31"/>
  <c r="X1296" i="31" a="1"/>
  <c r="X1296" i="31"/>
  <c r="U1295" i="31" a="1"/>
  <c r="U1295" i="31"/>
  <c r="W1295" i="31" a="1"/>
  <c r="W1295" i="31"/>
  <c r="V1295" i="31" a="1"/>
  <c r="V1295" i="31"/>
  <c r="X1295" i="31" a="1"/>
  <c r="X1295" i="31"/>
  <c r="U1294" i="31" a="1"/>
  <c r="U1294" i="31"/>
  <c r="W1294" i="31" a="1"/>
  <c r="W1294" i="31"/>
  <c r="V1294" i="31" a="1"/>
  <c r="V1294" i="31"/>
  <c r="X1294" i="31" a="1"/>
  <c r="X1294" i="31"/>
  <c r="U1293" i="31" a="1"/>
  <c r="U1293" i="31"/>
  <c r="W1293" i="31" a="1"/>
  <c r="W1293" i="31"/>
  <c r="V1293" i="31" a="1"/>
  <c r="V1293" i="31"/>
  <c r="X1293" i="31" a="1"/>
  <c r="X1293" i="31"/>
  <c r="U1292" i="31" a="1"/>
  <c r="U1292" i="31"/>
  <c r="W1292" i="31" a="1"/>
  <c r="W1292" i="31"/>
  <c r="V1292" i="31" a="1"/>
  <c r="V1292" i="31"/>
  <c r="X1292" i="31" a="1"/>
  <c r="X1292" i="31"/>
  <c r="U1291" i="31" a="1"/>
  <c r="U1291" i="31"/>
  <c r="W1291" i="31" a="1"/>
  <c r="W1291" i="31"/>
  <c r="V1291" i="31" a="1"/>
  <c r="V1291" i="31"/>
  <c r="X1291" i="31" a="1"/>
  <c r="X1291" i="31"/>
  <c r="U1290" i="31" a="1"/>
  <c r="U1290" i="31"/>
  <c r="W1290" i="31" a="1"/>
  <c r="W1290" i="31"/>
  <c r="V1290" i="31" a="1"/>
  <c r="V1290" i="31"/>
  <c r="X1290" i="31" a="1"/>
  <c r="X1290" i="31"/>
  <c r="U1289" i="31" a="1"/>
  <c r="U1289" i="31"/>
  <c r="W1289" i="31" a="1"/>
  <c r="W1289" i="31"/>
  <c r="V1289" i="31" a="1"/>
  <c r="V1289" i="31"/>
  <c r="X1289" i="31" a="1"/>
  <c r="X1289" i="31"/>
  <c r="U1288" i="31" a="1"/>
  <c r="U1288" i="31"/>
  <c r="W1288" i="31" a="1"/>
  <c r="W1288" i="31"/>
  <c r="V1288" i="31" a="1"/>
  <c r="V1288" i="31"/>
  <c r="X1288" i="31" a="1"/>
  <c r="X1288" i="31"/>
  <c r="U1287" i="31" a="1"/>
  <c r="U1287" i="31"/>
  <c r="W1287" i="31" a="1"/>
  <c r="W1287" i="31"/>
  <c r="V1287" i="31" a="1"/>
  <c r="V1287" i="31"/>
  <c r="X1287" i="31" a="1"/>
  <c r="X1287" i="31"/>
  <c r="U1286" i="31" a="1"/>
  <c r="U1286" i="31"/>
  <c r="W1286" i="31" a="1"/>
  <c r="W1286" i="31"/>
  <c r="V1286" i="31" a="1"/>
  <c r="V1286" i="31"/>
  <c r="X1286" i="31" a="1"/>
  <c r="X1286" i="31"/>
  <c r="U1285" i="31" a="1"/>
  <c r="U1285" i="31"/>
  <c r="W1285" i="31" a="1"/>
  <c r="W1285" i="31"/>
  <c r="V1285" i="31" a="1"/>
  <c r="V1285" i="31"/>
  <c r="X1285" i="31" a="1"/>
  <c r="X1285" i="31"/>
  <c r="U1284" i="31" a="1"/>
  <c r="U1284" i="31"/>
  <c r="W1284" i="31" a="1"/>
  <c r="W1284" i="31"/>
  <c r="V1284" i="31" a="1"/>
  <c r="V1284" i="31"/>
  <c r="X1284" i="31" a="1"/>
  <c r="X1284" i="31"/>
  <c r="U1283" i="31" a="1"/>
  <c r="U1283" i="31"/>
  <c r="W1283" i="31" a="1"/>
  <c r="W1283" i="31"/>
  <c r="V1283" i="31" a="1"/>
  <c r="V1283" i="31"/>
  <c r="X1283" i="31" a="1"/>
  <c r="X1283" i="31"/>
  <c r="U1282" i="31" a="1"/>
  <c r="U1282" i="31"/>
  <c r="W1282" i="31" a="1"/>
  <c r="W1282" i="31"/>
  <c r="V1282" i="31" a="1"/>
  <c r="V1282" i="31"/>
  <c r="X1282" i="31" a="1"/>
  <c r="X1282" i="31"/>
  <c r="U1281" i="31" a="1"/>
  <c r="U1281" i="31"/>
  <c r="W1281" i="31" a="1"/>
  <c r="W1281" i="31"/>
  <c r="V1281" i="31" a="1"/>
  <c r="V1281" i="31"/>
  <c r="X1281" i="31" a="1"/>
  <c r="X1281" i="31"/>
  <c r="U1280" i="31" a="1"/>
  <c r="U1280" i="31"/>
  <c r="W1280" i="31" a="1"/>
  <c r="W1280" i="31"/>
  <c r="V1280" i="31" a="1"/>
  <c r="V1280" i="31"/>
  <c r="X1280" i="31" a="1"/>
  <c r="X1280" i="31"/>
  <c r="U1279" i="31" a="1"/>
  <c r="U1279" i="31"/>
  <c r="W1279" i="31" a="1"/>
  <c r="W1279" i="31"/>
  <c r="V1279" i="31" a="1"/>
  <c r="V1279" i="31"/>
  <c r="X1279" i="31" a="1"/>
  <c r="X1279" i="31"/>
  <c r="U1278" i="31" a="1"/>
  <c r="U1278" i="31"/>
  <c r="W1278" i="31" a="1"/>
  <c r="W1278" i="31"/>
  <c r="V1278" i="31" a="1"/>
  <c r="V1278" i="31"/>
  <c r="X1278" i="31" a="1"/>
  <c r="X1278" i="31"/>
  <c r="U1277" i="31" a="1"/>
  <c r="U1277" i="31"/>
  <c r="W1277" i="31" a="1"/>
  <c r="W1277" i="31"/>
  <c r="V1277" i="31" a="1"/>
  <c r="V1277" i="31"/>
  <c r="X1277" i="31" a="1"/>
  <c r="X1277" i="31"/>
  <c r="U1276" i="31" a="1"/>
  <c r="U1276" i="31"/>
  <c r="W1276" i="31" a="1"/>
  <c r="W1276" i="31"/>
  <c r="V1276" i="31" a="1"/>
  <c r="V1276" i="31"/>
  <c r="X1276" i="31" a="1"/>
  <c r="X1276" i="31"/>
  <c r="U1275" i="31" a="1"/>
  <c r="U1275" i="31"/>
  <c r="W1275" i="31" a="1"/>
  <c r="W1275" i="31"/>
  <c r="V1275" i="31" a="1"/>
  <c r="V1275" i="31"/>
  <c r="X1275" i="31" a="1"/>
  <c r="X1275" i="31"/>
  <c r="U1274" i="31" a="1"/>
  <c r="U1274" i="31"/>
  <c r="W1274" i="31" a="1"/>
  <c r="W1274" i="31"/>
  <c r="V1274" i="31" a="1"/>
  <c r="V1274" i="31"/>
  <c r="X1274" i="31" a="1"/>
  <c r="X1274" i="31"/>
  <c r="U1273" i="31" a="1"/>
  <c r="U1273" i="31"/>
  <c r="W1273" i="31" a="1"/>
  <c r="W1273" i="31"/>
  <c r="V1273" i="31" a="1"/>
  <c r="V1273" i="31"/>
  <c r="X1273" i="31" a="1"/>
  <c r="X1273" i="31"/>
  <c r="U1272" i="31" a="1"/>
  <c r="U1272" i="31"/>
  <c r="W1272" i="31" a="1"/>
  <c r="W1272" i="31"/>
  <c r="V1272" i="31" a="1"/>
  <c r="V1272" i="31"/>
  <c r="X1272" i="31" a="1"/>
  <c r="X1272" i="31"/>
  <c r="U1271" i="31" a="1"/>
  <c r="U1271" i="31"/>
  <c r="W1271" i="31" a="1"/>
  <c r="W1271" i="31"/>
  <c r="V1271" i="31" a="1"/>
  <c r="V1271" i="31"/>
  <c r="X1271" i="31" a="1"/>
  <c r="X1271" i="31"/>
  <c r="U1270" i="31" a="1"/>
  <c r="U1270" i="31"/>
  <c r="W1270" i="31" a="1"/>
  <c r="W1270" i="31"/>
  <c r="V1270" i="31" a="1"/>
  <c r="V1270" i="31"/>
  <c r="X1270" i="31" a="1"/>
  <c r="X1270" i="31"/>
  <c r="U1269" i="31" a="1"/>
  <c r="U1269" i="31"/>
  <c r="W1269" i="31" a="1"/>
  <c r="W1269" i="31"/>
  <c r="V1269" i="31" a="1"/>
  <c r="V1269" i="31"/>
  <c r="X1269" i="31" a="1"/>
  <c r="X1269" i="31"/>
  <c r="U1268" i="31" a="1"/>
  <c r="U1268" i="31"/>
  <c r="W1268" i="31" a="1"/>
  <c r="W1268" i="31"/>
  <c r="V1268" i="31" a="1"/>
  <c r="V1268" i="31"/>
  <c r="X1268" i="31" a="1"/>
  <c r="X1268" i="31"/>
  <c r="U1267" i="31" a="1"/>
  <c r="U1267" i="31"/>
  <c r="W1267" i="31" a="1"/>
  <c r="W1267" i="31"/>
  <c r="V1267" i="31" a="1"/>
  <c r="V1267" i="31"/>
  <c r="X1267" i="31" a="1"/>
  <c r="X1267" i="31"/>
  <c r="U1266" i="31" a="1"/>
  <c r="U1266" i="31"/>
  <c r="W1266" i="31" a="1"/>
  <c r="W1266" i="31"/>
  <c r="V1266" i="31" a="1"/>
  <c r="V1266" i="31"/>
  <c r="X1266" i="31" a="1"/>
  <c r="X1266" i="31"/>
  <c r="U1265" i="31" a="1"/>
  <c r="U1265" i="31"/>
  <c r="W1265" i="31" a="1"/>
  <c r="W1265" i="31"/>
  <c r="V1265" i="31" a="1"/>
  <c r="V1265" i="31"/>
  <c r="X1265" i="31" a="1"/>
  <c r="X1265" i="31"/>
  <c r="U1264" i="31" a="1"/>
  <c r="U1264" i="31"/>
  <c r="W1264" i="31" a="1"/>
  <c r="W1264" i="31"/>
  <c r="V1264" i="31" a="1"/>
  <c r="V1264" i="31"/>
  <c r="X1264" i="31" a="1"/>
  <c r="X1264" i="31"/>
  <c r="U1263" i="31" a="1"/>
  <c r="U1263" i="31"/>
  <c r="W1263" i="31" a="1"/>
  <c r="W1263" i="31"/>
  <c r="V1263" i="31" a="1"/>
  <c r="V1263" i="31"/>
  <c r="X1263" i="31" a="1"/>
  <c r="X1263" i="31"/>
  <c r="U1262" i="31" a="1"/>
  <c r="U1262" i="31"/>
  <c r="W1262" i="31" a="1"/>
  <c r="W1262" i="31"/>
  <c r="V1262" i="31" a="1"/>
  <c r="V1262" i="31"/>
  <c r="X1262" i="31" a="1"/>
  <c r="X1262" i="31"/>
  <c r="U1261" i="31" a="1"/>
  <c r="U1261" i="31"/>
  <c r="W1261" i="31" a="1"/>
  <c r="W1261" i="31"/>
  <c r="V1261" i="31" a="1"/>
  <c r="V1261" i="31"/>
  <c r="X1261" i="31" a="1"/>
  <c r="X1261" i="31"/>
  <c r="U1260" i="31" a="1"/>
  <c r="U1260" i="31"/>
  <c r="W1260" i="31" a="1"/>
  <c r="W1260" i="31"/>
  <c r="V1260" i="31" a="1"/>
  <c r="V1260" i="31"/>
  <c r="X1260" i="31" a="1"/>
  <c r="X1260" i="31"/>
  <c r="U1259" i="31" a="1"/>
  <c r="U1259" i="31"/>
  <c r="W1259" i="31" a="1"/>
  <c r="W1259" i="31"/>
  <c r="V1259" i="31" a="1"/>
  <c r="V1259" i="31"/>
  <c r="X1259" i="31" a="1"/>
  <c r="X1259" i="31"/>
  <c r="U1258" i="31" a="1"/>
  <c r="U1258" i="31"/>
  <c r="W1258" i="31" a="1"/>
  <c r="W1258" i="31"/>
  <c r="V1258" i="31" a="1"/>
  <c r="V1258" i="31"/>
  <c r="X1258" i="31" a="1"/>
  <c r="X1258" i="31"/>
  <c r="U1257" i="31" a="1"/>
  <c r="U1257" i="31"/>
  <c r="W1257" i="31" a="1"/>
  <c r="W1257" i="31"/>
  <c r="V1257" i="31" a="1"/>
  <c r="V1257" i="31"/>
  <c r="X1257" i="31" a="1"/>
  <c r="X1257" i="31"/>
  <c r="U1256" i="31" a="1"/>
  <c r="U1256" i="31"/>
  <c r="W1256" i="31" a="1"/>
  <c r="W1256" i="31"/>
  <c r="V1256" i="31" a="1"/>
  <c r="V1256" i="31"/>
  <c r="X1256" i="31" a="1"/>
  <c r="X1256" i="31"/>
  <c r="U1255" i="31" a="1"/>
  <c r="U1255" i="31"/>
  <c r="W1255" i="31" a="1"/>
  <c r="W1255" i="31"/>
  <c r="V1255" i="31" a="1"/>
  <c r="V1255" i="31"/>
  <c r="X1255" i="31" a="1"/>
  <c r="X1255" i="31"/>
  <c r="U1254" i="31" a="1"/>
  <c r="U1254" i="31"/>
  <c r="W1254" i="31" a="1"/>
  <c r="W1254" i="31"/>
  <c r="V1254" i="31" a="1"/>
  <c r="V1254" i="31"/>
  <c r="X1254" i="31" a="1"/>
  <c r="X1254" i="31"/>
  <c r="U1253" i="31" a="1"/>
  <c r="U1253" i="31"/>
  <c r="W1253" i="31" a="1"/>
  <c r="W1253" i="31"/>
  <c r="V1253" i="31" a="1"/>
  <c r="V1253" i="31"/>
  <c r="X1253" i="31" a="1"/>
  <c r="X1253" i="31"/>
  <c r="U1252" i="31" a="1"/>
  <c r="U1252" i="31"/>
  <c r="W1252" i="31" a="1"/>
  <c r="W1252" i="31"/>
  <c r="V1252" i="31" a="1"/>
  <c r="V1252" i="31"/>
  <c r="X1252" i="31" a="1"/>
  <c r="X1252" i="31"/>
  <c r="U1251" i="31" a="1"/>
  <c r="U1251" i="31"/>
  <c r="W1251" i="31" a="1"/>
  <c r="W1251" i="31"/>
  <c r="V1251" i="31" a="1"/>
  <c r="V1251" i="31"/>
  <c r="X1251" i="31" a="1"/>
  <c r="X1251" i="31"/>
  <c r="U1250" i="31" a="1"/>
  <c r="U1250" i="31"/>
  <c r="W1250" i="31" a="1"/>
  <c r="W1250" i="31"/>
  <c r="V1250" i="31" a="1"/>
  <c r="V1250" i="31"/>
  <c r="X1250" i="31" a="1"/>
  <c r="X1250" i="31"/>
  <c r="U1249" i="31" a="1"/>
  <c r="U1249" i="31"/>
  <c r="W1249" i="31" a="1"/>
  <c r="W1249" i="31"/>
  <c r="V1249" i="31" a="1"/>
  <c r="V1249" i="31"/>
  <c r="X1249" i="31" a="1"/>
  <c r="X1249" i="31"/>
  <c r="U1248" i="31" a="1"/>
  <c r="U1248" i="31"/>
  <c r="W1248" i="31" a="1"/>
  <c r="W1248" i="31"/>
  <c r="V1248" i="31" a="1"/>
  <c r="V1248" i="31"/>
  <c r="X1248" i="31" a="1"/>
  <c r="X1248" i="31"/>
  <c r="U1247" i="31" a="1"/>
  <c r="U1247" i="31"/>
  <c r="W1247" i="31" a="1"/>
  <c r="W1247" i="31"/>
  <c r="V1247" i="31" a="1"/>
  <c r="V1247" i="31"/>
  <c r="X1247" i="31" a="1"/>
  <c r="X1247" i="31"/>
  <c r="U1246" i="31" a="1"/>
  <c r="U1246" i="31"/>
  <c r="W1246" i="31" a="1"/>
  <c r="W1246" i="31"/>
  <c r="V1246" i="31" a="1"/>
  <c r="V1246" i="31"/>
  <c r="X1246" i="31" a="1"/>
  <c r="X1246" i="31"/>
  <c r="U1245" i="31" a="1"/>
  <c r="U1245" i="31"/>
  <c r="W1245" i="31" a="1"/>
  <c r="W1245" i="31"/>
  <c r="V1245" i="31" a="1"/>
  <c r="V1245" i="31"/>
  <c r="X1245" i="31" a="1"/>
  <c r="X1245" i="31"/>
  <c r="U1244" i="31" a="1"/>
  <c r="U1244" i="31"/>
  <c r="W1244" i="31" a="1"/>
  <c r="W1244" i="31"/>
  <c r="V1244" i="31" a="1"/>
  <c r="V1244" i="31"/>
  <c r="X1244" i="31" a="1"/>
  <c r="X1244" i="31"/>
  <c r="U1243" i="31" a="1"/>
  <c r="U1243" i="31"/>
  <c r="W1243" i="31" a="1"/>
  <c r="W1243" i="31"/>
  <c r="V1243" i="31" a="1"/>
  <c r="V1243" i="31"/>
  <c r="X1243" i="31" a="1"/>
  <c r="X1243" i="31"/>
  <c r="U1242" i="31" a="1"/>
  <c r="U1242" i="31"/>
  <c r="W1242" i="31" a="1"/>
  <c r="W1242" i="31"/>
  <c r="V1242" i="31" a="1"/>
  <c r="V1242" i="31"/>
  <c r="X1242" i="31" a="1"/>
  <c r="X1242" i="31"/>
  <c r="U1241" i="31" a="1"/>
  <c r="U1241" i="31"/>
  <c r="W1241" i="31" a="1"/>
  <c r="W1241" i="31"/>
  <c r="V1241" i="31" a="1"/>
  <c r="V1241" i="31"/>
  <c r="X1241" i="31" a="1"/>
  <c r="X1241" i="31"/>
  <c r="U1240" i="31" a="1"/>
  <c r="U1240" i="31"/>
  <c r="W1240" i="31" a="1"/>
  <c r="W1240" i="31"/>
  <c r="V1240" i="31" a="1"/>
  <c r="V1240" i="31"/>
  <c r="X1240" i="31" a="1"/>
  <c r="X1240" i="31"/>
  <c r="U1239" i="31" a="1"/>
  <c r="U1239" i="31"/>
  <c r="W1239" i="31" a="1"/>
  <c r="W1239" i="31"/>
  <c r="V1239" i="31" a="1"/>
  <c r="V1239" i="31"/>
  <c r="X1239" i="31" a="1"/>
  <c r="X1239" i="31"/>
  <c r="U1238" i="31" a="1"/>
  <c r="U1238" i="31"/>
  <c r="W1238" i="31" a="1"/>
  <c r="W1238" i="31"/>
  <c r="V1238" i="31" a="1"/>
  <c r="V1238" i="31"/>
  <c r="X1238" i="31" a="1"/>
  <c r="X1238" i="31"/>
  <c r="U1237" i="31" a="1"/>
  <c r="U1237" i="31"/>
  <c r="W1237" i="31" a="1"/>
  <c r="W1237" i="31"/>
  <c r="V1237" i="31" a="1"/>
  <c r="V1237" i="31"/>
  <c r="X1237" i="31" a="1"/>
  <c r="X1237" i="31"/>
  <c r="U1236" i="31" a="1"/>
  <c r="U1236" i="31"/>
  <c r="W1236" i="31" a="1"/>
  <c r="W1236" i="31"/>
  <c r="V1236" i="31" a="1"/>
  <c r="V1236" i="31"/>
  <c r="X1236" i="31" a="1"/>
  <c r="X1236" i="31"/>
  <c r="U1235" i="31" a="1"/>
  <c r="U1235" i="31"/>
  <c r="W1235" i="31" a="1"/>
  <c r="W1235" i="31"/>
  <c r="V1235" i="31" a="1"/>
  <c r="V1235" i="31"/>
  <c r="X1235" i="31" a="1"/>
  <c r="X1235" i="31"/>
  <c r="U1234" i="31" a="1"/>
  <c r="U1234" i="31"/>
  <c r="W1234" i="31" a="1"/>
  <c r="W1234" i="31"/>
  <c r="V1234" i="31" a="1"/>
  <c r="V1234" i="31"/>
  <c r="X1234" i="31" a="1"/>
  <c r="X1234" i="31"/>
  <c r="U1233" i="31" a="1"/>
  <c r="U1233" i="31"/>
  <c r="W1233" i="31" a="1"/>
  <c r="W1233" i="31"/>
  <c r="V1233" i="31" a="1"/>
  <c r="V1233" i="31"/>
  <c r="X1233" i="31" a="1"/>
  <c r="X1233" i="31"/>
  <c r="U1232" i="31" a="1"/>
  <c r="U1232" i="31"/>
  <c r="W1232" i="31" a="1"/>
  <c r="W1232" i="31"/>
  <c r="V1232" i="31" a="1"/>
  <c r="V1232" i="31"/>
  <c r="X1232" i="31" a="1"/>
  <c r="X1232" i="31"/>
  <c r="U1231" i="31" a="1"/>
  <c r="U1231" i="31"/>
  <c r="W1231" i="31" a="1"/>
  <c r="W1231" i="31"/>
  <c r="V1231" i="31" a="1"/>
  <c r="V1231" i="31"/>
  <c r="X1231" i="31" a="1"/>
  <c r="X1231" i="31"/>
  <c r="U1230" i="31" a="1"/>
  <c r="U1230" i="31"/>
  <c r="W1230" i="31" a="1"/>
  <c r="W1230" i="31"/>
  <c r="V1230" i="31" a="1"/>
  <c r="V1230" i="31"/>
  <c r="X1230" i="31" a="1"/>
  <c r="X1230" i="31"/>
  <c r="U1229" i="31" a="1"/>
  <c r="U1229" i="31"/>
  <c r="W1229" i="31" a="1"/>
  <c r="W1229" i="31"/>
  <c r="V1229" i="31" a="1"/>
  <c r="V1229" i="31"/>
  <c r="X1229" i="31" a="1"/>
  <c r="X1229" i="31"/>
  <c r="U1228" i="31" a="1"/>
  <c r="U1228" i="31"/>
  <c r="W1228" i="31" a="1"/>
  <c r="W1228" i="31"/>
  <c r="V1228" i="31" a="1"/>
  <c r="V1228" i="31"/>
  <c r="X1228" i="31" a="1"/>
  <c r="X1228" i="31"/>
  <c r="U1227" i="31" a="1"/>
  <c r="U1227" i="31"/>
  <c r="W1227" i="31" a="1"/>
  <c r="W1227" i="31"/>
  <c r="V1227" i="31" a="1"/>
  <c r="V1227" i="31"/>
  <c r="X1227" i="31" a="1"/>
  <c r="X1227" i="31"/>
  <c r="U1226" i="31" a="1"/>
  <c r="U1226" i="31"/>
  <c r="W1226" i="31" a="1"/>
  <c r="W1226" i="31"/>
  <c r="V1226" i="31" a="1"/>
  <c r="V1226" i="31"/>
  <c r="X1226" i="31" a="1"/>
  <c r="X1226" i="31"/>
  <c r="U1225" i="31" a="1"/>
  <c r="U1225" i="31"/>
  <c r="W1225" i="31" a="1"/>
  <c r="W1225" i="31"/>
  <c r="V1225" i="31" a="1"/>
  <c r="V1225" i="31"/>
  <c r="X1225" i="31" a="1"/>
  <c r="X1225" i="31"/>
  <c r="U1224" i="31" a="1"/>
  <c r="U1224" i="31"/>
  <c r="W1224" i="31" a="1"/>
  <c r="W1224" i="31"/>
  <c r="V1224" i="31" a="1"/>
  <c r="V1224" i="31"/>
  <c r="X1224" i="31" a="1"/>
  <c r="X1224" i="31"/>
  <c r="U1223" i="31" a="1"/>
  <c r="U1223" i="31"/>
  <c r="W1223" i="31" a="1"/>
  <c r="W1223" i="31"/>
  <c r="V1223" i="31" a="1"/>
  <c r="V1223" i="31"/>
  <c r="X1223" i="31" a="1"/>
  <c r="X1223" i="31"/>
  <c r="U1222" i="31" a="1"/>
  <c r="U1222" i="31"/>
  <c r="W1222" i="31" a="1"/>
  <c r="W1222" i="31"/>
  <c r="V1222" i="31" a="1"/>
  <c r="V1222" i="31"/>
  <c r="X1222" i="31" a="1"/>
  <c r="X1222" i="31"/>
  <c r="U1221" i="31" a="1"/>
  <c r="U1221" i="31"/>
  <c r="W1221" i="31" a="1"/>
  <c r="W1221" i="31"/>
  <c r="V1221" i="31" a="1"/>
  <c r="V1221" i="31"/>
  <c r="X1221" i="31" a="1"/>
  <c r="X1221" i="31"/>
  <c r="U1220" i="31" a="1"/>
  <c r="U1220" i="31"/>
  <c r="W1220" i="31" a="1"/>
  <c r="W1220" i="31"/>
  <c r="V1220" i="31" a="1"/>
  <c r="V1220" i="31"/>
  <c r="X1220" i="31" a="1"/>
  <c r="X1220" i="31"/>
  <c r="U1219" i="31" a="1"/>
  <c r="U1219" i="31"/>
  <c r="W1219" i="31" a="1"/>
  <c r="W1219" i="31"/>
  <c r="V1219" i="31" a="1"/>
  <c r="V1219" i="31"/>
  <c r="X1219" i="31" a="1"/>
  <c r="X1219" i="31"/>
  <c r="U1218" i="31" a="1"/>
  <c r="U1218" i="31"/>
  <c r="W1218" i="31" a="1"/>
  <c r="W1218" i="31"/>
  <c r="V1218" i="31" a="1"/>
  <c r="V1218" i="31"/>
  <c r="X1218" i="31" a="1"/>
  <c r="X1218" i="31"/>
  <c r="U1217" i="31" a="1"/>
  <c r="U1217" i="31"/>
  <c r="W1217" i="31" a="1"/>
  <c r="W1217" i="31"/>
  <c r="V1217" i="31" a="1"/>
  <c r="V1217" i="31"/>
  <c r="X1217" i="31" a="1"/>
  <c r="X1217" i="31"/>
  <c r="U1216" i="31" a="1"/>
  <c r="U1216" i="31"/>
  <c r="W1216" i="31" a="1"/>
  <c r="W1216" i="31"/>
  <c r="V1216" i="31" a="1"/>
  <c r="V1216" i="31"/>
  <c r="X1216" i="31" a="1"/>
  <c r="X1216" i="31"/>
  <c r="U1215" i="31" a="1"/>
  <c r="U1215" i="31"/>
  <c r="W1215" i="31" a="1"/>
  <c r="W1215" i="31"/>
  <c r="V1215" i="31" a="1"/>
  <c r="V1215" i="31"/>
  <c r="X1215" i="31" a="1"/>
  <c r="X1215" i="31"/>
  <c r="U1214" i="31" a="1"/>
  <c r="U1214" i="31"/>
  <c r="W1214" i="31" a="1"/>
  <c r="W1214" i="31"/>
  <c r="V1214" i="31" a="1"/>
  <c r="V1214" i="31"/>
  <c r="X1214" i="31" a="1"/>
  <c r="X1214" i="31"/>
  <c r="U1213" i="31" a="1"/>
  <c r="U1213" i="31"/>
  <c r="W1213" i="31" a="1"/>
  <c r="W1213" i="31"/>
  <c r="V1213" i="31" a="1"/>
  <c r="V1213" i="31"/>
  <c r="X1213" i="31" a="1"/>
  <c r="X1213" i="31"/>
  <c r="U1212" i="31" a="1"/>
  <c r="U1212" i="31"/>
  <c r="W1212" i="31" a="1"/>
  <c r="W1212" i="31"/>
  <c r="V1212" i="31" a="1"/>
  <c r="V1212" i="31"/>
  <c r="X1212" i="31" a="1"/>
  <c r="X1212" i="31"/>
  <c r="U1211" i="31" a="1"/>
  <c r="U1211" i="31"/>
  <c r="W1211" i="31" a="1"/>
  <c r="W1211" i="31"/>
  <c r="V1211" i="31" a="1"/>
  <c r="V1211" i="31"/>
  <c r="X1211" i="31" a="1"/>
  <c r="X1211" i="31"/>
  <c r="U1210" i="31" a="1"/>
  <c r="U1210" i="31"/>
  <c r="W1210" i="31" a="1"/>
  <c r="W1210" i="31"/>
  <c r="V1210" i="31" a="1"/>
  <c r="V1210" i="31"/>
  <c r="X1210" i="31" a="1"/>
  <c r="X1210" i="31"/>
  <c r="U1209" i="31" a="1"/>
  <c r="U1209" i="31"/>
  <c r="W1209" i="31" a="1"/>
  <c r="W1209" i="31"/>
  <c r="V1209" i="31" a="1"/>
  <c r="V1209" i="31"/>
  <c r="X1209" i="31" a="1"/>
  <c r="X1209" i="31"/>
  <c r="U1208" i="31" a="1"/>
  <c r="U1208" i="31"/>
  <c r="W1208" i="31" a="1"/>
  <c r="W1208" i="31"/>
  <c r="V1208" i="31" a="1"/>
  <c r="V1208" i="31"/>
  <c r="X1208" i="31" a="1"/>
  <c r="X1208" i="31"/>
  <c r="U1207" i="31" a="1"/>
  <c r="U1207" i="31"/>
  <c r="W1207" i="31" a="1"/>
  <c r="W1207" i="31"/>
  <c r="V1207" i="31" a="1"/>
  <c r="V1207" i="31"/>
  <c r="X1207" i="31" a="1"/>
  <c r="X1207" i="31"/>
  <c r="U1206" i="31" a="1"/>
  <c r="U1206" i="31"/>
  <c r="W1206" i="31" a="1"/>
  <c r="W1206" i="31"/>
  <c r="V1206" i="31" a="1"/>
  <c r="V1206" i="31"/>
  <c r="X1206" i="31" a="1"/>
  <c r="X1206" i="31"/>
  <c r="U1205" i="31" a="1"/>
  <c r="U1205" i="31"/>
  <c r="W1205" i="31" a="1"/>
  <c r="W1205" i="31"/>
  <c r="V1205" i="31" a="1"/>
  <c r="V1205" i="31"/>
  <c r="X1205" i="31" a="1"/>
  <c r="X1205" i="31"/>
  <c r="U1204" i="31" a="1"/>
  <c r="U1204" i="31"/>
  <c r="W1204" i="31" a="1"/>
  <c r="W1204" i="31"/>
  <c r="V1204" i="31" a="1"/>
  <c r="V1204" i="31"/>
  <c r="X1204" i="31" a="1"/>
  <c r="X1204" i="31"/>
  <c r="U1203" i="31" a="1"/>
  <c r="U1203" i="31"/>
  <c r="W1203" i="31" a="1"/>
  <c r="W1203" i="31"/>
  <c r="V1203" i="31" a="1"/>
  <c r="V1203" i="31"/>
  <c r="X1203" i="31" a="1"/>
  <c r="X1203" i="31"/>
  <c r="U1202" i="31" a="1"/>
  <c r="U1202" i="31"/>
  <c r="W1202" i="31" a="1"/>
  <c r="W1202" i="31"/>
  <c r="V1202" i="31" a="1"/>
  <c r="V1202" i="31"/>
  <c r="X1202" i="31" a="1"/>
  <c r="X1202" i="31"/>
  <c r="U1201" i="31" a="1"/>
  <c r="U1201" i="31"/>
  <c r="W1201" i="31" a="1"/>
  <c r="W1201" i="31"/>
  <c r="V1201" i="31" a="1"/>
  <c r="V1201" i="31"/>
  <c r="X1201" i="31" a="1"/>
  <c r="X1201" i="31"/>
  <c r="U1200" i="31" a="1"/>
  <c r="U1200" i="31"/>
  <c r="W1200" i="31" a="1"/>
  <c r="W1200" i="31"/>
  <c r="V1200" i="31" a="1"/>
  <c r="V1200" i="31"/>
  <c r="X1200" i="31" a="1"/>
  <c r="X1200" i="31"/>
  <c r="U1199" i="31" a="1"/>
  <c r="U1199" i="31"/>
  <c r="W1199" i="31" a="1"/>
  <c r="W1199" i="31"/>
  <c r="V1199" i="31" a="1"/>
  <c r="V1199" i="31"/>
  <c r="X1199" i="31" a="1"/>
  <c r="X1199" i="31"/>
  <c r="U1198" i="31" a="1"/>
  <c r="U1198" i="31"/>
  <c r="W1198" i="31" a="1"/>
  <c r="W1198" i="31"/>
  <c r="V1198" i="31" a="1"/>
  <c r="V1198" i="31"/>
  <c r="X1198" i="31" a="1"/>
  <c r="X1198" i="31"/>
  <c r="U1197" i="31" a="1"/>
  <c r="U1197" i="31"/>
  <c r="W1197" i="31" a="1"/>
  <c r="W1197" i="31"/>
  <c r="V1197" i="31" a="1"/>
  <c r="V1197" i="31"/>
  <c r="X1197" i="31" a="1"/>
  <c r="X1197" i="31"/>
  <c r="U1196" i="31" a="1"/>
  <c r="U1196" i="31"/>
  <c r="W1196" i="31" a="1"/>
  <c r="W1196" i="31"/>
  <c r="V1196" i="31" a="1"/>
  <c r="V1196" i="31"/>
  <c r="X1196" i="31" a="1"/>
  <c r="X1196" i="31"/>
  <c r="U1195" i="31" a="1"/>
  <c r="U1195" i="31"/>
  <c r="W1195" i="31" a="1"/>
  <c r="W1195" i="31"/>
  <c r="V1195" i="31" a="1"/>
  <c r="V1195" i="31"/>
  <c r="X1195" i="31" a="1"/>
  <c r="X1195" i="31"/>
  <c r="U1194" i="31" a="1"/>
  <c r="U1194" i="31"/>
  <c r="W1194" i="31" a="1"/>
  <c r="W1194" i="31"/>
  <c r="V1194" i="31" a="1"/>
  <c r="V1194" i="31"/>
  <c r="X1194" i="31" a="1"/>
  <c r="X1194" i="31"/>
  <c r="U1193" i="31" a="1"/>
  <c r="U1193" i="31"/>
  <c r="W1193" i="31" a="1"/>
  <c r="W1193" i="31"/>
  <c r="V1193" i="31" a="1"/>
  <c r="V1193" i="31"/>
  <c r="X1193" i="31" a="1"/>
  <c r="X1193" i="31"/>
  <c r="U1192" i="31" a="1"/>
  <c r="U1192" i="31"/>
  <c r="W1192" i="31" a="1"/>
  <c r="W1192" i="31"/>
  <c r="V1192" i="31" a="1"/>
  <c r="V1192" i="31"/>
  <c r="X1192" i="31" a="1"/>
  <c r="X1192" i="31"/>
  <c r="U1191" i="31" a="1"/>
  <c r="U1191" i="31"/>
  <c r="W1191" i="31" a="1"/>
  <c r="W1191" i="31"/>
  <c r="V1191" i="31" a="1"/>
  <c r="V1191" i="31"/>
  <c r="X1191" i="31" a="1"/>
  <c r="X1191" i="31"/>
  <c r="U1190" i="31" a="1"/>
  <c r="U1190" i="31"/>
  <c r="W1190" i="31" a="1"/>
  <c r="W1190" i="31"/>
  <c r="V1190" i="31" a="1"/>
  <c r="V1190" i="31"/>
  <c r="X1190" i="31" a="1"/>
  <c r="X1190" i="31"/>
  <c r="U1189" i="31" a="1"/>
  <c r="U1189" i="31"/>
  <c r="W1189" i="31" a="1"/>
  <c r="W1189" i="31"/>
  <c r="V1189" i="31" a="1"/>
  <c r="V1189" i="31"/>
  <c r="X1189" i="31" a="1"/>
  <c r="X1189" i="31"/>
  <c r="U1188" i="31" a="1"/>
  <c r="U1188" i="31"/>
  <c r="W1188" i="31" a="1"/>
  <c r="W1188" i="31"/>
  <c r="V1188" i="31" a="1"/>
  <c r="V1188" i="31"/>
  <c r="X1188" i="31" a="1"/>
  <c r="X1188" i="31"/>
  <c r="U1187" i="31" a="1"/>
  <c r="U1187" i="31"/>
  <c r="W1187" i="31" a="1"/>
  <c r="W1187" i="31"/>
  <c r="V1187" i="31" a="1"/>
  <c r="V1187" i="31"/>
  <c r="X1187" i="31" a="1"/>
  <c r="X1187" i="31"/>
  <c r="U1186" i="31" a="1"/>
  <c r="U1186" i="31"/>
  <c r="W1186" i="31" a="1"/>
  <c r="W1186" i="31"/>
  <c r="V1186" i="31" a="1"/>
  <c r="V1186" i="31"/>
  <c r="X1186" i="31" a="1"/>
  <c r="X1186" i="31"/>
  <c r="U1185" i="31" a="1"/>
  <c r="U1185" i="31"/>
  <c r="W1185" i="31" a="1"/>
  <c r="W1185" i="31"/>
  <c r="V1185" i="31" a="1"/>
  <c r="V1185" i="31"/>
  <c r="X1185" i="31" a="1"/>
  <c r="X1185" i="31"/>
  <c r="U1184" i="31" a="1"/>
  <c r="U1184" i="31"/>
  <c r="W1184" i="31" a="1"/>
  <c r="W1184" i="31"/>
  <c r="V1184" i="31" a="1"/>
  <c r="V1184" i="31"/>
  <c r="X1184" i="31" a="1"/>
  <c r="X1184" i="31"/>
  <c r="U1183" i="31" a="1"/>
  <c r="U1183" i="31"/>
  <c r="W1183" i="31" a="1"/>
  <c r="W1183" i="31"/>
  <c r="V1183" i="31" a="1"/>
  <c r="V1183" i="31"/>
  <c r="X1183" i="31" a="1"/>
  <c r="X1183" i="31"/>
  <c r="U1182" i="31" a="1"/>
  <c r="U1182" i="31"/>
  <c r="W1182" i="31" a="1"/>
  <c r="W1182" i="31"/>
  <c r="V1182" i="31" a="1"/>
  <c r="V1182" i="31"/>
  <c r="X1182" i="31" a="1"/>
  <c r="X1182" i="31"/>
  <c r="U1181" i="31" a="1"/>
  <c r="U1181" i="31"/>
  <c r="W1181" i="31" a="1"/>
  <c r="W1181" i="31"/>
  <c r="V1181" i="31" a="1"/>
  <c r="V1181" i="31"/>
  <c r="X1181" i="31" a="1"/>
  <c r="X1181" i="31"/>
  <c r="U1180" i="31" a="1"/>
  <c r="U1180" i="31"/>
  <c r="W1180" i="31" a="1"/>
  <c r="W1180" i="31"/>
  <c r="V1180" i="31" a="1"/>
  <c r="V1180" i="31"/>
  <c r="X1180" i="31" a="1"/>
  <c r="X1180" i="31"/>
  <c r="U1179" i="31" a="1"/>
  <c r="U1179" i="31"/>
  <c r="W1179" i="31" a="1"/>
  <c r="W1179" i="31"/>
  <c r="V1179" i="31" a="1"/>
  <c r="V1179" i="31"/>
  <c r="X1179" i="31" a="1"/>
  <c r="X1179" i="31"/>
  <c r="U1178" i="31" a="1"/>
  <c r="U1178" i="31"/>
  <c r="W1178" i="31" a="1"/>
  <c r="W1178" i="31"/>
  <c r="V1178" i="31" a="1"/>
  <c r="V1178" i="31"/>
  <c r="X1178" i="31" a="1"/>
  <c r="X1178" i="31"/>
  <c r="U1177" i="31" a="1"/>
  <c r="U1177" i="31"/>
  <c r="W1177" i="31" a="1"/>
  <c r="W1177" i="31"/>
  <c r="V1177" i="31" a="1"/>
  <c r="V1177" i="31"/>
  <c r="X1177" i="31" a="1"/>
  <c r="X1177" i="31"/>
  <c r="U1176" i="31" a="1"/>
  <c r="U1176" i="31"/>
  <c r="W1176" i="31" a="1"/>
  <c r="W1176" i="31"/>
  <c r="V1176" i="31" a="1"/>
  <c r="V1176" i="31"/>
  <c r="X1176" i="31" a="1"/>
  <c r="X1176" i="31"/>
  <c r="U1175" i="31" a="1"/>
  <c r="U1175" i="31"/>
  <c r="W1175" i="31" a="1"/>
  <c r="W1175" i="31"/>
  <c r="V1175" i="31" a="1"/>
  <c r="V1175" i="31"/>
  <c r="X1175" i="31" a="1"/>
  <c r="X1175" i="31"/>
  <c r="U1174" i="31" a="1"/>
  <c r="U1174" i="31"/>
  <c r="W1174" i="31" a="1"/>
  <c r="W1174" i="31"/>
  <c r="V1174" i="31" a="1"/>
  <c r="V1174" i="31"/>
  <c r="X1174" i="31" a="1"/>
  <c r="X1174" i="31"/>
  <c r="U1173" i="31" a="1"/>
  <c r="U1173" i="31"/>
  <c r="W1173" i="31" a="1"/>
  <c r="W1173" i="31"/>
  <c r="V1173" i="31" a="1"/>
  <c r="V1173" i="31"/>
  <c r="X1173" i="31" a="1"/>
  <c r="X1173" i="31"/>
  <c r="U1172" i="31" a="1"/>
  <c r="U1172" i="31"/>
  <c r="W1172" i="31" a="1"/>
  <c r="W1172" i="31"/>
  <c r="V1172" i="31" a="1"/>
  <c r="V1172" i="31"/>
  <c r="X1172" i="31" a="1"/>
  <c r="X1172" i="31"/>
  <c r="U1171" i="31" a="1"/>
  <c r="U1171" i="31"/>
  <c r="W1171" i="31" a="1"/>
  <c r="W1171" i="31"/>
  <c r="V1171" i="31" a="1"/>
  <c r="V1171" i="31"/>
  <c r="X1171" i="31" a="1"/>
  <c r="X1171" i="31"/>
  <c r="U1170" i="31" a="1"/>
  <c r="U1170" i="31"/>
  <c r="W1170" i="31" a="1"/>
  <c r="W1170" i="31"/>
  <c r="V1170" i="31" a="1"/>
  <c r="V1170" i="31"/>
  <c r="X1170" i="31" a="1"/>
  <c r="X1170" i="31"/>
  <c r="U1169" i="31" a="1"/>
  <c r="U1169" i="31"/>
  <c r="W1169" i="31" a="1"/>
  <c r="W1169" i="31"/>
  <c r="V1169" i="31" a="1"/>
  <c r="V1169" i="31"/>
  <c r="X1169" i="31" a="1"/>
  <c r="X1169" i="31"/>
  <c r="U1168" i="31" a="1"/>
  <c r="U1168" i="31"/>
  <c r="W1168" i="31" a="1"/>
  <c r="W1168" i="31"/>
  <c r="V1168" i="31" a="1"/>
  <c r="V1168" i="31"/>
  <c r="X1168" i="31" a="1"/>
  <c r="X1168" i="31"/>
  <c r="U1167" i="31" a="1"/>
  <c r="U1167" i="31"/>
  <c r="W1167" i="31" a="1"/>
  <c r="W1167" i="31"/>
  <c r="V1167" i="31" a="1"/>
  <c r="V1167" i="31"/>
  <c r="X1167" i="31" a="1"/>
  <c r="X1167" i="31"/>
  <c r="U1166" i="31" a="1"/>
  <c r="U1166" i="31"/>
  <c r="W1166" i="31" a="1"/>
  <c r="W1166" i="31"/>
  <c r="V1166" i="31" a="1"/>
  <c r="V1166" i="31"/>
  <c r="X1166" i="31" a="1"/>
  <c r="X1166" i="31"/>
  <c r="U1165" i="31" a="1"/>
  <c r="U1165" i="31"/>
  <c r="W1165" i="31" a="1"/>
  <c r="W1165" i="31"/>
  <c r="V1165" i="31" a="1"/>
  <c r="V1165" i="31"/>
  <c r="X1165" i="31" a="1"/>
  <c r="X1165" i="31"/>
  <c r="U1164" i="31" a="1"/>
  <c r="U1164" i="31"/>
  <c r="W1164" i="31" a="1"/>
  <c r="W1164" i="31"/>
  <c r="V1164" i="31" a="1"/>
  <c r="V1164" i="31"/>
  <c r="X1164" i="31" a="1"/>
  <c r="X1164" i="31"/>
  <c r="U1163" i="31" a="1"/>
  <c r="U1163" i="31"/>
  <c r="W1163" i="31" a="1"/>
  <c r="W1163" i="31"/>
  <c r="V1163" i="31" a="1"/>
  <c r="V1163" i="31"/>
  <c r="X1163" i="31" a="1"/>
  <c r="X1163" i="31"/>
  <c r="U1162" i="31" a="1"/>
  <c r="U1162" i="31"/>
  <c r="W1162" i="31" a="1"/>
  <c r="W1162" i="31"/>
  <c r="V1162" i="31" a="1"/>
  <c r="V1162" i="31"/>
  <c r="X1162" i="31" a="1"/>
  <c r="X1162" i="31"/>
  <c r="U1161" i="31" a="1"/>
  <c r="U1161" i="31"/>
  <c r="W1161" i="31" a="1"/>
  <c r="W1161" i="31"/>
  <c r="V1161" i="31" a="1"/>
  <c r="V1161" i="31"/>
  <c r="X1161" i="31" a="1"/>
  <c r="X1161" i="31"/>
  <c r="U1160" i="31" a="1"/>
  <c r="U1160" i="31"/>
  <c r="W1160" i="31" a="1"/>
  <c r="W1160" i="31"/>
  <c r="V1160" i="31" a="1"/>
  <c r="V1160" i="31"/>
  <c r="X1160" i="31" a="1"/>
  <c r="X1160" i="31"/>
  <c r="U1159" i="31" a="1"/>
  <c r="U1159" i="31"/>
  <c r="W1159" i="31" a="1"/>
  <c r="W1159" i="31"/>
  <c r="V1159" i="31" a="1"/>
  <c r="V1159" i="31"/>
  <c r="X1159" i="31" a="1"/>
  <c r="X1159" i="31"/>
  <c r="U1158" i="31" a="1"/>
  <c r="U1158" i="31"/>
  <c r="W1158" i="31" a="1"/>
  <c r="W1158" i="31"/>
  <c r="V1158" i="31" a="1"/>
  <c r="V1158" i="31"/>
  <c r="X1158" i="31" a="1"/>
  <c r="X1158" i="31"/>
  <c r="U1157" i="31" a="1"/>
  <c r="U1157" i="31"/>
  <c r="W1157" i="31" a="1"/>
  <c r="W1157" i="31"/>
  <c r="V1157" i="31" a="1"/>
  <c r="V1157" i="31"/>
  <c r="X1157" i="31" a="1"/>
  <c r="X1157" i="31"/>
  <c r="U1156" i="31" a="1"/>
  <c r="U1156" i="31"/>
  <c r="W1156" i="31" a="1"/>
  <c r="W1156" i="31"/>
  <c r="V1156" i="31" a="1"/>
  <c r="V1156" i="31"/>
  <c r="X1156" i="31" a="1"/>
  <c r="X1156" i="31"/>
  <c r="U1155" i="31" a="1"/>
  <c r="U1155" i="31"/>
  <c r="W1155" i="31" a="1"/>
  <c r="W1155" i="31"/>
  <c r="V1155" i="31" a="1"/>
  <c r="V1155" i="31"/>
  <c r="X1155" i="31" a="1"/>
  <c r="X1155" i="31"/>
  <c r="U1154" i="31" a="1"/>
  <c r="U1154" i="31"/>
  <c r="W1154" i="31" a="1"/>
  <c r="W1154" i="31"/>
  <c r="V1154" i="31" a="1"/>
  <c r="V1154" i="31"/>
  <c r="X1154" i="31" a="1"/>
  <c r="X1154" i="31"/>
  <c r="U1153" i="31" a="1"/>
  <c r="U1153" i="31"/>
  <c r="W1153" i="31" a="1"/>
  <c r="W1153" i="31"/>
  <c r="V1153" i="31" a="1"/>
  <c r="V1153" i="31"/>
  <c r="X1153" i="31" a="1"/>
  <c r="X1153" i="31"/>
  <c r="U1152" i="31" a="1"/>
  <c r="U1152" i="31"/>
  <c r="W1152" i="31" a="1"/>
  <c r="W1152" i="31"/>
  <c r="V1152" i="31" a="1"/>
  <c r="V1152" i="31"/>
  <c r="X1152" i="31" a="1"/>
  <c r="X1152" i="31"/>
  <c r="U1151" i="31" a="1"/>
  <c r="U1151" i="31"/>
  <c r="W1151" i="31" a="1"/>
  <c r="W1151" i="31"/>
  <c r="V1151" i="31" a="1"/>
  <c r="V1151" i="31"/>
  <c r="X1151" i="31" a="1"/>
  <c r="X1151" i="31"/>
  <c r="U1150" i="31" a="1"/>
  <c r="U1150" i="31"/>
  <c r="W1150" i="31" a="1"/>
  <c r="W1150" i="31"/>
  <c r="V1150" i="31" a="1"/>
  <c r="V1150" i="31"/>
  <c r="X1150" i="31" a="1"/>
  <c r="X1150" i="31"/>
  <c r="U1149" i="31" a="1"/>
  <c r="U1149" i="31"/>
  <c r="W1149" i="31" a="1"/>
  <c r="W1149" i="31"/>
  <c r="V1149" i="31" a="1"/>
  <c r="V1149" i="31"/>
  <c r="X1149" i="31" a="1"/>
  <c r="X1149" i="31"/>
  <c r="U1148" i="31" a="1"/>
  <c r="U1148" i="31"/>
  <c r="W1148" i="31" a="1"/>
  <c r="W1148" i="31"/>
  <c r="V1148" i="31" a="1"/>
  <c r="V1148" i="31"/>
  <c r="X1148" i="31" a="1"/>
  <c r="X1148" i="31"/>
  <c r="U1147" i="31" a="1"/>
  <c r="U1147" i="31"/>
  <c r="W1147" i="31" a="1"/>
  <c r="W1147" i="31"/>
  <c r="V1147" i="31" a="1"/>
  <c r="V1147" i="31"/>
  <c r="X1147" i="31" a="1"/>
  <c r="X1147" i="31"/>
  <c r="U1146" i="31" a="1"/>
  <c r="U1146" i="31"/>
  <c r="W1146" i="31" a="1"/>
  <c r="W1146" i="31"/>
  <c r="V1146" i="31" a="1"/>
  <c r="V1146" i="31"/>
  <c r="X1146" i="31" a="1"/>
  <c r="X1146" i="31"/>
  <c r="U1145" i="31" a="1"/>
  <c r="U1145" i="31"/>
  <c r="W1145" i="31" a="1"/>
  <c r="W1145" i="31"/>
  <c r="V1145" i="31" a="1"/>
  <c r="V1145" i="31"/>
  <c r="X1145" i="31" a="1"/>
  <c r="X1145" i="31"/>
  <c r="U1144" i="31" a="1"/>
  <c r="U1144" i="31"/>
  <c r="W1144" i="31" a="1"/>
  <c r="W1144" i="31"/>
  <c r="V1144" i="31" a="1"/>
  <c r="V1144" i="31"/>
  <c r="X1144" i="31" a="1"/>
  <c r="X1144" i="31"/>
  <c r="U1143" i="31" a="1"/>
  <c r="U1143" i="31"/>
  <c r="W1143" i="31" a="1"/>
  <c r="W1143" i="31"/>
  <c r="V1143" i="31" a="1"/>
  <c r="V1143" i="31"/>
  <c r="X1143" i="31" a="1"/>
  <c r="X1143" i="31"/>
  <c r="U1142" i="31" a="1"/>
  <c r="U1142" i="31"/>
  <c r="W1142" i="31" a="1"/>
  <c r="W1142" i="31"/>
  <c r="V1142" i="31" a="1"/>
  <c r="V1142" i="31"/>
  <c r="X1142" i="31" a="1"/>
  <c r="X1142" i="31"/>
  <c r="U1141" i="31" a="1"/>
  <c r="U1141" i="31"/>
  <c r="W1141" i="31" a="1"/>
  <c r="W1141" i="31"/>
  <c r="V1141" i="31" a="1"/>
  <c r="V1141" i="31"/>
  <c r="X1141" i="31" a="1"/>
  <c r="X1141" i="31"/>
  <c r="U1140" i="31" a="1"/>
  <c r="U1140" i="31"/>
  <c r="W1140" i="31" a="1"/>
  <c r="W1140" i="31"/>
  <c r="V1140" i="31" a="1"/>
  <c r="V1140" i="31"/>
  <c r="X1140" i="31" a="1"/>
  <c r="X1140" i="31"/>
  <c r="U1139" i="31" a="1"/>
  <c r="U1139" i="31"/>
  <c r="W1139" i="31" a="1"/>
  <c r="W1139" i="31"/>
  <c r="V1139" i="31" a="1"/>
  <c r="V1139" i="31"/>
  <c r="X1139" i="31" a="1"/>
  <c r="X1139" i="31"/>
  <c r="U1138" i="31" a="1"/>
  <c r="U1138" i="31"/>
  <c r="W1138" i="31" a="1"/>
  <c r="W1138" i="31"/>
  <c r="V1138" i="31" a="1"/>
  <c r="V1138" i="31"/>
  <c r="X1138" i="31" a="1"/>
  <c r="X1138" i="31"/>
  <c r="U1137" i="31" a="1"/>
  <c r="U1137" i="31"/>
  <c r="W1137" i="31" a="1"/>
  <c r="W1137" i="31"/>
  <c r="V1137" i="31" a="1"/>
  <c r="V1137" i="31"/>
  <c r="X1137" i="31" a="1"/>
  <c r="X1137" i="31"/>
  <c r="U1136" i="31" a="1"/>
  <c r="U1136" i="31"/>
  <c r="W1136" i="31" a="1"/>
  <c r="W1136" i="31"/>
  <c r="V1136" i="31" a="1"/>
  <c r="V1136" i="31"/>
  <c r="X1136" i="31" a="1"/>
  <c r="X1136" i="31"/>
  <c r="U1135" i="31" a="1"/>
  <c r="U1135" i="31"/>
  <c r="W1135" i="31" a="1"/>
  <c r="W1135" i="31"/>
  <c r="V1135" i="31" a="1"/>
  <c r="V1135" i="31"/>
  <c r="X1135" i="31" a="1"/>
  <c r="X1135" i="31"/>
  <c r="U1134" i="31" a="1"/>
  <c r="U1134" i="31"/>
  <c r="W1134" i="31" a="1"/>
  <c r="W1134" i="31"/>
  <c r="V1134" i="31" a="1"/>
  <c r="V1134" i="31"/>
  <c r="X1134" i="31" a="1"/>
  <c r="X1134" i="31"/>
  <c r="U1133" i="31" a="1"/>
  <c r="U1133" i="31"/>
  <c r="W1133" i="31" a="1"/>
  <c r="W1133" i="31"/>
  <c r="V1133" i="31" a="1"/>
  <c r="V1133" i="31"/>
  <c r="X1133" i="31" a="1"/>
  <c r="X1133" i="31"/>
  <c r="U1132" i="31" a="1"/>
  <c r="U1132" i="31"/>
  <c r="W1132" i="31" a="1"/>
  <c r="W1132" i="31"/>
  <c r="V1132" i="31" a="1"/>
  <c r="V1132" i="31"/>
  <c r="X1132" i="31" a="1"/>
  <c r="X1132" i="31"/>
  <c r="U1131" i="31" a="1"/>
  <c r="U1131" i="31"/>
  <c r="W1131" i="31" a="1"/>
  <c r="W1131" i="31"/>
  <c r="V1131" i="31" a="1"/>
  <c r="V1131" i="31"/>
  <c r="X1131" i="31" a="1"/>
  <c r="X1131" i="31"/>
  <c r="U1130" i="31" a="1"/>
  <c r="U1130" i="31"/>
  <c r="W1130" i="31" a="1"/>
  <c r="W1130" i="31"/>
  <c r="V1130" i="31" a="1"/>
  <c r="V1130" i="31"/>
  <c r="X1130" i="31" a="1"/>
  <c r="X1130" i="31"/>
  <c r="U1129" i="31" a="1"/>
  <c r="U1129" i="31"/>
  <c r="W1129" i="31" a="1"/>
  <c r="W1129" i="31"/>
  <c r="V1129" i="31" a="1"/>
  <c r="V1129" i="31"/>
  <c r="X1129" i="31" a="1"/>
  <c r="X1129" i="31"/>
  <c r="U1128" i="31" a="1"/>
  <c r="U1128" i="31"/>
  <c r="W1128" i="31" a="1"/>
  <c r="W1128" i="31"/>
  <c r="V1128" i="31" a="1"/>
  <c r="V1128" i="31"/>
  <c r="X1128" i="31" a="1"/>
  <c r="X1128" i="31"/>
  <c r="U1127" i="31" a="1"/>
  <c r="U1127" i="31"/>
  <c r="W1127" i="31" a="1"/>
  <c r="W1127" i="31"/>
  <c r="V1127" i="31" a="1"/>
  <c r="V1127" i="31"/>
  <c r="X1127" i="31" a="1"/>
  <c r="X1127" i="31"/>
  <c r="U1126" i="31" a="1"/>
  <c r="U1126" i="31"/>
  <c r="W1126" i="31" a="1"/>
  <c r="W1126" i="31"/>
  <c r="V1126" i="31" a="1"/>
  <c r="V1126" i="31"/>
  <c r="X1126" i="31" a="1"/>
  <c r="X1126" i="31"/>
  <c r="U1125" i="31" a="1"/>
  <c r="U1125" i="31"/>
  <c r="W1125" i="31" a="1"/>
  <c r="W1125" i="31"/>
  <c r="V1125" i="31" a="1"/>
  <c r="V1125" i="31"/>
  <c r="X1125" i="31" a="1"/>
  <c r="X1125" i="31"/>
  <c r="U1124" i="31" a="1"/>
  <c r="U1124" i="31"/>
  <c r="W1124" i="31" a="1"/>
  <c r="W1124" i="31"/>
  <c r="V1124" i="31" a="1"/>
  <c r="V1124" i="31"/>
  <c r="X1124" i="31" a="1"/>
  <c r="X1124" i="31"/>
  <c r="U1123" i="31" a="1"/>
  <c r="U1123" i="31"/>
  <c r="W1123" i="31" a="1"/>
  <c r="W1123" i="31"/>
  <c r="V1123" i="31" a="1"/>
  <c r="V1123" i="31"/>
  <c r="X1123" i="31" a="1"/>
  <c r="X1123" i="31"/>
  <c r="U1122" i="31" a="1"/>
  <c r="U1122" i="31"/>
  <c r="W1122" i="31" a="1"/>
  <c r="W1122" i="31"/>
  <c r="V1122" i="31" a="1"/>
  <c r="V1122" i="31"/>
  <c r="X1122" i="31" a="1"/>
  <c r="X1122" i="31"/>
  <c r="U1121" i="31" a="1"/>
  <c r="U1121" i="31"/>
  <c r="W1121" i="31" a="1"/>
  <c r="W1121" i="31"/>
  <c r="V1121" i="31" a="1"/>
  <c r="V1121" i="31"/>
  <c r="X1121" i="31" a="1"/>
  <c r="X1121" i="31"/>
  <c r="U1120" i="31" a="1"/>
  <c r="U1120" i="31"/>
  <c r="W1120" i="31" a="1"/>
  <c r="W1120" i="31"/>
  <c r="V1120" i="31" a="1"/>
  <c r="V1120" i="31"/>
  <c r="X1120" i="31" a="1"/>
  <c r="X1120" i="31"/>
  <c r="U1119" i="31" a="1"/>
  <c r="U1119" i="31"/>
  <c r="W1119" i="31" a="1"/>
  <c r="W1119" i="31"/>
  <c r="V1119" i="31" a="1"/>
  <c r="V1119" i="31"/>
  <c r="X1119" i="31" a="1"/>
  <c r="X1119" i="31"/>
  <c r="U1118" i="31" a="1"/>
  <c r="U1118" i="31"/>
  <c r="W1118" i="31" a="1"/>
  <c r="W1118" i="31"/>
  <c r="V1118" i="31" a="1"/>
  <c r="V1118" i="31"/>
  <c r="X1118" i="31" a="1"/>
  <c r="X1118" i="31"/>
  <c r="U1117" i="31" a="1"/>
  <c r="U1117" i="31"/>
  <c r="W1117" i="31" a="1"/>
  <c r="W1117" i="31"/>
  <c r="V1117" i="31" a="1"/>
  <c r="V1117" i="31"/>
  <c r="X1117" i="31" a="1"/>
  <c r="X1117" i="31"/>
  <c r="U1116" i="31" a="1"/>
  <c r="U1116" i="31"/>
  <c r="W1116" i="31" a="1"/>
  <c r="W1116" i="31"/>
  <c r="V1116" i="31" a="1"/>
  <c r="V1116" i="31"/>
  <c r="X1116" i="31" a="1"/>
  <c r="X1116" i="31"/>
  <c r="U1115" i="31" a="1"/>
  <c r="U1115" i="31"/>
  <c r="W1115" i="31" a="1"/>
  <c r="W1115" i="31"/>
  <c r="V1115" i="31" a="1"/>
  <c r="V1115" i="31"/>
  <c r="X1115" i="31" a="1"/>
  <c r="X1115" i="31"/>
  <c r="U1114" i="31" a="1"/>
  <c r="U1114" i="31"/>
  <c r="W1114" i="31" a="1"/>
  <c r="W1114" i="31"/>
  <c r="V1114" i="31" a="1"/>
  <c r="V1114" i="31"/>
  <c r="X1114" i="31" a="1"/>
  <c r="X1114" i="31"/>
  <c r="U1113" i="31" a="1"/>
  <c r="U1113" i="31"/>
  <c r="W1113" i="31" a="1"/>
  <c r="W1113" i="31"/>
  <c r="V1113" i="31" a="1"/>
  <c r="V1113" i="31"/>
  <c r="X1113" i="31" a="1"/>
  <c r="X1113" i="31"/>
  <c r="U1112" i="31" a="1"/>
  <c r="U1112" i="31"/>
  <c r="W1112" i="31" a="1"/>
  <c r="W1112" i="31"/>
  <c r="V1112" i="31" a="1"/>
  <c r="V1112" i="31"/>
  <c r="X1112" i="31" a="1"/>
  <c r="X1112" i="31"/>
  <c r="U1111" i="31" a="1"/>
  <c r="U1111" i="31"/>
  <c r="W1111" i="31" a="1"/>
  <c r="W1111" i="31"/>
  <c r="V1111" i="31" a="1"/>
  <c r="V1111" i="31"/>
  <c r="X1111" i="31" a="1"/>
  <c r="X1111" i="31"/>
  <c r="U1110" i="31" a="1"/>
  <c r="U1110" i="31"/>
  <c r="W1110" i="31" a="1"/>
  <c r="W1110" i="31"/>
  <c r="V1110" i="31" a="1"/>
  <c r="V1110" i="31"/>
  <c r="X1110" i="31" a="1"/>
  <c r="X1110" i="31"/>
  <c r="U1109" i="31" a="1"/>
  <c r="U1109" i="31"/>
  <c r="W1109" i="31" a="1"/>
  <c r="W1109" i="31"/>
  <c r="V1109" i="31" a="1"/>
  <c r="V1109" i="31"/>
  <c r="X1109" i="31" a="1"/>
  <c r="X1109" i="31"/>
  <c r="U1108" i="31" a="1"/>
  <c r="U1108" i="31"/>
  <c r="W1108" i="31" a="1"/>
  <c r="W1108" i="31"/>
  <c r="V1108" i="31" a="1"/>
  <c r="V1108" i="31"/>
  <c r="X1108" i="31" a="1"/>
  <c r="X1108" i="31"/>
  <c r="U1107" i="31" a="1"/>
  <c r="U1107" i="31"/>
  <c r="W1107" i="31" a="1"/>
  <c r="W1107" i="31"/>
  <c r="V1107" i="31" a="1"/>
  <c r="V1107" i="31"/>
  <c r="X1107" i="31" a="1"/>
  <c r="X1107" i="31"/>
  <c r="U1106" i="31" a="1"/>
  <c r="U1106" i="31"/>
  <c r="W1106" i="31" a="1"/>
  <c r="W1106" i="31"/>
  <c r="V1106" i="31" a="1"/>
  <c r="V1106" i="31"/>
  <c r="X1106" i="31" a="1"/>
  <c r="X1106" i="31"/>
  <c r="U1105" i="31" a="1"/>
  <c r="U1105" i="31"/>
  <c r="W1105" i="31" a="1"/>
  <c r="W1105" i="31"/>
  <c r="V1105" i="31" a="1"/>
  <c r="V1105" i="31"/>
  <c r="X1105" i="31" a="1"/>
  <c r="X1105" i="31"/>
  <c r="U1104" i="31" a="1"/>
  <c r="U1104" i="31"/>
  <c r="W1104" i="31" a="1"/>
  <c r="W1104" i="31"/>
  <c r="V1104" i="31" a="1"/>
  <c r="V1104" i="31"/>
  <c r="X1104" i="31" a="1"/>
  <c r="X1104" i="31"/>
  <c r="U1103" i="31" a="1"/>
  <c r="U1103" i="31"/>
  <c r="W1103" i="31" a="1"/>
  <c r="W1103" i="31"/>
  <c r="V1103" i="31" a="1"/>
  <c r="V1103" i="31"/>
  <c r="X1103" i="31" a="1"/>
  <c r="X1103" i="31"/>
  <c r="U1102" i="31" a="1"/>
  <c r="U1102" i="31"/>
  <c r="W1102" i="31" a="1"/>
  <c r="W1102" i="31"/>
  <c r="V1102" i="31" a="1"/>
  <c r="V1102" i="31"/>
  <c r="X1102" i="31" a="1"/>
  <c r="X1102" i="31"/>
  <c r="U1101" i="31" a="1"/>
  <c r="U1101" i="31"/>
  <c r="W1101" i="31" a="1"/>
  <c r="W1101" i="31"/>
  <c r="V1101" i="31" a="1"/>
  <c r="V1101" i="31"/>
  <c r="X1101" i="31" a="1"/>
  <c r="X1101" i="31"/>
  <c r="U1100" i="31" a="1"/>
  <c r="U1100" i="31"/>
  <c r="W1100" i="31" a="1"/>
  <c r="W1100" i="31"/>
  <c r="V1100" i="31" a="1"/>
  <c r="V1100" i="31"/>
  <c r="X1100" i="31" a="1"/>
  <c r="X1100" i="31"/>
  <c r="U1099" i="31" a="1"/>
  <c r="U1099" i="31"/>
  <c r="W1099" i="31" a="1"/>
  <c r="W1099" i="31"/>
  <c r="V1099" i="31" a="1"/>
  <c r="V1099" i="31"/>
  <c r="X1099" i="31" a="1"/>
  <c r="X1099" i="31"/>
  <c r="U1098" i="31" a="1"/>
  <c r="U1098" i="31"/>
  <c r="W1098" i="31" a="1"/>
  <c r="W1098" i="31"/>
  <c r="V1098" i="31" a="1"/>
  <c r="V1098" i="31"/>
  <c r="X1098" i="31" a="1"/>
  <c r="X1098" i="31"/>
  <c r="U1097" i="31" a="1"/>
  <c r="U1097" i="31"/>
  <c r="W1097" i="31" a="1"/>
  <c r="W1097" i="31"/>
  <c r="V1097" i="31" a="1"/>
  <c r="V1097" i="31"/>
  <c r="X1097" i="31" a="1"/>
  <c r="X1097" i="31"/>
  <c r="U1096" i="31" a="1"/>
  <c r="U1096" i="31"/>
  <c r="W1096" i="31" a="1"/>
  <c r="W1096" i="31"/>
  <c r="V1096" i="31" a="1"/>
  <c r="V1096" i="31"/>
  <c r="X1096" i="31" a="1"/>
  <c r="X1096" i="31"/>
  <c r="U1095" i="31" a="1"/>
  <c r="U1095" i="31"/>
  <c r="W1095" i="31" a="1"/>
  <c r="W1095" i="31"/>
  <c r="V1095" i="31" a="1"/>
  <c r="V1095" i="31"/>
  <c r="X1095" i="31" a="1"/>
  <c r="X1095" i="31"/>
  <c r="U1094" i="31" a="1"/>
  <c r="U1094" i="31"/>
  <c r="W1094" i="31" a="1"/>
  <c r="W1094" i="31"/>
  <c r="V1094" i="31" a="1"/>
  <c r="V1094" i="31"/>
  <c r="X1094" i="31" a="1"/>
  <c r="X1094" i="31"/>
  <c r="U1093" i="31" a="1"/>
  <c r="U1093" i="31"/>
  <c r="W1093" i="31" a="1"/>
  <c r="W1093" i="31"/>
  <c r="V1093" i="31" a="1"/>
  <c r="V1093" i="31"/>
  <c r="X1093" i="31" a="1"/>
  <c r="X1093" i="31"/>
  <c r="U1092" i="31" a="1"/>
  <c r="U1092" i="31"/>
  <c r="W1092" i="31" a="1"/>
  <c r="W1092" i="31"/>
  <c r="V1092" i="31" a="1"/>
  <c r="V1092" i="31"/>
  <c r="X1092" i="31" a="1"/>
  <c r="X1092" i="31"/>
  <c r="U1091" i="31" a="1"/>
  <c r="U1091" i="31"/>
  <c r="W1091" i="31" a="1"/>
  <c r="W1091" i="31"/>
  <c r="V1091" i="31" a="1"/>
  <c r="V1091" i="31"/>
  <c r="X1091" i="31" a="1"/>
  <c r="X1091" i="31"/>
  <c r="U1090" i="31" a="1"/>
  <c r="U1090" i="31"/>
  <c r="W1090" i="31" a="1"/>
  <c r="W1090" i="31"/>
  <c r="V1090" i="31" a="1"/>
  <c r="V1090" i="31"/>
  <c r="X1090" i="31" a="1"/>
  <c r="X1090" i="31"/>
  <c r="U1089" i="31" a="1"/>
  <c r="U1089" i="31"/>
  <c r="W1089" i="31" a="1"/>
  <c r="W1089" i="31"/>
  <c r="V1089" i="31" a="1"/>
  <c r="V1089" i="31"/>
  <c r="X1089" i="31" a="1"/>
  <c r="X1089" i="31"/>
  <c r="U1088" i="31" a="1"/>
  <c r="U1088" i="31"/>
  <c r="W1088" i="31" a="1"/>
  <c r="W1088" i="31"/>
  <c r="V1088" i="31" a="1"/>
  <c r="V1088" i="31"/>
  <c r="X1088" i="31" a="1"/>
  <c r="X1088" i="31"/>
  <c r="U1087" i="31" a="1"/>
  <c r="U1087" i="31"/>
  <c r="W1087" i="31" a="1"/>
  <c r="W1087" i="31"/>
  <c r="V1087" i="31" a="1"/>
  <c r="V1087" i="31"/>
  <c r="X1087" i="31" a="1"/>
  <c r="X1087" i="31"/>
  <c r="U1086" i="31" a="1"/>
  <c r="U1086" i="31"/>
  <c r="W1086" i="31" a="1"/>
  <c r="W1086" i="31"/>
  <c r="V1086" i="31" a="1"/>
  <c r="V1086" i="31"/>
  <c r="X1086" i="31" a="1"/>
  <c r="X1086" i="31"/>
  <c r="U1085" i="31" a="1"/>
  <c r="U1085" i="31"/>
  <c r="W1085" i="31" a="1"/>
  <c r="W1085" i="31"/>
  <c r="V1085" i="31" a="1"/>
  <c r="V1085" i="31"/>
  <c r="X1085" i="31" a="1"/>
  <c r="X1085" i="31"/>
  <c r="U1084" i="31" a="1"/>
  <c r="U1084" i="31"/>
  <c r="W1084" i="31" a="1"/>
  <c r="W1084" i="31"/>
  <c r="V1084" i="31" a="1"/>
  <c r="V1084" i="31"/>
  <c r="X1084" i="31" a="1"/>
  <c r="X1084" i="31"/>
  <c r="U1083" i="31" a="1"/>
  <c r="U1083" i="31"/>
  <c r="W1083" i="31" a="1"/>
  <c r="W1083" i="31"/>
  <c r="V1083" i="31" a="1"/>
  <c r="V1083" i="31"/>
  <c r="X1083" i="31" a="1"/>
  <c r="X1083" i="31"/>
  <c r="U1082" i="31" a="1"/>
  <c r="U1082" i="31"/>
  <c r="W1082" i="31" a="1"/>
  <c r="W1082" i="31"/>
  <c r="V1082" i="31" a="1"/>
  <c r="V1082" i="31"/>
  <c r="X1082" i="31" a="1"/>
  <c r="X1082" i="31"/>
  <c r="U1081" i="31" a="1"/>
  <c r="U1081" i="31"/>
  <c r="W1081" i="31" a="1"/>
  <c r="W1081" i="31"/>
  <c r="V1081" i="31" a="1"/>
  <c r="V1081" i="31"/>
  <c r="X1081" i="31" a="1"/>
  <c r="X1081" i="31"/>
  <c r="U1080" i="31" a="1"/>
  <c r="U1080" i="31"/>
  <c r="W1080" i="31" a="1"/>
  <c r="W1080" i="31"/>
  <c r="V1080" i="31" a="1"/>
  <c r="V1080" i="31"/>
  <c r="X1080" i="31" a="1"/>
  <c r="X1080" i="31"/>
  <c r="U1079" i="31" a="1"/>
  <c r="U1079" i="31"/>
  <c r="W1079" i="31" a="1"/>
  <c r="W1079" i="31"/>
  <c r="V1079" i="31" a="1"/>
  <c r="V1079" i="31"/>
  <c r="X1079" i="31" a="1"/>
  <c r="X1079" i="31"/>
  <c r="U1078" i="31" a="1"/>
  <c r="U1078" i="31"/>
  <c r="W1078" i="31" a="1"/>
  <c r="W1078" i="31"/>
  <c r="V1078" i="31" a="1"/>
  <c r="V1078" i="31"/>
  <c r="X1078" i="31" a="1"/>
  <c r="X1078" i="31"/>
  <c r="U1077" i="31" a="1"/>
  <c r="U1077" i="31"/>
  <c r="W1077" i="31" a="1"/>
  <c r="W1077" i="31"/>
  <c r="V1077" i="31" a="1"/>
  <c r="V1077" i="31"/>
  <c r="X1077" i="31" a="1"/>
  <c r="X1077" i="31"/>
  <c r="U1076" i="31" a="1"/>
  <c r="U1076" i="31"/>
  <c r="W1076" i="31" a="1"/>
  <c r="W1076" i="31"/>
  <c r="V1076" i="31" a="1"/>
  <c r="V1076" i="31"/>
  <c r="X1076" i="31" a="1"/>
  <c r="X1076" i="31"/>
  <c r="U1075" i="31" a="1"/>
  <c r="U1075" i="31"/>
  <c r="W1075" i="31" a="1"/>
  <c r="W1075" i="31"/>
  <c r="V1075" i="31" a="1"/>
  <c r="V1075" i="31"/>
  <c r="X1075" i="31" a="1"/>
  <c r="X1075" i="31"/>
  <c r="U1074" i="31" a="1"/>
  <c r="U1074" i="31"/>
  <c r="W1074" i="31" a="1"/>
  <c r="W1074" i="31"/>
  <c r="V1074" i="31" a="1"/>
  <c r="V1074" i="31"/>
  <c r="X1074" i="31" a="1"/>
  <c r="X1074" i="31"/>
  <c r="U1073" i="31" a="1"/>
  <c r="U1073" i="31"/>
  <c r="W1073" i="31" a="1"/>
  <c r="W1073" i="31"/>
  <c r="V1073" i="31" a="1"/>
  <c r="V1073" i="31"/>
  <c r="X1073" i="31" a="1"/>
  <c r="X1073" i="31"/>
  <c r="U1072" i="31" a="1"/>
  <c r="U1072" i="31"/>
  <c r="W1072" i="31" a="1"/>
  <c r="W1072" i="31"/>
  <c r="V1072" i="31" a="1"/>
  <c r="V1072" i="31"/>
  <c r="X1072" i="31" a="1"/>
  <c r="X1072" i="31"/>
  <c r="U1071" i="31" a="1"/>
  <c r="U1071" i="31"/>
  <c r="W1071" i="31" a="1"/>
  <c r="W1071" i="31"/>
  <c r="V1071" i="31" a="1"/>
  <c r="V1071" i="31"/>
  <c r="X1071" i="31" a="1"/>
  <c r="X1071" i="31"/>
  <c r="U1070" i="31" a="1"/>
  <c r="U1070" i="31"/>
  <c r="W1070" i="31" a="1"/>
  <c r="W1070" i="31"/>
  <c r="V1070" i="31" a="1"/>
  <c r="V1070" i="31"/>
  <c r="X1070" i="31" a="1"/>
  <c r="X1070" i="31"/>
  <c r="U1069" i="31" a="1"/>
  <c r="U1069" i="31"/>
  <c r="W1069" i="31" a="1"/>
  <c r="W1069" i="31"/>
  <c r="V1069" i="31" a="1"/>
  <c r="V1069" i="31"/>
  <c r="X1069" i="31" a="1"/>
  <c r="X1069" i="31"/>
  <c r="U1068" i="31" a="1"/>
  <c r="U1068" i="31"/>
  <c r="W1068" i="31" a="1"/>
  <c r="W1068" i="31"/>
  <c r="V1068" i="31" a="1"/>
  <c r="V1068" i="31"/>
  <c r="X1068" i="31" a="1"/>
  <c r="X1068" i="31"/>
  <c r="U1067" i="31" a="1"/>
  <c r="U1067" i="31"/>
  <c r="W1067" i="31" a="1"/>
  <c r="W1067" i="31"/>
  <c r="V1067" i="31" a="1"/>
  <c r="V1067" i="31"/>
  <c r="X1067" i="31" a="1"/>
  <c r="X1067" i="31"/>
  <c r="U1066" i="31" a="1"/>
  <c r="U1066" i="31"/>
  <c r="W1066" i="31" a="1"/>
  <c r="W1066" i="31"/>
  <c r="V1066" i="31" a="1"/>
  <c r="V1066" i="31"/>
  <c r="X1066" i="31" a="1"/>
  <c r="X1066" i="31"/>
  <c r="U1065" i="31" a="1"/>
  <c r="U1065" i="31"/>
  <c r="W1065" i="31" a="1"/>
  <c r="W1065" i="31"/>
  <c r="V1065" i="31" a="1"/>
  <c r="V1065" i="31"/>
  <c r="X1065" i="31" a="1"/>
  <c r="X1065" i="31"/>
  <c r="U1064" i="31" a="1"/>
  <c r="U1064" i="31"/>
  <c r="W1064" i="31" a="1"/>
  <c r="W1064" i="31"/>
  <c r="V1064" i="31" a="1"/>
  <c r="V1064" i="31"/>
  <c r="X1064" i="31" a="1"/>
  <c r="X1064" i="31"/>
  <c r="U1063" i="31" a="1"/>
  <c r="U1063" i="31"/>
  <c r="W1063" i="31" a="1"/>
  <c r="W1063" i="31"/>
  <c r="V1063" i="31" a="1"/>
  <c r="V1063" i="31"/>
  <c r="X1063" i="31" a="1"/>
  <c r="X1063" i="31"/>
  <c r="U1062" i="31" a="1"/>
  <c r="U1062" i="31"/>
  <c r="W1062" i="31" a="1"/>
  <c r="W1062" i="31"/>
  <c r="V1062" i="31" a="1"/>
  <c r="V1062" i="31"/>
  <c r="X1062" i="31" a="1"/>
  <c r="X1062" i="31"/>
  <c r="U1061" i="31" a="1"/>
  <c r="U1061" i="31"/>
  <c r="W1061" i="31" a="1"/>
  <c r="W1061" i="31"/>
  <c r="V1061" i="31" a="1"/>
  <c r="V1061" i="31"/>
  <c r="X1061" i="31" a="1"/>
  <c r="X1061" i="31"/>
  <c r="U1060" i="31" a="1"/>
  <c r="U1060" i="31"/>
  <c r="W1060" i="31" a="1"/>
  <c r="W1060" i="31"/>
  <c r="V1060" i="31" a="1"/>
  <c r="V1060" i="31"/>
  <c r="X1060" i="31" a="1"/>
  <c r="X1060" i="31"/>
  <c r="U1059" i="31" a="1"/>
  <c r="U1059" i="31"/>
  <c r="W1059" i="31" a="1"/>
  <c r="W1059" i="31"/>
  <c r="V1059" i="31" a="1"/>
  <c r="V1059" i="31"/>
  <c r="X1059" i="31" a="1"/>
  <c r="X1059" i="31"/>
  <c r="U1058" i="31" a="1"/>
  <c r="U1058" i="31"/>
  <c r="W1058" i="31" a="1"/>
  <c r="W1058" i="31"/>
  <c r="V1058" i="31" a="1"/>
  <c r="V1058" i="31"/>
  <c r="X1058" i="31" a="1"/>
  <c r="X1058" i="31"/>
  <c r="U1057" i="31" a="1"/>
  <c r="U1057" i="31"/>
  <c r="W1057" i="31" a="1"/>
  <c r="W1057" i="31"/>
  <c r="V1057" i="31" a="1"/>
  <c r="V1057" i="31"/>
  <c r="X1057" i="31" a="1"/>
  <c r="X1057" i="31"/>
  <c r="U1056" i="31" a="1"/>
  <c r="U1056" i="31"/>
  <c r="W1056" i="31" a="1"/>
  <c r="W1056" i="31"/>
  <c r="V1056" i="31" a="1"/>
  <c r="V1056" i="31"/>
  <c r="X1056" i="31" a="1"/>
  <c r="X1056" i="31"/>
  <c r="U1055" i="31" a="1"/>
  <c r="U1055" i="31"/>
  <c r="W1055" i="31" a="1"/>
  <c r="W1055" i="31"/>
  <c r="V1055" i="31" a="1"/>
  <c r="V1055" i="31"/>
  <c r="X1055" i="31" a="1"/>
  <c r="X1055" i="31"/>
  <c r="U1054" i="31" a="1"/>
  <c r="U1054" i="31"/>
  <c r="W1054" i="31" a="1"/>
  <c r="W1054" i="31"/>
  <c r="V1054" i="31" a="1"/>
  <c r="V1054" i="31"/>
  <c r="X1054" i="31" a="1"/>
  <c r="X1054" i="31"/>
  <c r="U1053" i="31" a="1"/>
  <c r="U1053" i="31"/>
  <c r="W1053" i="31" a="1"/>
  <c r="W1053" i="31"/>
  <c r="V1053" i="31" a="1"/>
  <c r="V1053" i="31"/>
  <c r="X1053" i="31" a="1"/>
  <c r="X1053" i="31"/>
  <c r="U1052" i="31" a="1"/>
  <c r="U1052" i="31"/>
  <c r="W1052" i="31" a="1"/>
  <c r="W1052" i="31"/>
  <c r="V1052" i="31" a="1"/>
  <c r="V1052" i="31"/>
  <c r="X1052" i="31" a="1"/>
  <c r="X1052" i="31"/>
  <c r="U1051" i="31" a="1"/>
  <c r="U1051" i="31"/>
  <c r="W1051" i="31" a="1"/>
  <c r="W1051" i="31"/>
  <c r="V1051" i="31" a="1"/>
  <c r="V1051" i="31"/>
  <c r="X1051" i="31" a="1"/>
  <c r="X1051" i="31"/>
  <c r="U1050" i="31" a="1"/>
  <c r="U1050" i="31"/>
  <c r="W1050" i="31" a="1"/>
  <c r="W1050" i="31"/>
  <c r="V1050" i="31" a="1"/>
  <c r="V1050" i="31"/>
  <c r="X1050" i="31" a="1"/>
  <c r="X1050" i="31"/>
  <c r="U1049" i="31" a="1"/>
  <c r="U1049" i="31"/>
  <c r="W1049" i="31" a="1"/>
  <c r="W1049" i="31"/>
  <c r="V1049" i="31" a="1"/>
  <c r="V1049" i="31"/>
  <c r="X1049" i="31" a="1"/>
  <c r="X1049" i="31"/>
  <c r="U1048" i="31" a="1"/>
  <c r="U1048" i="31"/>
  <c r="W1048" i="31" a="1"/>
  <c r="W1048" i="31"/>
  <c r="V1048" i="31" a="1"/>
  <c r="V1048" i="31"/>
  <c r="X1048" i="31" a="1"/>
  <c r="X1048" i="31"/>
  <c r="U1047" i="31" a="1"/>
  <c r="U1047" i="31"/>
  <c r="W1047" i="31" a="1"/>
  <c r="W1047" i="31"/>
  <c r="V1047" i="31" a="1"/>
  <c r="V1047" i="31"/>
  <c r="X1047" i="31" a="1"/>
  <c r="X1047" i="31"/>
  <c r="U1046" i="31" a="1"/>
  <c r="U1046" i="31"/>
  <c r="W1046" i="31" a="1"/>
  <c r="W1046" i="31"/>
  <c r="V1046" i="31" a="1"/>
  <c r="V1046" i="31"/>
  <c r="X1046" i="31" a="1"/>
  <c r="X1046" i="31"/>
  <c r="U1045" i="31" a="1"/>
  <c r="U1045" i="31"/>
  <c r="W1045" i="31" a="1"/>
  <c r="W1045" i="31"/>
  <c r="V1045" i="31" a="1"/>
  <c r="V1045" i="31"/>
  <c r="X1045" i="31" a="1"/>
  <c r="X1045" i="31"/>
  <c r="U1044" i="31" a="1"/>
  <c r="U1044" i="31"/>
  <c r="W1044" i="31" a="1"/>
  <c r="W1044" i="31"/>
  <c r="V1044" i="31" a="1"/>
  <c r="V1044" i="31"/>
  <c r="X1044" i="31" a="1"/>
  <c r="X1044" i="31"/>
  <c r="U1043" i="31" a="1"/>
  <c r="U1043" i="31"/>
  <c r="W1043" i="31" a="1"/>
  <c r="W1043" i="31"/>
  <c r="V1043" i="31" a="1"/>
  <c r="V1043" i="31"/>
  <c r="X1043" i="31" a="1"/>
  <c r="X1043" i="31"/>
  <c r="U1042" i="31" a="1"/>
  <c r="U1042" i="31"/>
  <c r="W1042" i="31" a="1"/>
  <c r="W1042" i="31"/>
  <c r="V1042" i="31" a="1"/>
  <c r="V1042" i="31"/>
  <c r="X1042" i="31" a="1"/>
  <c r="X1042" i="31"/>
  <c r="U1041" i="31" a="1"/>
  <c r="U1041" i="31"/>
  <c r="W1041" i="31" a="1"/>
  <c r="W1041" i="31"/>
  <c r="V1041" i="31" a="1"/>
  <c r="V1041" i="31"/>
  <c r="X1041" i="31" a="1"/>
  <c r="X1041" i="31"/>
  <c r="U1040" i="31" a="1"/>
  <c r="U1040" i="31"/>
  <c r="W1040" i="31" a="1"/>
  <c r="W1040" i="31"/>
  <c r="V1040" i="31" a="1"/>
  <c r="V1040" i="31"/>
  <c r="X1040" i="31" a="1"/>
  <c r="X1040" i="31"/>
  <c r="U1039" i="31" a="1"/>
  <c r="U1039" i="31"/>
  <c r="W1039" i="31" a="1"/>
  <c r="W1039" i="31"/>
  <c r="V1039" i="31" a="1"/>
  <c r="V1039" i="31"/>
  <c r="X1039" i="31" a="1"/>
  <c r="X1039" i="31"/>
  <c r="U1038" i="31" a="1"/>
  <c r="U1038" i="31"/>
  <c r="W1038" i="31" a="1"/>
  <c r="W1038" i="31"/>
  <c r="V1038" i="31" a="1"/>
  <c r="V1038" i="31"/>
  <c r="X1038" i="31" a="1"/>
  <c r="X1038" i="31"/>
  <c r="U1037" i="31" a="1"/>
  <c r="U1037" i="31"/>
  <c r="W1037" i="31" a="1"/>
  <c r="W1037" i="31"/>
  <c r="V1037" i="31" a="1"/>
  <c r="V1037" i="31"/>
  <c r="X1037" i="31" a="1"/>
  <c r="X1037" i="31"/>
  <c r="U1036" i="31" a="1"/>
  <c r="U1036" i="31"/>
  <c r="W1036" i="31" a="1"/>
  <c r="W1036" i="31"/>
  <c r="V1036" i="31" a="1"/>
  <c r="V1036" i="31"/>
  <c r="X1036" i="31" a="1"/>
  <c r="X1036" i="31"/>
  <c r="U1035" i="31" a="1"/>
  <c r="U1035" i="31"/>
  <c r="W1035" i="31" a="1"/>
  <c r="W1035" i="31"/>
  <c r="V1035" i="31" a="1"/>
  <c r="V1035" i="31"/>
  <c r="X1035" i="31" a="1"/>
  <c r="X1035" i="31"/>
  <c r="U1034" i="31" a="1"/>
  <c r="U1034" i="31"/>
  <c r="W1034" i="31" a="1"/>
  <c r="W1034" i="31"/>
  <c r="V1034" i="31" a="1"/>
  <c r="V1034" i="31"/>
  <c r="X1034" i="31" a="1"/>
  <c r="X1034" i="31"/>
  <c r="U1033" i="31" a="1"/>
  <c r="U1033" i="31"/>
  <c r="W1033" i="31" a="1"/>
  <c r="W1033" i="31"/>
  <c r="V1033" i="31" a="1"/>
  <c r="V1033" i="31"/>
  <c r="X1033" i="31" a="1"/>
  <c r="X1033" i="31"/>
  <c r="U1032" i="31" a="1"/>
  <c r="U1032" i="31"/>
  <c r="W1032" i="31" a="1"/>
  <c r="W1032" i="31"/>
  <c r="V1032" i="31" a="1"/>
  <c r="V1032" i="31"/>
  <c r="X1032" i="31" a="1"/>
  <c r="X1032" i="31"/>
  <c r="U1031" i="31" a="1"/>
  <c r="U1031" i="31"/>
  <c r="W1031" i="31" a="1"/>
  <c r="W1031" i="31"/>
  <c r="V1031" i="31" a="1"/>
  <c r="V1031" i="31"/>
  <c r="X1031" i="31" a="1"/>
  <c r="X1031" i="31"/>
  <c r="U1030" i="31" a="1"/>
  <c r="U1030" i="31"/>
  <c r="W1030" i="31" a="1"/>
  <c r="W1030" i="31"/>
  <c r="V1030" i="31" a="1"/>
  <c r="V1030" i="31"/>
  <c r="X1030" i="31" a="1"/>
  <c r="X1030" i="31"/>
  <c r="U1029" i="31" a="1"/>
  <c r="U1029" i="31"/>
  <c r="W1029" i="31" a="1"/>
  <c r="W1029" i="31"/>
  <c r="V1029" i="31" a="1"/>
  <c r="V1029" i="31"/>
  <c r="X1029" i="31" a="1"/>
  <c r="X1029" i="31"/>
  <c r="U1028" i="31" a="1"/>
  <c r="U1028" i="31"/>
  <c r="W1028" i="31" a="1"/>
  <c r="W1028" i="31"/>
  <c r="V1028" i="31" a="1"/>
  <c r="V1028" i="31"/>
  <c r="X1028" i="31" a="1"/>
  <c r="X1028" i="31"/>
  <c r="U1027" i="31" a="1"/>
  <c r="U1027" i="31"/>
  <c r="W1027" i="31" a="1"/>
  <c r="W1027" i="31"/>
  <c r="V1027" i="31" a="1"/>
  <c r="V1027" i="31"/>
  <c r="X1027" i="31" a="1"/>
  <c r="X1027" i="31"/>
  <c r="U1026" i="31" a="1"/>
  <c r="U1026" i="31"/>
  <c r="W1026" i="31" a="1"/>
  <c r="W1026" i="31"/>
  <c r="V1026" i="31" a="1"/>
  <c r="V1026" i="31"/>
  <c r="X1026" i="31" a="1"/>
  <c r="X1026" i="31"/>
  <c r="U1025" i="31" a="1"/>
  <c r="U1025" i="31"/>
  <c r="W1025" i="31" a="1"/>
  <c r="W1025" i="31"/>
  <c r="V1025" i="31" a="1"/>
  <c r="V1025" i="31"/>
  <c r="X1025" i="31" a="1"/>
  <c r="X1025" i="31"/>
  <c r="U1024" i="31" a="1"/>
  <c r="U1024" i="31"/>
  <c r="W1024" i="31" a="1"/>
  <c r="W1024" i="31"/>
  <c r="V1024" i="31" a="1"/>
  <c r="V1024" i="31"/>
  <c r="X1024" i="31" a="1"/>
  <c r="X1024" i="31"/>
  <c r="U1023" i="31" a="1"/>
  <c r="U1023" i="31"/>
  <c r="W1023" i="31" a="1"/>
  <c r="W1023" i="31"/>
  <c r="V1023" i="31" a="1"/>
  <c r="V1023" i="31"/>
  <c r="X1023" i="31" a="1"/>
  <c r="X1023" i="31"/>
  <c r="U1022" i="31" a="1"/>
  <c r="U1022" i="31"/>
  <c r="W1022" i="31" a="1"/>
  <c r="W1022" i="31"/>
  <c r="V1022" i="31" a="1"/>
  <c r="V1022" i="31"/>
  <c r="X1022" i="31" a="1"/>
  <c r="X1022" i="31"/>
  <c r="U1021" i="31" a="1"/>
  <c r="U1021" i="31"/>
  <c r="W1021" i="31" a="1"/>
  <c r="W1021" i="31"/>
  <c r="V1021" i="31" a="1"/>
  <c r="V1021" i="31"/>
  <c r="X1021" i="31" a="1"/>
  <c r="X1021" i="31"/>
  <c r="U1020" i="31" a="1"/>
  <c r="U1020" i="31"/>
  <c r="W1020" i="31" a="1"/>
  <c r="W1020" i="31"/>
  <c r="V1020" i="31" a="1"/>
  <c r="V1020" i="31"/>
  <c r="X1020" i="31" a="1"/>
  <c r="X1020" i="31"/>
  <c r="U1019" i="31" a="1"/>
  <c r="U1019" i="31"/>
  <c r="W1019" i="31" a="1"/>
  <c r="W1019" i="31"/>
  <c r="V1019" i="31" a="1"/>
  <c r="V1019" i="31"/>
  <c r="X1019" i="31" a="1"/>
  <c r="X1019" i="31"/>
  <c r="U1018" i="31" a="1"/>
  <c r="U1018" i="31"/>
  <c r="W1018" i="31" a="1"/>
  <c r="W1018" i="31"/>
  <c r="V1018" i="31" a="1"/>
  <c r="V1018" i="31"/>
  <c r="X1018" i="31" a="1"/>
  <c r="X1018" i="31"/>
  <c r="U1017" i="31" a="1"/>
  <c r="U1017" i="31"/>
  <c r="W1017" i="31" a="1"/>
  <c r="W1017" i="31"/>
  <c r="V1017" i="31" a="1"/>
  <c r="V1017" i="31"/>
  <c r="X1017" i="31" a="1"/>
  <c r="X1017" i="31"/>
  <c r="U1016" i="31" a="1"/>
  <c r="U1016" i="31"/>
  <c r="W1016" i="31" a="1"/>
  <c r="W1016" i="31"/>
  <c r="V1016" i="31" a="1"/>
  <c r="V1016" i="31"/>
  <c r="X1016" i="31" a="1"/>
  <c r="X1016" i="31"/>
  <c r="U1015" i="31" a="1"/>
  <c r="U1015" i="31"/>
  <c r="W1015" i="31" a="1"/>
  <c r="W1015" i="31"/>
  <c r="V1015" i="31" a="1"/>
  <c r="V1015" i="31"/>
  <c r="X1015" i="31" a="1"/>
  <c r="X1015" i="31"/>
  <c r="U1014" i="31" a="1"/>
  <c r="U1014" i="31"/>
  <c r="W1014" i="31" a="1"/>
  <c r="W1014" i="31"/>
  <c r="V1014" i="31" a="1"/>
  <c r="V1014" i="31"/>
  <c r="X1014" i="31" a="1"/>
  <c r="X1014" i="31"/>
  <c r="U1013" i="31" a="1"/>
  <c r="U1013" i="31"/>
  <c r="W1013" i="31" a="1"/>
  <c r="W1013" i="31"/>
  <c r="V1013" i="31" a="1"/>
  <c r="V1013" i="31"/>
  <c r="X1013" i="31" a="1"/>
  <c r="X1013" i="31"/>
  <c r="U1012" i="31" a="1"/>
  <c r="U1012" i="31"/>
  <c r="W1012" i="31" a="1"/>
  <c r="W1012" i="31"/>
  <c r="V1012" i="31" a="1"/>
  <c r="V1012" i="31"/>
  <c r="X1012" i="31" a="1"/>
  <c r="X1012" i="31"/>
  <c r="U1011" i="31" a="1"/>
  <c r="U1011" i="31"/>
  <c r="W1011" i="31" a="1"/>
  <c r="W1011" i="31"/>
  <c r="V1011" i="31" a="1"/>
  <c r="V1011" i="31"/>
  <c r="X1011" i="31" a="1"/>
  <c r="X1011" i="31"/>
  <c r="U1010" i="31" a="1"/>
  <c r="U1010" i="31"/>
  <c r="W1010" i="31" a="1"/>
  <c r="W1010" i="31"/>
  <c r="V1010" i="31" a="1"/>
  <c r="V1010" i="31"/>
  <c r="X1010" i="31" a="1"/>
  <c r="X1010" i="31"/>
  <c r="U1009" i="31" a="1"/>
  <c r="U1009" i="31"/>
  <c r="W1009" i="31" a="1"/>
  <c r="W1009" i="31"/>
  <c r="V1009" i="31" a="1"/>
  <c r="V1009" i="31"/>
  <c r="X1009" i="31" a="1"/>
  <c r="X1009" i="31"/>
  <c r="U1008" i="31" a="1"/>
  <c r="U1008" i="31"/>
  <c r="W1008" i="31" a="1"/>
  <c r="W1008" i="31"/>
  <c r="V1008" i="31" a="1"/>
  <c r="V1008" i="31"/>
  <c r="X1008" i="31" a="1"/>
  <c r="X1008" i="31"/>
  <c r="U1007" i="31" a="1"/>
  <c r="U1007" i="31"/>
  <c r="W1007" i="31" a="1"/>
  <c r="W1007" i="31"/>
  <c r="V1007" i="31" a="1"/>
  <c r="V1007" i="31"/>
  <c r="X1007" i="31" a="1"/>
  <c r="X1007" i="31"/>
  <c r="U1006" i="31" a="1"/>
  <c r="U1006" i="31"/>
  <c r="W1006" i="31" a="1"/>
  <c r="W1006" i="31"/>
  <c r="V1006" i="31" a="1"/>
  <c r="V1006" i="31"/>
  <c r="X1006" i="31" a="1"/>
  <c r="X1006" i="31"/>
  <c r="U1005" i="31" a="1"/>
  <c r="U1005" i="31"/>
  <c r="W1005" i="31" a="1"/>
  <c r="W1005" i="31"/>
  <c r="V1005" i="31" a="1"/>
  <c r="V1005" i="31"/>
  <c r="X1005" i="31" a="1"/>
  <c r="X1005" i="31"/>
  <c r="U1004" i="31" a="1"/>
  <c r="U1004" i="31"/>
  <c r="W1004" i="31" a="1"/>
  <c r="W1004" i="31"/>
  <c r="V1004" i="31" a="1"/>
  <c r="V1004" i="31"/>
  <c r="X1004" i="31" a="1"/>
  <c r="X1004" i="31"/>
  <c r="U1003" i="31" a="1"/>
  <c r="U1003" i="31"/>
  <c r="W1003" i="31" a="1"/>
  <c r="W1003" i="31"/>
  <c r="V1003" i="31" a="1"/>
  <c r="V1003" i="31"/>
  <c r="X1003" i="31" a="1"/>
  <c r="X1003" i="31"/>
  <c r="U1002" i="31" a="1"/>
  <c r="U1002" i="31"/>
  <c r="W1002" i="31" a="1"/>
  <c r="W1002" i="31"/>
  <c r="V1002" i="31" a="1"/>
  <c r="V1002" i="31"/>
  <c r="X1002" i="31" a="1"/>
  <c r="X1002" i="31"/>
  <c r="U1001" i="31" a="1"/>
  <c r="U1001" i="31"/>
  <c r="W1001" i="31" a="1"/>
  <c r="W1001" i="31"/>
  <c r="V1001" i="31" a="1"/>
  <c r="V1001" i="31"/>
  <c r="X1001" i="31" a="1"/>
  <c r="X1001" i="31"/>
  <c r="U1000" i="31" a="1"/>
  <c r="U1000" i="31"/>
  <c r="W1000" i="31" a="1"/>
  <c r="W1000" i="31"/>
  <c r="V1000" i="31" a="1"/>
  <c r="V1000" i="31"/>
  <c r="X1000" i="31" a="1"/>
  <c r="X1000" i="31"/>
  <c r="U999" i="31" a="1"/>
  <c r="U999" i="31"/>
  <c r="W999" i="31" a="1"/>
  <c r="W999" i="31"/>
  <c r="V999" i="31" a="1"/>
  <c r="V999" i="31"/>
  <c r="X999" i="31" a="1"/>
  <c r="X999" i="31"/>
  <c r="U998" i="31" a="1"/>
  <c r="U998" i="31"/>
  <c r="W998" i="31" a="1"/>
  <c r="W998" i="31"/>
  <c r="V998" i="31" a="1"/>
  <c r="V998" i="31"/>
  <c r="X998" i="31" a="1"/>
  <c r="X998" i="31"/>
  <c r="U997" i="31" a="1"/>
  <c r="U997" i="31"/>
  <c r="W997" i="31" a="1"/>
  <c r="W997" i="31"/>
  <c r="V997" i="31" a="1"/>
  <c r="V997" i="31"/>
  <c r="X997" i="31" a="1"/>
  <c r="X997" i="31"/>
  <c r="U996" i="31" a="1"/>
  <c r="U996" i="31"/>
  <c r="W996" i="31" a="1"/>
  <c r="W996" i="31"/>
  <c r="V996" i="31" a="1"/>
  <c r="V996" i="31"/>
  <c r="X996" i="31" a="1"/>
  <c r="X996" i="31"/>
  <c r="U995" i="31" a="1"/>
  <c r="U995" i="31"/>
  <c r="W995" i="31" a="1"/>
  <c r="W995" i="31"/>
  <c r="V995" i="31" a="1"/>
  <c r="V995" i="31"/>
  <c r="X995" i="31" a="1"/>
  <c r="X995" i="31"/>
  <c r="U994" i="31" a="1"/>
  <c r="U994" i="31"/>
  <c r="W994" i="31" a="1"/>
  <c r="W994" i="31"/>
  <c r="V994" i="31" a="1"/>
  <c r="V994" i="31"/>
  <c r="X994" i="31" a="1"/>
  <c r="X994" i="31"/>
  <c r="U993" i="31" a="1"/>
  <c r="U993" i="31"/>
  <c r="W993" i="31" a="1"/>
  <c r="W993" i="31"/>
  <c r="V993" i="31" a="1"/>
  <c r="V993" i="31"/>
  <c r="X993" i="31" a="1"/>
  <c r="X993" i="31"/>
  <c r="U992" i="31" a="1"/>
  <c r="U992" i="31"/>
  <c r="W992" i="31" a="1"/>
  <c r="W992" i="31"/>
  <c r="V992" i="31" a="1"/>
  <c r="V992" i="31"/>
  <c r="X992" i="31" a="1"/>
  <c r="X992" i="31"/>
  <c r="U991" i="31" a="1"/>
  <c r="U991" i="31"/>
  <c r="W991" i="31" a="1"/>
  <c r="W991" i="31"/>
  <c r="V991" i="31" a="1"/>
  <c r="V991" i="31"/>
  <c r="X991" i="31" a="1"/>
  <c r="X991" i="31"/>
  <c r="U990" i="31" a="1"/>
  <c r="U990" i="31"/>
  <c r="W990" i="31" a="1"/>
  <c r="W990" i="31"/>
  <c r="V990" i="31" a="1"/>
  <c r="V990" i="31"/>
  <c r="X990" i="31" a="1"/>
  <c r="X990" i="31"/>
  <c r="U989" i="31" a="1"/>
  <c r="U989" i="31"/>
  <c r="W989" i="31" a="1"/>
  <c r="W989" i="31"/>
  <c r="V989" i="31" a="1"/>
  <c r="V989" i="31"/>
  <c r="X989" i="31" a="1"/>
  <c r="X989" i="31"/>
  <c r="U988" i="31" a="1"/>
  <c r="U988" i="31"/>
  <c r="W988" i="31" a="1"/>
  <c r="W988" i="31"/>
  <c r="V988" i="31" a="1"/>
  <c r="V988" i="31"/>
  <c r="X988" i="31" a="1"/>
  <c r="X988" i="31"/>
  <c r="U987" i="31" a="1"/>
  <c r="U987" i="31"/>
  <c r="W987" i="31" a="1"/>
  <c r="W987" i="31"/>
  <c r="V987" i="31" a="1"/>
  <c r="V987" i="31"/>
  <c r="X987" i="31" a="1"/>
  <c r="X987" i="31"/>
  <c r="U986" i="31" a="1"/>
  <c r="U986" i="31"/>
  <c r="W986" i="31" a="1"/>
  <c r="W986" i="31"/>
  <c r="V986" i="31" a="1"/>
  <c r="V986" i="31"/>
  <c r="X986" i="31" a="1"/>
  <c r="X986" i="31"/>
  <c r="U985" i="31" a="1"/>
  <c r="U985" i="31"/>
  <c r="W985" i="31" a="1"/>
  <c r="W985" i="31"/>
  <c r="V985" i="31" a="1"/>
  <c r="V985" i="31"/>
  <c r="X985" i="31" a="1"/>
  <c r="X985" i="31"/>
  <c r="U984" i="31" a="1"/>
  <c r="U984" i="31"/>
  <c r="W984" i="31" a="1"/>
  <c r="W984" i="31"/>
  <c r="V984" i="31" a="1"/>
  <c r="V984" i="31"/>
  <c r="X984" i="31" a="1"/>
  <c r="X984" i="31"/>
  <c r="U983" i="31" a="1"/>
  <c r="U983" i="31"/>
  <c r="W983" i="31" a="1"/>
  <c r="W983" i="31"/>
  <c r="V983" i="31" a="1"/>
  <c r="V983" i="31"/>
  <c r="X983" i="31" a="1"/>
  <c r="X983" i="31"/>
  <c r="U982" i="31" a="1"/>
  <c r="U982" i="31"/>
  <c r="W982" i="31" a="1"/>
  <c r="W982" i="31"/>
  <c r="V982" i="31" a="1"/>
  <c r="V982" i="31"/>
  <c r="X982" i="31" a="1"/>
  <c r="X982" i="31"/>
  <c r="U981" i="31" a="1"/>
  <c r="U981" i="31"/>
  <c r="W981" i="31" a="1"/>
  <c r="W981" i="31"/>
  <c r="V981" i="31" a="1"/>
  <c r="V981" i="31"/>
  <c r="X981" i="31" a="1"/>
  <c r="X981" i="31"/>
  <c r="U980" i="31" a="1"/>
  <c r="U980" i="31"/>
  <c r="W980" i="31" a="1"/>
  <c r="W980" i="31"/>
  <c r="V980" i="31" a="1"/>
  <c r="V980" i="31"/>
  <c r="X980" i="31" a="1"/>
  <c r="X980" i="31"/>
  <c r="U979" i="31" a="1"/>
  <c r="U979" i="31"/>
  <c r="W979" i="31" a="1"/>
  <c r="W979" i="31"/>
  <c r="V979" i="31" a="1"/>
  <c r="V979" i="31"/>
  <c r="X979" i="31" a="1"/>
  <c r="X979" i="31"/>
  <c r="U978" i="31" a="1"/>
  <c r="U978" i="31"/>
  <c r="W978" i="31" a="1"/>
  <c r="W978" i="31"/>
  <c r="V978" i="31" a="1"/>
  <c r="V978" i="31"/>
  <c r="X978" i="31" a="1"/>
  <c r="X978" i="31"/>
  <c r="U977" i="31" a="1"/>
  <c r="U977" i="31"/>
  <c r="W977" i="31" a="1"/>
  <c r="W977" i="31"/>
  <c r="V977" i="31" a="1"/>
  <c r="V977" i="31"/>
  <c r="X977" i="31" a="1"/>
  <c r="X977" i="31"/>
  <c r="U976" i="31" a="1"/>
  <c r="U976" i="31"/>
  <c r="W976" i="31" a="1"/>
  <c r="W976" i="31"/>
  <c r="V976" i="31" a="1"/>
  <c r="V976" i="31"/>
  <c r="X976" i="31" a="1"/>
  <c r="X976" i="31"/>
  <c r="U975" i="31" a="1"/>
  <c r="U975" i="31"/>
  <c r="W975" i="31" a="1"/>
  <c r="W975" i="31"/>
  <c r="V975" i="31" a="1"/>
  <c r="V975" i="31"/>
  <c r="X975" i="31" a="1"/>
  <c r="X975" i="31"/>
  <c r="U974" i="31" a="1"/>
  <c r="U974" i="31"/>
  <c r="W974" i="31" a="1"/>
  <c r="W974" i="31"/>
  <c r="V974" i="31" a="1"/>
  <c r="V974" i="31"/>
  <c r="X974" i="31" a="1"/>
  <c r="X974" i="31"/>
  <c r="U973" i="31" a="1"/>
  <c r="U973" i="31"/>
  <c r="W973" i="31" a="1"/>
  <c r="W973" i="31"/>
  <c r="V973" i="31" a="1"/>
  <c r="V973" i="31"/>
  <c r="X973" i="31" a="1"/>
  <c r="X973" i="31"/>
  <c r="U972" i="31" a="1"/>
  <c r="U972" i="31"/>
  <c r="W972" i="31" a="1"/>
  <c r="W972" i="31"/>
  <c r="V972" i="31" a="1"/>
  <c r="V972" i="31"/>
  <c r="X972" i="31" a="1"/>
  <c r="X972" i="31"/>
  <c r="U971" i="31" a="1"/>
  <c r="U971" i="31"/>
  <c r="W971" i="31" a="1"/>
  <c r="W971" i="31"/>
  <c r="V971" i="31" a="1"/>
  <c r="V971" i="31"/>
  <c r="X971" i="31" a="1"/>
  <c r="X971" i="31"/>
  <c r="U970" i="31" a="1"/>
  <c r="U970" i="31"/>
  <c r="W970" i="31" a="1"/>
  <c r="W970" i="31"/>
  <c r="V970" i="31" a="1"/>
  <c r="V970" i="31"/>
  <c r="X970" i="31" a="1"/>
  <c r="X970" i="31"/>
  <c r="U969" i="31" a="1"/>
  <c r="U969" i="31"/>
  <c r="W969" i="31" a="1"/>
  <c r="W969" i="31"/>
  <c r="V969" i="31" a="1"/>
  <c r="V969" i="31"/>
  <c r="X969" i="31" a="1"/>
  <c r="X969" i="31"/>
  <c r="U968" i="31" a="1"/>
  <c r="U968" i="31"/>
  <c r="W968" i="31" a="1"/>
  <c r="W968" i="31"/>
  <c r="V968" i="31" a="1"/>
  <c r="V968" i="31"/>
  <c r="X968" i="31" a="1"/>
  <c r="X968" i="31"/>
  <c r="U967" i="31" a="1"/>
  <c r="U967" i="31"/>
  <c r="W967" i="31" a="1"/>
  <c r="W967" i="31"/>
  <c r="V967" i="31" a="1"/>
  <c r="V967" i="31"/>
  <c r="X967" i="31" a="1"/>
  <c r="X967" i="31"/>
  <c r="U966" i="31" a="1"/>
  <c r="U966" i="31"/>
  <c r="W966" i="31" a="1"/>
  <c r="W966" i="31"/>
  <c r="V966" i="31" a="1"/>
  <c r="V966" i="31"/>
  <c r="X966" i="31" a="1"/>
  <c r="X966" i="31"/>
  <c r="U965" i="31" a="1"/>
  <c r="U965" i="31"/>
  <c r="W965" i="31" a="1"/>
  <c r="W965" i="31"/>
  <c r="V965" i="31" a="1"/>
  <c r="V965" i="31"/>
  <c r="X965" i="31" a="1"/>
  <c r="X965" i="31"/>
  <c r="U964" i="31" a="1"/>
  <c r="U964" i="31"/>
  <c r="W964" i="31" a="1"/>
  <c r="W964" i="31"/>
  <c r="V964" i="31" a="1"/>
  <c r="V964" i="31"/>
  <c r="X964" i="31" a="1"/>
  <c r="X964" i="31"/>
  <c r="U963" i="31" a="1"/>
  <c r="U963" i="31"/>
  <c r="W963" i="31" a="1"/>
  <c r="W963" i="31"/>
  <c r="V963" i="31" a="1"/>
  <c r="V963" i="31"/>
  <c r="X963" i="31" a="1"/>
  <c r="X963" i="31"/>
  <c r="U962" i="31" a="1"/>
  <c r="U962" i="31"/>
  <c r="W962" i="31" a="1"/>
  <c r="W962" i="31"/>
  <c r="V962" i="31" a="1"/>
  <c r="V962" i="31"/>
  <c r="X962" i="31" a="1"/>
  <c r="X962" i="31"/>
  <c r="U961" i="31" a="1"/>
  <c r="U961" i="31"/>
  <c r="W961" i="31" a="1"/>
  <c r="W961" i="31"/>
  <c r="V961" i="31" a="1"/>
  <c r="V961" i="31"/>
  <c r="X961" i="31" a="1"/>
  <c r="X961" i="31"/>
  <c r="U960" i="31" a="1"/>
  <c r="U960" i="31"/>
  <c r="W960" i="31" a="1"/>
  <c r="W960" i="31"/>
  <c r="V960" i="31" a="1"/>
  <c r="V960" i="31"/>
  <c r="X960" i="31" a="1"/>
  <c r="X960" i="31"/>
  <c r="U959" i="31" a="1"/>
  <c r="U959" i="31"/>
  <c r="W959" i="31" a="1"/>
  <c r="W959" i="31"/>
  <c r="V959" i="31" a="1"/>
  <c r="V959" i="31"/>
  <c r="X959" i="31" a="1"/>
  <c r="X959" i="31"/>
  <c r="U958" i="31" a="1"/>
  <c r="U958" i="31"/>
  <c r="W958" i="31" a="1"/>
  <c r="W958" i="31"/>
  <c r="V958" i="31" a="1"/>
  <c r="V958" i="31"/>
  <c r="X958" i="31" a="1"/>
  <c r="X958" i="31"/>
  <c r="U957" i="31" a="1"/>
  <c r="U957" i="31"/>
  <c r="W957" i="31" a="1"/>
  <c r="W957" i="31"/>
  <c r="V957" i="31" a="1"/>
  <c r="V957" i="31"/>
  <c r="X957" i="31" a="1"/>
  <c r="X957" i="31"/>
  <c r="U956" i="31" a="1"/>
  <c r="U956" i="31"/>
  <c r="W956" i="31" a="1"/>
  <c r="W956" i="31"/>
  <c r="V956" i="31" a="1"/>
  <c r="V956" i="31"/>
  <c r="X956" i="31" a="1"/>
  <c r="X956" i="31"/>
  <c r="U955" i="31" a="1"/>
  <c r="U955" i="31"/>
  <c r="W955" i="31" a="1"/>
  <c r="W955" i="31"/>
  <c r="V955" i="31" a="1"/>
  <c r="V955" i="31"/>
  <c r="X955" i="31" a="1"/>
  <c r="X955" i="31"/>
  <c r="U954" i="31" a="1"/>
  <c r="U954" i="31"/>
  <c r="W954" i="31" a="1"/>
  <c r="W954" i="31"/>
  <c r="V954" i="31" a="1"/>
  <c r="V954" i="31"/>
  <c r="X954" i="31" a="1"/>
  <c r="X954" i="31"/>
  <c r="U953" i="31" a="1"/>
  <c r="U953" i="31"/>
  <c r="W953" i="31" a="1"/>
  <c r="W953" i="31"/>
  <c r="V953" i="31" a="1"/>
  <c r="V953" i="31"/>
  <c r="X953" i="31" a="1"/>
  <c r="X953" i="31"/>
  <c r="U952" i="31" a="1"/>
  <c r="U952" i="31"/>
  <c r="W952" i="31" a="1"/>
  <c r="W952" i="31"/>
  <c r="V952" i="31" a="1"/>
  <c r="V952" i="31"/>
  <c r="X952" i="31" a="1"/>
  <c r="X952" i="31"/>
  <c r="U951" i="31" a="1"/>
  <c r="U951" i="31"/>
  <c r="W951" i="31" a="1"/>
  <c r="W951" i="31"/>
  <c r="V951" i="31" a="1"/>
  <c r="V951" i="31"/>
  <c r="X951" i="31" a="1"/>
  <c r="X951" i="31"/>
  <c r="U950" i="31" a="1"/>
  <c r="U950" i="31"/>
  <c r="W950" i="31" a="1"/>
  <c r="W950" i="31"/>
  <c r="V950" i="31" a="1"/>
  <c r="V950" i="31"/>
  <c r="X950" i="31" a="1"/>
  <c r="X950" i="31"/>
  <c r="U949" i="31" a="1"/>
  <c r="U949" i="31"/>
  <c r="W949" i="31" a="1"/>
  <c r="W949" i="31"/>
  <c r="V949" i="31" a="1"/>
  <c r="V949" i="31"/>
  <c r="X949" i="31" a="1"/>
  <c r="X949" i="31"/>
  <c r="U948" i="31" a="1"/>
  <c r="U948" i="31"/>
  <c r="W948" i="31" a="1"/>
  <c r="W948" i="31"/>
  <c r="V948" i="31" a="1"/>
  <c r="V948" i="31"/>
  <c r="X948" i="31" a="1"/>
  <c r="X948" i="31"/>
  <c r="U947" i="31" a="1"/>
  <c r="U947" i="31"/>
  <c r="W947" i="31" a="1"/>
  <c r="W947" i="31"/>
  <c r="V947" i="31" a="1"/>
  <c r="V947" i="31"/>
  <c r="X947" i="31" a="1"/>
  <c r="X947" i="31"/>
  <c r="U946" i="31" a="1"/>
  <c r="U946" i="31"/>
  <c r="W946" i="31" a="1"/>
  <c r="W946" i="31"/>
  <c r="V946" i="31" a="1"/>
  <c r="V946" i="31"/>
  <c r="X946" i="31" a="1"/>
  <c r="X946" i="31"/>
  <c r="U945" i="31" a="1"/>
  <c r="U945" i="31"/>
  <c r="W945" i="31" a="1"/>
  <c r="W945" i="31"/>
  <c r="V945" i="31" a="1"/>
  <c r="V945" i="31"/>
  <c r="X945" i="31" a="1"/>
  <c r="X945" i="31"/>
  <c r="U944" i="31" a="1"/>
  <c r="U944" i="31"/>
  <c r="W944" i="31" a="1"/>
  <c r="W944" i="31"/>
  <c r="V944" i="31" a="1"/>
  <c r="V944" i="31"/>
  <c r="X944" i="31" a="1"/>
  <c r="X944" i="31"/>
  <c r="U943" i="31" a="1"/>
  <c r="U943" i="31"/>
  <c r="W943" i="31" a="1"/>
  <c r="W943" i="31"/>
  <c r="V943" i="31" a="1"/>
  <c r="V943" i="31"/>
  <c r="X943" i="31" a="1"/>
  <c r="X943" i="31"/>
  <c r="U942" i="31" a="1"/>
  <c r="U942" i="31"/>
  <c r="W942" i="31" a="1"/>
  <c r="W942" i="31"/>
  <c r="V942" i="31" a="1"/>
  <c r="V942" i="31"/>
  <c r="X942" i="31" a="1"/>
  <c r="X942" i="31"/>
  <c r="U941" i="31" a="1"/>
  <c r="U941" i="31"/>
  <c r="W941" i="31" a="1"/>
  <c r="W941" i="31"/>
  <c r="V941" i="31" a="1"/>
  <c r="V941" i="31"/>
  <c r="X941" i="31" a="1"/>
  <c r="X941" i="31"/>
  <c r="U940" i="31" a="1"/>
  <c r="U940" i="31"/>
  <c r="W940" i="31" a="1"/>
  <c r="W940" i="31"/>
  <c r="V940" i="31" a="1"/>
  <c r="V940" i="31"/>
  <c r="X940" i="31" a="1"/>
  <c r="X940" i="31"/>
  <c r="U939" i="31" a="1"/>
  <c r="U939" i="31"/>
  <c r="W939" i="31" a="1"/>
  <c r="W939" i="31"/>
  <c r="V939" i="31" a="1"/>
  <c r="V939" i="31"/>
  <c r="X939" i="31" a="1"/>
  <c r="X939" i="31"/>
  <c r="U938" i="31" a="1"/>
  <c r="U938" i="31"/>
  <c r="W938" i="31" a="1"/>
  <c r="W938" i="31"/>
  <c r="V938" i="31" a="1"/>
  <c r="V938" i="31"/>
  <c r="X938" i="31" a="1"/>
  <c r="X938" i="31"/>
  <c r="U937" i="31" a="1"/>
  <c r="U937" i="31"/>
  <c r="W937" i="31" a="1"/>
  <c r="W937" i="31"/>
  <c r="V937" i="31" a="1"/>
  <c r="V937" i="31"/>
  <c r="X937" i="31" a="1"/>
  <c r="X937" i="31"/>
  <c r="U936" i="31" a="1"/>
  <c r="U936" i="31"/>
  <c r="W936" i="31" a="1"/>
  <c r="W936" i="31"/>
  <c r="V936" i="31" a="1"/>
  <c r="V936" i="31"/>
  <c r="X936" i="31" a="1"/>
  <c r="X936" i="31"/>
  <c r="U935" i="31" a="1"/>
  <c r="U935" i="31"/>
  <c r="W935" i="31" a="1"/>
  <c r="W935" i="31"/>
  <c r="V935" i="31" a="1"/>
  <c r="V935" i="31"/>
  <c r="X935" i="31" a="1"/>
  <c r="X935" i="31"/>
  <c r="U934" i="31" a="1"/>
  <c r="U934" i="31"/>
  <c r="W934" i="31" a="1"/>
  <c r="W934" i="31"/>
  <c r="V934" i="31" a="1"/>
  <c r="V934" i="31"/>
  <c r="X934" i="31" a="1"/>
  <c r="X934" i="31"/>
  <c r="U933" i="31" a="1"/>
  <c r="U933" i="31"/>
  <c r="W933" i="31" a="1"/>
  <c r="W933" i="31"/>
  <c r="V933" i="31" a="1"/>
  <c r="V933" i="31"/>
  <c r="X933" i="31" a="1"/>
  <c r="X933" i="31"/>
  <c r="U932" i="31" a="1"/>
  <c r="U932" i="31"/>
  <c r="W932" i="31" a="1"/>
  <c r="W932" i="31"/>
  <c r="V932" i="31" a="1"/>
  <c r="V932" i="31"/>
  <c r="X932" i="31" a="1"/>
  <c r="X932" i="31"/>
  <c r="U931" i="31" a="1"/>
  <c r="U931" i="31"/>
  <c r="W931" i="31" a="1"/>
  <c r="W931" i="31"/>
  <c r="V931" i="31" a="1"/>
  <c r="V931" i="31"/>
  <c r="X931" i="31" a="1"/>
  <c r="X931" i="31"/>
  <c r="U930" i="31" a="1"/>
  <c r="U930" i="31"/>
  <c r="W930" i="31" a="1"/>
  <c r="W930" i="31"/>
  <c r="V930" i="31" a="1"/>
  <c r="V930" i="31"/>
  <c r="X930" i="31" a="1"/>
  <c r="X930" i="31"/>
  <c r="U929" i="31" a="1"/>
  <c r="U929" i="31"/>
  <c r="W929" i="31" a="1"/>
  <c r="W929" i="31"/>
  <c r="V929" i="31" a="1"/>
  <c r="V929" i="31"/>
  <c r="X929" i="31" a="1"/>
  <c r="X929" i="31"/>
  <c r="U928" i="31" a="1"/>
  <c r="U928" i="31"/>
  <c r="W928" i="31" a="1"/>
  <c r="W928" i="31"/>
  <c r="V928" i="31" a="1"/>
  <c r="V928" i="31"/>
  <c r="X928" i="31" a="1"/>
  <c r="X928" i="31"/>
  <c r="U927" i="31" a="1"/>
  <c r="U927" i="31"/>
  <c r="W927" i="31" a="1"/>
  <c r="W927" i="31"/>
  <c r="V927" i="31" a="1"/>
  <c r="V927" i="31"/>
  <c r="X927" i="31" a="1"/>
  <c r="X927" i="31"/>
  <c r="U926" i="31" a="1"/>
  <c r="U926" i="31"/>
  <c r="W926" i="31" a="1"/>
  <c r="W926" i="31"/>
  <c r="V926" i="31" a="1"/>
  <c r="V926" i="31"/>
  <c r="X926" i="31" a="1"/>
  <c r="X926" i="31"/>
  <c r="U925" i="31" a="1"/>
  <c r="U925" i="31"/>
  <c r="W925" i="31" a="1"/>
  <c r="W925" i="31"/>
  <c r="V925" i="31" a="1"/>
  <c r="V925" i="31"/>
  <c r="X925" i="31" a="1"/>
  <c r="X925" i="31"/>
  <c r="U924" i="31" a="1"/>
  <c r="U924" i="31"/>
  <c r="W924" i="31" a="1"/>
  <c r="W924" i="31"/>
  <c r="V924" i="31" a="1"/>
  <c r="V924" i="31"/>
  <c r="X924" i="31" a="1"/>
  <c r="X924" i="31"/>
  <c r="U923" i="31" a="1"/>
  <c r="U923" i="31"/>
  <c r="W923" i="31" a="1"/>
  <c r="W923" i="31"/>
  <c r="V923" i="31" a="1"/>
  <c r="V923" i="31"/>
  <c r="X923" i="31" a="1"/>
  <c r="X923" i="31"/>
  <c r="U922" i="31" a="1"/>
  <c r="U922" i="31"/>
  <c r="W922" i="31" a="1"/>
  <c r="W922" i="31"/>
  <c r="V922" i="31" a="1"/>
  <c r="V922" i="31"/>
  <c r="X922" i="31" a="1"/>
  <c r="X922" i="31"/>
  <c r="U921" i="31" a="1"/>
  <c r="U921" i="31"/>
  <c r="W921" i="31" a="1"/>
  <c r="W921" i="31"/>
  <c r="V921" i="31" a="1"/>
  <c r="V921" i="31"/>
  <c r="X921" i="31" a="1"/>
  <c r="X921" i="31"/>
  <c r="U920" i="31" a="1"/>
  <c r="U920" i="31"/>
  <c r="W920" i="31" a="1"/>
  <c r="W920" i="31"/>
  <c r="V920" i="31" a="1"/>
  <c r="V920" i="31"/>
  <c r="X920" i="31" a="1"/>
  <c r="X920" i="31"/>
  <c r="U919" i="31" a="1"/>
  <c r="U919" i="31"/>
  <c r="W919" i="31" a="1"/>
  <c r="W919" i="31"/>
  <c r="V919" i="31" a="1"/>
  <c r="V919" i="31"/>
  <c r="X919" i="31" a="1"/>
  <c r="X919" i="31"/>
  <c r="U918" i="31" a="1"/>
  <c r="U918" i="31"/>
  <c r="W918" i="31" a="1"/>
  <c r="W918" i="31"/>
  <c r="V918" i="31" a="1"/>
  <c r="V918" i="31"/>
  <c r="X918" i="31" a="1"/>
  <c r="X918" i="31"/>
  <c r="U917" i="31" a="1"/>
  <c r="U917" i="31"/>
  <c r="W917" i="31" a="1"/>
  <c r="W917" i="31"/>
  <c r="V917" i="31" a="1"/>
  <c r="V917" i="31"/>
  <c r="X917" i="31" a="1"/>
  <c r="X917" i="31"/>
  <c r="U916" i="31" a="1"/>
  <c r="U916" i="31"/>
  <c r="W916" i="31" a="1"/>
  <c r="W916" i="31"/>
  <c r="V916" i="31" a="1"/>
  <c r="V916" i="31"/>
  <c r="X916" i="31" a="1"/>
  <c r="X916" i="31"/>
  <c r="U915" i="31" a="1"/>
  <c r="U915" i="31"/>
  <c r="W915" i="31" a="1"/>
  <c r="W915" i="31"/>
  <c r="V915" i="31" a="1"/>
  <c r="V915" i="31"/>
  <c r="X915" i="31" a="1"/>
  <c r="X915" i="31"/>
  <c r="U914" i="31" a="1"/>
  <c r="U914" i="31"/>
  <c r="W914" i="31" a="1"/>
  <c r="W914" i="31"/>
  <c r="V914" i="31" a="1"/>
  <c r="V914" i="31"/>
  <c r="X914" i="31" a="1"/>
  <c r="X914" i="31"/>
  <c r="U913" i="31" a="1"/>
  <c r="U913" i="31"/>
  <c r="W913" i="31" a="1"/>
  <c r="W913" i="31"/>
  <c r="V913" i="31" a="1"/>
  <c r="V913" i="31"/>
  <c r="X913" i="31" a="1"/>
  <c r="X913" i="31"/>
  <c r="U912" i="31" a="1"/>
  <c r="U912" i="31"/>
  <c r="W912" i="31" a="1"/>
  <c r="W912" i="31"/>
  <c r="V912" i="31" a="1"/>
  <c r="V912" i="31"/>
  <c r="X912" i="31" a="1"/>
  <c r="X912" i="31"/>
  <c r="U911" i="31" a="1"/>
  <c r="U911" i="31"/>
  <c r="W911" i="31" a="1"/>
  <c r="W911" i="31"/>
  <c r="V911" i="31" a="1"/>
  <c r="V911" i="31"/>
  <c r="X911" i="31" a="1"/>
  <c r="X911" i="31"/>
  <c r="U910" i="31" a="1"/>
  <c r="U910" i="31"/>
  <c r="W910" i="31" a="1"/>
  <c r="W910" i="31"/>
  <c r="V910" i="31" a="1"/>
  <c r="V910" i="31"/>
  <c r="X910" i="31" a="1"/>
  <c r="X910" i="31"/>
  <c r="U909" i="31" a="1"/>
  <c r="U909" i="31"/>
  <c r="W909" i="31" a="1"/>
  <c r="W909" i="31"/>
  <c r="V909" i="31" a="1"/>
  <c r="V909" i="31"/>
  <c r="X909" i="31" a="1"/>
  <c r="X909" i="31"/>
  <c r="U908" i="31" a="1"/>
  <c r="U908" i="31"/>
  <c r="W908" i="31" a="1"/>
  <c r="W908" i="31"/>
  <c r="V908" i="31" a="1"/>
  <c r="V908" i="31"/>
  <c r="X908" i="31" a="1"/>
  <c r="X908" i="31"/>
  <c r="U907" i="31" a="1"/>
  <c r="U907" i="31"/>
  <c r="W907" i="31" a="1"/>
  <c r="W907" i="31"/>
  <c r="V907" i="31" a="1"/>
  <c r="V907" i="31"/>
  <c r="X907" i="31" a="1"/>
  <c r="X907" i="31"/>
  <c r="U906" i="31" a="1"/>
  <c r="U906" i="31"/>
  <c r="W906" i="31" a="1"/>
  <c r="W906" i="31"/>
  <c r="V906" i="31" a="1"/>
  <c r="V906" i="31"/>
  <c r="X906" i="31" a="1"/>
  <c r="X906" i="31"/>
  <c r="U905" i="31" a="1"/>
  <c r="U905" i="31"/>
  <c r="W905" i="31" a="1"/>
  <c r="W905" i="31"/>
  <c r="V905" i="31" a="1"/>
  <c r="V905" i="31"/>
  <c r="X905" i="31" a="1"/>
  <c r="X905" i="31"/>
  <c r="U904" i="31" a="1"/>
  <c r="U904" i="31"/>
  <c r="W904" i="31" a="1"/>
  <c r="W904" i="31"/>
  <c r="V904" i="31" a="1"/>
  <c r="V904" i="31"/>
  <c r="X904" i="31" a="1"/>
  <c r="X904" i="31"/>
  <c r="U903" i="31" a="1"/>
  <c r="U903" i="31"/>
  <c r="W903" i="31" a="1"/>
  <c r="W903" i="31"/>
  <c r="V903" i="31" a="1"/>
  <c r="V903" i="31"/>
  <c r="X903" i="31" a="1"/>
  <c r="X903" i="31"/>
  <c r="U902" i="31" a="1"/>
  <c r="U902" i="31"/>
  <c r="W902" i="31" a="1"/>
  <c r="W902" i="31"/>
  <c r="V902" i="31" a="1"/>
  <c r="V902" i="31"/>
  <c r="X902" i="31" a="1"/>
  <c r="X902" i="31"/>
  <c r="U901" i="31" a="1"/>
  <c r="U901" i="31"/>
  <c r="W901" i="31" a="1"/>
  <c r="W901" i="31"/>
  <c r="V901" i="31" a="1"/>
  <c r="V901" i="31"/>
  <c r="X901" i="31" a="1"/>
  <c r="X901" i="31"/>
  <c r="U900" i="31" a="1"/>
  <c r="U900" i="31"/>
  <c r="W900" i="31" a="1"/>
  <c r="W900" i="31"/>
  <c r="V900" i="31" a="1"/>
  <c r="V900" i="31"/>
  <c r="X900" i="31" a="1"/>
  <c r="X900" i="31"/>
  <c r="U899" i="31" a="1"/>
  <c r="U899" i="31"/>
  <c r="W899" i="31" a="1"/>
  <c r="W899" i="31"/>
  <c r="V899" i="31" a="1"/>
  <c r="V899" i="31"/>
  <c r="X899" i="31" a="1"/>
  <c r="X899" i="31"/>
  <c r="U898" i="31" a="1"/>
  <c r="U898" i="31"/>
  <c r="W898" i="31" a="1"/>
  <c r="W898" i="31"/>
  <c r="V898" i="31" a="1"/>
  <c r="V898" i="31"/>
  <c r="X898" i="31" a="1"/>
  <c r="X898" i="31"/>
  <c r="U897" i="31" a="1"/>
  <c r="U897" i="31"/>
  <c r="W897" i="31" a="1"/>
  <c r="W897" i="31"/>
  <c r="V897" i="31" a="1"/>
  <c r="V897" i="31"/>
  <c r="X897" i="31" a="1"/>
  <c r="X897" i="31"/>
  <c r="U896" i="31" a="1"/>
  <c r="U896" i="31"/>
  <c r="W896" i="31" a="1"/>
  <c r="W896" i="31"/>
  <c r="V896" i="31" a="1"/>
  <c r="V896" i="31"/>
  <c r="X896" i="31" a="1"/>
  <c r="X896" i="31"/>
  <c r="U895" i="31" a="1"/>
  <c r="U895" i="31"/>
  <c r="W895" i="31" a="1"/>
  <c r="W895" i="31"/>
  <c r="V895" i="31" a="1"/>
  <c r="V895" i="31"/>
  <c r="X895" i="31" a="1"/>
  <c r="X895" i="31"/>
  <c r="U894" i="31" a="1"/>
  <c r="U894" i="31"/>
  <c r="W894" i="31" a="1"/>
  <c r="W894" i="31"/>
  <c r="V894" i="31" a="1"/>
  <c r="V894" i="31"/>
  <c r="X894" i="31" a="1"/>
  <c r="X894" i="31"/>
  <c r="U893" i="31" a="1"/>
  <c r="U893" i="31"/>
  <c r="W893" i="31" a="1"/>
  <c r="W893" i="31"/>
  <c r="V893" i="31" a="1"/>
  <c r="V893" i="31"/>
  <c r="X893" i="31" a="1"/>
  <c r="X893" i="31"/>
  <c r="U892" i="31" a="1"/>
  <c r="U892" i="31"/>
  <c r="W892" i="31" a="1"/>
  <c r="W892" i="31"/>
  <c r="V892" i="31" a="1"/>
  <c r="V892" i="31"/>
  <c r="X892" i="31" a="1"/>
  <c r="X892" i="31"/>
  <c r="U891" i="31" a="1"/>
  <c r="U891" i="31"/>
  <c r="W891" i="31" a="1"/>
  <c r="W891" i="31"/>
  <c r="V891" i="31" a="1"/>
  <c r="V891" i="31"/>
  <c r="X891" i="31" a="1"/>
  <c r="X891" i="31"/>
  <c r="U890" i="31" a="1"/>
  <c r="U890" i="31"/>
  <c r="W890" i="31" a="1"/>
  <c r="W890" i="31"/>
  <c r="V890" i="31" a="1"/>
  <c r="V890" i="31"/>
  <c r="X890" i="31" a="1"/>
  <c r="X890" i="31"/>
  <c r="U889" i="31" a="1"/>
  <c r="U889" i="31"/>
  <c r="W889" i="31" a="1"/>
  <c r="W889" i="31"/>
  <c r="V889" i="31" a="1"/>
  <c r="V889" i="31"/>
  <c r="X889" i="31" a="1"/>
  <c r="X889" i="31"/>
  <c r="U888" i="31" a="1"/>
  <c r="U888" i="31"/>
  <c r="W888" i="31" a="1"/>
  <c r="W888" i="31"/>
  <c r="V888" i="31" a="1"/>
  <c r="V888" i="31"/>
  <c r="X888" i="31" a="1"/>
  <c r="X888" i="31"/>
  <c r="U887" i="31" a="1"/>
  <c r="U887" i="31"/>
  <c r="W887" i="31" a="1"/>
  <c r="W887" i="31"/>
  <c r="V887" i="31" a="1"/>
  <c r="V887" i="31"/>
  <c r="X887" i="31" a="1"/>
  <c r="X887" i="31"/>
  <c r="U886" i="31" a="1"/>
  <c r="U886" i="31"/>
  <c r="W886" i="31" a="1"/>
  <c r="W886" i="31"/>
  <c r="V886" i="31" a="1"/>
  <c r="V886" i="31"/>
  <c r="X886" i="31" a="1"/>
  <c r="X886" i="31"/>
  <c r="U885" i="31" a="1"/>
  <c r="U885" i="31"/>
  <c r="W885" i="31" a="1"/>
  <c r="W885" i="31"/>
  <c r="V885" i="31" a="1"/>
  <c r="V885" i="31"/>
  <c r="X885" i="31" a="1"/>
  <c r="X885" i="31"/>
  <c r="U884" i="31" a="1"/>
  <c r="U884" i="31"/>
  <c r="W884" i="31" a="1"/>
  <c r="W884" i="31"/>
  <c r="V884" i="31" a="1"/>
  <c r="V884" i="31"/>
  <c r="X884" i="31" a="1"/>
  <c r="X884" i="31"/>
  <c r="U883" i="31" a="1"/>
  <c r="U883" i="31"/>
  <c r="W883" i="31" a="1"/>
  <c r="W883" i="31"/>
  <c r="V883" i="31" a="1"/>
  <c r="V883" i="31"/>
  <c r="X883" i="31" a="1"/>
  <c r="X883" i="31"/>
  <c r="U882" i="31" a="1"/>
  <c r="U882" i="31"/>
  <c r="W882" i="31" a="1"/>
  <c r="W882" i="31"/>
  <c r="V882" i="31" a="1"/>
  <c r="V882" i="31"/>
  <c r="X882" i="31" a="1"/>
  <c r="X882" i="31"/>
  <c r="U881" i="31" a="1"/>
  <c r="U881" i="31"/>
  <c r="W881" i="31" a="1"/>
  <c r="W881" i="31"/>
  <c r="V881" i="31" a="1"/>
  <c r="V881" i="31"/>
  <c r="X881" i="31" a="1"/>
  <c r="X881" i="31"/>
  <c r="U880" i="31" a="1"/>
  <c r="U880" i="31"/>
  <c r="W880" i="31" a="1"/>
  <c r="W880" i="31"/>
  <c r="V880" i="31" a="1"/>
  <c r="V880" i="31"/>
  <c r="X880" i="31" a="1"/>
  <c r="X880" i="31"/>
  <c r="U879" i="31" a="1"/>
  <c r="U879" i="31"/>
  <c r="W879" i="31" a="1"/>
  <c r="W879" i="31"/>
  <c r="V879" i="31" a="1"/>
  <c r="V879" i="31"/>
  <c r="X879" i="31" a="1"/>
  <c r="X879" i="31"/>
  <c r="U878" i="31" a="1"/>
  <c r="U878" i="31"/>
  <c r="W878" i="31" a="1"/>
  <c r="W878" i="31"/>
  <c r="V878" i="31" a="1"/>
  <c r="V878" i="31"/>
  <c r="X878" i="31" a="1"/>
  <c r="X878" i="31"/>
  <c r="U877" i="31" a="1"/>
  <c r="U877" i="31"/>
  <c r="W877" i="31" a="1"/>
  <c r="W877" i="31"/>
  <c r="V877" i="31" a="1"/>
  <c r="V877" i="31"/>
  <c r="X877" i="31" a="1"/>
  <c r="X877" i="31"/>
  <c r="U876" i="31" a="1"/>
  <c r="U876" i="31"/>
  <c r="W876" i="31" a="1"/>
  <c r="W876" i="31"/>
  <c r="V876" i="31" a="1"/>
  <c r="V876" i="31"/>
  <c r="X876" i="31" a="1"/>
  <c r="X876" i="31"/>
  <c r="U875" i="31" a="1"/>
  <c r="U875" i="31"/>
  <c r="W875" i="31" a="1"/>
  <c r="W875" i="31"/>
  <c r="V875" i="31" a="1"/>
  <c r="V875" i="31"/>
  <c r="X875" i="31" a="1"/>
  <c r="X875" i="31"/>
  <c r="U874" i="31" a="1"/>
  <c r="U874" i="31"/>
  <c r="W874" i="31" a="1"/>
  <c r="W874" i="31"/>
  <c r="V874" i="31" a="1"/>
  <c r="V874" i="31"/>
  <c r="X874" i="31" a="1"/>
  <c r="X874" i="31"/>
  <c r="U873" i="31" a="1"/>
  <c r="U873" i="31"/>
  <c r="W873" i="31" a="1"/>
  <c r="W873" i="31"/>
  <c r="V873" i="31" a="1"/>
  <c r="V873" i="31"/>
  <c r="X873" i="31" a="1"/>
  <c r="X873" i="31"/>
  <c r="U872" i="31" a="1"/>
  <c r="U872" i="31"/>
  <c r="W872" i="31" a="1"/>
  <c r="W872" i="31"/>
  <c r="V872" i="31" a="1"/>
  <c r="V872" i="31"/>
  <c r="X872" i="31" a="1"/>
  <c r="X872" i="31"/>
  <c r="U871" i="31" a="1"/>
  <c r="U871" i="31"/>
  <c r="W871" i="31" a="1"/>
  <c r="W871" i="31"/>
  <c r="V871" i="31" a="1"/>
  <c r="V871" i="31"/>
  <c r="X871" i="31" a="1"/>
  <c r="X871" i="31"/>
  <c r="U870" i="31" a="1"/>
  <c r="U870" i="31"/>
  <c r="W870" i="31" a="1"/>
  <c r="W870" i="31"/>
  <c r="V870" i="31" a="1"/>
  <c r="V870" i="31"/>
  <c r="X870" i="31" a="1"/>
  <c r="X870" i="31"/>
  <c r="U869" i="31" a="1"/>
  <c r="U869" i="31"/>
  <c r="W869" i="31" a="1"/>
  <c r="W869" i="31"/>
  <c r="V869" i="31" a="1"/>
  <c r="V869" i="31"/>
  <c r="X869" i="31" a="1"/>
  <c r="X869" i="31"/>
  <c r="U868" i="31" a="1"/>
  <c r="U868" i="31"/>
  <c r="W868" i="31" a="1"/>
  <c r="W868" i="31"/>
  <c r="V868" i="31" a="1"/>
  <c r="V868" i="31"/>
  <c r="X868" i="31" a="1"/>
  <c r="X868" i="31"/>
  <c r="U867" i="31" a="1"/>
  <c r="U867" i="31"/>
  <c r="W867" i="31" a="1"/>
  <c r="W867" i="31"/>
  <c r="V867" i="31" a="1"/>
  <c r="V867" i="31"/>
  <c r="X867" i="31" a="1"/>
  <c r="X867" i="31"/>
  <c r="U866" i="31" a="1"/>
  <c r="U866" i="31"/>
  <c r="W866" i="31" a="1"/>
  <c r="W866" i="31"/>
  <c r="V866" i="31" a="1"/>
  <c r="V866" i="31"/>
  <c r="X866" i="31" a="1"/>
  <c r="X866" i="31"/>
  <c r="U865" i="31" a="1"/>
  <c r="U865" i="31"/>
  <c r="W865" i="31" a="1"/>
  <c r="W865" i="31"/>
  <c r="V865" i="31" a="1"/>
  <c r="V865" i="31"/>
  <c r="X865" i="31" a="1"/>
  <c r="X865" i="31"/>
  <c r="U864" i="31" a="1"/>
  <c r="U864" i="31"/>
  <c r="W864" i="31" a="1"/>
  <c r="W864" i="31"/>
  <c r="V864" i="31" a="1"/>
  <c r="V864" i="31"/>
  <c r="X864" i="31" a="1"/>
  <c r="X864" i="31"/>
  <c r="U863" i="31" a="1"/>
  <c r="U863" i="31"/>
  <c r="W863" i="31" a="1"/>
  <c r="W863" i="31"/>
  <c r="V863" i="31" a="1"/>
  <c r="V863" i="31"/>
  <c r="X863" i="31" a="1"/>
  <c r="X863" i="31"/>
  <c r="U862" i="31" a="1"/>
  <c r="U862" i="31"/>
  <c r="W862" i="31" a="1"/>
  <c r="W862" i="31"/>
  <c r="V862" i="31" a="1"/>
  <c r="V862" i="31"/>
  <c r="X862" i="31" a="1"/>
  <c r="X862" i="31"/>
  <c r="U861" i="31" a="1"/>
  <c r="U861" i="31"/>
  <c r="W861" i="31" a="1"/>
  <c r="W861" i="31"/>
  <c r="V861" i="31" a="1"/>
  <c r="V861" i="31"/>
  <c r="X861" i="31" a="1"/>
  <c r="X861" i="31"/>
  <c r="U860" i="31" a="1"/>
  <c r="U860" i="31"/>
  <c r="W860" i="31" a="1"/>
  <c r="W860" i="31"/>
  <c r="V860" i="31" a="1"/>
  <c r="V860" i="31"/>
  <c r="X860" i="31" a="1"/>
  <c r="X860" i="31"/>
  <c r="U859" i="31" a="1"/>
  <c r="U859" i="31"/>
  <c r="W859" i="31" a="1"/>
  <c r="W859" i="31"/>
  <c r="V859" i="31" a="1"/>
  <c r="V859" i="31"/>
  <c r="X859" i="31" a="1"/>
  <c r="X859" i="31"/>
  <c r="U858" i="31" a="1"/>
  <c r="U858" i="31"/>
  <c r="W858" i="31" a="1"/>
  <c r="W858" i="31"/>
  <c r="V858" i="31" a="1"/>
  <c r="V858" i="31"/>
  <c r="X858" i="31" a="1"/>
  <c r="X858" i="31"/>
  <c r="U857" i="31" a="1"/>
  <c r="U857" i="31"/>
  <c r="W857" i="31" a="1"/>
  <c r="W857" i="31"/>
  <c r="V857" i="31" a="1"/>
  <c r="V857" i="31"/>
  <c r="X857" i="31" a="1"/>
  <c r="X857" i="31"/>
  <c r="U856" i="31" a="1"/>
  <c r="U856" i="31"/>
  <c r="W856" i="31" a="1"/>
  <c r="W856" i="31"/>
  <c r="V856" i="31" a="1"/>
  <c r="V856" i="31"/>
  <c r="X856" i="31" a="1"/>
  <c r="X856" i="31"/>
  <c r="U855" i="31" a="1"/>
  <c r="U855" i="31"/>
  <c r="W855" i="31" a="1"/>
  <c r="W855" i="31"/>
  <c r="V855" i="31" a="1"/>
  <c r="V855" i="31"/>
  <c r="X855" i="31" a="1"/>
  <c r="X855" i="31"/>
  <c r="U854" i="31" a="1"/>
  <c r="U854" i="31"/>
  <c r="W854" i="31" a="1"/>
  <c r="W854" i="31"/>
  <c r="V854" i="31" a="1"/>
  <c r="V854" i="31"/>
  <c r="X854" i="31" a="1"/>
  <c r="X854" i="31"/>
  <c r="U853" i="31" a="1"/>
  <c r="U853" i="31"/>
  <c r="W853" i="31" a="1"/>
  <c r="W853" i="31"/>
  <c r="V853" i="31" a="1"/>
  <c r="V853" i="31"/>
  <c r="X853" i="31" a="1"/>
  <c r="X853" i="31"/>
  <c r="U852" i="31" a="1"/>
  <c r="U852" i="31"/>
  <c r="W852" i="31" a="1"/>
  <c r="W852" i="31"/>
  <c r="V852" i="31" a="1"/>
  <c r="V852" i="31"/>
  <c r="X852" i="31" a="1"/>
  <c r="X852" i="31"/>
  <c r="U851" i="31" a="1"/>
  <c r="U851" i="31"/>
  <c r="W851" i="31" a="1"/>
  <c r="W851" i="31"/>
  <c r="V851" i="31" a="1"/>
  <c r="V851" i="31"/>
  <c r="X851" i="31" a="1"/>
  <c r="X851" i="31"/>
  <c r="U850" i="31" a="1"/>
  <c r="U850" i="31"/>
  <c r="W850" i="31" a="1"/>
  <c r="W850" i="31"/>
  <c r="V850" i="31" a="1"/>
  <c r="V850" i="31"/>
  <c r="X850" i="31" a="1"/>
  <c r="X850" i="31"/>
  <c r="U849" i="31" a="1"/>
  <c r="U849" i="31"/>
  <c r="W849" i="31" a="1"/>
  <c r="W849" i="31"/>
  <c r="V849" i="31" a="1"/>
  <c r="V849" i="31"/>
  <c r="X849" i="31" a="1"/>
  <c r="X849" i="31"/>
  <c r="U848" i="31" a="1"/>
  <c r="U848" i="31"/>
  <c r="W848" i="31" a="1"/>
  <c r="W848" i="31"/>
  <c r="V848" i="31" a="1"/>
  <c r="V848" i="31"/>
  <c r="X848" i="31" a="1"/>
  <c r="X848" i="31"/>
  <c r="U847" i="31" a="1"/>
  <c r="U847" i="31"/>
  <c r="W847" i="31" a="1"/>
  <c r="W847" i="31"/>
  <c r="V847" i="31" a="1"/>
  <c r="V847" i="31"/>
  <c r="X847" i="31" a="1"/>
  <c r="X847" i="31"/>
  <c r="U846" i="31" a="1"/>
  <c r="U846" i="31"/>
  <c r="W846" i="31" a="1"/>
  <c r="W846" i="31"/>
  <c r="V846" i="31" a="1"/>
  <c r="V846" i="31"/>
  <c r="X846" i="31" a="1"/>
  <c r="X846" i="31"/>
  <c r="U845" i="31" a="1"/>
  <c r="U845" i="31"/>
  <c r="W845" i="31" a="1"/>
  <c r="W845" i="31"/>
  <c r="V845" i="31" a="1"/>
  <c r="V845" i="31"/>
  <c r="X845" i="31" a="1"/>
  <c r="X845" i="31"/>
  <c r="U844" i="31" a="1"/>
  <c r="U844" i="31"/>
  <c r="W844" i="31" a="1"/>
  <c r="W844" i="31"/>
  <c r="V844" i="31" a="1"/>
  <c r="V844" i="31"/>
  <c r="X844" i="31" a="1"/>
  <c r="X844" i="31"/>
  <c r="U843" i="31" a="1"/>
  <c r="U843" i="31"/>
  <c r="W843" i="31" a="1"/>
  <c r="W843" i="31"/>
  <c r="V843" i="31" a="1"/>
  <c r="V843" i="31"/>
  <c r="X843" i="31" a="1"/>
  <c r="X843" i="31"/>
  <c r="U842" i="31" a="1"/>
  <c r="U842" i="31"/>
  <c r="W842" i="31" a="1"/>
  <c r="W842" i="31"/>
  <c r="V842" i="31" a="1"/>
  <c r="V842" i="31"/>
  <c r="X842" i="31" a="1"/>
  <c r="X842" i="31"/>
  <c r="U841" i="31" a="1"/>
  <c r="U841" i="31"/>
  <c r="W841" i="31" a="1"/>
  <c r="W841" i="31"/>
  <c r="V841" i="31" a="1"/>
  <c r="V841" i="31"/>
  <c r="X841" i="31" a="1"/>
  <c r="X841" i="31"/>
  <c r="U840" i="31" a="1"/>
  <c r="U840" i="31"/>
  <c r="W840" i="31" a="1"/>
  <c r="W840" i="31"/>
  <c r="V840" i="31" a="1"/>
  <c r="V840" i="31"/>
  <c r="X840" i="31" a="1"/>
  <c r="X840" i="31"/>
  <c r="U839" i="31" a="1"/>
  <c r="U839" i="31"/>
  <c r="W839" i="31" a="1"/>
  <c r="W839" i="31"/>
  <c r="V839" i="31" a="1"/>
  <c r="V839" i="31"/>
  <c r="X839" i="31" a="1"/>
  <c r="X839" i="31"/>
  <c r="U838" i="31" a="1"/>
  <c r="U838" i="31"/>
  <c r="W838" i="31" a="1"/>
  <c r="W838" i="31"/>
  <c r="V838" i="31" a="1"/>
  <c r="V838" i="31"/>
  <c r="X838" i="31" a="1"/>
  <c r="X838" i="31"/>
  <c r="U837" i="31" a="1"/>
  <c r="U837" i="31"/>
  <c r="W837" i="31" a="1"/>
  <c r="W837" i="31"/>
  <c r="V837" i="31" a="1"/>
  <c r="V837" i="31"/>
  <c r="X837" i="31" a="1"/>
  <c r="X837" i="31"/>
  <c r="U836" i="31" a="1"/>
  <c r="U836" i="31"/>
  <c r="W836" i="31" a="1"/>
  <c r="W836" i="31"/>
  <c r="V836" i="31" a="1"/>
  <c r="V836" i="31"/>
  <c r="X836" i="31" a="1"/>
  <c r="X836" i="31"/>
  <c r="U835" i="31" a="1"/>
  <c r="U835" i="31"/>
  <c r="W835" i="31" a="1"/>
  <c r="W835" i="31"/>
  <c r="V835" i="31" a="1"/>
  <c r="V835" i="31"/>
  <c r="X835" i="31" a="1"/>
  <c r="X835" i="31"/>
  <c r="U834" i="31" a="1"/>
  <c r="U834" i="31"/>
  <c r="W834" i="31" a="1"/>
  <c r="W834" i="31"/>
  <c r="V834" i="31" a="1"/>
  <c r="V834" i="31"/>
  <c r="X834" i="31" a="1"/>
  <c r="X834" i="31"/>
  <c r="U833" i="31" a="1"/>
  <c r="U833" i="31"/>
  <c r="W833" i="31" a="1"/>
  <c r="W833" i="31"/>
  <c r="V833" i="31" a="1"/>
  <c r="V833" i="31"/>
  <c r="X833" i="31" a="1"/>
  <c r="X833" i="31"/>
  <c r="U832" i="31" a="1"/>
  <c r="U832" i="31"/>
  <c r="W832" i="31" a="1"/>
  <c r="W832" i="31"/>
  <c r="V832" i="31" a="1"/>
  <c r="V832" i="31"/>
  <c r="X832" i="31" a="1"/>
  <c r="X832" i="31"/>
  <c r="U831" i="31" a="1"/>
  <c r="U831" i="31"/>
  <c r="W831" i="31" a="1"/>
  <c r="W831" i="31"/>
  <c r="V831" i="31" a="1"/>
  <c r="V831" i="31"/>
  <c r="X831" i="31" a="1"/>
  <c r="X831" i="31"/>
  <c r="U830" i="31" a="1"/>
  <c r="U830" i="31"/>
  <c r="W830" i="31" a="1"/>
  <c r="W830" i="31"/>
  <c r="V830" i="31" a="1"/>
  <c r="V830" i="31"/>
  <c r="X830" i="31" a="1"/>
  <c r="X830" i="31"/>
  <c r="U829" i="31" a="1"/>
  <c r="U829" i="31"/>
  <c r="W829" i="31" a="1"/>
  <c r="W829" i="31"/>
  <c r="V829" i="31" a="1"/>
  <c r="V829" i="31"/>
  <c r="X829" i="31" a="1"/>
  <c r="X829" i="31"/>
  <c r="U828" i="31" a="1"/>
  <c r="U828" i="31"/>
  <c r="W828" i="31" a="1"/>
  <c r="W828" i="31"/>
  <c r="V828" i="31" a="1"/>
  <c r="V828" i="31"/>
  <c r="X828" i="31" a="1"/>
  <c r="X828" i="31"/>
  <c r="U827" i="31" a="1"/>
  <c r="U827" i="31"/>
  <c r="W827" i="31" a="1"/>
  <c r="W827" i="31"/>
  <c r="V827" i="31" a="1"/>
  <c r="V827" i="31"/>
  <c r="X827" i="31" a="1"/>
  <c r="X827" i="31"/>
  <c r="U826" i="31" a="1"/>
  <c r="U826" i="31"/>
  <c r="W826" i="31" a="1"/>
  <c r="W826" i="31"/>
  <c r="V826" i="31" a="1"/>
  <c r="V826" i="31"/>
  <c r="X826" i="31" a="1"/>
  <c r="X826" i="31"/>
  <c r="U825" i="31" a="1"/>
  <c r="U825" i="31"/>
  <c r="W825" i="31" a="1"/>
  <c r="W825" i="31"/>
  <c r="V825" i="31" a="1"/>
  <c r="V825" i="31"/>
  <c r="X825" i="31" a="1"/>
  <c r="X825" i="31"/>
  <c r="U824" i="31" a="1"/>
  <c r="U824" i="31"/>
  <c r="W824" i="31" a="1"/>
  <c r="W824" i="31"/>
  <c r="V824" i="31" a="1"/>
  <c r="V824" i="31"/>
  <c r="X824" i="31" a="1"/>
  <c r="X824" i="31"/>
  <c r="U823" i="31" a="1"/>
  <c r="U823" i="31"/>
  <c r="W823" i="31" a="1"/>
  <c r="W823" i="31"/>
  <c r="V823" i="31" a="1"/>
  <c r="V823" i="31"/>
  <c r="X823" i="31" a="1"/>
  <c r="X823" i="31"/>
  <c r="U822" i="31" a="1"/>
  <c r="U822" i="31"/>
  <c r="W822" i="31" a="1"/>
  <c r="W822" i="31"/>
  <c r="V822" i="31" a="1"/>
  <c r="V822" i="31"/>
  <c r="X822" i="31" a="1"/>
  <c r="X822" i="31"/>
  <c r="U821" i="31" a="1"/>
  <c r="U821" i="31"/>
  <c r="W821" i="31" a="1"/>
  <c r="W821" i="31"/>
  <c r="V821" i="31" a="1"/>
  <c r="V821" i="31"/>
  <c r="X821" i="31" a="1"/>
  <c r="X821" i="31"/>
  <c r="U820" i="31" a="1"/>
  <c r="U820" i="31"/>
  <c r="W820" i="31" a="1"/>
  <c r="W820" i="31"/>
  <c r="V820" i="31" a="1"/>
  <c r="V820" i="31"/>
  <c r="X820" i="31" a="1"/>
  <c r="X820" i="31"/>
  <c r="U819" i="31" a="1"/>
  <c r="U819" i="31"/>
  <c r="W819" i="31" a="1"/>
  <c r="W819" i="31"/>
  <c r="V819" i="31" a="1"/>
  <c r="V819" i="31"/>
  <c r="X819" i="31" a="1"/>
  <c r="X819" i="31"/>
  <c r="U818" i="31" a="1"/>
  <c r="U818" i="31"/>
  <c r="W818" i="31" a="1"/>
  <c r="W818" i="31"/>
  <c r="V818" i="31" a="1"/>
  <c r="V818" i="31"/>
  <c r="X818" i="31" a="1"/>
  <c r="X818" i="31"/>
  <c r="U817" i="31" a="1"/>
  <c r="U817" i="31"/>
  <c r="W817" i="31" a="1"/>
  <c r="W817" i="31"/>
  <c r="V817" i="31" a="1"/>
  <c r="V817" i="31"/>
  <c r="X817" i="31" a="1"/>
  <c r="X817" i="31"/>
  <c r="U816" i="31" a="1"/>
  <c r="U816" i="31"/>
  <c r="W816" i="31" a="1"/>
  <c r="W816" i="31"/>
  <c r="V816" i="31" a="1"/>
  <c r="V816" i="31"/>
  <c r="X816" i="31" a="1"/>
  <c r="X816" i="31"/>
  <c r="U815" i="31" a="1"/>
  <c r="U815" i="31"/>
  <c r="W815" i="31" a="1"/>
  <c r="W815" i="31"/>
  <c r="V815" i="31" a="1"/>
  <c r="V815" i="31"/>
  <c r="X815" i="31" a="1"/>
  <c r="X815" i="31"/>
  <c r="U814" i="31" a="1"/>
  <c r="U814" i="31"/>
  <c r="W814" i="31" a="1"/>
  <c r="W814" i="31"/>
  <c r="V814" i="31" a="1"/>
  <c r="V814" i="31"/>
  <c r="X814" i="31" a="1"/>
  <c r="X814" i="31"/>
  <c r="U813" i="31" a="1"/>
  <c r="U813" i="31"/>
  <c r="W813" i="31" a="1"/>
  <c r="W813" i="31"/>
  <c r="V813" i="31" a="1"/>
  <c r="V813" i="31"/>
  <c r="X813" i="31" a="1"/>
  <c r="X813" i="31"/>
  <c r="U812" i="31" a="1"/>
  <c r="U812" i="31"/>
  <c r="W812" i="31" a="1"/>
  <c r="W812" i="31"/>
  <c r="V812" i="31" a="1"/>
  <c r="V812" i="31"/>
  <c r="X812" i="31" a="1"/>
  <c r="X812" i="31"/>
  <c r="U811" i="31" a="1"/>
  <c r="U811" i="31"/>
  <c r="W811" i="31" a="1"/>
  <c r="W811" i="31"/>
  <c r="V811" i="31" a="1"/>
  <c r="V811" i="31"/>
  <c r="X811" i="31" a="1"/>
  <c r="X811" i="31"/>
  <c r="U810" i="31" a="1"/>
  <c r="U810" i="31"/>
  <c r="W810" i="31" a="1"/>
  <c r="W810" i="31"/>
  <c r="V810" i="31" a="1"/>
  <c r="V810" i="31"/>
  <c r="X810" i="31" a="1"/>
  <c r="X810" i="31"/>
  <c r="U809" i="31" a="1"/>
  <c r="U809" i="31"/>
  <c r="W809" i="31" a="1"/>
  <c r="W809" i="31"/>
  <c r="V809" i="31" a="1"/>
  <c r="V809" i="31"/>
  <c r="X809" i="31" a="1"/>
  <c r="X809" i="31"/>
  <c r="U808" i="31" a="1"/>
  <c r="U808" i="31"/>
  <c r="W808" i="31" a="1"/>
  <c r="W808" i="31"/>
  <c r="V808" i="31" a="1"/>
  <c r="V808" i="31"/>
  <c r="X808" i="31" a="1"/>
  <c r="X808" i="31"/>
  <c r="U807" i="31" a="1"/>
  <c r="U807" i="31"/>
  <c r="W807" i="31" a="1"/>
  <c r="W807" i="31"/>
  <c r="V807" i="31" a="1"/>
  <c r="V807" i="31"/>
  <c r="X807" i="31" a="1"/>
  <c r="X807" i="31"/>
  <c r="U806" i="31" a="1"/>
  <c r="U806" i="31"/>
  <c r="W806" i="31" a="1"/>
  <c r="W806" i="31"/>
  <c r="V806" i="31" a="1"/>
  <c r="V806" i="31"/>
  <c r="X806" i="31" a="1"/>
  <c r="X806" i="31"/>
  <c r="U805" i="31" a="1"/>
  <c r="U805" i="31"/>
  <c r="W805" i="31" a="1"/>
  <c r="W805" i="31"/>
  <c r="V805" i="31" a="1"/>
  <c r="V805" i="31"/>
  <c r="X805" i="31" a="1"/>
  <c r="X805" i="31"/>
  <c r="U804" i="31" a="1"/>
  <c r="U804" i="31"/>
  <c r="W804" i="31" a="1"/>
  <c r="W804" i="31"/>
  <c r="V804" i="31" a="1"/>
  <c r="V804" i="31"/>
  <c r="X804" i="31" a="1"/>
  <c r="X804" i="31"/>
  <c r="U803" i="31" a="1"/>
  <c r="U803" i="31"/>
  <c r="W803" i="31" a="1"/>
  <c r="W803" i="31"/>
  <c r="V803" i="31" a="1"/>
  <c r="V803" i="31"/>
  <c r="X803" i="31" a="1"/>
  <c r="X803" i="31"/>
  <c r="U802" i="31" a="1"/>
  <c r="U802" i="31"/>
  <c r="W802" i="31" a="1"/>
  <c r="W802" i="31"/>
  <c r="V802" i="31" a="1"/>
  <c r="V802" i="31"/>
  <c r="X802" i="31" a="1"/>
  <c r="X802" i="31"/>
  <c r="U801" i="31" a="1"/>
  <c r="U801" i="31"/>
  <c r="W801" i="31" a="1"/>
  <c r="W801" i="31"/>
  <c r="V801" i="31" a="1"/>
  <c r="V801" i="31"/>
  <c r="X801" i="31" a="1"/>
  <c r="X801" i="31"/>
  <c r="U800" i="31" a="1"/>
  <c r="U800" i="31"/>
  <c r="W800" i="31" a="1"/>
  <c r="W800" i="31"/>
  <c r="V800" i="31" a="1"/>
  <c r="V800" i="31"/>
  <c r="X800" i="31" a="1"/>
  <c r="X800" i="31"/>
  <c r="U799" i="31" a="1"/>
  <c r="U799" i="31"/>
  <c r="W799" i="31" a="1"/>
  <c r="W799" i="31"/>
  <c r="V799" i="31" a="1"/>
  <c r="V799" i="31"/>
  <c r="X799" i="31" a="1"/>
  <c r="X799" i="31"/>
  <c r="U798" i="31" a="1"/>
  <c r="U798" i="31"/>
  <c r="W798" i="31" a="1"/>
  <c r="W798" i="31"/>
  <c r="V798" i="31" a="1"/>
  <c r="V798" i="31"/>
  <c r="X798" i="31" a="1"/>
  <c r="X798" i="31"/>
  <c r="U797" i="31" a="1"/>
  <c r="U797" i="31"/>
  <c r="W797" i="31" a="1"/>
  <c r="W797" i="31"/>
  <c r="V797" i="31" a="1"/>
  <c r="V797" i="31"/>
  <c r="X797" i="31" a="1"/>
  <c r="X797" i="31"/>
  <c r="U796" i="31" a="1"/>
  <c r="U796" i="31"/>
  <c r="W796" i="31" a="1"/>
  <c r="W796" i="31"/>
  <c r="V796" i="31" a="1"/>
  <c r="V796" i="31"/>
  <c r="X796" i="31" a="1"/>
  <c r="X796" i="31"/>
  <c r="U795" i="31" a="1"/>
  <c r="U795" i="31"/>
  <c r="W795" i="31" a="1"/>
  <c r="W795" i="31"/>
  <c r="V795" i="31" a="1"/>
  <c r="V795" i="31"/>
  <c r="X795" i="31" a="1"/>
  <c r="X795" i="31"/>
  <c r="U794" i="31" a="1"/>
  <c r="U794" i="31"/>
  <c r="W794" i="31" a="1"/>
  <c r="W794" i="31"/>
  <c r="V794" i="31" a="1"/>
  <c r="V794" i="31"/>
  <c r="X794" i="31" a="1"/>
  <c r="X794" i="31"/>
  <c r="U793" i="31" a="1"/>
  <c r="U793" i="31"/>
  <c r="W793" i="31" a="1"/>
  <c r="W793" i="31"/>
  <c r="V793" i="31" a="1"/>
  <c r="V793" i="31"/>
  <c r="X793" i="31" a="1"/>
  <c r="X793" i="31"/>
  <c r="U792" i="31" a="1"/>
  <c r="U792" i="31"/>
  <c r="W792" i="31" a="1"/>
  <c r="W792" i="31"/>
  <c r="V792" i="31" a="1"/>
  <c r="V792" i="31"/>
  <c r="X792" i="31" a="1"/>
  <c r="X792" i="31"/>
  <c r="U791" i="31" a="1"/>
  <c r="U791" i="31"/>
  <c r="W791" i="31" a="1"/>
  <c r="W791" i="31"/>
  <c r="V791" i="31" a="1"/>
  <c r="V791" i="31"/>
  <c r="X791" i="31" a="1"/>
  <c r="X791" i="31"/>
  <c r="U790" i="31" a="1"/>
  <c r="U790" i="31"/>
  <c r="W790" i="31" a="1"/>
  <c r="W790" i="31"/>
  <c r="V790" i="31" a="1"/>
  <c r="V790" i="31"/>
  <c r="X790" i="31" a="1"/>
  <c r="X790" i="31"/>
  <c r="U789" i="31" a="1"/>
  <c r="U789" i="31"/>
  <c r="W789" i="31" a="1"/>
  <c r="W789" i="31"/>
  <c r="V789" i="31" a="1"/>
  <c r="V789" i="31"/>
  <c r="X789" i="31" a="1"/>
  <c r="X789" i="31"/>
  <c r="U788" i="31" a="1"/>
  <c r="U788" i="31"/>
  <c r="W788" i="31" a="1"/>
  <c r="W788" i="31"/>
  <c r="V788" i="31" a="1"/>
  <c r="V788" i="31"/>
  <c r="X788" i="31" a="1"/>
  <c r="X788" i="31"/>
  <c r="U787" i="31" a="1"/>
  <c r="U787" i="31"/>
  <c r="W787" i="31" a="1"/>
  <c r="W787" i="31"/>
  <c r="V787" i="31" a="1"/>
  <c r="V787" i="31"/>
  <c r="X787" i="31" a="1"/>
  <c r="X787" i="31"/>
  <c r="U786" i="31" a="1"/>
  <c r="U786" i="31"/>
  <c r="W786" i="31" a="1"/>
  <c r="W786" i="31"/>
  <c r="V786" i="31" a="1"/>
  <c r="V786" i="31"/>
  <c r="X786" i="31" a="1"/>
  <c r="X786" i="31"/>
  <c r="U785" i="31" a="1"/>
  <c r="U785" i="31"/>
  <c r="W785" i="31" a="1"/>
  <c r="W785" i="31"/>
  <c r="V785" i="31" a="1"/>
  <c r="V785" i="31"/>
  <c r="X785" i="31" a="1"/>
  <c r="X785" i="31"/>
  <c r="U784" i="31" a="1"/>
  <c r="U784" i="31"/>
  <c r="W784" i="31" a="1"/>
  <c r="W784" i="31"/>
  <c r="V784" i="31" a="1"/>
  <c r="V784" i="31"/>
  <c r="X784" i="31" a="1"/>
  <c r="X784" i="31"/>
  <c r="U783" i="31" a="1"/>
  <c r="U783" i="31"/>
  <c r="W783" i="31" a="1"/>
  <c r="W783" i="31"/>
  <c r="V783" i="31" a="1"/>
  <c r="V783" i="31"/>
  <c r="X783" i="31" a="1"/>
  <c r="X783" i="31"/>
  <c r="U782" i="31" a="1"/>
  <c r="U782" i="31"/>
  <c r="W782" i="31" a="1"/>
  <c r="W782" i="31"/>
  <c r="V782" i="31" a="1"/>
  <c r="V782" i="31"/>
  <c r="X782" i="31" a="1"/>
  <c r="X782" i="31"/>
  <c r="U781" i="31" a="1"/>
  <c r="U781" i="31"/>
  <c r="W781" i="31" a="1"/>
  <c r="W781" i="31"/>
  <c r="V781" i="31" a="1"/>
  <c r="V781" i="31"/>
  <c r="X781" i="31" a="1"/>
  <c r="X781" i="31"/>
  <c r="U780" i="31" a="1"/>
  <c r="U780" i="31"/>
  <c r="W780" i="31" a="1"/>
  <c r="W780" i="31"/>
  <c r="V780" i="31" a="1"/>
  <c r="V780" i="31"/>
  <c r="X780" i="31" a="1"/>
  <c r="X780" i="31"/>
  <c r="U779" i="31" a="1"/>
  <c r="U779" i="31"/>
  <c r="W779" i="31" a="1"/>
  <c r="W779" i="31"/>
  <c r="V779" i="31" a="1"/>
  <c r="V779" i="31"/>
  <c r="X779" i="31" a="1"/>
  <c r="X779" i="31"/>
  <c r="U778" i="31" a="1"/>
  <c r="U778" i="31"/>
  <c r="W778" i="31" a="1"/>
  <c r="W778" i="31"/>
  <c r="V778" i="31" a="1"/>
  <c r="V778" i="31"/>
  <c r="X778" i="31" a="1"/>
  <c r="X778" i="31"/>
  <c r="U777" i="31" a="1"/>
  <c r="U777" i="31"/>
  <c r="W777" i="31" a="1"/>
  <c r="W777" i="31"/>
  <c r="V777" i="31" a="1"/>
  <c r="V777" i="31"/>
  <c r="X777" i="31" a="1"/>
  <c r="X777" i="31"/>
  <c r="U776" i="31" a="1"/>
  <c r="U776" i="31"/>
  <c r="W776" i="31" a="1"/>
  <c r="W776" i="31"/>
  <c r="V776" i="31" a="1"/>
  <c r="V776" i="31"/>
  <c r="X776" i="31" a="1"/>
  <c r="X776" i="31"/>
  <c r="U775" i="31" a="1"/>
  <c r="U775" i="31"/>
  <c r="W775" i="31" a="1"/>
  <c r="W775" i="31"/>
  <c r="V775" i="31" a="1"/>
  <c r="V775" i="31"/>
  <c r="X775" i="31" a="1"/>
  <c r="X775" i="31"/>
  <c r="U774" i="31" a="1"/>
  <c r="U774" i="31"/>
  <c r="W774" i="31" a="1"/>
  <c r="W774" i="31"/>
  <c r="V774" i="31" a="1"/>
  <c r="V774" i="31"/>
  <c r="X774" i="31" a="1"/>
  <c r="X774" i="31"/>
  <c r="U773" i="31" a="1"/>
  <c r="U773" i="31"/>
  <c r="W773" i="31" a="1"/>
  <c r="W773" i="31"/>
  <c r="V773" i="31" a="1"/>
  <c r="V773" i="31"/>
  <c r="X773" i="31" a="1"/>
  <c r="X773" i="31"/>
  <c r="U772" i="31" a="1"/>
  <c r="U772" i="31"/>
  <c r="W772" i="31" a="1"/>
  <c r="W772" i="31"/>
  <c r="V772" i="31" a="1"/>
  <c r="V772" i="31"/>
  <c r="X772" i="31" a="1"/>
  <c r="X772" i="31"/>
  <c r="U771" i="31" a="1"/>
  <c r="U771" i="31"/>
  <c r="W771" i="31" a="1"/>
  <c r="W771" i="31"/>
  <c r="V771" i="31" a="1"/>
  <c r="V771" i="31"/>
  <c r="X771" i="31" a="1"/>
  <c r="X771" i="31"/>
  <c r="U770" i="31" a="1"/>
  <c r="U770" i="31"/>
  <c r="W770" i="31" a="1"/>
  <c r="W770" i="31"/>
  <c r="V770" i="31" a="1"/>
  <c r="V770" i="31"/>
  <c r="X770" i="31" a="1"/>
  <c r="X770" i="31"/>
  <c r="U769" i="31" a="1"/>
  <c r="U769" i="31"/>
  <c r="W769" i="31" a="1"/>
  <c r="W769" i="31"/>
  <c r="V769" i="31" a="1"/>
  <c r="V769" i="31"/>
  <c r="X769" i="31" a="1"/>
  <c r="X769" i="31"/>
  <c r="U768" i="31" a="1"/>
  <c r="U768" i="31"/>
  <c r="W768" i="31" a="1"/>
  <c r="W768" i="31"/>
  <c r="V768" i="31" a="1"/>
  <c r="V768" i="31"/>
  <c r="X768" i="31" a="1"/>
  <c r="X768" i="31"/>
  <c r="U767" i="31" a="1"/>
  <c r="U767" i="31"/>
  <c r="W767" i="31" a="1"/>
  <c r="W767" i="31"/>
  <c r="V767" i="31" a="1"/>
  <c r="V767" i="31"/>
  <c r="X767" i="31" a="1"/>
  <c r="X767" i="31"/>
  <c r="U766" i="31" a="1"/>
  <c r="U766" i="31"/>
  <c r="W766" i="31" a="1"/>
  <c r="W766" i="31"/>
  <c r="V766" i="31" a="1"/>
  <c r="V766" i="31"/>
  <c r="X766" i="31" a="1"/>
  <c r="X766" i="31"/>
  <c r="U765" i="31" a="1"/>
  <c r="U765" i="31"/>
  <c r="W765" i="31" a="1"/>
  <c r="W765" i="31"/>
  <c r="V765" i="31" a="1"/>
  <c r="V765" i="31"/>
  <c r="X765" i="31" a="1"/>
  <c r="X765" i="31"/>
  <c r="U764" i="31" a="1"/>
  <c r="U764" i="31"/>
  <c r="W764" i="31" a="1"/>
  <c r="W764" i="31"/>
  <c r="V764" i="31" a="1"/>
  <c r="V764" i="31"/>
  <c r="X764" i="31" a="1"/>
  <c r="X764" i="31"/>
  <c r="U763" i="31" a="1"/>
  <c r="U763" i="31"/>
  <c r="W763" i="31" a="1"/>
  <c r="W763" i="31"/>
  <c r="V763" i="31" a="1"/>
  <c r="V763" i="31"/>
  <c r="X763" i="31" a="1"/>
  <c r="X763" i="31"/>
  <c r="U762" i="31" a="1"/>
  <c r="U762" i="31"/>
  <c r="W762" i="31" a="1"/>
  <c r="W762" i="31"/>
  <c r="V762" i="31" a="1"/>
  <c r="V762" i="31"/>
  <c r="X762" i="31" a="1"/>
  <c r="X762" i="31"/>
  <c r="U761" i="31" a="1"/>
  <c r="U761" i="31"/>
  <c r="W761" i="31" a="1"/>
  <c r="W761" i="31"/>
  <c r="V761" i="31" a="1"/>
  <c r="V761" i="31"/>
  <c r="X761" i="31" a="1"/>
  <c r="X761" i="31"/>
  <c r="U760" i="31" a="1"/>
  <c r="U760" i="31"/>
  <c r="W760" i="31" a="1"/>
  <c r="W760" i="31"/>
  <c r="V760" i="31" a="1"/>
  <c r="V760" i="31"/>
  <c r="X760" i="31" a="1"/>
  <c r="X760" i="31"/>
  <c r="U759" i="31" a="1"/>
  <c r="U759" i="31"/>
  <c r="W759" i="31" a="1"/>
  <c r="W759" i="31"/>
  <c r="V759" i="31" a="1"/>
  <c r="V759" i="31"/>
  <c r="X759" i="31" a="1"/>
  <c r="X759" i="31"/>
  <c r="U758" i="31" a="1"/>
  <c r="U758" i="31"/>
  <c r="W758" i="31" a="1"/>
  <c r="W758" i="31"/>
  <c r="V758" i="31" a="1"/>
  <c r="V758" i="31"/>
  <c r="X758" i="31" a="1"/>
  <c r="X758" i="31"/>
  <c r="U757" i="31" a="1"/>
  <c r="U757" i="31"/>
  <c r="W757" i="31" a="1"/>
  <c r="W757" i="31"/>
  <c r="V757" i="31" a="1"/>
  <c r="V757" i="31"/>
  <c r="X757" i="31" a="1"/>
  <c r="X757" i="31"/>
  <c r="U756" i="31" a="1"/>
  <c r="U756" i="31"/>
  <c r="W756" i="31" a="1"/>
  <c r="W756" i="31"/>
  <c r="V756" i="31" a="1"/>
  <c r="V756" i="31"/>
  <c r="X756" i="31" a="1"/>
  <c r="X756" i="31"/>
  <c r="U755" i="31" a="1"/>
  <c r="U755" i="31"/>
  <c r="W755" i="31" a="1"/>
  <c r="W755" i="31"/>
  <c r="V755" i="31" a="1"/>
  <c r="V755" i="31"/>
  <c r="X755" i="31" a="1"/>
  <c r="X755" i="31"/>
  <c r="U754" i="31" a="1"/>
  <c r="U754" i="31"/>
  <c r="W754" i="31" a="1"/>
  <c r="W754" i="31"/>
  <c r="V754" i="31" a="1"/>
  <c r="V754" i="31"/>
  <c r="X754" i="31" a="1"/>
  <c r="X754" i="31"/>
  <c r="U753" i="31" a="1"/>
  <c r="U753" i="31"/>
  <c r="W753" i="31" a="1"/>
  <c r="W753" i="31"/>
  <c r="V753" i="31" a="1"/>
  <c r="V753" i="31"/>
  <c r="X753" i="31" a="1"/>
  <c r="X753" i="31"/>
  <c r="U752" i="31" a="1"/>
  <c r="U752" i="31"/>
  <c r="W752" i="31" a="1"/>
  <c r="W752" i="31"/>
  <c r="V752" i="31" a="1"/>
  <c r="V752" i="31"/>
  <c r="X752" i="31" a="1"/>
  <c r="X752" i="31"/>
  <c r="U751" i="31" a="1"/>
  <c r="U751" i="31"/>
  <c r="W751" i="31" a="1"/>
  <c r="W751" i="31"/>
  <c r="V751" i="31" a="1"/>
  <c r="V751" i="31"/>
  <c r="X751" i="31" a="1"/>
  <c r="X751" i="31"/>
  <c r="U750" i="31" a="1"/>
  <c r="U750" i="31"/>
  <c r="W750" i="31" a="1"/>
  <c r="W750" i="31"/>
  <c r="V750" i="31" a="1"/>
  <c r="V750" i="31"/>
  <c r="X750" i="31" a="1"/>
  <c r="X750" i="31"/>
  <c r="U749" i="31" a="1"/>
  <c r="U749" i="31"/>
  <c r="W749" i="31" a="1"/>
  <c r="W749" i="31"/>
  <c r="V749" i="31" a="1"/>
  <c r="V749" i="31"/>
  <c r="X749" i="31" a="1"/>
  <c r="X749" i="31"/>
  <c r="U748" i="31" a="1"/>
  <c r="U748" i="31"/>
  <c r="W748" i="31" a="1"/>
  <c r="W748" i="31"/>
  <c r="V748" i="31" a="1"/>
  <c r="V748" i="31"/>
  <c r="X748" i="31" a="1"/>
  <c r="X748" i="31"/>
  <c r="U747" i="31" a="1"/>
  <c r="U747" i="31"/>
  <c r="W747" i="31" a="1"/>
  <c r="W747" i="31"/>
  <c r="V747" i="31" a="1"/>
  <c r="V747" i="31"/>
  <c r="X747" i="31" a="1"/>
  <c r="X747" i="31"/>
  <c r="U746" i="31" a="1"/>
  <c r="U746" i="31"/>
  <c r="W746" i="31" a="1"/>
  <c r="W746" i="31"/>
  <c r="V746" i="31" a="1"/>
  <c r="V746" i="31"/>
  <c r="X746" i="31" a="1"/>
  <c r="X746" i="31"/>
  <c r="U745" i="31" a="1"/>
  <c r="U745" i="31"/>
  <c r="W745" i="31" a="1"/>
  <c r="W745" i="31"/>
  <c r="V745" i="31" a="1"/>
  <c r="V745" i="31"/>
  <c r="X745" i="31" a="1"/>
  <c r="X745" i="31"/>
  <c r="U744" i="31" a="1"/>
  <c r="U744" i="31"/>
  <c r="W744" i="31" a="1"/>
  <c r="W744" i="31"/>
  <c r="V744" i="31" a="1"/>
  <c r="V744" i="31"/>
  <c r="X744" i="31" a="1"/>
  <c r="X744" i="31"/>
  <c r="U743" i="31" a="1"/>
  <c r="U743" i="31"/>
  <c r="W743" i="31" a="1"/>
  <c r="W743" i="31"/>
  <c r="V743" i="31" a="1"/>
  <c r="V743" i="31"/>
  <c r="X743" i="31" a="1"/>
  <c r="X743" i="31"/>
  <c r="U742" i="31" a="1"/>
  <c r="U742" i="31"/>
  <c r="W742" i="31" a="1"/>
  <c r="W742" i="31"/>
  <c r="V742" i="31" a="1"/>
  <c r="V742" i="31"/>
  <c r="X742" i="31" a="1"/>
  <c r="X742" i="31"/>
  <c r="U741" i="31" a="1"/>
  <c r="U741" i="31"/>
  <c r="W741" i="31" a="1"/>
  <c r="W741" i="31"/>
  <c r="V741" i="31" a="1"/>
  <c r="V741" i="31"/>
  <c r="X741" i="31" a="1"/>
  <c r="X741" i="31"/>
  <c r="U740" i="31" a="1"/>
  <c r="U740" i="31"/>
  <c r="W740" i="31" a="1"/>
  <c r="W740" i="31"/>
  <c r="V740" i="31" a="1"/>
  <c r="V740" i="31"/>
  <c r="X740" i="31" a="1"/>
  <c r="X740" i="31"/>
  <c r="U739" i="31" a="1"/>
  <c r="U739" i="31"/>
  <c r="W739" i="31" a="1"/>
  <c r="W739" i="31"/>
  <c r="V739" i="31" a="1"/>
  <c r="V739" i="31"/>
  <c r="X739" i="31" a="1"/>
  <c r="X739" i="31"/>
  <c r="U738" i="31" a="1"/>
  <c r="U738" i="31"/>
  <c r="W738" i="31" a="1"/>
  <c r="W738" i="31"/>
  <c r="V738" i="31" a="1"/>
  <c r="V738" i="31"/>
  <c r="X738" i="31" a="1"/>
  <c r="X738" i="31"/>
  <c r="U737" i="31" a="1"/>
  <c r="U737" i="31"/>
  <c r="W737" i="31" a="1"/>
  <c r="W737" i="31"/>
  <c r="V737" i="31" a="1"/>
  <c r="V737" i="31"/>
  <c r="X737" i="31" a="1"/>
  <c r="X737" i="31"/>
  <c r="U736" i="31" a="1"/>
  <c r="U736" i="31"/>
  <c r="W736" i="31" a="1"/>
  <c r="W736" i="31"/>
  <c r="V736" i="31" a="1"/>
  <c r="V736" i="31"/>
  <c r="X736" i="31" a="1"/>
  <c r="X736" i="31"/>
  <c r="U735" i="31" a="1"/>
  <c r="U735" i="31"/>
  <c r="W735" i="31" a="1"/>
  <c r="W735" i="31"/>
  <c r="V735" i="31" a="1"/>
  <c r="V735" i="31"/>
  <c r="X735" i="31" a="1"/>
  <c r="X735" i="31"/>
  <c r="U734" i="31" a="1"/>
  <c r="U734" i="31"/>
  <c r="W734" i="31" a="1"/>
  <c r="W734" i="31"/>
  <c r="V734" i="31" a="1"/>
  <c r="V734" i="31"/>
  <c r="X734" i="31" a="1"/>
  <c r="X734" i="31"/>
  <c r="U733" i="31" a="1"/>
  <c r="U733" i="31"/>
  <c r="W733" i="31" a="1"/>
  <c r="W733" i="31"/>
  <c r="V733" i="31" a="1"/>
  <c r="V733" i="31"/>
  <c r="X733" i="31" a="1"/>
  <c r="X733" i="31"/>
  <c r="U732" i="31" a="1"/>
  <c r="U732" i="31"/>
  <c r="W732" i="31" a="1"/>
  <c r="W732" i="31"/>
  <c r="V732" i="31" a="1"/>
  <c r="V732" i="31"/>
  <c r="X732" i="31" a="1"/>
  <c r="X732" i="31"/>
  <c r="U731" i="31" a="1"/>
  <c r="U731" i="31"/>
  <c r="W731" i="31" a="1"/>
  <c r="W731" i="31"/>
  <c r="V731" i="31" a="1"/>
  <c r="V731" i="31"/>
  <c r="X731" i="31" a="1"/>
  <c r="X731" i="31"/>
  <c r="U730" i="31" a="1"/>
  <c r="U730" i="31"/>
  <c r="W730" i="31" a="1"/>
  <c r="W730" i="31"/>
  <c r="V730" i="31" a="1"/>
  <c r="V730" i="31"/>
  <c r="X730" i="31" a="1"/>
  <c r="X730" i="31"/>
  <c r="U729" i="31" a="1"/>
  <c r="U729" i="31"/>
  <c r="W729" i="31" a="1"/>
  <c r="W729" i="31"/>
  <c r="V729" i="31" a="1"/>
  <c r="V729" i="31"/>
  <c r="X729" i="31" a="1"/>
  <c r="X729" i="31"/>
  <c r="U728" i="31" a="1"/>
  <c r="U728" i="31"/>
  <c r="W728" i="31" a="1"/>
  <c r="W728" i="31"/>
  <c r="V728" i="31" a="1"/>
  <c r="V728" i="31"/>
  <c r="X728" i="31" a="1"/>
  <c r="X728" i="31"/>
  <c r="U727" i="31" a="1"/>
  <c r="U727" i="31"/>
  <c r="W727" i="31" a="1"/>
  <c r="W727" i="31"/>
  <c r="V727" i="31" a="1"/>
  <c r="V727" i="31"/>
  <c r="X727" i="31" a="1"/>
  <c r="X727" i="31"/>
  <c r="U726" i="31" a="1"/>
  <c r="U726" i="31"/>
  <c r="W726" i="31" a="1"/>
  <c r="W726" i="31"/>
  <c r="V726" i="31" a="1"/>
  <c r="V726" i="31"/>
  <c r="X726" i="31" a="1"/>
  <c r="X726" i="31"/>
  <c r="U725" i="31" a="1"/>
  <c r="U725" i="31"/>
  <c r="W725" i="31" a="1"/>
  <c r="W725" i="31"/>
  <c r="V725" i="31" a="1"/>
  <c r="V725" i="31"/>
  <c r="X725" i="31" a="1"/>
  <c r="X725" i="31"/>
  <c r="U724" i="31" a="1"/>
  <c r="U724" i="31"/>
  <c r="W724" i="31" a="1"/>
  <c r="W724" i="31"/>
  <c r="V724" i="31" a="1"/>
  <c r="V724" i="31"/>
  <c r="X724" i="31" a="1"/>
  <c r="X724" i="31"/>
  <c r="U723" i="31" a="1"/>
  <c r="U723" i="31"/>
  <c r="W723" i="31" a="1"/>
  <c r="W723" i="31"/>
  <c r="V723" i="31" a="1"/>
  <c r="V723" i="31"/>
  <c r="X723" i="31" a="1"/>
  <c r="X723" i="31"/>
  <c r="U722" i="31" a="1"/>
  <c r="U722" i="31"/>
  <c r="W722" i="31" a="1"/>
  <c r="W722" i="31"/>
  <c r="V722" i="31" a="1"/>
  <c r="V722" i="31"/>
  <c r="X722" i="31" a="1"/>
  <c r="X722" i="31"/>
  <c r="U721" i="31" a="1"/>
  <c r="U721" i="31"/>
  <c r="W721" i="31" a="1"/>
  <c r="W721" i="31"/>
  <c r="V721" i="31" a="1"/>
  <c r="V721" i="31"/>
  <c r="X721" i="31" a="1"/>
  <c r="X721" i="31"/>
  <c r="U720" i="31" a="1"/>
  <c r="U720" i="31"/>
  <c r="W720" i="31" a="1"/>
  <c r="W720" i="31"/>
  <c r="V720" i="31" a="1"/>
  <c r="V720" i="31"/>
  <c r="X720" i="31" a="1"/>
  <c r="X720" i="31"/>
  <c r="U719" i="31" a="1"/>
  <c r="U719" i="31"/>
  <c r="W719" i="31" a="1"/>
  <c r="W719" i="31"/>
  <c r="V719" i="31" a="1"/>
  <c r="V719" i="31"/>
  <c r="X719" i="31" a="1"/>
  <c r="X719" i="31"/>
  <c r="U718" i="31" a="1"/>
  <c r="U718" i="31"/>
  <c r="W718" i="31" a="1"/>
  <c r="W718" i="31"/>
  <c r="V718" i="31" a="1"/>
  <c r="V718" i="31"/>
  <c r="X718" i="31" a="1"/>
  <c r="X718" i="31"/>
  <c r="U717" i="31" a="1"/>
  <c r="U717" i="31"/>
  <c r="W717" i="31" a="1"/>
  <c r="W717" i="31"/>
  <c r="V717" i="31" a="1"/>
  <c r="V717" i="31"/>
  <c r="X717" i="31" a="1"/>
  <c r="X717" i="31"/>
  <c r="U716" i="31" a="1"/>
  <c r="U716" i="31"/>
  <c r="W716" i="31" a="1"/>
  <c r="W716" i="31"/>
  <c r="V716" i="31" a="1"/>
  <c r="V716" i="31"/>
  <c r="X716" i="31" a="1"/>
  <c r="X716" i="31"/>
  <c r="U715" i="31" a="1"/>
  <c r="U715" i="31"/>
  <c r="W715" i="31" a="1"/>
  <c r="W715" i="31"/>
  <c r="V715" i="31" a="1"/>
  <c r="V715" i="31"/>
  <c r="X715" i="31" a="1"/>
  <c r="X715" i="31"/>
  <c r="U714" i="31" a="1"/>
  <c r="U714" i="31"/>
  <c r="W714" i="31" a="1"/>
  <c r="W714" i="31"/>
  <c r="V714" i="31" a="1"/>
  <c r="V714" i="31"/>
  <c r="X714" i="31" a="1"/>
  <c r="X714" i="31"/>
  <c r="U713" i="31" a="1"/>
  <c r="U713" i="31"/>
  <c r="W713" i="31" a="1"/>
  <c r="W713" i="31"/>
  <c r="V713" i="31" a="1"/>
  <c r="V713" i="31"/>
  <c r="X713" i="31" a="1"/>
  <c r="X713" i="31"/>
  <c r="U712" i="31" a="1"/>
  <c r="U712" i="31"/>
  <c r="W712" i="31" a="1"/>
  <c r="W712" i="31"/>
  <c r="V712" i="31" a="1"/>
  <c r="V712" i="31"/>
  <c r="X712" i="31" a="1"/>
  <c r="X712" i="31"/>
  <c r="U711" i="31" a="1"/>
  <c r="U711" i="31"/>
  <c r="W711" i="31" a="1"/>
  <c r="W711" i="31"/>
  <c r="V711" i="31" a="1"/>
  <c r="V711" i="31"/>
  <c r="X711" i="31" a="1"/>
  <c r="X711" i="31"/>
  <c r="U710" i="31" a="1"/>
  <c r="U710" i="31"/>
  <c r="W710" i="31" a="1"/>
  <c r="W710" i="31"/>
  <c r="V710" i="31" a="1"/>
  <c r="V710" i="31"/>
  <c r="X710" i="31" a="1"/>
  <c r="X710" i="31"/>
  <c r="U709" i="31" a="1"/>
  <c r="U709" i="31"/>
  <c r="W709" i="31" a="1"/>
  <c r="W709" i="31"/>
  <c r="V709" i="31" a="1"/>
  <c r="V709" i="31"/>
  <c r="X709" i="31" a="1"/>
  <c r="X709" i="31"/>
  <c r="U708" i="31" a="1"/>
  <c r="U708" i="31"/>
  <c r="W708" i="31" a="1"/>
  <c r="W708" i="31"/>
  <c r="V708" i="31" a="1"/>
  <c r="V708" i="31"/>
  <c r="X708" i="31" a="1"/>
  <c r="X708" i="31"/>
  <c r="U707" i="31" a="1"/>
  <c r="U707" i="31"/>
  <c r="W707" i="31" a="1"/>
  <c r="W707" i="31"/>
  <c r="V707" i="31" a="1"/>
  <c r="V707" i="31"/>
  <c r="X707" i="31" a="1"/>
  <c r="X707" i="31"/>
  <c r="U706" i="31" a="1"/>
  <c r="U706" i="31"/>
  <c r="W706" i="31" a="1"/>
  <c r="W706" i="31"/>
  <c r="V706" i="31" a="1"/>
  <c r="V706" i="31"/>
  <c r="X706" i="31" a="1"/>
  <c r="X706" i="31"/>
  <c r="U705" i="31" a="1"/>
  <c r="U705" i="31"/>
  <c r="W705" i="31" a="1"/>
  <c r="W705" i="31"/>
  <c r="V705" i="31" a="1"/>
  <c r="V705" i="31"/>
  <c r="X705" i="31" a="1"/>
  <c r="X705" i="31"/>
  <c r="U704" i="31" a="1"/>
  <c r="U704" i="31"/>
  <c r="W704" i="31" a="1"/>
  <c r="W704" i="31"/>
  <c r="V704" i="31" a="1"/>
  <c r="V704" i="31"/>
  <c r="X704" i="31" a="1"/>
  <c r="X704" i="31"/>
  <c r="U703" i="31" a="1"/>
  <c r="U703" i="31"/>
  <c r="W703" i="31" a="1"/>
  <c r="W703" i="31"/>
  <c r="V703" i="31" a="1"/>
  <c r="V703" i="31"/>
  <c r="X703" i="31" a="1"/>
  <c r="X703" i="31"/>
  <c r="U702" i="31" a="1"/>
  <c r="U702" i="31"/>
  <c r="W702" i="31" a="1"/>
  <c r="W702" i="31"/>
  <c r="V702" i="31" a="1"/>
  <c r="V702" i="31"/>
  <c r="X702" i="31" a="1"/>
  <c r="X702" i="31"/>
  <c r="U701" i="31" a="1"/>
  <c r="U701" i="31"/>
  <c r="W701" i="31" a="1"/>
  <c r="W701" i="31"/>
  <c r="V701" i="31" a="1"/>
  <c r="V701" i="31"/>
  <c r="X701" i="31" a="1"/>
  <c r="X701" i="31"/>
  <c r="U700" i="31" a="1"/>
  <c r="U700" i="31"/>
  <c r="W700" i="31" a="1"/>
  <c r="W700" i="31"/>
  <c r="V700" i="31" a="1"/>
  <c r="V700" i="31"/>
  <c r="X700" i="31" a="1"/>
  <c r="X700" i="31"/>
  <c r="U699" i="31" a="1"/>
  <c r="U699" i="31"/>
  <c r="W699" i="31" a="1"/>
  <c r="W699" i="31"/>
  <c r="V699" i="31" a="1"/>
  <c r="V699" i="31"/>
  <c r="X699" i="31" a="1"/>
  <c r="X699" i="31"/>
  <c r="U698" i="31" a="1"/>
  <c r="U698" i="31"/>
  <c r="W698" i="31" a="1"/>
  <c r="W698" i="31"/>
  <c r="V698" i="31" a="1"/>
  <c r="V698" i="31"/>
  <c r="X698" i="31" a="1"/>
  <c r="X698" i="31"/>
  <c r="U697" i="31" a="1"/>
  <c r="U697" i="31"/>
  <c r="W697" i="31" a="1"/>
  <c r="W697" i="31"/>
  <c r="V697" i="31" a="1"/>
  <c r="V697" i="31"/>
  <c r="X697" i="31" a="1"/>
  <c r="X697" i="31"/>
  <c r="U696" i="31" a="1"/>
  <c r="U696" i="31"/>
  <c r="W696" i="31" a="1"/>
  <c r="W696" i="31"/>
  <c r="V696" i="31" a="1"/>
  <c r="V696" i="31"/>
  <c r="X696" i="31" a="1"/>
  <c r="X696" i="31"/>
  <c r="U695" i="31" a="1"/>
  <c r="U695" i="31"/>
  <c r="W695" i="31" a="1"/>
  <c r="W695" i="31"/>
  <c r="V695" i="31" a="1"/>
  <c r="V695" i="31"/>
  <c r="X695" i="31" a="1"/>
  <c r="X695" i="31"/>
  <c r="U694" i="31" a="1"/>
  <c r="U694" i="31"/>
  <c r="W694" i="31" a="1"/>
  <c r="W694" i="31"/>
  <c r="V694" i="31" a="1"/>
  <c r="V694" i="31"/>
  <c r="X694" i="31" a="1"/>
  <c r="X694" i="31"/>
  <c r="U693" i="31" a="1"/>
  <c r="U693" i="31"/>
  <c r="W693" i="31" a="1"/>
  <c r="W693" i="31"/>
  <c r="V693" i="31" a="1"/>
  <c r="V693" i="31"/>
  <c r="X693" i="31" a="1"/>
  <c r="X693" i="31"/>
  <c r="U692" i="31" a="1"/>
  <c r="U692" i="31"/>
  <c r="W692" i="31" a="1"/>
  <c r="W692" i="31"/>
  <c r="V692" i="31" a="1"/>
  <c r="V692" i="31"/>
  <c r="X692" i="31" a="1"/>
  <c r="X692" i="31"/>
  <c r="U691" i="31" a="1"/>
  <c r="U691" i="31"/>
  <c r="W691" i="31" a="1"/>
  <c r="W691" i="31"/>
  <c r="V691" i="31" a="1"/>
  <c r="V691" i="31"/>
  <c r="X691" i="31" a="1"/>
  <c r="X691" i="31"/>
  <c r="U690" i="31" a="1"/>
  <c r="U690" i="31"/>
  <c r="W690" i="31" a="1"/>
  <c r="W690" i="31"/>
  <c r="V690" i="31" a="1"/>
  <c r="V690" i="31"/>
  <c r="X690" i="31" a="1"/>
  <c r="X690" i="31"/>
  <c r="U689" i="31" a="1"/>
  <c r="U689" i="31"/>
  <c r="W689" i="31" a="1"/>
  <c r="W689" i="31"/>
  <c r="V689" i="31" a="1"/>
  <c r="V689" i="31"/>
  <c r="X689" i="31" a="1"/>
  <c r="X689" i="31"/>
  <c r="U688" i="31" a="1"/>
  <c r="U688" i="31"/>
  <c r="W688" i="31" a="1"/>
  <c r="W688" i="31"/>
  <c r="V688" i="31" a="1"/>
  <c r="V688" i="31"/>
  <c r="X688" i="31" a="1"/>
  <c r="X688" i="31"/>
  <c r="U687" i="31" a="1"/>
  <c r="U687" i="31"/>
  <c r="W687" i="31" a="1"/>
  <c r="W687" i="31"/>
  <c r="V687" i="31" a="1"/>
  <c r="V687" i="31"/>
  <c r="X687" i="31" a="1"/>
  <c r="X687" i="31"/>
  <c r="U686" i="31" a="1"/>
  <c r="U686" i="31"/>
  <c r="W686" i="31" a="1"/>
  <c r="W686" i="31"/>
  <c r="V686" i="31" a="1"/>
  <c r="V686" i="31"/>
  <c r="X686" i="31" a="1"/>
  <c r="X686" i="31"/>
  <c r="U685" i="31" a="1"/>
  <c r="U685" i="31"/>
  <c r="W685" i="31" a="1"/>
  <c r="W685" i="31"/>
  <c r="V685" i="31" a="1"/>
  <c r="V685" i="31"/>
  <c r="X685" i="31" a="1"/>
  <c r="X685" i="31"/>
  <c r="U684" i="31" a="1"/>
  <c r="U684" i="31"/>
  <c r="W684" i="31" a="1"/>
  <c r="W684" i="31"/>
  <c r="V684" i="31" a="1"/>
  <c r="V684" i="31"/>
  <c r="X684" i="31" a="1"/>
  <c r="X684" i="31"/>
  <c r="U683" i="31" a="1"/>
  <c r="U683" i="31"/>
  <c r="W683" i="31" a="1"/>
  <c r="W683" i="31"/>
  <c r="V683" i="31" a="1"/>
  <c r="V683" i="31"/>
  <c r="X683" i="31" a="1"/>
  <c r="X683" i="31"/>
  <c r="U682" i="31" a="1"/>
  <c r="U682" i="31"/>
  <c r="W682" i="31" a="1"/>
  <c r="W682" i="31"/>
  <c r="V682" i="31" a="1"/>
  <c r="V682" i="31"/>
  <c r="X682" i="31" a="1"/>
  <c r="X682" i="31"/>
  <c r="U681" i="31" a="1"/>
  <c r="U681" i="31"/>
  <c r="W681" i="31" a="1"/>
  <c r="W681" i="31"/>
  <c r="V681" i="31" a="1"/>
  <c r="V681" i="31"/>
  <c r="X681" i="31" a="1"/>
  <c r="X681" i="31"/>
  <c r="U680" i="31" a="1"/>
  <c r="U680" i="31"/>
  <c r="W680" i="31" a="1"/>
  <c r="W680" i="31"/>
  <c r="V680" i="31" a="1"/>
  <c r="V680" i="31"/>
  <c r="X680" i="31" a="1"/>
  <c r="X680" i="31"/>
  <c r="U679" i="31" a="1"/>
  <c r="U679" i="31"/>
  <c r="W679" i="31" a="1"/>
  <c r="W679" i="31"/>
  <c r="V679" i="31" a="1"/>
  <c r="V679" i="31"/>
  <c r="X679" i="31" a="1"/>
  <c r="X679" i="31"/>
  <c r="U678" i="31" a="1"/>
  <c r="U678" i="31"/>
  <c r="W678" i="31" a="1"/>
  <c r="W678" i="31"/>
  <c r="V678" i="31" a="1"/>
  <c r="V678" i="31"/>
  <c r="X678" i="31" a="1"/>
  <c r="X678" i="31"/>
  <c r="U677" i="31" a="1"/>
  <c r="U677" i="31"/>
  <c r="W677" i="31" a="1"/>
  <c r="W677" i="31"/>
  <c r="V677" i="31" a="1"/>
  <c r="V677" i="31"/>
  <c r="X677" i="31" a="1"/>
  <c r="X677" i="31"/>
  <c r="U676" i="31" a="1"/>
  <c r="U676" i="31"/>
  <c r="W676" i="31" a="1"/>
  <c r="W676" i="31"/>
  <c r="V676" i="31" a="1"/>
  <c r="V676" i="31"/>
  <c r="X676" i="31" a="1"/>
  <c r="X676" i="31"/>
  <c r="U675" i="31" a="1"/>
  <c r="U675" i="31"/>
  <c r="W675" i="31" a="1"/>
  <c r="W675" i="31"/>
  <c r="V675" i="31" a="1"/>
  <c r="V675" i="31"/>
  <c r="X675" i="31" a="1"/>
  <c r="X675" i="31"/>
  <c r="U674" i="31" a="1"/>
  <c r="U674" i="31"/>
  <c r="W674" i="31" a="1"/>
  <c r="W674" i="31"/>
  <c r="V674" i="31" a="1"/>
  <c r="V674" i="31"/>
  <c r="X674" i="31" a="1"/>
  <c r="X674" i="31"/>
  <c r="U673" i="31" a="1"/>
  <c r="U673" i="31"/>
  <c r="W673" i="31" a="1"/>
  <c r="W673" i="31"/>
  <c r="V673" i="31" a="1"/>
  <c r="V673" i="31"/>
  <c r="X673" i="31" a="1"/>
  <c r="X673" i="31"/>
  <c r="U672" i="31" a="1"/>
  <c r="U672" i="31"/>
  <c r="W672" i="31" a="1"/>
  <c r="W672" i="31"/>
  <c r="V672" i="31" a="1"/>
  <c r="V672" i="31"/>
  <c r="X672" i="31" a="1"/>
  <c r="X672" i="31"/>
  <c r="U671" i="31" a="1"/>
  <c r="U671" i="31"/>
  <c r="W671" i="31" a="1"/>
  <c r="W671" i="31"/>
  <c r="V671" i="31" a="1"/>
  <c r="V671" i="31"/>
  <c r="X671" i="31" a="1"/>
  <c r="X671" i="31"/>
  <c r="U670" i="31" a="1"/>
  <c r="U670" i="31"/>
  <c r="W670" i="31" a="1"/>
  <c r="W670" i="31"/>
  <c r="V670" i="31" a="1"/>
  <c r="V670" i="31"/>
  <c r="X670" i="31" a="1"/>
  <c r="X670" i="31"/>
  <c r="U669" i="31" a="1"/>
  <c r="U669" i="31"/>
  <c r="W669" i="31" a="1"/>
  <c r="W669" i="31"/>
  <c r="V669" i="31" a="1"/>
  <c r="V669" i="31"/>
  <c r="X669" i="31" a="1"/>
  <c r="X669" i="31"/>
  <c r="U668" i="31" a="1"/>
  <c r="U668" i="31"/>
  <c r="W668" i="31" a="1"/>
  <c r="W668" i="31"/>
  <c r="V668" i="31" a="1"/>
  <c r="V668" i="31"/>
  <c r="X668" i="31" a="1"/>
  <c r="X668" i="31"/>
  <c r="U667" i="31" a="1"/>
  <c r="U667" i="31"/>
  <c r="W667" i="31" a="1"/>
  <c r="W667" i="31"/>
  <c r="V667" i="31" a="1"/>
  <c r="V667" i="31"/>
  <c r="X667" i="31" a="1"/>
  <c r="X667" i="31"/>
  <c r="U666" i="31" a="1"/>
  <c r="U666" i="31"/>
  <c r="W666" i="31" a="1"/>
  <c r="W666" i="31"/>
  <c r="V666" i="31" a="1"/>
  <c r="V666" i="31"/>
  <c r="X666" i="31" a="1"/>
  <c r="X666" i="31"/>
  <c r="U665" i="31" a="1"/>
  <c r="U665" i="31"/>
  <c r="W665" i="31" a="1"/>
  <c r="W665" i="31"/>
  <c r="V665" i="31" a="1"/>
  <c r="V665" i="31"/>
  <c r="X665" i="31" a="1"/>
  <c r="X665" i="31"/>
  <c r="U664" i="31" a="1"/>
  <c r="U664" i="31"/>
  <c r="W664" i="31" a="1"/>
  <c r="W664" i="31"/>
  <c r="V664" i="31" a="1"/>
  <c r="V664" i="31"/>
  <c r="X664" i="31" a="1"/>
  <c r="X664" i="31"/>
  <c r="U663" i="31" a="1"/>
  <c r="U663" i="31"/>
  <c r="W663" i="31" a="1"/>
  <c r="W663" i="31"/>
  <c r="V663" i="31" a="1"/>
  <c r="V663" i="31"/>
  <c r="X663" i="31" a="1"/>
  <c r="X663" i="31"/>
  <c r="U662" i="31" a="1"/>
  <c r="U662" i="31"/>
  <c r="W662" i="31" a="1"/>
  <c r="W662" i="31"/>
  <c r="V662" i="31" a="1"/>
  <c r="V662" i="31"/>
  <c r="X662" i="31" a="1"/>
  <c r="X662" i="31"/>
  <c r="U661" i="31" a="1"/>
  <c r="U661" i="31"/>
  <c r="W661" i="31" a="1"/>
  <c r="W661" i="31"/>
  <c r="V661" i="31" a="1"/>
  <c r="V661" i="31"/>
  <c r="X661" i="31" a="1"/>
  <c r="X661" i="31"/>
  <c r="U660" i="31" a="1"/>
  <c r="U660" i="31"/>
  <c r="W660" i="31" a="1"/>
  <c r="W660" i="31"/>
  <c r="V660" i="31" a="1"/>
  <c r="V660" i="31"/>
  <c r="X660" i="31" a="1"/>
  <c r="X660" i="31"/>
  <c r="U659" i="31" a="1"/>
  <c r="U659" i="31"/>
  <c r="W659" i="31" a="1"/>
  <c r="W659" i="31"/>
  <c r="V659" i="31" a="1"/>
  <c r="V659" i="31"/>
  <c r="X659" i="31" a="1"/>
  <c r="X659" i="31"/>
  <c r="U658" i="31" a="1"/>
  <c r="U658" i="31"/>
  <c r="W658" i="31" a="1"/>
  <c r="W658" i="31"/>
  <c r="V658" i="31" a="1"/>
  <c r="V658" i="31"/>
  <c r="X658" i="31" a="1"/>
  <c r="X658" i="31"/>
  <c r="U657" i="31" a="1"/>
  <c r="U657" i="31"/>
  <c r="W657" i="31" a="1"/>
  <c r="W657" i="31"/>
  <c r="V657" i="31" a="1"/>
  <c r="V657" i="31"/>
  <c r="X657" i="31" a="1"/>
  <c r="X657" i="31"/>
  <c r="U656" i="31" a="1"/>
  <c r="U656" i="31"/>
  <c r="W656" i="31" a="1"/>
  <c r="W656" i="31"/>
  <c r="V656" i="31" a="1"/>
  <c r="V656" i="31"/>
  <c r="X656" i="31" a="1"/>
  <c r="X656" i="31"/>
  <c r="U655" i="31" a="1"/>
  <c r="U655" i="31"/>
  <c r="W655" i="31" a="1"/>
  <c r="W655" i="31"/>
  <c r="V655" i="31" a="1"/>
  <c r="V655" i="31"/>
  <c r="X655" i="31" a="1"/>
  <c r="X655" i="31"/>
  <c r="U654" i="31" a="1"/>
  <c r="U654" i="31"/>
  <c r="W654" i="31" a="1"/>
  <c r="W654" i="31"/>
  <c r="V654" i="31" a="1"/>
  <c r="V654" i="31"/>
  <c r="X654" i="31" a="1"/>
  <c r="X654" i="31"/>
  <c r="U653" i="31" a="1"/>
  <c r="U653" i="31"/>
  <c r="W653" i="31" a="1"/>
  <c r="W653" i="31"/>
  <c r="V653" i="31" a="1"/>
  <c r="V653" i="31"/>
  <c r="X653" i="31" a="1"/>
  <c r="X653" i="31"/>
  <c r="U652" i="31" a="1"/>
  <c r="U652" i="31"/>
  <c r="W652" i="31" a="1"/>
  <c r="W652" i="31"/>
  <c r="V652" i="31" a="1"/>
  <c r="V652" i="31"/>
  <c r="X652" i="31" a="1"/>
  <c r="X652" i="31"/>
  <c r="U651" i="31" a="1"/>
  <c r="U651" i="31"/>
  <c r="W651" i="31" a="1"/>
  <c r="W651" i="31"/>
  <c r="V651" i="31" a="1"/>
  <c r="V651" i="31"/>
  <c r="X651" i="31" a="1"/>
  <c r="X651" i="31"/>
  <c r="U650" i="31" a="1"/>
  <c r="U650" i="31"/>
  <c r="W650" i="31" a="1"/>
  <c r="W650" i="31"/>
  <c r="V650" i="31" a="1"/>
  <c r="V650" i="31"/>
  <c r="X650" i="31" a="1"/>
  <c r="X650" i="31"/>
  <c r="U649" i="31" a="1"/>
  <c r="U649" i="31"/>
  <c r="W649" i="31" a="1"/>
  <c r="W649" i="31"/>
  <c r="V649" i="31" a="1"/>
  <c r="V649" i="31"/>
  <c r="X649" i="31" a="1"/>
  <c r="X649" i="31"/>
  <c r="U648" i="31" a="1"/>
  <c r="U648" i="31"/>
  <c r="W648" i="31" a="1"/>
  <c r="W648" i="31"/>
  <c r="V648" i="31" a="1"/>
  <c r="V648" i="31"/>
  <c r="X648" i="31" a="1"/>
  <c r="X648" i="31"/>
  <c r="U647" i="31" a="1"/>
  <c r="U647" i="31"/>
  <c r="W647" i="31" a="1"/>
  <c r="W647" i="31"/>
  <c r="V647" i="31" a="1"/>
  <c r="V647" i="31"/>
  <c r="X647" i="31" a="1"/>
  <c r="X647" i="31"/>
  <c r="U646" i="31" a="1"/>
  <c r="U646" i="31"/>
  <c r="W646" i="31" a="1"/>
  <c r="W646" i="31"/>
  <c r="V646" i="31" a="1"/>
  <c r="V646" i="31"/>
  <c r="X646" i="31" a="1"/>
  <c r="X646" i="31"/>
  <c r="U645" i="31" a="1"/>
  <c r="U645" i="31"/>
  <c r="W645" i="31" a="1"/>
  <c r="W645" i="31"/>
  <c r="V645" i="31" a="1"/>
  <c r="V645" i="31"/>
  <c r="X645" i="31" a="1"/>
  <c r="X645" i="31"/>
  <c r="U644" i="31" a="1"/>
  <c r="U644" i="31"/>
  <c r="W644" i="31" a="1"/>
  <c r="W644" i="31"/>
  <c r="V644" i="31" a="1"/>
  <c r="V644" i="31"/>
  <c r="X644" i="31" a="1"/>
  <c r="X644" i="31"/>
  <c r="U643" i="31" a="1"/>
  <c r="U643" i="31"/>
  <c r="W643" i="31" a="1"/>
  <c r="W643" i="31"/>
  <c r="V643" i="31" a="1"/>
  <c r="V643" i="31"/>
  <c r="X643" i="31" a="1"/>
  <c r="X643" i="31"/>
  <c r="U642" i="31" a="1"/>
  <c r="U642" i="31"/>
  <c r="W642" i="31" a="1"/>
  <c r="W642" i="31"/>
  <c r="V642" i="31" a="1"/>
  <c r="V642" i="31"/>
  <c r="X642" i="31" a="1"/>
  <c r="X642" i="31"/>
  <c r="U641" i="31" a="1"/>
  <c r="U641" i="31"/>
  <c r="W641" i="31" a="1"/>
  <c r="W641" i="31"/>
  <c r="V641" i="31" a="1"/>
  <c r="V641" i="31"/>
  <c r="X641" i="31" a="1"/>
  <c r="X641" i="31"/>
  <c r="U640" i="31" a="1"/>
  <c r="U640" i="31"/>
  <c r="W640" i="31" a="1"/>
  <c r="W640" i="31"/>
  <c r="V640" i="31" a="1"/>
  <c r="V640" i="31"/>
  <c r="X640" i="31" a="1"/>
  <c r="X640" i="31"/>
  <c r="U639" i="31" a="1"/>
  <c r="U639" i="31"/>
  <c r="W639" i="31" a="1"/>
  <c r="W639" i="31"/>
  <c r="V639" i="31" a="1"/>
  <c r="V639" i="31"/>
  <c r="X639" i="31" a="1"/>
  <c r="X639" i="31"/>
  <c r="U638" i="31" a="1"/>
  <c r="U638" i="31"/>
  <c r="W638" i="31" a="1"/>
  <c r="W638" i="31"/>
  <c r="V638" i="31" a="1"/>
  <c r="V638" i="31"/>
  <c r="X638" i="31" a="1"/>
  <c r="X638" i="31"/>
  <c r="U637" i="31" a="1"/>
  <c r="U637" i="31"/>
  <c r="W637" i="31" a="1"/>
  <c r="W637" i="31"/>
  <c r="V637" i="31" a="1"/>
  <c r="V637" i="31"/>
  <c r="X637" i="31" a="1"/>
  <c r="X637" i="31"/>
  <c r="U636" i="31" a="1"/>
  <c r="U636" i="31"/>
  <c r="W636" i="31" a="1"/>
  <c r="W636" i="31"/>
  <c r="V636" i="31" a="1"/>
  <c r="V636" i="31"/>
  <c r="X636" i="31" a="1"/>
  <c r="X636" i="31"/>
  <c r="U635" i="31" a="1"/>
  <c r="U635" i="31"/>
  <c r="W635" i="31" a="1"/>
  <c r="W635" i="31"/>
  <c r="V635" i="31" a="1"/>
  <c r="V635" i="31"/>
  <c r="X635" i="31" a="1"/>
  <c r="X635" i="31"/>
  <c r="U634" i="31" a="1"/>
  <c r="U634" i="31"/>
  <c r="W634" i="31" a="1"/>
  <c r="W634" i="31"/>
  <c r="V634" i="31" a="1"/>
  <c r="V634" i="31"/>
  <c r="X634" i="31" a="1"/>
  <c r="X634" i="31"/>
  <c r="U633" i="31" a="1"/>
  <c r="U633" i="31"/>
  <c r="W633" i="31" a="1"/>
  <c r="W633" i="31"/>
  <c r="V633" i="31" a="1"/>
  <c r="V633" i="31"/>
  <c r="X633" i="31" a="1"/>
  <c r="X633" i="31"/>
  <c r="U632" i="31" a="1"/>
  <c r="U632" i="31"/>
  <c r="W632" i="31" a="1"/>
  <c r="W632" i="31"/>
  <c r="V632" i="31" a="1"/>
  <c r="V632" i="31"/>
  <c r="X632" i="31" a="1"/>
  <c r="X632" i="31"/>
  <c r="U631" i="31" a="1"/>
  <c r="U631" i="31"/>
  <c r="W631" i="31" a="1"/>
  <c r="W631" i="31"/>
  <c r="V631" i="31" a="1"/>
  <c r="V631" i="31"/>
  <c r="X631" i="31" a="1"/>
  <c r="X631" i="31"/>
  <c r="U630" i="31" a="1"/>
  <c r="U630" i="31"/>
  <c r="W630" i="31" a="1"/>
  <c r="W630" i="31"/>
  <c r="V630" i="31" a="1"/>
  <c r="V630" i="31"/>
  <c r="X630" i="31" a="1"/>
  <c r="X630" i="31"/>
  <c r="U629" i="31" a="1"/>
  <c r="U629" i="31"/>
  <c r="W629" i="31" a="1"/>
  <c r="W629" i="31"/>
  <c r="V629" i="31" a="1"/>
  <c r="V629" i="31"/>
  <c r="X629" i="31" a="1"/>
  <c r="X629" i="31"/>
  <c r="U628" i="31" a="1"/>
  <c r="U628" i="31"/>
  <c r="W628" i="31" a="1"/>
  <c r="W628" i="31"/>
  <c r="V628" i="31" a="1"/>
  <c r="V628" i="31"/>
  <c r="X628" i="31" a="1"/>
  <c r="X628" i="31"/>
  <c r="U627" i="31" a="1"/>
  <c r="U627" i="31"/>
  <c r="W627" i="31" a="1"/>
  <c r="W627" i="31"/>
  <c r="V627" i="31" a="1"/>
  <c r="V627" i="31"/>
  <c r="X627" i="31" a="1"/>
  <c r="X627" i="31"/>
  <c r="U626" i="31" a="1"/>
  <c r="U626" i="31"/>
  <c r="W626" i="31" a="1"/>
  <c r="W626" i="31"/>
  <c r="V626" i="31" a="1"/>
  <c r="V626" i="31"/>
  <c r="X626" i="31" a="1"/>
  <c r="X626" i="31"/>
  <c r="U625" i="31" a="1"/>
  <c r="U625" i="31"/>
  <c r="W625" i="31" a="1"/>
  <c r="W625" i="31"/>
  <c r="V625" i="31" a="1"/>
  <c r="V625" i="31"/>
  <c r="X625" i="31" a="1"/>
  <c r="X625" i="31"/>
  <c r="U624" i="31" a="1"/>
  <c r="U624" i="31"/>
  <c r="W624" i="31" a="1"/>
  <c r="W624" i="31"/>
  <c r="V624" i="31" a="1"/>
  <c r="V624" i="31"/>
  <c r="X624" i="31" a="1"/>
  <c r="X624" i="31"/>
  <c r="U623" i="31" a="1"/>
  <c r="U623" i="31"/>
  <c r="W623" i="31" a="1"/>
  <c r="W623" i="31"/>
  <c r="V623" i="31" a="1"/>
  <c r="V623" i="31"/>
  <c r="X623" i="31" a="1"/>
  <c r="X623" i="31"/>
  <c r="U622" i="31" a="1"/>
  <c r="U622" i="31"/>
  <c r="W622" i="31" a="1"/>
  <c r="W622" i="31"/>
  <c r="V622" i="31" a="1"/>
  <c r="V622" i="31"/>
  <c r="X622" i="31" a="1"/>
  <c r="X622" i="31"/>
  <c r="U621" i="31" a="1"/>
  <c r="U621" i="31"/>
  <c r="W621" i="31" a="1"/>
  <c r="W621" i="31"/>
  <c r="V621" i="31" a="1"/>
  <c r="V621" i="31"/>
  <c r="X621" i="31" a="1"/>
  <c r="X621" i="31"/>
  <c r="U620" i="31" a="1"/>
  <c r="U620" i="31"/>
  <c r="W620" i="31" a="1"/>
  <c r="W620" i="31"/>
  <c r="V620" i="31" a="1"/>
  <c r="V620" i="31"/>
  <c r="X620" i="31" a="1"/>
  <c r="X620" i="31"/>
  <c r="U619" i="31" a="1"/>
  <c r="U619" i="31"/>
  <c r="W619" i="31" a="1"/>
  <c r="W619" i="31"/>
  <c r="V619" i="31" a="1"/>
  <c r="V619" i="31"/>
  <c r="X619" i="31" a="1"/>
  <c r="X619" i="31"/>
  <c r="U618" i="31" a="1"/>
  <c r="U618" i="31"/>
  <c r="W618" i="31" a="1"/>
  <c r="W618" i="31"/>
  <c r="V618" i="31" a="1"/>
  <c r="V618" i="31"/>
  <c r="X618" i="31" a="1"/>
  <c r="X618" i="31"/>
  <c r="U617" i="31" a="1"/>
  <c r="U617" i="31"/>
  <c r="W617" i="31" a="1"/>
  <c r="W617" i="31"/>
  <c r="V617" i="31" a="1"/>
  <c r="V617" i="31"/>
  <c r="X617" i="31" a="1"/>
  <c r="X617" i="31"/>
  <c r="U616" i="31" a="1"/>
  <c r="U616" i="31"/>
  <c r="W616" i="31" a="1"/>
  <c r="W616" i="31"/>
  <c r="V616" i="31" a="1"/>
  <c r="V616" i="31"/>
  <c r="X616" i="31" a="1"/>
  <c r="X616" i="31"/>
  <c r="U615" i="31" a="1"/>
  <c r="U615" i="31"/>
  <c r="W615" i="31" a="1"/>
  <c r="W615" i="31"/>
  <c r="V615" i="31" a="1"/>
  <c r="V615" i="31"/>
  <c r="X615" i="31" a="1"/>
  <c r="X615" i="31"/>
  <c r="U614" i="31" a="1"/>
  <c r="U614" i="31"/>
  <c r="W614" i="31" a="1"/>
  <c r="W614" i="31"/>
  <c r="V614" i="31" a="1"/>
  <c r="V614" i="31"/>
  <c r="X614" i="31" a="1"/>
  <c r="X614" i="31"/>
  <c r="U613" i="31" a="1"/>
  <c r="U613" i="31"/>
  <c r="W613" i="31" a="1"/>
  <c r="W613" i="31"/>
  <c r="V613" i="31" a="1"/>
  <c r="V613" i="31"/>
  <c r="X613" i="31" a="1"/>
  <c r="X613" i="31"/>
  <c r="U612" i="31" a="1"/>
  <c r="U612" i="31"/>
  <c r="W612" i="31" a="1"/>
  <c r="W612" i="31"/>
  <c r="V612" i="31" a="1"/>
  <c r="V612" i="31"/>
  <c r="X612" i="31" a="1"/>
  <c r="X612" i="31"/>
  <c r="U611" i="31" a="1"/>
  <c r="U611" i="31"/>
  <c r="W611" i="31" a="1"/>
  <c r="W611" i="31"/>
  <c r="V611" i="31" a="1"/>
  <c r="V611" i="31"/>
  <c r="X611" i="31" a="1"/>
  <c r="X611" i="31"/>
  <c r="U610" i="31" a="1"/>
  <c r="U610" i="31"/>
  <c r="W610" i="31" a="1"/>
  <c r="W610" i="31"/>
  <c r="V610" i="31" a="1"/>
  <c r="V610" i="31"/>
  <c r="X610" i="31" a="1"/>
  <c r="X610" i="31"/>
  <c r="U609" i="31" a="1"/>
  <c r="U609" i="31"/>
  <c r="W609" i="31" a="1"/>
  <c r="W609" i="31"/>
  <c r="V609" i="31" a="1"/>
  <c r="V609" i="31"/>
  <c r="X609" i="31" a="1"/>
  <c r="X609" i="31"/>
  <c r="U608" i="31" a="1"/>
  <c r="U608" i="31"/>
  <c r="W608" i="31" a="1"/>
  <c r="W608" i="31"/>
  <c r="V608" i="31" a="1"/>
  <c r="V608" i="31"/>
  <c r="X608" i="31" a="1"/>
  <c r="X608" i="31"/>
  <c r="U607" i="31" a="1"/>
  <c r="U607" i="31"/>
  <c r="W607" i="31" a="1"/>
  <c r="W607" i="31"/>
  <c r="V607" i="31" a="1"/>
  <c r="V607" i="31"/>
  <c r="X607" i="31" a="1"/>
  <c r="X607" i="31"/>
  <c r="U606" i="31" a="1"/>
  <c r="U606" i="31"/>
  <c r="W606" i="31" a="1"/>
  <c r="W606" i="31"/>
  <c r="V606" i="31" a="1"/>
  <c r="V606" i="31"/>
  <c r="X606" i="31" a="1"/>
  <c r="X606" i="31"/>
  <c r="U605" i="31" a="1"/>
  <c r="U605" i="31"/>
  <c r="W605" i="31" a="1"/>
  <c r="W605" i="31"/>
  <c r="V605" i="31" a="1"/>
  <c r="V605" i="31"/>
  <c r="X605" i="31" a="1"/>
  <c r="X605" i="31"/>
  <c r="U604" i="31" a="1"/>
  <c r="U604" i="31"/>
  <c r="W604" i="31" a="1"/>
  <c r="W604" i="31"/>
  <c r="V604" i="31" a="1"/>
  <c r="V604" i="31"/>
  <c r="X604" i="31" a="1"/>
  <c r="X604" i="31"/>
  <c r="U603" i="31" a="1"/>
  <c r="U603" i="31"/>
  <c r="W603" i="31" a="1"/>
  <c r="W603" i="31"/>
  <c r="V603" i="31" a="1"/>
  <c r="V603" i="31"/>
  <c r="X603" i="31" a="1"/>
  <c r="X603" i="31"/>
  <c r="U602" i="31" a="1"/>
  <c r="U602" i="31"/>
  <c r="W602" i="31" a="1"/>
  <c r="W602" i="31"/>
  <c r="V602" i="31" a="1"/>
  <c r="V602" i="31"/>
  <c r="X602" i="31" a="1"/>
  <c r="X602" i="31"/>
  <c r="U601" i="31" a="1"/>
  <c r="U601" i="31"/>
  <c r="W601" i="31" a="1"/>
  <c r="W601" i="31"/>
  <c r="V601" i="31" a="1"/>
  <c r="V601" i="31"/>
  <c r="X601" i="31" a="1"/>
  <c r="X601" i="31"/>
  <c r="U600" i="31" a="1"/>
  <c r="U600" i="31"/>
  <c r="W600" i="31" a="1"/>
  <c r="W600" i="31"/>
  <c r="V600" i="31" a="1"/>
  <c r="V600" i="31"/>
  <c r="X600" i="31" a="1"/>
  <c r="X600" i="31"/>
  <c r="U599" i="31" a="1"/>
  <c r="U599" i="31"/>
  <c r="W599" i="31" a="1"/>
  <c r="W599" i="31"/>
  <c r="V599" i="31" a="1"/>
  <c r="V599" i="31"/>
  <c r="X599" i="31" a="1"/>
  <c r="X599" i="31"/>
  <c r="U598" i="31" a="1"/>
  <c r="U598" i="31"/>
  <c r="W598" i="31" a="1"/>
  <c r="W598" i="31"/>
  <c r="V598" i="31" a="1"/>
  <c r="V598" i="31"/>
  <c r="X598" i="31" a="1"/>
  <c r="X598" i="31"/>
  <c r="U597" i="31" a="1"/>
  <c r="U597" i="31"/>
  <c r="W597" i="31" a="1"/>
  <c r="W597" i="31"/>
  <c r="V597" i="31" a="1"/>
  <c r="V597" i="31"/>
  <c r="X597" i="31" a="1"/>
  <c r="X597" i="31"/>
  <c r="U596" i="31" a="1"/>
  <c r="U596" i="31"/>
  <c r="W596" i="31" a="1"/>
  <c r="W596" i="31"/>
  <c r="V596" i="31" a="1"/>
  <c r="V596" i="31"/>
  <c r="X596" i="31" a="1"/>
  <c r="X596" i="31"/>
  <c r="U595" i="31" a="1"/>
  <c r="U595" i="31"/>
  <c r="W595" i="31" a="1"/>
  <c r="W595" i="31"/>
  <c r="V595" i="31" a="1"/>
  <c r="V595" i="31"/>
  <c r="X595" i="31" a="1"/>
  <c r="X595" i="31"/>
  <c r="U594" i="31" a="1"/>
  <c r="U594" i="31"/>
  <c r="W594" i="31" a="1"/>
  <c r="W594" i="31"/>
  <c r="V594" i="31" a="1"/>
  <c r="V594" i="31"/>
  <c r="X594" i="31" a="1"/>
  <c r="X594" i="31"/>
  <c r="U593" i="31" a="1"/>
  <c r="U593" i="31"/>
  <c r="W593" i="31" a="1"/>
  <c r="W593" i="31"/>
  <c r="V593" i="31" a="1"/>
  <c r="V593" i="31"/>
  <c r="X593" i="31" a="1"/>
  <c r="X593" i="31"/>
  <c r="U592" i="31" a="1"/>
  <c r="U592" i="31"/>
  <c r="W592" i="31" a="1"/>
  <c r="W592" i="31"/>
  <c r="V592" i="31" a="1"/>
  <c r="V592" i="31"/>
  <c r="X592" i="31" a="1"/>
  <c r="X592" i="31"/>
  <c r="U591" i="31" a="1"/>
  <c r="U591" i="31"/>
  <c r="W591" i="31" a="1"/>
  <c r="W591" i="31"/>
  <c r="V591" i="31" a="1"/>
  <c r="V591" i="31"/>
  <c r="X591" i="31" a="1"/>
  <c r="X591" i="31"/>
  <c r="U590" i="31" a="1"/>
  <c r="U590" i="31"/>
  <c r="W590" i="31" a="1"/>
  <c r="W590" i="31"/>
  <c r="V590" i="31" a="1"/>
  <c r="V590" i="31"/>
  <c r="X590" i="31" a="1"/>
  <c r="X590" i="31"/>
  <c r="U589" i="31" a="1"/>
  <c r="U589" i="31"/>
  <c r="W589" i="31" a="1"/>
  <c r="W589" i="31"/>
  <c r="V589" i="31" a="1"/>
  <c r="V589" i="31"/>
  <c r="X589" i="31" a="1"/>
  <c r="X589" i="31"/>
  <c r="U588" i="31" a="1"/>
  <c r="U588" i="31"/>
  <c r="W588" i="31" a="1"/>
  <c r="W588" i="31"/>
  <c r="V588" i="31" a="1"/>
  <c r="V588" i="31"/>
  <c r="X588" i="31" a="1"/>
  <c r="X588" i="31"/>
  <c r="U587" i="31" a="1"/>
  <c r="U587" i="31"/>
  <c r="W587" i="31" a="1"/>
  <c r="W587" i="31"/>
  <c r="V587" i="31" a="1"/>
  <c r="V587" i="31"/>
  <c r="X587" i="31" a="1"/>
  <c r="X587" i="31"/>
  <c r="U586" i="31" a="1"/>
  <c r="U586" i="31"/>
  <c r="W586" i="31" a="1"/>
  <c r="W586" i="31"/>
  <c r="V586" i="31" a="1"/>
  <c r="V586" i="31"/>
  <c r="X586" i="31" a="1"/>
  <c r="X586" i="31"/>
  <c r="U585" i="31" a="1"/>
  <c r="U585" i="31"/>
  <c r="W585" i="31" a="1"/>
  <c r="W585" i="31"/>
  <c r="V585" i="31" a="1"/>
  <c r="V585" i="31"/>
  <c r="X585" i="31" a="1"/>
  <c r="X585" i="31"/>
  <c r="U584" i="31" a="1"/>
  <c r="U584" i="31"/>
  <c r="W584" i="31" a="1"/>
  <c r="W584" i="31"/>
  <c r="V584" i="31" a="1"/>
  <c r="V584" i="31"/>
  <c r="X584" i="31" a="1"/>
  <c r="X584" i="31"/>
  <c r="U583" i="31" a="1"/>
  <c r="U583" i="31"/>
  <c r="W583" i="31" a="1"/>
  <c r="W583" i="31"/>
  <c r="V583" i="31" a="1"/>
  <c r="V583" i="31"/>
  <c r="X583" i="31" a="1"/>
  <c r="X583" i="31"/>
  <c r="U582" i="31" a="1"/>
  <c r="U582" i="31"/>
  <c r="W582" i="31" a="1"/>
  <c r="W582" i="31"/>
  <c r="V582" i="31" a="1"/>
  <c r="V582" i="31"/>
  <c r="X582" i="31" a="1"/>
  <c r="X582" i="31"/>
  <c r="U581" i="31" a="1"/>
  <c r="U581" i="31"/>
  <c r="W581" i="31" a="1"/>
  <c r="W581" i="31"/>
  <c r="V581" i="31" a="1"/>
  <c r="V581" i="31"/>
  <c r="X581" i="31" a="1"/>
  <c r="X581" i="31"/>
  <c r="U580" i="31" a="1"/>
  <c r="U580" i="31"/>
  <c r="W580" i="31" a="1"/>
  <c r="W580" i="31"/>
  <c r="V580" i="31" a="1"/>
  <c r="V580" i="31"/>
  <c r="X580" i="31" a="1"/>
  <c r="X580" i="31"/>
  <c r="U579" i="31" a="1"/>
  <c r="U579" i="31"/>
  <c r="W579" i="31" a="1"/>
  <c r="W579" i="31"/>
  <c r="V579" i="31" a="1"/>
  <c r="V579" i="31"/>
  <c r="X579" i="31" a="1"/>
  <c r="X579" i="31"/>
  <c r="U578" i="31" a="1"/>
  <c r="U578" i="31"/>
  <c r="W578" i="31" a="1"/>
  <c r="W578" i="31"/>
  <c r="V578" i="31" a="1"/>
  <c r="V578" i="31"/>
  <c r="X578" i="31" a="1"/>
  <c r="X578" i="31"/>
  <c r="U577" i="31" a="1"/>
  <c r="U577" i="31"/>
  <c r="W577" i="31" a="1"/>
  <c r="W577" i="31"/>
  <c r="V577" i="31" a="1"/>
  <c r="V577" i="31"/>
  <c r="X577" i="31" a="1"/>
  <c r="X577" i="31"/>
  <c r="U576" i="31" a="1"/>
  <c r="U576" i="31"/>
  <c r="W576" i="31" a="1"/>
  <c r="W576" i="31"/>
  <c r="V576" i="31" a="1"/>
  <c r="V576" i="31"/>
  <c r="X576" i="31" a="1"/>
  <c r="X576" i="31"/>
  <c r="U575" i="31" a="1"/>
  <c r="U575" i="31"/>
  <c r="W575" i="31" a="1"/>
  <c r="W575" i="31"/>
  <c r="V575" i="31" a="1"/>
  <c r="V575" i="31"/>
  <c r="X575" i="31" a="1"/>
  <c r="X575" i="31"/>
  <c r="U574" i="31" a="1"/>
  <c r="U574" i="31"/>
  <c r="W574" i="31" a="1"/>
  <c r="W574" i="31"/>
  <c r="V574" i="31" a="1"/>
  <c r="V574" i="31"/>
  <c r="X574" i="31" a="1"/>
  <c r="X574" i="31"/>
  <c r="U573" i="31" a="1"/>
  <c r="U573" i="31"/>
  <c r="W573" i="31" a="1"/>
  <c r="W573" i="31"/>
  <c r="V573" i="31" a="1"/>
  <c r="V573" i="31"/>
  <c r="X573" i="31" a="1"/>
  <c r="X573" i="31"/>
  <c r="U572" i="31" a="1"/>
  <c r="U572" i="31"/>
  <c r="W572" i="31" a="1"/>
  <c r="W572" i="31"/>
  <c r="V572" i="31" a="1"/>
  <c r="V572" i="31"/>
  <c r="X572" i="31" a="1"/>
  <c r="X572" i="31"/>
  <c r="U571" i="31" a="1"/>
  <c r="U571" i="31"/>
  <c r="W571" i="31" a="1"/>
  <c r="W571" i="31"/>
  <c r="V571" i="31" a="1"/>
  <c r="V571" i="31"/>
  <c r="X571" i="31" a="1"/>
  <c r="X571" i="31"/>
  <c r="U570" i="31" a="1"/>
  <c r="U570" i="31"/>
  <c r="W570" i="31" a="1"/>
  <c r="W570" i="31"/>
  <c r="V570" i="31" a="1"/>
  <c r="V570" i="31"/>
  <c r="X570" i="31" a="1"/>
  <c r="X570" i="31"/>
  <c r="U569" i="31" a="1"/>
  <c r="U569" i="31"/>
  <c r="W569" i="31" a="1"/>
  <c r="W569" i="31"/>
  <c r="V569" i="31" a="1"/>
  <c r="V569" i="31"/>
  <c r="X569" i="31" a="1"/>
  <c r="X569" i="31"/>
  <c r="U568" i="31" a="1"/>
  <c r="U568" i="31"/>
  <c r="W568" i="31" a="1"/>
  <c r="W568" i="31"/>
  <c r="V568" i="31" a="1"/>
  <c r="V568" i="31"/>
  <c r="X568" i="31" a="1"/>
  <c r="X568" i="31"/>
  <c r="U567" i="31" a="1"/>
  <c r="U567" i="31"/>
  <c r="W567" i="31" a="1"/>
  <c r="W567" i="31"/>
  <c r="V567" i="31" a="1"/>
  <c r="V567" i="31"/>
  <c r="X567" i="31" a="1"/>
  <c r="X567" i="31"/>
  <c r="U566" i="31" a="1"/>
  <c r="U566" i="31"/>
  <c r="W566" i="31" a="1"/>
  <c r="W566" i="31"/>
  <c r="V566" i="31" a="1"/>
  <c r="V566" i="31"/>
  <c r="X566" i="31" a="1"/>
  <c r="X566" i="31"/>
  <c r="U565" i="31" a="1"/>
  <c r="U565" i="31"/>
  <c r="W565" i="31" a="1"/>
  <c r="W565" i="31"/>
  <c r="V565" i="31" a="1"/>
  <c r="V565" i="31"/>
  <c r="X565" i="31" a="1"/>
  <c r="X565" i="31"/>
  <c r="U564" i="31" a="1"/>
  <c r="U564" i="31"/>
  <c r="W564" i="31" a="1"/>
  <c r="W564" i="31"/>
  <c r="V564" i="31" a="1"/>
  <c r="V564" i="31"/>
  <c r="X564" i="31" a="1"/>
  <c r="X564" i="31"/>
  <c r="U563" i="31" a="1"/>
  <c r="U563" i="31"/>
  <c r="W563" i="31" a="1"/>
  <c r="W563" i="31"/>
  <c r="V563" i="31" a="1"/>
  <c r="V563" i="31"/>
  <c r="X563" i="31" a="1"/>
  <c r="X563" i="31"/>
  <c r="U562" i="31" a="1"/>
  <c r="U562" i="31"/>
  <c r="W562" i="31" a="1"/>
  <c r="W562" i="31"/>
  <c r="V562" i="31" a="1"/>
  <c r="V562" i="31"/>
  <c r="X562" i="31" a="1"/>
  <c r="X562" i="31"/>
  <c r="U561" i="31" a="1"/>
  <c r="U561" i="31"/>
  <c r="W561" i="31" a="1"/>
  <c r="W561" i="31"/>
  <c r="V561" i="31" a="1"/>
  <c r="V561" i="31"/>
  <c r="X561" i="31" a="1"/>
  <c r="X561" i="31"/>
  <c r="U560" i="31" a="1"/>
  <c r="U560" i="31"/>
  <c r="W560" i="31" a="1"/>
  <c r="W560" i="31"/>
  <c r="V560" i="31" a="1"/>
  <c r="V560" i="31"/>
  <c r="X560" i="31" a="1"/>
  <c r="X560" i="31"/>
  <c r="U559" i="31" a="1"/>
  <c r="U559" i="31"/>
  <c r="W559" i="31" a="1"/>
  <c r="W559" i="31"/>
  <c r="V559" i="31" a="1"/>
  <c r="V559" i="31"/>
  <c r="X559" i="31" a="1"/>
  <c r="X559" i="31"/>
  <c r="U558" i="31" a="1"/>
  <c r="U558" i="31"/>
  <c r="W558" i="31" a="1"/>
  <c r="W558" i="31"/>
  <c r="V558" i="31" a="1"/>
  <c r="V558" i="31"/>
  <c r="X558" i="31" a="1"/>
  <c r="X558" i="31"/>
  <c r="U557" i="31" a="1"/>
  <c r="U557" i="31"/>
  <c r="W557" i="31" a="1"/>
  <c r="W557" i="31"/>
  <c r="V557" i="31" a="1"/>
  <c r="V557" i="31"/>
  <c r="X557" i="31" a="1"/>
  <c r="X557" i="31"/>
  <c r="U556" i="31" a="1"/>
  <c r="U556" i="31"/>
  <c r="W556" i="31" a="1"/>
  <c r="W556" i="31"/>
  <c r="V556" i="31" a="1"/>
  <c r="V556" i="31"/>
  <c r="X556" i="31" a="1"/>
  <c r="X556" i="31"/>
  <c r="U555" i="31" a="1"/>
  <c r="U555" i="31"/>
  <c r="W555" i="31" a="1"/>
  <c r="W555" i="31"/>
  <c r="V555" i="31" a="1"/>
  <c r="V555" i="31"/>
  <c r="X555" i="31" a="1"/>
  <c r="X555" i="31"/>
  <c r="U554" i="31" a="1"/>
  <c r="U554" i="31"/>
  <c r="W554" i="31" a="1"/>
  <c r="W554" i="31"/>
  <c r="V554" i="31" a="1"/>
  <c r="V554" i="31"/>
  <c r="X554" i="31" a="1"/>
  <c r="X554" i="31"/>
  <c r="U553" i="31" a="1"/>
  <c r="U553" i="31"/>
  <c r="W553" i="31" a="1"/>
  <c r="W553" i="31"/>
  <c r="V553" i="31" a="1"/>
  <c r="V553" i="31"/>
  <c r="X553" i="31" a="1"/>
  <c r="X553" i="31"/>
  <c r="U552" i="31" a="1"/>
  <c r="U552" i="31"/>
  <c r="W552" i="31" a="1"/>
  <c r="W552" i="31"/>
  <c r="V552" i="31" a="1"/>
  <c r="V552" i="31"/>
  <c r="X552" i="31" a="1"/>
  <c r="X552" i="31"/>
  <c r="U551" i="31" a="1"/>
  <c r="U551" i="31"/>
  <c r="W551" i="31" a="1"/>
  <c r="W551" i="31"/>
  <c r="V551" i="31" a="1"/>
  <c r="V551" i="31"/>
  <c r="X551" i="31" a="1"/>
  <c r="X551" i="31"/>
  <c r="U550" i="31" a="1"/>
  <c r="U550" i="31"/>
  <c r="W550" i="31" a="1"/>
  <c r="W550" i="31"/>
  <c r="V550" i="31" a="1"/>
  <c r="V550" i="31"/>
  <c r="X550" i="31" a="1"/>
  <c r="X550" i="31"/>
  <c r="U549" i="31" a="1"/>
  <c r="U549" i="31"/>
  <c r="W549" i="31" a="1"/>
  <c r="W549" i="31"/>
  <c r="V549" i="31" a="1"/>
  <c r="V549" i="31"/>
  <c r="X549" i="31" a="1"/>
  <c r="X549" i="31"/>
  <c r="U548" i="31" a="1"/>
  <c r="U548" i="31"/>
  <c r="W548" i="31" a="1"/>
  <c r="W548" i="31"/>
  <c r="V548" i="31" a="1"/>
  <c r="V548" i="31"/>
  <c r="X548" i="31" a="1"/>
  <c r="X548" i="31"/>
  <c r="U547" i="31" a="1"/>
  <c r="U547" i="31"/>
  <c r="W547" i="31" a="1"/>
  <c r="W547" i="31"/>
  <c r="V547" i="31" a="1"/>
  <c r="V547" i="31"/>
  <c r="X547" i="31" a="1"/>
  <c r="X547" i="31"/>
  <c r="U546" i="31" a="1"/>
  <c r="U546" i="31"/>
  <c r="W546" i="31" a="1"/>
  <c r="W546" i="31"/>
  <c r="V546" i="31" a="1"/>
  <c r="V546" i="31"/>
  <c r="X546" i="31" a="1"/>
  <c r="X546" i="31"/>
  <c r="U545" i="31" a="1"/>
  <c r="U545" i="31"/>
  <c r="W545" i="31" a="1"/>
  <c r="W545" i="31"/>
  <c r="V545" i="31" a="1"/>
  <c r="V545" i="31"/>
  <c r="X545" i="31" a="1"/>
  <c r="X545" i="31"/>
  <c r="U544" i="31" a="1"/>
  <c r="U544" i="31"/>
  <c r="W544" i="31" a="1"/>
  <c r="W544" i="31"/>
  <c r="V544" i="31" a="1"/>
  <c r="V544" i="31"/>
  <c r="X544" i="31" a="1"/>
  <c r="X544" i="31"/>
  <c r="U543" i="31" a="1"/>
  <c r="U543" i="31"/>
  <c r="W543" i="31" a="1"/>
  <c r="W543" i="31"/>
  <c r="V543" i="31" a="1"/>
  <c r="V543" i="31"/>
  <c r="X543" i="31" a="1"/>
  <c r="X543" i="31"/>
  <c r="U542" i="31" a="1"/>
  <c r="U542" i="31"/>
  <c r="W542" i="31" a="1"/>
  <c r="W542" i="31"/>
  <c r="V542" i="31" a="1"/>
  <c r="V542" i="31"/>
  <c r="X542" i="31" a="1"/>
  <c r="X542" i="31"/>
  <c r="U541" i="31" a="1"/>
  <c r="U541" i="31"/>
  <c r="W541" i="31" a="1"/>
  <c r="W541" i="31"/>
  <c r="V541" i="31" a="1"/>
  <c r="V541" i="31"/>
  <c r="X541" i="31" a="1"/>
  <c r="X541" i="31"/>
  <c r="U540" i="31" a="1"/>
  <c r="U540" i="31"/>
  <c r="W540" i="31" a="1"/>
  <c r="W540" i="31"/>
  <c r="V540" i="31" a="1"/>
  <c r="V540" i="31"/>
  <c r="X540" i="31" a="1"/>
  <c r="X540" i="31"/>
  <c r="U539" i="31" a="1"/>
  <c r="U539" i="31"/>
  <c r="W539" i="31" a="1"/>
  <c r="W539" i="31"/>
  <c r="V539" i="31" a="1"/>
  <c r="V539" i="31"/>
  <c r="X539" i="31" a="1"/>
  <c r="X539" i="31"/>
  <c r="U538" i="31" a="1"/>
  <c r="U538" i="31"/>
  <c r="W538" i="31" a="1"/>
  <c r="W538" i="31"/>
  <c r="V538" i="31" a="1"/>
  <c r="V538" i="31"/>
  <c r="X538" i="31" a="1"/>
  <c r="X538" i="31"/>
  <c r="U537" i="31" a="1"/>
  <c r="U537" i="31"/>
  <c r="W537" i="31" a="1"/>
  <c r="W537" i="31"/>
  <c r="V537" i="31" a="1"/>
  <c r="V537" i="31"/>
  <c r="X537" i="31" a="1"/>
  <c r="X537" i="31"/>
  <c r="U536" i="31" a="1"/>
  <c r="U536" i="31"/>
  <c r="W536" i="31" a="1"/>
  <c r="W536" i="31"/>
  <c r="V536" i="31" a="1"/>
  <c r="V536" i="31"/>
  <c r="X536" i="31" a="1"/>
  <c r="X536" i="31"/>
  <c r="U535" i="31" a="1"/>
  <c r="U535" i="31"/>
  <c r="W535" i="31" a="1"/>
  <c r="W535" i="31"/>
  <c r="V535" i="31" a="1"/>
  <c r="V535" i="31"/>
  <c r="X535" i="31" a="1"/>
  <c r="X535" i="31"/>
  <c r="U534" i="31" a="1"/>
  <c r="U534" i="31"/>
  <c r="W534" i="31" a="1"/>
  <c r="W534" i="31"/>
  <c r="V534" i="31" a="1"/>
  <c r="V534" i="31"/>
  <c r="X534" i="31" a="1"/>
  <c r="X534" i="31"/>
  <c r="U533" i="31" a="1"/>
  <c r="U533" i="31"/>
  <c r="W533" i="31" a="1"/>
  <c r="W533" i="31"/>
  <c r="V533" i="31" a="1"/>
  <c r="V533" i="31"/>
  <c r="X533" i="31" a="1"/>
  <c r="X533" i="31"/>
  <c r="U532" i="31" a="1"/>
  <c r="U532" i="31"/>
  <c r="W532" i="31" a="1"/>
  <c r="W532" i="31"/>
  <c r="V532" i="31" a="1"/>
  <c r="V532" i="31"/>
  <c r="X532" i="31" a="1"/>
  <c r="X532" i="31"/>
  <c r="U531" i="31" a="1"/>
  <c r="U531" i="31"/>
  <c r="W531" i="31" a="1"/>
  <c r="W531" i="31"/>
  <c r="V531" i="31" a="1"/>
  <c r="V531" i="31"/>
  <c r="X531" i="31" a="1"/>
  <c r="X531" i="31"/>
  <c r="U530" i="31" a="1"/>
  <c r="U530" i="31"/>
  <c r="W530" i="31" a="1"/>
  <c r="W530" i="31"/>
  <c r="V530" i="31" a="1"/>
  <c r="V530" i="31"/>
  <c r="X530" i="31" a="1"/>
  <c r="X530" i="31"/>
  <c r="U529" i="31" a="1"/>
  <c r="U529" i="31"/>
  <c r="W529" i="31" a="1"/>
  <c r="W529" i="31"/>
  <c r="V529" i="31" a="1"/>
  <c r="V529" i="31"/>
  <c r="X529" i="31" a="1"/>
  <c r="X529" i="31"/>
  <c r="U528" i="31" a="1"/>
  <c r="U528" i="31"/>
  <c r="W528" i="31" a="1"/>
  <c r="W528" i="31"/>
  <c r="V528" i="31" a="1"/>
  <c r="V528" i="31"/>
  <c r="X528" i="31" a="1"/>
  <c r="X528" i="31"/>
  <c r="U527" i="31" a="1"/>
  <c r="U527" i="31"/>
  <c r="W527" i="31" a="1"/>
  <c r="W527" i="31"/>
  <c r="V527" i="31" a="1"/>
  <c r="V527" i="31"/>
  <c r="X527" i="31" a="1"/>
  <c r="X527" i="31"/>
  <c r="U526" i="31" a="1"/>
  <c r="U526" i="31"/>
  <c r="W526" i="31" a="1"/>
  <c r="W526" i="31"/>
  <c r="V526" i="31" a="1"/>
  <c r="V526" i="31"/>
  <c r="X526" i="31" a="1"/>
  <c r="X526" i="31"/>
  <c r="U525" i="31" a="1"/>
  <c r="U525" i="31"/>
  <c r="W525" i="31" a="1"/>
  <c r="W525" i="31"/>
  <c r="V525" i="31" a="1"/>
  <c r="V525" i="31"/>
  <c r="X525" i="31" a="1"/>
  <c r="X525" i="31"/>
  <c r="U524" i="31" a="1"/>
  <c r="U524" i="31"/>
  <c r="W524" i="31" a="1"/>
  <c r="W524" i="31"/>
  <c r="V524" i="31" a="1"/>
  <c r="V524" i="31"/>
  <c r="X524" i="31" a="1"/>
  <c r="X524" i="31"/>
  <c r="U523" i="31" a="1"/>
  <c r="U523" i="31"/>
  <c r="W523" i="31" a="1"/>
  <c r="W523" i="31"/>
  <c r="V523" i="31" a="1"/>
  <c r="V523" i="31"/>
  <c r="X523" i="31" a="1"/>
  <c r="X523" i="31"/>
  <c r="U522" i="31" a="1"/>
  <c r="U522" i="31"/>
  <c r="W522" i="31" a="1"/>
  <c r="W522" i="31"/>
  <c r="V522" i="31" a="1"/>
  <c r="V522" i="31"/>
  <c r="X522" i="31" a="1"/>
  <c r="X522" i="31"/>
  <c r="U521" i="31" a="1"/>
  <c r="U521" i="31"/>
  <c r="W521" i="31" a="1"/>
  <c r="W521" i="31"/>
  <c r="V521" i="31" a="1"/>
  <c r="V521" i="31"/>
  <c r="X521" i="31" a="1"/>
  <c r="X521" i="31"/>
  <c r="U520" i="31" a="1"/>
  <c r="U520" i="31"/>
  <c r="W520" i="31" a="1"/>
  <c r="W520" i="31"/>
  <c r="V520" i="31" a="1"/>
  <c r="V520" i="31"/>
  <c r="X520" i="31" a="1"/>
  <c r="X520" i="31"/>
  <c r="U519" i="31" a="1"/>
  <c r="U519" i="31"/>
  <c r="W519" i="31" a="1"/>
  <c r="W519" i="31"/>
  <c r="V519" i="31" a="1"/>
  <c r="V519" i="31"/>
  <c r="X519" i="31" a="1"/>
  <c r="X519" i="31"/>
  <c r="U518" i="31" a="1"/>
  <c r="U518" i="31"/>
  <c r="W518" i="31" a="1"/>
  <c r="W518" i="31"/>
  <c r="V518" i="31" a="1"/>
  <c r="V518" i="31"/>
  <c r="X518" i="31" a="1"/>
  <c r="X518" i="31"/>
  <c r="U517" i="31" a="1"/>
  <c r="U517" i="31"/>
  <c r="W517" i="31" a="1"/>
  <c r="W517" i="31"/>
  <c r="V517" i="31" a="1"/>
  <c r="V517" i="31"/>
  <c r="X517" i="31" a="1"/>
  <c r="X517" i="31"/>
  <c r="U516" i="31" a="1"/>
  <c r="U516" i="31"/>
  <c r="W516" i="31" a="1"/>
  <c r="W516" i="31"/>
  <c r="V516" i="31" a="1"/>
  <c r="V516" i="31"/>
  <c r="X516" i="31" a="1"/>
  <c r="X516" i="31"/>
  <c r="U515" i="31" a="1"/>
  <c r="U515" i="31"/>
  <c r="W515" i="31" a="1"/>
  <c r="W515" i="31"/>
  <c r="V515" i="31" a="1"/>
  <c r="V515" i="31"/>
  <c r="X515" i="31" a="1"/>
  <c r="X515" i="31"/>
  <c r="U514" i="31" a="1"/>
  <c r="U514" i="31"/>
  <c r="W514" i="31" a="1"/>
  <c r="W514" i="31"/>
  <c r="V514" i="31" a="1"/>
  <c r="V514" i="31"/>
  <c r="X514" i="31" a="1"/>
  <c r="X514" i="31"/>
  <c r="U513" i="31" a="1"/>
  <c r="U513" i="31"/>
  <c r="W513" i="31" a="1"/>
  <c r="W513" i="31"/>
  <c r="V513" i="31" a="1"/>
  <c r="V513" i="31"/>
  <c r="X513" i="31" a="1"/>
  <c r="X513" i="31"/>
  <c r="U512" i="31" a="1"/>
  <c r="U512" i="31"/>
  <c r="W512" i="31" a="1"/>
  <c r="W512" i="31"/>
  <c r="V512" i="31" a="1"/>
  <c r="V512" i="31"/>
  <c r="X512" i="31" a="1"/>
  <c r="X512" i="31"/>
  <c r="U511" i="31" a="1"/>
  <c r="U511" i="31"/>
  <c r="W511" i="31" a="1"/>
  <c r="W511" i="31"/>
  <c r="V511" i="31" a="1"/>
  <c r="V511" i="31"/>
  <c r="X511" i="31" a="1"/>
  <c r="X511" i="31"/>
  <c r="U510" i="31" a="1"/>
  <c r="U510" i="31"/>
  <c r="W510" i="31" a="1"/>
  <c r="W510" i="31"/>
  <c r="V510" i="31" a="1"/>
  <c r="V510" i="31"/>
  <c r="X510" i="31" a="1"/>
  <c r="X510" i="31"/>
  <c r="U509" i="31" a="1"/>
  <c r="U509" i="31"/>
  <c r="W509" i="31" a="1"/>
  <c r="W509" i="31"/>
  <c r="V509" i="31" a="1"/>
  <c r="V509" i="31"/>
  <c r="X509" i="31" a="1"/>
  <c r="X509" i="31"/>
  <c r="U508" i="31" a="1"/>
  <c r="U508" i="31"/>
  <c r="W508" i="31" a="1"/>
  <c r="W508" i="31"/>
  <c r="V508" i="31" a="1"/>
  <c r="V508" i="31"/>
  <c r="X508" i="31" a="1"/>
  <c r="X508" i="31"/>
  <c r="U507" i="31" a="1"/>
  <c r="U507" i="31"/>
  <c r="W507" i="31" a="1"/>
  <c r="W507" i="31"/>
  <c r="V507" i="31" a="1"/>
  <c r="V507" i="31"/>
  <c r="X507" i="31" a="1"/>
  <c r="X507" i="31"/>
  <c r="U506" i="31" a="1"/>
  <c r="U506" i="31"/>
  <c r="W506" i="31" a="1"/>
  <c r="W506" i="31"/>
  <c r="V506" i="31" a="1"/>
  <c r="V506" i="31"/>
  <c r="X506" i="31" a="1"/>
  <c r="X506" i="31"/>
  <c r="U505" i="31" a="1"/>
  <c r="U505" i="31"/>
  <c r="W505" i="31" a="1"/>
  <c r="W505" i="31"/>
  <c r="V505" i="31" a="1"/>
  <c r="V505" i="31"/>
  <c r="X505" i="31" a="1"/>
  <c r="X505" i="31"/>
  <c r="U504" i="31" a="1"/>
  <c r="U504" i="31"/>
  <c r="W504" i="31" a="1"/>
  <c r="W504" i="31"/>
  <c r="V504" i="31" a="1"/>
  <c r="V504" i="31"/>
  <c r="X504" i="31" a="1"/>
  <c r="X504" i="31"/>
  <c r="U503" i="31" a="1"/>
  <c r="U503" i="31"/>
  <c r="W503" i="31" a="1"/>
  <c r="W503" i="31"/>
  <c r="V503" i="31" a="1"/>
  <c r="V503" i="31"/>
  <c r="X503" i="31" a="1"/>
  <c r="X503" i="31"/>
  <c r="U502" i="31" a="1"/>
  <c r="U502" i="31"/>
  <c r="W502" i="31" a="1"/>
  <c r="W502" i="31"/>
  <c r="V502" i="31" a="1"/>
  <c r="V502" i="31"/>
  <c r="X502" i="31" a="1"/>
  <c r="X502" i="31"/>
  <c r="U501" i="31" a="1"/>
  <c r="U501" i="31"/>
  <c r="W501" i="31" a="1"/>
  <c r="W501" i="31"/>
  <c r="V501" i="31" a="1"/>
  <c r="V501" i="31"/>
  <c r="X501" i="31" a="1"/>
  <c r="X501" i="31"/>
  <c r="U500" i="31" a="1"/>
  <c r="U500" i="31"/>
  <c r="W500" i="31" a="1"/>
  <c r="W500" i="31"/>
  <c r="V500" i="31" a="1"/>
  <c r="V500" i="31"/>
  <c r="X500" i="31" a="1"/>
  <c r="X500" i="31"/>
  <c r="U499" i="31" a="1"/>
  <c r="U499" i="31"/>
  <c r="W499" i="31" a="1"/>
  <c r="W499" i="31"/>
  <c r="V499" i="31" a="1"/>
  <c r="V499" i="31"/>
  <c r="X499" i="31" a="1"/>
  <c r="X499" i="31"/>
  <c r="U498" i="31" a="1"/>
  <c r="U498" i="31"/>
  <c r="W498" i="31" a="1"/>
  <c r="W498" i="31"/>
  <c r="V498" i="31" a="1"/>
  <c r="V498" i="31"/>
  <c r="X498" i="31" a="1"/>
  <c r="X498" i="31"/>
  <c r="U497" i="31" a="1"/>
  <c r="U497" i="31"/>
  <c r="W497" i="31" a="1"/>
  <c r="W497" i="31"/>
  <c r="V497" i="31" a="1"/>
  <c r="V497" i="31"/>
  <c r="X497" i="31" a="1"/>
  <c r="X497" i="31"/>
  <c r="U496" i="31" a="1"/>
  <c r="U496" i="31"/>
  <c r="W496" i="31" a="1"/>
  <c r="W496" i="31"/>
  <c r="V496" i="31" a="1"/>
  <c r="V496" i="31"/>
  <c r="X496" i="31" a="1"/>
  <c r="X496" i="31"/>
  <c r="U495" i="31" a="1"/>
  <c r="U495" i="31"/>
  <c r="W495" i="31" a="1"/>
  <c r="W495" i="31"/>
  <c r="V495" i="31" a="1"/>
  <c r="V495" i="31"/>
  <c r="X495" i="31" a="1"/>
  <c r="X495" i="31"/>
  <c r="U494" i="31" a="1"/>
  <c r="U494" i="31"/>
  <c r="W494" i="31" a="1"/>
  <c r="W494" i="31"/>
  <c r="V494" i="31" a="1"/>
  <c r="V494" i="31"/>
  <c r="X494" i="31" a="1"/>
  <c r="X494" i="31"/>
  <c r="U493" i="31" a="1"/>
  <c r="U493" i="31"/>
  <c r="W493" i="31" a="1"/>
  <c r="W493" i="31"/>
  <c r="V493" i="31" a="1"/>
  <c r="V493" i="31"/>
  <c r="X493" i="31" a="1"/>
  <c r="X493" i="31"/>
  <c r="U492" i="31" a="1"/>
  <c r="U492" i="31"/>
  <c r="W492" i="31" a="1"/>
  <c r="W492" i="31"/>
  <c r="V492" i="31" a="1"/>
  <c r="V492" i="31"/>
  <c r="X492" i="31" a="1"/>
  <c r="X492" i="31"/>
  <c r="U491" i="31" a="1"/>
  <c r="U491" i="31"/>
  <c r="W491" i="31" a="1"/>
  <c r="W491" i="31"/>
  <c r="V491" i="31" a="1"/>
  <c r="V491" i="31"/>
  <c r="X491" i="31" a="1"/>
  <c r="X491" i="31"/>
  <c r="U490" i="31" a="1"/>
  <c r="U490" i="31"/>
  <c r="W490" i="31" a="1"/>
  <c r="W490" i="31"/>
  <c r="V490" i="31" a="1"/>
  <c r="V490" i="31"/>
  <c r="X490" i="31" a="1"/>
  <c r="X490" i="31"/>
  <c r="U489" i="31" a="1"/>
  <c r="U489" i="31"/>
  <c r="W489" i="31" a="1"/>
  <c r="W489" i="31"/>
  <c r="V489" i="31" a="1"/>
  <c r="V489" i="31"/>
  <c r="X489" i="31" a="1"/>
  <c r="X489" i="31"/>
  <c r="U488" i="31" a="1"/>
  <c r="U488" i="31"/>
  <c r="W488" i="31" a="1"/>
  <c r="W488" i="31"/>
  <c r="V488" i="31" a="1"/>
  <c r="V488" i="31"/>
  <c r="X488" i="31" a="1"/>
  <c r="X488" i="31"/>
  <c r="U487" i="31" a="1"/>
  <c r="U487" i="31"/>
  <c r="W487" i="31" a="1"/>
  <c r="W487" i="31"/>
  <c r="V487" i="31" a="1"/>
  <c r="V487" i="31"/>
  <c r="X487" i="31" a="1"/>
  <c r="X487" i="31"/>
  <c r="U486" i="31" a="1"/>
  <c r="U486" i="31"/>
  <c r="W486" i="31" a="1"/>
  <c r="W486" i="31"/>
  <c r="V486" i="31" a="1"/>
  <c r="V486" i="31"/>
  <c r="X486" i="31" a="1"/>
  <c r="X486" i="31"/>
  <c r="U485" i="31" a="1"/>
  <c r="U485" i="31"/>
  <c r="W485" i="31" a="1"/>
  <c r="W485" i="31"/>
  <c r="V485" i="31" a="1"/>
  <c r="V485" i="31"/>
  <c r="X485" i="31" a="1"/>
  <c r="X485" i="31"/>
  <c r="U484" i="31" a="1"/>
  <c r="U484" i="31"/>
  <c r="W484" i="31" a="1"/>
  <c r="W484" i="31"/>
  <c r="V484" i="31" a="1"/>
  <c r="V484" i="31"/>
  <c r="X484" i="31" a="1"/>
  <c r="X484" i="31"/>
  <c r="U483" i="31" a="1"/>
  <c r="U483" i="31"/>
  <c r="W483" i="31" a="1"/>
  <c r="W483" i="31"/>
  <c r="V483" i="31" a="1"/>
  <c r="V483" i="31"/>
  <c r="X483" i="31" a="1"/>
  <c r="X483" i="31"/>
  <c r="U482" i="31" a="1"/>
  <c r="U482" i="31"/>
  <c r="W482" i="31" a="1"/>
  <c r="W482" i="31"/>
  <c r="V482" i="31" a="1"/>
  <c r="V482" i="31"/>
  <c r="X482" i="31" a="1"/>
  <c r="X482" i="31"/>
  <c r="U481" i="31" a="1"/>
  <c r="U481" i="31"/>
  <c r="W481" i="31" a="1"/>
  <c r="W481" i="31"/>
  <c r="V481" i="31" a="1"/>
  <c r="V481" i="31"/>
  <c r="X481" i="31" a="1"/>
  <c r="X481" i="31"/>
  <c r="U480" i="31" a="1"/>
  <c r="U480" i="31"/>
  <c r="W480" i="31" a="1"/>
  <c r="W480" i="31"/>
  <c r="V480" i="31" a="1"/>
  <c r="V480" i="31"/>
  <c r="X480" i="31" a="1"/>
  <c r="X480" i="31"/>
  <c r="U479" i="31" a="1"/>
  <c r="U479" i="31"/>
  <c r="W479" i="31" a="1"/>
  <c r="W479" i="31"/>
  <c r="V479" i="31" a="1"/>
  <c r="V479" i="31"/>
  <c r="X479" i="31" a="1"/>
  <c r="X479" i="31"/>
  <c r="U478" i="31" a="1"/>
  <c r="U478" i="31"/>
  <c r="W478" i="31" a="1"/>
  <c r="W478" i="31"/>
  <c r="V478" i="31" a="1"/>
  <c r="V478" i="31"/>
  <c r="X478" i="31" a="1"/>
  <c r="X478" i="31"/>
  <c r="U477" i="31" a="1"/>
  <c r="U477" i="31"/>
  <c r="W477" i="31" a="1"/>
  <c r="W477" i="31"/>
  <c r="V477" i="31" a="1"/>
  <c r="V477" i="31"/>
  <c r="X477" i="31" a="1"/>
  <c r="X477" i="31"/>
  <c r="U476" i="31" a="1"/>
  <c r="U476" i="31"/>
  <c r="W476" i="31" a="1"/>
  <c r="W476" i="31"/>
  <c r="V476" i="31" a="1"/>
  <c r="V476" i="31"/>
  <c r="X476" i="31" a="1"/>
  <c r="X476" i="31"/>
  <c r="U475" i="31" a="1"/>
  <c r="U475" i="31"/>
  <c r="W475" i="31" a="1"/>
  <c r="W475" i="31"/>
  <c r="V475" i="31" a="1"/>
  <c r="V475" i="31"/>
  <c r="X475" i="31" a="1"/>
  <c r="X475" i="31"/>
  <c r="U474" i="31" a="1"/>
  <c r="U474" i="31"/>
  <c r="W474" i="31" a="1"/>
  <c r="W474" i="31"/>
  <c r="V474" i="31" a="1"/>
  <c r="V474" i="31"/>
  <c r="X474" i="31" a="1"/>
  <c r="X474" i="31"/>
  <c r="U473" i="31" a="1"/>
  <c r="U473" i="31"/>
  <c r="W473" i="31" a="1"/>
  <c r="W473" i="31"/>
  <c r="V473" i="31" a="1"/>
  <c r="V473" i="31"/>
  <c r="X473" i="31" a="1"/>
  <c r="X473" i="31"/>
  <c r="U472" i="31" a="1"/>
  <c r="U472" i="31"/>
  <c r="W472" i="31" a="1"/>
  <c r="W472" i="31"/>
  <c r="V472" i="31" a="1"/>
  <c r="V472" i="31"/>
  <c r="X472" i="31" a="1"/>
  <c r="X472" i="31"/>
  <c r="U471" i="31" a="1"/>
  <c r="U471" i="31"/>
  <c r="W471" i="31" a="1"/>
  <c r="W471" i="31"/>
  <c r="V471" i="31" a="1"/>
  <c r="V471" i="31"/>
  <c r="X471" i="31" a="1"/>
  <c r="X471" i="31"/>
  <c r="U470" i="31" a="1"/>
  <c r="U470" i="31"/>
  <c r="W470" i="31" a="1"/>
  <c r="W470" i="31"/>
  <c r="V470" i="31" a="1"/>
  <c r="V470" i="31"/>
  <c r="X470" i="31" a="1"/>
  <c r="X470" i="31"/>
  <c r="U469" i="31" a="1"/>
  <c r="U469" i="31"/>
  <c r="W469" i="31" a="1"/>
  <c r="W469" i="31"/>
  <c r="V469" i="31" a="1"/>
  <c r="V469" i="31"/>
  <c r="X469" i="31" a="1"/>
  <c r="X469" i="31"/>
  <c r="U468" i="31" a="1"/>
  <c r="U468" i="31"/>
  <c r="W468" i="31" a="1"/>
  <c r="W468" i="31"/>
  <c r="V468" i="31" a="1"/>
  <c r="V468" i="31"/>
  <c r="X468" i="31" a="1"/>
  <c r="X468" i="31"/>
  <c r="U467" i="31" a="1"/>
  <c r="U467" i="31"/>
  <c r="W467" i="31" a="1"/>
  <c r="W467" i="31"/>
  <c r="V467" i="31" a="1"/>
  <c r="V467" i="31"/>
  <c r="X467" i="31" a="1"/>
  <c r="X467" i="31"/>
  <c r="U466" i="31" a="1"/>
  <c r="U466" i="31"/>
  <c r="W466" i="31" a="1"/>
  <c r="W466" i="31"/>
  <c r="V466" i="31" a="1"/>
  <c r="V466" i="31"/>
  <c r="X466" i="31" a="1"/>
  <c r="X466" i="31"/>
  <c r="U465" i="31" a="1"/>
  <c r="U465" i="31"/>
  <c r="W465" i="31" a="1"/>
  <c r="W465" i="31"/>
  <c r="V465" i="31" a="1"/>
  <c r="V465" i="31"/>
  <c r="X465" i="31" a="1"/>
  <c r="X465" i="31"/>
  <c r="U464" i="31" a="1"/>
  <c r="U464" i="31"/>
  <c r="W464" i="31" a="1"/>
  <c r="W464" i="31"/>
  <c r="V464" i="31" a="1"/>
  <c r="V464" i="31"/>
  <c r="X464" i="31" a="1"/>
  <c r="X464" i="31"/>
  <c r="U463" i="31" a="1"/>
  <c r="U463" i="31"/>
  <c r="W463" i="31" a="1"/>
  <c r="W463" i="31"/>
  <c r="V463" i="31" a="1"/>
  <c r="V463" i="31"/>
  <c r="X463" i="31" a="1"/>
  <c r="X463" i="31"/>
  <c r="U462" i="31" a="1"/>
  <c r="U462" i="31"/>
  <c r="W462" i="31" a="1"/>
  <c r="W462" i="31"/>
  <c r="V462" i="31" a="1"/>
  <c r="V462" i="31"/>
  <c r="X462" i="31" a="1"/>
  <c r="X462" i="31"/>
  <c r="U461" i="31" a="1"/>
  <c r="U461" i="31"/>
  <c r="W461" i="31" a="1"/>
  <c r="W461" i="31"/>
  <c r="V461" i="31" a="1"/>
  <c r="V461" i="31"/>
  <c r="X461" i="31" a="1"/>
  <c r="X461" i="31"/>
  <c r="U460" i="31" a="1"/>
  <c r="U460" i="31"/>
  <c r="W460" i="31" a="1"/>
  <c r="W460" i="31"/>
  <c r="V460" i="31" a="1"/>
  <c r="V460" i="31"/>
  <c r="X460" i="31" a="1"/>
  <c r="X460" i="31"/>
  <c r="U459" i="31" a="1"/>
  <c r="U459" i="31"/>
  <c r="W459" i="31" a="1"/>
  <c r="W459" i="31"/>
  <c r="V459" i="31" a="1"/>
  <c r="V459" i="31"/>
  <c r="X459" i="31" a="1"/>
  <c r="X459" i="31"/>
  <c r="U458" i="31" a="1"/>
  <c r="U458" i="31"/>
  <c r="W458" i="31" a="1"/>
  <c r="W458" i="31"/>
  <c r="V458" i="31" a="1"/>
  <c r="V458" i="31"/>
  <c r="X458" i="31" a="1"/>
  <c r="X458" i="31"/>
  <c r="U457" i="31" a="1"/>
  <c r="U457" i="31"/>
  <c r="W457" i="31" a="1"/>
  <c r="W457" i="31"/>
  <c r="V457" i="31" a="1"/>
  <c r="V457" i="31"/>
  <c r="X457" i="31" a="1"/>
  <c r="X457" i="31"/>
  <c r="U456" i="31" a="1"/>
  <c r="U456" i="31"/>
  <c r="W456" i="31" a="1"/>
  <c r="W456" i="31"/>
  <c r="V456" i="31" a="1"/>
  <c r="V456" i="31"/>
  <c r="X456" i="31" a="1"/>
  <c r="X456" i="31"/>
  <c r="U455" i="31" a="1"/>
  <c r="U455" i="31"/>
  <c r="W455" i="31" a="1"/>
  <c r="W455" i="31"/>
  <c r="V455" i="31" a="1"/>
  <c r="V455" i="31"/>
  <c r="X455" i="31" a="1"/>
  <c r="X455" i="31"/>
  <c r="U454" i="31" a="1"/>
  <c r="U454" i="31"/>
  <c r="W454" i="31" a="1"/>
  <c r="W454" i="31"/>
  <c r="V454" i="31" a="1"/>
  <c r="V454" i="31"/>
  <c r="X454" i="31" a="1"/>
  <c r="X454" i="31"/>
  <c r="U453" i="31" a="1"/>
  <c r="U453" i="31"/>
  <c r="W453" i="31" a="1"/>
  <c r="W453" i="31"/>
  <c r="V453" i="31" a="1"/>
  <c r="V453" i="31"/>
  <c r="X453" i="31" a="1"/>
  <c r="X453" i="31"/>
  <c r="U452" i="31" a="1"/>
  <c r="U452" i="31"/>
  <c r="W452" i="31" a="1"/>
  <c r="W452" i="31"/>
  <c r="V452" i="31" a="1"/>
  <c r="V452" i="31"/>
  <c r="X452" i="31" a="1"/>
  <c r="X452" i="31"/>
  <c r="U451" i="31" a="1"/>
  <c r="U451" i="31"/>
  <c r="W451" i="31" a="1"/>
  <c r="W451" i="31"/>
  <c r="V451" i="31" a="1"/>
  <c r="V451" i="31"/>
  <c r="X451" i="31" a="1"/>
  <c r="X451" i="31"/>
  <c r="U450" i="31" a="1"/>
  <c r="U450" i="31"/>
  <c r="W450" i="31" a="1"/>
  <c r="W450" i="31"/>
  <c r="V450" i="31" a="1"/>
  <c r="V450" i="31"/>
  <c r="X450" i="31" a="1"/>
  <c r="X450" i="31"/>
  <c r="U449" i="31" a="1"/>
  <c r="U449" i="31"/>
  <c r="W449" i="31" a="1"/>
  <c r="W449" i="31"/>
  <c r="V449" i="31" a="1"/>
  <c r="V449" i="31"/>
  <c r="X449" i="31" a="1"/>
  <c r="X449" i="31"/>
  <c r="U448" i="31" a="1"/>
  <c r="U448" i="31"/>
  <c r="W448" i="31" a="1"/>
  <c r="W448" i="31"/>
  <c r="V448" i="31" a="1"/>
  <c r="V448" i="31"/>
  <c r="X448" i="31" a="1"/>
  <c r="X448" i="31"/>
  <c r="U447" i="31" a="1"/>
  <c r="U447" i="31"/>
  <c r="W447" i="31" a="1"/>
  <c r="W447" i="31"/>
  <c r="V447" i="31" a="1"/>
  <c r="V447" i="31"/>
  <c r="X447" i="31" a="1"/>
  <c r="X447" i="31"/>
  <c r="U446" i="31" a="1"/>
  <c r="U446" i="31"/>
  <c r="W446" i="31" a="1"/>
  <c r="W446" i="31"/>
  <c r="V446" i="31" a="1"/>
  <c r="V446" i="31"/>
  <c r="X446" i="31" a="1"/>
  <c r="X446" i="31"/>
  <c r="U445" i="31" a="1"/>
  <c r="U445" i="31"/>
  <c r="W445" i="31" a="1"/>
  <c r="W445" i="31"/>
  <c r="V445" i="31" a="1"/>
  <c r="V445" i="31"/>
  <c r="X445" i="31" a="1"/>
  <c r="X445" i="31"/>
  <c r="U444" i="31" a="1"/>
  <c r="U444" i="31"/>
  <c r="W444" i="31" a="1"/>
  <c r="W444" i="31"/>
  <c r="V444" i="31" a="1"/>
  <c r="V444" i="31"/>
  <c r="X444" i="31" a="1"/>
  <c r="X444" i="31"/>
  <c r="U443" i="31" a="1"/>
  <c r="U443" i="31"/>
  <c r="W443" i="31" a="1"/>
  <c r="W443" i="31"/>
  <c r="V443" i="31" a="1"/>
  <c r="V443" i="31"/>
  <c r="X443" i="31" a="1"/>
  <c r="X443" i="31"/>
  <c r="U442" i="31" a="1"/>
  <c r="U442" i="31"/>
  <c r="W442" i="31" a="1"/>
  <c r="W442" i="31"/>
  <c r="V442" i="31" a="1"/>
  <c r="V442" i="31"/>
  <c r="X442" i="31" a="1"/>
  <c r="X442" i="31"/>
  <c r="U441" i="31" a="1"/>
  <c r="U441" i="31"/>
  <c r="W441" i="31" a="1"/>
  <c r="W441" i="31"/>
  <c r="V441" i="31" a="1"/>
  <c r="V441" i="31"/>
  <c r="X441" i="31" a="1"/>
  <c r="X441" i="31"/>
  <c r="U440" i="31" a="1"/>
  <c r="U440" i="31"/>
  <c r="W440" i="31" a="1"/>
  <c r="W440" i="31"/>
  <c r="V440" i="31" a="1"/>
  <c r="V440" i="31"/>
  <c r="X440" i="31" a="1"/>
  <c r="X440" i="31"/>
  <c r="U439" i="31" a="1"/>
  <c r="U439" i="31"/>
  <c r="W439" i="31" a="1"/>
  <c r="W439" i="31"/>
  <c r="V439" i="31" a="1"/>
  <c r="V439" i="31"/>
  <c r="X439" i="31" a="1"/>
  <c r="X439" i="31"/>
  <c r="U438" i="31" a="1"/>
  <c r="U438" i="31"/>
  <c r="W438" i="31" a="1"/>
  <c r="W438" i="31"/>
  <c r="V438" i="31" a="1"/>
  <c r="V438" i="31"/>
  <c r="X438" i="31" a="1"/>
  <c r="X438" i="31"/>
  <c r="U437" i="31" a="1"/>
  <c r="U437" i="31"/>
  <c r="W437" i="31" a="1"/>
  <c r="W437" i="31"/>
  <c r="V437" i="31" a="1"/>
  <c r="V437" i="31"/>
  <c r="X437" i="31" a="1"/>
  <c r="X437" i="31"/>
  <c r="U436" i="31" a="1"/>
  <c r="U436" i="31"/>
  <c r="W436" i="31" a="1"/>
  <c r="W436" i="31"/>
  <c r="V436" i="31" a="1"/>
  <c r="V436" i="31"/>
  <c r="X436" i="31" a="1"/>
  <c r="X436" i="31"/>
  <c r="U435" i="31" a="1"/>
  <c r="U435" i="31"/>
  <c r="W435" i="31" a="1"/>
  <c r="W435" i="31"/>
  <c r="V435" i="31" a="1"/>
  <c r="V435" i="31"/>
  <c r="X435" i="31" a="1"/>
  <c r="X435" i="31"/>
  <c r="U434" i="31" a="1"/>
  <c r="U434" i="31"/>
  <c r="W434" i="31" a="1"/>
  <c r="W434" i="31"/>
  <c r="V434" i="31" a="1"/>
  <c r="V434" i="31"/>
  <c r="X434" i="31" a="1"/>
  <c r="X434" i="31"/>
  <c r="U433" i="31" a="1"/>
  <c r="U433" i="31"/>
  <c r="W433" i="31" a="1"/>
  <c r="W433" i="31"/>
  <c r="V433" i="31" a="1"/>
  <c r="V433" i="31"/>
  <c r="X433" i="31" a="1"/>
  <c r="X433" i="31"/>
  <c r="U432" i="31" a="1"/>
  <c r="U432" i="31"/>
  <c r="W432" i="31" a="1"/>
  <c r="W432" i="31"/>
  <c r="V432" i="31" a="1"/>
  <c r="V432" i="31"/>
  <c r="X432" i="31" a="1"/>
  <c r="X432" i="31"/>
  <c r="U431" i="31" a="1"/>
  <c r="U431" i="31"/>
  <c r="W431" i="31" a="1"/>
  <c r="W431" i="31"/>
  <c r="V431" i="31" a="1"/>
  <c r="V431" i="31"/>
  <c r="X431" i="31" a="1"/>
  <c r="X431" i="31"/>
  <c r="U430" i="31" a="1"/>
  <c r="U430" i="31"/>
  <c r="W430" i="31" a="1"/>
  <c r="W430" i="31"/>
  <c r="V430" i="31" a="1"/>
  <c r="V430" i="31"/>
  <c r="X430" i="31" a="1"/>
  <c r="X430" i="31"/>
  <c r="U429" i="31" a="1"/>
  <c r="U429" i="31"/>
  <c r="W429" i="31" a="1"/>
  <c r="W429" i="31"/>
  <c r="V429" i="31" a="1"/>
  <c r="V429" i="31"/>
  <c r="X429" i="31" a="1"/>
  <c r="X429" i="31"/>
  <c r="U428" i="31" a="1"/>
  <c r="U428" i="31"/>
  <c r="W428" i="31" a="1"/>
  <c r="W428" i="31"/>
  <c r="V428" i="31" a="1"/>
  <c r="V428" i="31"/>
  <c r="X428" i="31" a="1"/>
  <c r="X428" i="31"/>
  <c r="U427" i="31" a="1"/>
  <c r="U427" i="31"/>
  <c r="W427" i="31" a="1"/>
  <c r="W427" i="31"/>
  <c r="V427" i="31" a="1"/>
  <c r="V427" i="31"/>
  <c r="X427" i="31" a="1"/>
  <c r="X427" i="31"/>
  <c r="U426" i="31" a="1"/>
  <c r="U426" i="31"/>
  <c r="W426" i="31" a="1"/>
  <c r="W426" i="31"/>
  <c r="V426" i="31" a="1"/>
  <c r="V426" i="31"/>
  <c r="X426" i="31" a="1"/>
  <c r="X426" i="31"/>
  <c r="U425" i="31" a="1"/>
  <c r="U425" i="31"/>
  <c r="W425" i="31" a="1"/>
  <c r="W425" i="31"/>
  <c r="V425" i="31" a="1"/>
  <c r="V425" i="31"/>
  <c r="X425" i="31" a="1"/>
  <c r="X425" i="31"/>
  <c r="U424" i="31" a="1"/>
  <c r="U424" i="31"/>
  <c r="W424" i="31" a="1"/>
  <c r="W424" i="31"/>
  <c r="V424" i="31" a="1"/>
  <c r="V424" i="31"/>
  <c r="X424" i="31" a="1"/>
  <c r="X424" i="31"/>
  <c r="U423" i="31" a="1"/>
  <c r="U423" i="31"/>
  <c r="W423" i="31" a="1"/>
  <c r="W423" i="31"/>
  <c r="V423" i="31" a="1"/>
  <c r="V423" i="31"/>
  <c r="X423" i="31" a="1"/>
  <c r="X423" i="31"/>
  <c r="U422" i="31" a="1"/>
  <c r="U422" i="31"/>
  <c r="W422" i="31" a="1"/>
  <c r="W422" i="31"/>
  <c r="V422" i="31" a="1"/>
  <c r="V422" i="31"/>
  <c r="X422" i="31" a="1"/>
  <c r="X422" i="31"/>
  <c r="U421" i="31" a="1"/>
  <c r="U421" i="31"/>
  <c r="W421" i="31" a="1"/>
  <c r="W421" i="31"/>
  <c r="V421" i="31" a="1"/>
  <c r="V421" i="31"/>
  <c r="X421" i="31" a="1"/>
  <c r="X421" i="31"/>
  <c r="U420" i="31" a="1"/>
  <c r="U420" i="31"/>
  <c r="W420" i="31" a="1"/>
  <c r="W420" i="31"/>
  <c r="V420" i="31" a="1"/>
  <c r="V420" i="31"/>
  <c r="X420" i="31" a="1"/>
  <c r="X420" i="31"/>
  <c r="U419" i="31" a="1"/>
  <c r="U419" i="31"/>
  <c r="W419" i="31" a="1"/>
  <c r="W419" i="31"/>
  <c r="V419" i="31" a="1"/>
  <c r="V419" i="31"/>
  <c r="X419" i="31" a="1"/>
  <c r="X419" i="31"/>
  <c r="U418" i="31" a="1"/>
  <c r="U418" i="31"/>
  <c r="W418" i="31" a="1"/>
  <c r="W418" i="31"/>
  <c r="V418" i="31" a="1"/>
  <c r="V418" i="31"/>
  <c r="X418" i="31" a="1"/>
  <c r="X418" i="31"/>
  <c r="U417" i="31" a="1"/>
  <c r="U417" i="31"/>
  <c r="W417" i="31" a="1"/>
  <c r="W417" i="31"/>
  <c r="V417" i="31" a="1"/>
  <c r="V417" i="31"/>
  <c r="X417" i="31" a="1"/>
  <c r="X417" i="31"/>
  <c r="U416" i="31" a="1"/>
  <c r="U416" i="31"/>
  <c r="W416" i="31" a="1"/>
  <c r="W416" i="31"/>
  <c r="V416" i="31" a="1"/>
  <c r="V416" i="31"/>
  <c r="X416" i="31" a="1"/>
  <c r="X416" i="31"/>
  <c r="U415" i="31" a="1"/>
  <c r="U415" i="31"/>
  <c r="W415" i="31" a="1"/>
  <c r="W415" i="31"/>
  <c r="V415" i="31" a="1"/>
  <c r="V415" i="31"/>
  <c r="X415" i="31" a="1"/>
  <c r="X415" i="31"/>
  <c r="U414" i="31" a="1"/>
  <c r="U414" i="31"/>
  <c r="W414" i="31" a="1"/>
  <c r="W414" i="31"/>
  <c r="V414" i="31" a="1"/>
  <c r="V414" i="31"/>
  <c r="X414" i="31" a="1"/>
  <c r="X414" i="31"/>
  <c r="U413" i="31" a="1"/>
  <c r="U413" i="31"/>
  <c r="W413" i="31" a="1"/>
  <c r="W413" i="31"/>
  <c r="V413" i="31" a="1"/>
  <c r="V413" i="31"/>
  <c r="X413" i="31" a="1"/>
  <c r="X413" i="31"/>
  <c r="U412" i="31" a="1"/>
  <c r="U412" i="31"/>
  <c r="W412" i="31" a="1"/>
  <c r="W412" i="31"/>
  <c r="V412" i="31" a="1"/>
  <c r="V412" i="31"/>
  <c r="X412" i="31" a="1"/>
  <c r="X412" i="31"/>
  <c r="U411" i="31" a="1"/>
  <c r="U411" i="31"/>
  <c r="W411" i="31" a="1"/>
  <c r="W411" i="31"/>
  <c r="V411" i="31" a="1"/>
  <c r="V411" i="31"/>
  <c r="X411" i="31" a="1"/>
  <c r="X411" i="31"/>
  <c r="U410" i="31" a="1"/>
  <c r="U410" i="31"/>
  <c r="W410" i="31" a="1"/>
  <c r="W410" i="31"/>
  <c r="V410" i="31" a="1"/>
  <c r="V410" i="31"/>
  <c r="X410" i="31" a="1"/>
  <c r="X410" i="31"/>
  <c r="U409" i="31" a="1"/>
  <c r="U409" i="31"/>
  <c r="W409" i="31" a="1"/>
  <c r="W409" i="31"/>
  <c r="V409" i="31" a="1"/>
  <c r="V409" i="31"/>
  <c r="X409" i="31" a="1"/>
  <c r="X409" i="31"/>
  <c r="U408" i="31" a="1"/>
  <c r="U408" i="31"/>
  <c r="W408" i="31" a="1"/>
  <c r="W408" i="31"/>
  <c r="V408" i="31" a="1"/>
  <c r="V408" i="31"/>
  <c r="X408" i="31" a="1"/>
  <c r="X408" i="31"/>
  <c r="U407" i="31" a="1"/>
  <c r="U407" i="31"/>
  <c r="W407" i="31" a="1"/>
  <c r="W407" i="31"/>
  <c r="V407" i="31" a="1"/>
  <c r="V407" i="31"/>
  <c r="X407" i="31" a="1"/>
  <c r="X407" i="31"/>
  <c r="U406" i="31" a="1"/>
  <c r="U406" i="31"/>
  <c r="W406" i="31" a="1"/>
  <c r="W406" i="31"/>
  <c r="V406" i="31" a="1"/>
  <c r="V406" i="31"/>
  <c r="X406" i="31" a="1"/>
  <c r="X406" i="31"/>
  <c r="U405" i="31" a="1"/>
  <c r="U405" i="31"/>
  <c r="W405" i="31" a="1"/>
  <c r="W405" i="31"/>
  <c r="V405" i="31" a="1"/>
  <c r="V405" i="31"/>
  <c r="X405" i="31" a="1"/>
  <c r="X405" i="31"/>
  <c r="U404" i="31" a="1"/>
  <c r="U404" i="31"/>
  <c r="W404" i="31" a="1"/>
  <c r="W404" i="31"/>
  <c r="V404" i="31" a="1"/>
  <c r="V404" i="31"/>
  <c r="X404" i="31" a="1"/>
  <c r="X404" i="31"/>
  <c r="U403" i="31" a="1"/>
  <c r="U403" i="31"/>
  <c r="W403" i="31" a="1"/>
  <c r="W403" i="31"/>
  <c r="V403" i="31" a="1"/>
  <c r="V403" i="31"/>
  <c r="X403" i="31" a="1"/>
  <c r="X403" i="31"/>
  <c r="U402" i="31" a="1"/>
  <c r="U402" i="31"/>
  <c r="W402" i="31" a="1"/>
  <c r="W402" i="31"/>
  <c r="V402" i="31" a="1"/>
  <c r="V402" i="31"/>
  <c r="X402" i="31" a="1"/>
  <c r="X402" i="31"/>
  <c r="U401" i="31" a="1"/>
  <c r="U401" i="31"/>
  <c r="W401" i="31" a="1"/>
  <c r="W401" i="31"/>
  <c r="V401" i="31" a="1"/>
  <c r="V401" i="31"/>
  <c r="X401" i="31" a="1"/>
  <c r="X401" i="31"/>
  <c r="U400" i="31" a="1"/>
  <c r="U400" i="31"/>
  <c r="W400" i="31" a="1"/>
  <c r="W400" i="31"/>
  <c r="V400" i="31" a="1"/>
  <c r="V400" i="31"/>
  <c r="X400" i="31" a="1"/>
  <c r="X400" i="31"/>
  <c r="U399" i="31" a="1"/>
  <c r="U399" i="31"/>
  <c r="W399" i="31" a="1"/>
  <c r="W399" i="31"/>
  <c r="V399" i="31" a="1"/>
  <c r="V399" i="31"/>
  <c r="X399" i="31" a="1"/>
  <c r="X399" i="31"/>
  <c r="U398" i="31" a="1"/>
  <c r="U398" i="31"/>
  <c r="W398" i="31" a="1"/>
  <c r="W398" i="31"/>
  <c r="V398" i="31" a="1"/>
  <c r="V398" i="31"/>
  <c r="X398" i="31" a="1"/>
  <c r="X398" i="31"/>
  <c r="U397" i="31" a="1"/>
  <c r="U397" i="31"/>
  <c r="W397" i="31" a="1"/>
  <c r="W397" i="31"/>
  <c r="V397" i="31" a="1"/>
  <c r="V397" i="31"/>
  <c r="X397" i="31" a="1"/>
  <c r="X397" i="31"/>
  <c r="U396" i="31" a="1"/>
  <c r="U396" i="31"/>
  <c r="W396" i="31" a="1"/>
  <c r="W396" i="31"/>
  <c r="V396" i="31" a="1"/>
  <c r="V396" i="31"/>
  <c r="X396" i="31" a="1"/>
  <c r="X396" i="31"/>
  <c r="U395" i="31" a="1"/>
  <c r="U395" i="31"/>
  <c r="W395" i="31" a="1"/>
  <c r="W395" i="31"/>
  <c r="V395" i="31" a="1"/>
  <c r="V395" i="31"/>
  <c r="X395" i="31" a="1"/>
  <c r="X395" i="31"/>
  <c r="U394" i="31" a="1"/>
  <c r="U394" i="31"/>
  <c r="W394" i="31" a="1"/>
  <c r="W394" i="31"/>
  <c r="V394" i="31" a="1"/>
  <c r="V394" i="31"/>
  <c r="X394" i="31" a="1"/>
  <c r="X394" i="31"/>
  <c r="U393" i="31" a="1"/>
  <c r="U393" i="31"/>
  <c r="W393" i="31" a="1"/>
  <c r="W393" i="31"/>
  <c r="V393" i="31" a="1"/>
  <c r="V393" i="31"/>
  <c r="X393" i="31" a="1"/>
  <c r="X393" i="31"/>
  <c r="U392" i="31" a="1"/>
  <c r="U392" i="31"/>
  <c r="W392" i="31" a="1"/>
  <c r="W392" i="31"/>
  <c r="V392" i="31" a="1"/>
  <c r="V392" i="31"/>
  <c r="X392" i="31" a="1"/>
  <c r="X392" i="31"/>
  <c r="U391" i="31" a="1"/>
  <c r="U391" i="31"/>
  <c r="W391" i="31" a="1"/>
  <c r="W391" i="31"/>
  <c r="V391" i="31" a="1"/>
  <c r="V391" i="31"/>
  <c r="X391" i="31" a="1"/>
  <c r="X391" i="31"/>
  <c r="U390" i="31" a="1"/>
  <c r="U390" i="31"/>
  <c r="W390" i="31" a="1"/>
  <c r="W390" i="31"/>
  <c r="V390" i="31" a="1"/>
  <c r="V390" i="31"/>
  <c r="X390" i="31" a="1"/>
  <c r="X390" i="31"/>
  <c r="U389" i="31" a="1"/>
  <c r="U389" i="31"/>
  <c r="W389" i="31" a="1"/>
  <c r="W389" i="31"/>
  <c r="V389" i="31" a="1"/>
  <c r="V389" i="31"/>
  <c r="X389" i="31" a="1"/>
  <c r="X389" i="31"/>
  <c r="U388" i="31" a="1"/>
  <c r="U388" i="31"/>
  <c r="W388" i="31" a="1"/>
  <c r="W388" i="31"/>
  <c r="V388" i="31" a="1"/>
  <c r="V388" i="31"/>
  <c r="X388" i="31" a="1"/>
  <c r="X388" i="31"/>
  <c r="U387" i="31" a="1"/>
  <c r="U387" i="31"/>
  <c r="W387" i="31" a="1"/>
  <c r="W387" i="31"/>
  <c r="V387" i="31" a="1"/>
  <c r="V387" i="31"/>
  <c r="X387" i="31" a="1"/>
  <c r="X387" i="31"/>
  <c r="U386" i="31" a="1"/>
  <c r="U386" i="31"/>
  <c r="W386" i="31" a="1"/>
  <c r="W386" i="31"/>
  <c r="V386" i="31" a="1"/>
  <c r="V386" i="31"/>
  <c r="X386" i="31" a="1"/>
  <c r="X386" i="31"/>
  <c r="U385" i="31" a="1"/>
  <c r="U385" i="31"/>
  <c r="W385" i="31" a="1"/>
  <c r="W385" i="31"/>
  <c r="V385" i="31" a="1"/>
  <c r="V385" i="31"/>
  <c r="X385" i="31" a="1"/>
  <c r="X385" i="31"/>
  <c r="U384" i="31" a="1"/>
  <c r="U384" i="31"/>
  <c r="W384" i="31" a="1"/>
  <c r="W384" i="31"/>
  <c r="V384" i="31" a="1"/>
  <c r="V384" i="31"/>
  <c r="X384" i="31" a="1"/>
  <c r="X384" i="31"/>
  <c r="U383" i="31" a="1"/>
  <c r="U383" i="31"/>
  <c r="W383" i="31" a="1"/>
  <c r="W383" i="31"/>
  <c r="V383" i="31" a="1"/>
  <c r="V383" i="31"/>
  <c r="X383" i="31" a="1"/>
  <c r="X383" i="31"/>
  <c r="U382" i="31" a="1"/>
  <c r="U382" i="31"/>
  <c r="W382" i="31" a="1"/>
  <c r="W382" i="31"/>
  <c r="V382" i="31" a="1"/>
  <c r="V382" i="31"/>
  <c r="X382" i="31" a="1"/>
  <c r="X382" i="31"/>
  <c r="U381" i="31" a="1"/>
  <c r="U381" i="31"/>
  <c r="W381" i="31" a="1"/>
  <c r="W381" i="31"/>
  <c r="V381" i="31" a="1"/>
  <c r="V381" i="31"/>
  <c r="X381" i="31" a="1"/>
  <c r="X381" i="31"/>
  <c r="U380" i="31" a="1"/>
  <c r="U380" i="31"/>
  <c r="W380" i="31" a="1"/>
  <c r="W380" i="31"/>
  <c r="V380" i="31" a="1"/>
  <c r="V380" i="31"/>
  <c r="X380" i="31" a="1"/>
  <c r="X380" i="31"/>
  <c r="U379" i="31" a="1"/>
  <c r="U379" i="31"/>
  <c r="W379" i="31" a="1"/>
  <c r="W379" i="31"/>
  <c r="V379" i="31" a="1"/>
  <c r="V379" i="31"/>
  <c r="X379" i="31" a="1"/>
  <c r="X379" i="31"/>
  <c r="U378" i="31" a="1"/>
  <c r="U378" i="31"/>
  <c r="W378" i="31" a="1"/>
  <c r="W378" i="31"/>
  <c r="V378" i="31" a="1"/>
  <c r="V378" i="31"/>
  <c r="X378" i="31" a="1"/>
  <c r="X378" i="31"/>
  <c r="U377" i="31" a="1"/>
  <c r="U377" i="31"/>
  <c r="W377" i="31" a="1"/>
  <c r="W377" i="31"/>
  <c r="V377" i="31" a="1"/>
  <c r="V377" i="31"/>
  <c r="X377" i="31" a="1"/>
  <c r="X377" i="31"/>
  <c r="U376" i="31" a="1"/>
  <c r="U376" i="31"/>
  <c r="W376" i="31" a="1"/>
  <c r="W376" i="31"/>
  <c r="V376" i="31" a="1"/>
  <c r="V376" i="31"/>
  <c r="X376" i="31" a="1"/>
  <c r="X376" i="31"/>
  <c r="U375" i="31" a="1"/>
  <c r="U375" i="31"/>
  <c r="W375" i="31" a="1"/>
  <c r="W375" i="31"/>
  <c r="V375" i="31" a="1"/>
  <c r="V375" i="31"/>
  <c r="X375" i="31" a="1"/>
  <c r="X375" i="31"/>
  <c r="U374" i="31" a="1"/>
  <c r="U374" i="31"/>
  <c r="W374" i="31" a="1"/>
  <c r="W374" i="31"/>
  <c r="V374" i="31" a="1"/>
  <c r="V374" i="31"/>
  <c r="X374" i="31" a="1"/>
  <c r="X374" i="31"/>
  <c r="U373" i="31" a="1"/>
  <c r="U373" i="31"/>
  <c r="W373" i="31" a="1"/>
  <c r="W373" i="31"/>
  <c r="V373" i="31" a="1"/>
  <c r="V373" i="31"/>
  <c r="X373" i="31" a="1"/>
  <c r="X373" i="31"/>
  <c r="U372" i="31" a="1"/>
  <c r="U372" i="31"/>
  <c r="W372" i="31" a="1"/>
  <c r="W372" i="31"/>
  <c r="V372" i="31" a="1"/>
  <c r="V372" i="31"/>
  <c r="X372" i="31" a="1"/>
  <c r="X372" i="31"/>
  <c r="U371" i="31" a="1"/>
  <c r="U371" i="31"/>
  <c r="W371" i="31" a="1"/>
  <c r="W371" i="31"/>
  <c r="V371" i="31" a="1"/>
  <c r="V371" i="31"/>
  <c r="X371" i="31" a="1"/>
  <c r="X371" i="31"/>
  <c r="U370" i="31" a="1"/>
  <c r="U370" i="31"/>
  <c r="W370" i="31" a="1"/>
  <c r="W370" i="31"/>
  <c r="V370" i="31" a="1"/>
  <c r="V370" i="31"/>
  <c r="X370" i="31" a="1"/>
  <c r="X370" i="31"/>
  <c r="U369" i="31" a="1"/>
  <c r="U369" i="31"/>
  <c r="W369" i="31" a="1"/>
  <c r="W369" i="31"/>
  <c r="V369" i="31" a="1"/>
  <c r="V369" i="31"/>
  <c r="X369" i="31" a="1"/>
  <c r="X369" i="31"/>
  <c r="U368" i="31" a="1"/>
  <c r="U368" i="31"/>
  <c r="W368" i="31" a="1"/>
  <c r="W368" i="31"/>
  <c r="V368" i="31" a="1"/>
  <c r="V368" i="31"/>
  <c r="X368" i="31" a="1"/>
  <c r="X368" i="31"/>
  <c r="U367" i="31" a="1"/>
  <c r="U367" i="31"/>
  <c r="W367" i="31" a="1"/>
  <c r="W367" i="31"/>
  <c r="V367" i="31" a="1"/>
  <c r="V367" i="31"/>
  <c r="X367" i="31" a="1"/>
  <c r="X367" i="31"/>
  <c r="U366" i="31" a="1"/>
  <c r="U366" i="31"/>
  <c r="W366" i="31" a="1"/>
  <c r="W366" i="31"/>
  <c r="V366" i="31" a="1"/>
  <c r="V366" i="31"/>
  <c r="X366" i="31" a="1"/>
  <c r="X366" i="31"/>
  <c r="U365" i="31" a="1"/>
  <c r="U365" i="31"/>
  <c r="W365" i="31" a="1"/>
  <c r="W365" i="31"/>
  <c r="V365" i="31" a="1"/>
  <c r="V365" i="31"/>
  <c r="X365" i="31" a="1"/>
  <c r="X365" i="31"/>
  <c r="U364" i="31" a="1"/>
  <c r="U364" i="31"/>
  <c r="W364" i="31" a="1"/>
  <c r="W364" i="31"/>
  <c r="V364" i="31" a="1"/>
  <c r="V364" i="31"/>
  <c r="X364" i="31" a="1"/>
  <c r="X364" i="31"/>
  <c r="U363" i="31" a="1"/>
  <c r="U363" i="31"/>
  <c r="W363" i="31" a="1"/>
  <c r="W363" i="31"/>
  <c r="V363" i="31" a="1"/>
  <c r="V363" i="31"/>
  <c r="X363" i="31" a="1"/>
  <c r="X363" i="31"/>
  <c r="U362" i="31" a="1"/>
  <c r="U362" i="31"/>
  <c r="W362" i="31" a="1"/>
  <c r="W362" i="31"/>
  <c r="V362" i="31" a="1"/>
  <c r="V362" i="31"/>
  <c r="X362" i="31" a="1"/>
  <c r="X362" i="31"/>
  <c r="U361" i="31" a="1"/>
  <c r="U361" i="31"/>
  <c r="W361" i="31" a="1"/>
  <c r="W361" i="31"/>
  <c r="V361" i="31" a="1"/>
  <c r="V361" i="31"/>
  <c r="X361" i="31" a="1"/>
  <c r="X361" i="31"/>
  <c r="U360" i="31" a="1"/>
  <c r="U360" i="31"/>
  <c r="W360" i="31" a="1"/>
  <c r="W360" i="31"/>
  <c r="V360" i="31" a="1"/>
  <c r="V360" i="31"/>
  <c r="X360" i="31" a="1"/>
  <c r="X360" i="31"/>
  <c r="U359" i="31" a="1"/>
  <c r="U359" i="31"/>
  <c r="W359" i="31" a="1"/>
  <c r="W359" i="31"/>
  <c r="V359" i="31" a="1"/>
  <c r="V359" i="31"/>
  <c r="X359" i="31" a="1"/>
  <c r="X359" i="31"/>
  <c r="U358" i="31" a="1"/>
  <c r="U358" i="31"/>
  <c r="W358" i="31" a="1"/>
  <c r="W358" i="31"/>
  <c r="V358" i="31" a="1"/>
  <c r="V358" i="31"/>
  <c r="X358" i="31" a="1"/>
  <c r="X358" i="31"/>
  <c r="U357" i="31" a="1"/>
  <c r="U357" i="31"/>
  <c r="W357" i="31" a="1"/>
  <c r="W357" i="31"/>
  <c r="V357" i="31" a="1"/>
  <c r="V357" i="31"/>
  <c r="X357" i="31" a="1"/>
  <c r="X357" i="31"/>
  <c r="U356" i="31" a="1"/>
  <c r="U356" i="31"/>
  <c r="W356" i="31" a="1"/>
  <c r="W356" i="31"/>
  <c r="V356" i="31" a="1"/>
  <c r="V356" i="31"/>
  <c r="X356" i="31" a="1"/>
  <c r="X356" i="31"/>
  <c r="U355" i="31" a="1"/>
  <c r="U355" i="31"/>
  <c r="W355" i="31" a="1"/>
  <c r="W355" i="31"/>
  <c r="V355" i="31" a="1"/>
  <c r="V355" i="31"/>
  <c r="X355" i="31" a="1"/>
  <c r="X355" i="31"/>
  <c r="U354" i="31" a="1"/>
  <c r="U354" i="31"/>
  <c r="W354" i="31" a="1"/>
  <c r="W354" i="31"/>
  <c r="V354" i="31" a="1"/>
  <c r="V354" i="31"/>
  <c r="X354" i="31" a="1"/>
  <c r="X354" i="31"/>
  <c r="U353" i="31" a="1"/>
  <c r="U353" i="31"/>
  <c r="W353" i="31" a="1"/>
  <c r="W353" i="31"/>
  <c r="V353" i="31" a="1"/>
  <c r="V353" i="31"/>
  <c r="X353" i="31" a="1"/>
  <c r="X353" i="31"/>
  <c r="U352" i="31" a="1"/>
  <c r="U352" i="31"/>
  <c r="W352" i="31" a="1"/>
  <c r="W352" i="31"/>
  <c r="V352" i="31" a="1"/>
  <c r="V352" i="31"/>
  <c r="X352" i="31" a="1"/>
  <c r="X352" i="31"/>
  <c r="U351" i="31" a="1"/>
  <c r="U351" i="31"/>
  <c r="W351" i="31" a="1"/>
  <c r="W351" i="31"/>
  <c r="V351" i="31" a="1"/>
  <c r="V351" i="31"/>
  <c r="X351" i="31" a="1"/>
  <c r="X351" i="31"/>
  <c r="U350" i="31" a="1"/>
  <c r="U350" i="31"/>
  <c r="W350" i="31" a="1"/>
  <c r="W350" i="31"/>
  <c r="V350" i="31" a="1"/>
  <c r="V350" i="31"/>
  <c r="X350" i="31" a="1"/>
  <c r="X350" i="31"/>
  <c r="U349" i="31" a="1"/>
  <c r="U349" i="31"/>
  <c r="W349" i="31" a="1"/>
  <c r="W349" i="31"/>
  <c r="V349" i="31" a="1"/>
  <c r="V349" i="31"/>
  <c r="X349" i="31" a="1"/>
  <c r="X349" i="31"/>
  <c r="U348" i="31" a="1"/>
  <c r="U348" i="31"/>
  <c r="W348" i="31" a="1"/>
  <c r="W348" i="31"/>
  <c r="V348" i="31" a="1"/>
  <c r="V348" i="31"/>
  <c r="X348" i="31" a="1"/>
  <c r="X348" i="31"/>
  <c r="U347" i="31" a="1"/>
  <c r="U347" i="31"/>
  <c r="W347" i="31" a="1"/>
  <c r="W347" i="31"/>
  <c r="V347" i="31" a="1"/>
  <c r="V347" i="31"/>
  <c r="X347" i="31" a="1"/>
  <c r="X347" i="31"/>
  <c r="U346" i="31" a="1"/>
  <c r="U346" i="31"/>
  <c r="W346" i="31" a="1"/>
  <c r="W346" i="31"/>
  <c r="V346" i="31" a="1"/>
  <c r="V346" i="31"/>
  <c r="X346" i="31" a="1"/>
  <c r="X346" i="31"/>
  <c r="U345" i="31" a="1"/>
  <c r="U345" i="31"/>
  <c r="W345" i="31" a="1"/>
  <c r="W345" i="31"/>
  <c r="V345" i="31" a="1"/>
  <c r="V345" i="31"/>
  <c r="X345" i="31" a="1"/>
  <c r="X345" i="31"/>
  <c r="U344" i="31" a="1"/>
  <c r="U344" i="31"/>
  <c r="W344" i="31" a="1"/>
  <c r="W344" i="31"/>
  <c r="V344" i="31" a="1"/>
  <c r="V344" i="31"/>
  <c r="X344" i="31" a="1"/>
  <c r="X344" i="31"/>
  <c r="U343" i="31" a="1"/>
  <c r="U343" i="31"/>
  <c r="W343" i="31" a="1"/>
  <c r="W343" i="31"/>
  <c r="V343" i="31" a="1"/>
  <c r="V343" i="31"/>
  <c r="X343" i="31" a="1"/>
  <c r="X343" i="31"/>
  <c r="U342" i="31" a="1"/>
  <c r="U342" i="31"/>
  <c r="W342" i="31" a="1"/>
  <c r="W342" i="31"/>
  <c r="V342" i="31" a="1"/>
  <c r="V342" i="31"/>
  <c r="X342" i="31" a="1"/>
  <c r="X342" i="31"/>
  <c r="U341" i="31" a="1"/>
  <c r="U341" i="31"/>
  <c r="W341" i="31" a="1"/>
  <c r="W341" i="31"/>
  <c r="V341" i="31" a="1"/>
  <c r="V341" i="31"/>
  <c r="X341" i="31" a="1"/>
  <c r="X341" i="31"/>
  <c r="U340" i="31" a="1"/>
  <c r="U340" i="31"/>
  <c r="W340" i="31" a="1"/>
  <c r="W340" i="31"/>
  <c r="V340" i="31" a="1"/>
  <c r="V340" i="31"/>
  <c r="X340" i="31" a="1"/>
  <c r="X340" i="31"/>
  <c r="U339" i="31" a="1"/>
  <c r="U339" i="31"/>
  <c r="W339" i="31" a="1"/>
  <c r="W339" i="31"/>
  <c r="V339" i="31" a="1"/>
  <c r="V339" i="31"/>
  <c r="X339" i="31" a="1"/>
  <c r="X339" i="31"/>
  <c r="U338" i="31" a="1"/>
  <c r="U338" i="31"/>
  <c r="W338" i="31" a="1"/>
  <c r="W338" i="31"/>
  <c r="V338" i="31" a="1"/>
  <c r="V338" i="31"/>
  <c r="X338" i="31" a="1"/>
  <c r="X338" i="31"/>
  <c r="U337" i="31" a="1"/>
  <c r="U337" i="31"/>
  <c r="W337" i="31" a="1"/>
  <c r="W337" i="31"/>
  <c r="V337" i="31" a="1"/>
  <c r="V337" i="31"/>
  <c r="X337" i="31" a="1"/>
  <c r="X337" i="31"/>
  <c r="U336" i="31" a="1"/>
  <c r="U336" i="31"/>
  <c r="W336" i="31" a="1"/>
  <c r="W336" i="31"/>
  <c r="V336" i="31" a="1"/>
  <c r="V336" i="31"/>
  <c r="X336" i="31" a="1"/>
  <c r="X336" i="31"/>
  <c r="U335" i="31" a="1"/>
  <c r="U335" i="31"/>
  <c r="W335" i="31" a="1"/>
  <c r="W335" i="31"/>
  <c r="V335" i="31" a="1"/>
  <c r="V335" i="31"/>
  <c r="X335" i="31" a="1"/>
  <c r="X335" i="31"/>
  <c r="U334" i="31" a="1"/>
  <c r="U334" i="31"/>
  <c r="W334" i="31" a="1"/>
  <c r="W334" i="31"/>
  <c r="V334" i="31" a="1"/>
  <c r="V334" i="31"/>
  <c r="X334" i="31" a="1"/>
  <c r="X334" i="31"/>
  <c r="U333" i="31" a="1"/>
  <c r="U333" i="31"/>
  <c r="W333" i="31" a="1"/>
  <c r="W333" i="31"/>
  <c r="V333" i="31" a="1"/>
  <c r="V333" i="31"/>
  <c r="X333" i="31" a="1"/>
  <c r="X333" i="31"/>
  <c r="U332" i="31" a="1"/>
  <c r="U332" i="31"/>
  <c r="W332" i="31" a="1"/>
  <c r="W332" i="31"/>
  <c r="V332" i="31" a="1"/>
  <c r="V332" i="31"/>
  <c r="X332" i="31" a="1"/>
  <c r="X332" i="31"/>
  <c r="U331" i="31" a="1"/>
  <c r="U331" i="31"/>
  <c r="W331" i="31" a="1"/>
  <c r="W331" i="31"/>
  <c r="V331" i="31" a="1"/>
  <c r="V331" i="31"/>
  <c r="X331" i="31" a="1"/>
  <c r="X331" i="31"/>
  <c r="U330" i="31" a="1"/>
  <c r="U330" i="31"/>
  <c r="W330" i="31" a="1"/>
  <c r="W330" i="31"/>
  <c r="V330" i="31" a="1"/>
  <c r="V330" i="31"/>
  <c r="X330" i="31" a="1"/>
  <c r="X330" i="31"/>
  <c r="U329" i="31" a="1"/>
  <c r="U329" i="31"/>
  <c r="W329" i="31" a="1"/>
  <c r="W329" i="31"/>
  <c r="V329" i="31" a="1"/>
  <c r="V329" i="31"/>
  <c r="X329" i="31" a="1"/>
  <c r="X329" i="31"/>
  <c r="U328" i="31" a="1"/>
  <c r="U328" i="31"/>
  <c r="W328" i="31" a="1"/>
  <c r="W328" i="31"/>
  <c r="V328" i="31" a="1"/>
  <c r="V328" i="31"/>
  <c r="X328" i="31" a="1"/>
  <c r="X328" i="31"/>
  <c r="U327" i="31" a="1"/>
  <c r="U327" i="31"/>
  <c r="W327" i="31" a="1"/>
  <c r="W327" i="31"/>
  <c r="V327" i="31" a="1"/>
  <c r="V327" i="31"/>
  <c r="X327" i="31" a="1"/>
  <c r="X327" i="31"/>
  <c r="U326" i="31" a="1"/>
  <c r="U326" i="31"/>
  <c r="W326" i="31" a="1"/>
  <c r="W326" i="31"/>
  <c r="V326" i="31" a="1"/>
  <c r="V326" i="31"/>
  <c r="X326" i="31" a="1"/>
  <c r="X326" i="31"/>
  <c r="U325" i="31" a="1"/>
  <c r="U325" i="31"/>
  <c r="W325" i="31" a="1"/>
  <c r="W325" i="31"/>
  <c r="V325" i="31" a="1"/>
  <c r="V325" i="31"/>
  <c r="X325" i="31" a="1"/>
  <c r="X325" i="31"/>
  <c r="U324" i="31" a="1"/>
  <c r="U324" i="31"/>
  <c r="W324" i="31" a="1"/>
  <c r="W324" i="31"/>
  <c r="V324" i="31" a="1"/>
  <c r="V324" i="31"/>
  <c r="X324" i="31" a="1"/>
  <c r="X324" i="31"/>
  <c r="U323" i="31" a="1"/>
  <c r="U323" i="31"/>
  <c r="W323" i="31" a="1"/>
  <c r="W323" i="31"/>
  <c r="V323" i="31" a="1"/>
  <c r="V323" i="31"/>
  <c r="X323" i="31" a="1"/>
  <c r="X323" i="31"/>
  <c r="U322" i="31" a="1"/>
  <c r="U322" i="31"/>
  <c r="W322" i="31" a="1"/>
  <c r="W322" i="31"/>
  <c r="V322" i="31" a="1"/>
  <c r="V322" i="31"/>
  <c r="X322" i="31" a="1"/>
  <c r="X322" i="31"/>
  <c r="U321" i="31" a="1"/>
  <c r="U321" i="31"/>
  <c r="W321" i="31" a="1"/>
  <c r="W321" i="31"/>
  <c r="V321" i="31" a="1"/>
  <c r="V321" i="31"/>
  <c r="X321" i="31" a="1"/>
  <c r="X321" i="31"/>
  <c r="U320" i="31" a="1"/>
  <c r="U320" i="31"/>
  <c r="W320" i="31" a="1"/>
  <c r="W320" i="31"/>
  <c r="V320" i="31" a="1"/>
  <c r="V320" i="31"/>
  <c r="X320" i="31" a="1"/>
  <c r="X320" i="31"/>
  <c r="U319" i="31" a="1"/>
  <c r="U319" i="31"/>
  <c r="W319" i="31" a="1"/>
  <c r="W319" i="31"/>
  <c r="V319" i="31" a="1"/>
  <c r="V319" i="31"/>
  <c r="X319" i="31" a="1"/>
  <c r="X319" i="31"/>
  <c r="U318" i="31" a="1"/>
  <c r="U318" i="31"/>
  <c r="W318" i="31" a="1"/>
  <c r="W318" i="31"/>
  <c r="V318" i="31" a="1"/>
  <c r="V318" i="31"/>
  <c r="X318" i="31" a="1"/>
  <c r="X318" i="31"/>
  <c r="U317" i="31" a="1"/>
  <c r="U317" i="31"/>
  <c r="W317" i="31" a="1"/>
  <c r="W317" i="31"/>
  <c r="V317" i="31" a="1"/>
  <c r="V317" i="31"/>
  <c r="X317" i="31" a="1"/>
  <c r="X317" i="31"/>
  <c r="U316" i="31" a="1"/>
  <c r="U316" i="31"/>
  <c r="W316" i="31" a="1"/>
  <c r="W316" i="31"/>
  <c r="V316" i="31" a="1"/>
  <c r="V316" i="31"/>
  <c r="X316" i="31" a="1"/>
  <c r="X316" i="31"/>
  <c r="U315" i="31" a="1"/>
  <c r="U315" i="31"/>
  <c r="W315" i="31" a="1"/>
  <c r="W315" i="31"/>
  <c r="V315" i="31" a="1"/>
  <c r="V315" i="31"/>
  <c r="X315" i="31" a="1"/>
  <c r="X315" i="31"/>
  <c r="U314" i="31" a="1"/>
  <c r="U314" i="31"/>
  <c r="W314" i="31" a="1"/>
  <c r="W314" i="31"/>
  <c r="V314" i="31" a="1"/>
  <c r="V314" i="31"/>
  <c r="X314" i="31" a="1"/>
  <c r="X314" i="31"/>
  <c r="U313" i="31" a="1"/>
  <c r="U313" i="31"/>
  <c r="W313" i="31" a="1"/>
  <c r="W313" i="31"/>
  <c r="V313" i="31" a="1"/>
  <c r="V313" i="31"/>
  <c r="X313" i="31" a="1"/>
  <c r="X313" i="31"/>
  <c r="U312" i="31" a="1"/>
  <c r="U312" i="31"/>
  <c r="W312" i="31" a="1"/>
  <c r="W312" i="31"/>
  <c r="V312" i="31" a="1"/>
  <c r="V312" i="31"/>
  <c r="X312" i="31" a="1"/>
  <c r="X312" i="31"/>
  <c r="U311" i="31" a="1"/>
  <c r="U311" i="31"/>
  <c r="W311" i="31" a="1"/>
  <c r="W311" i="31"/>
  <c r="V311" i="31" a="1"/>
  <c r="V311" i="31"/>
  <c r="X311" i="31" a="1"/>
  <c r="X311" i="31"/>
  <c r="U310" i="31" a="1"/>
  <c r="U310" i="31"/>
  <c r="W310" i="31" a="1"/>
  <c r="W310" i="31"/>
  <c r="V310" i="31" a="1"/>
  <c r="V310" i="31"/>
  <c r="X310" i="31" a="1"/>
  <c r="X310" i="31"/>
  <c r="U309" i="31" a="1"/>
  <c r="U309" i="31"/>
  <c r="W309" i="31" a="1"/>
  <c r="W309" i="31"/>
  <c r="V309" i="31" a="1"/>
  <c r="V309" i="31"/>
  <c r="X309" i="31" a="1"/>
  <c r="X309" i="31"/>
  <c r="U308" i="31" a="1"/>
  <c r="U308" i="31"/>
  <c r="W308" i="31" a="1"/>
  <c r="W308" i="31"/>
  <c r="V308" i="31" a="1"/>
  <c r="V308" i="31"/>
  <c r="X308" i="31" a="1"/>
  <c r="X308" i="31"/>
  <c r="U307" i="31" a="1"/>
  <c r="U307" i="31"/>
  <c r="W307" i="31" a="1"/>
  <c r="W307" i="31"/>
  <c r="V307" i="31" a="1"/>
  <c r="V307" i="31"/>
  <c r="X307" i="31" a="1"/>
  <c r="X307" i="31"/>
  <c r="U306" i="31" a="1"/>
  <c r="U306" i="31"/>
  <c r="W306" i="31" a="1"/>
  <c r="W306" i="31"/>
  <c r="V306" i="31" a="1"/>
  <c r="V306" i="31"/>
  <c r="X306" i="31" a="1"/>
  <c r="X306" i="31"/>
  <c r="U305" i="31" a="1"/>
  <c r="U305" i="31"/>
  <c r="W305" i="31" a="1"/>
  <c r="W305" i="31"/>
  <c r="V305" i="31" a="1"/>
  <c r="V305" i="31"/>
  <c r="X305" i="31" a="1"/>
  <c r="X305" i="31"/>
  <c r="U304" i="31" a="1"/>
  <c r="U304" i="31"/>
  <c r="W304" i="31" a="1"/>
  <c r="W304" i="31"/>
  <c r="V304" i="31" a="1"/>
  <c r="V304" i="31"/>
  <c r="X304" i="31" a="1"/>
  <c r="X304" i="31"/>
  <c r="U303" i="31" a="1"/>
  <c r="U303" i="31"/>
  <c r="W303" i="31" a="1"/>
  <c r="W303" i="31"/>
  <c r="V303" i="31" a="1"/>
  <c r="V303" i="31"/>
  <c r="X303" i="31" a="1"/>
  <c r="X303" i="31"/>
  <c r="U302" i="31" a="1"/>
  <c r="U302" i="31"/>
  <c r="W302" i="31" a="1"/>
  <c r="W302" i="31"/>
  <c r="V302" i="31" a="1"/>
  <c r="V302" i="31"/>
  <c r="X302" i="31" a="1"/>
  <c r="X302" i="31"/>
  <c r="U301" i="31" a="1"/>
  <c r="U301" i="31"/>
  <c r="W301" i="31" a="1"/>
  <c r="W301" i="31"/>
  <c r="V301" i="31" a="1"/>
  <c r="V301" i="31"/>
  <c r="X301" i="31" a="1"/>
  <c r="X301" i="31"/>
  <c r="U300" i="31" a="1"/>
  <c r="U300" i="31"/>
  <c r="W300" i="31" a="1"/>
  <c r="W300" i="31"/>
  <c r="V300" i="31" a="1"/>
  <c r="V300" i="31"/>
  <c r="X300" i="31" a="1"/>
  <c r="X300" i="31"/>
  <c r="U299" i="31" a="1"/>
  <c r="U299" i="31"/>
  <c r="W299" i="31" a="1"/>
  <c r="W299" i="31"/>
  <c r="V299" i="31" a="1"/>
  <c r="V299" i="31"/>
  <c r="X299" i="31" a="1"/>
  <c r="X299" i="31"/>
  <c r="U298" i="31" a="1"/>
  <c r="U298" i="31"/>
  <c r="W298" i="31" a="1"/>
  <c r="W298" i="31"/>
  <c r="V298" i="31" a="1"/>
  <c r="V298" i="31"/>
  <c r="X298" i="31" a="1"/>
  <c r="X298" i="31"/>
  <c r="U297" i="31" a="1"/>
  <c r="U297" i="31"/>
  <c r="W297" i="31" a="1"/>
  <c r="W297" i="31"/>
  <c r="V297" i="31" a="1"/>
  <c r="V297" i="31"/>
  <c r="X297" i="31" a="1"/>
  <c r="X297" i="31"/>
  <c r="U296" i="31" a="1"/>
  <c r="U296" i="31"/>
  <c r="W296" i="31" a="1"/>
  <c r="W296" i="31"/>
  <c r="V296" i="31" a="1"/>
  <c r="V296" i="31"/>
  <c r="X296" i="31" a="1"/>
  <c r="X296" i="31"/>
  <c r="U295" i="31" a="1"/>
  <c r="U295" i="31"/>
  <c r="W295" i="31" a="1"/>
  <c r="W295" i="31"/>
  <c r="V295" i="31" a="1"/>
  <c r="V295" i="31"/>
  <c r="X295" i="31" a="1"/>
  <c r="X295" i="31"/>
  <c r="U294" i="31" a="1"/>
  <c r="U294" i="31"/>
  <c r="W294" i="31" a="1"/>
  <c r="W294" i="31"/>
  <c r="V294" i="31" a="1"/>
  <c r="V294" i="31"/>
  <c r="X294" i="31" a="1"/>
  <c r="X294" i="31"/>
  <c r="U293" i="31" a="1"/>
  <c r="U293" i="31"/>
  <c r="W293" i="31" a="1"/>
  <c r="W293" i="31"/>
  <c r="V293" i="31" a="1"/>
  <c r="V293" i="31"/>
  <c r="X293" i="31" a="1"/>
  <c r="X293" i="31"/>
  <c r="U292" i="31" a="1"/>
  <c r="U292" i="31"/>
  <c r="W292" i="31" a="1"/>
  <c r="W292" i="31"/>
  <c r="V292" i="31" a="1"/>
  <c r="V292" i="31"/>
  <c r="X292" i="31" a="1"/>
  <c r="X292" i="31"/>
  <c r="U291" i="31" a="1"/>
  <c r="U291" i="31"/>
  <c r="W291" i="31" a="1"/>
  <c r="W291" i="31"/>
  <c r="V291" i="31" a="1"/>
  <c r="V291" i="31"/>
  <c r="X291" i="31" a="1"/>
  <c r="X291" i="31"/>
  <c r="U290" i="31" a="1"/>
  <c r="U290" i="31"/>
  <c r="W290" i="31" a="1"/>
  <c r="W290" i="31"/>
  <c r="V290" i="31" a="1"/>
  <c r="V290" i="31"/>
  <c r="X290" i="31" a="1"/>
  <c r="X290" i="31"/>
  <c r="U289" i="31" a="1"/>
  <c r="U289" i="31"/>
  <c r="W289" i="31" a="1"/>
  <c r="W289" i="31"/>
  <c r="V289" i="31" a="1"/>
  <c r="V289" i="31"/>
  <c r="X289" i="31" a="1"/>
  <c r="X289" i="31"/>
  <c r="U288" i="31" a="1"/>
  <c r="U288" i="31"/>
  <c r="W288" i="31" a="1"/>
  <c r="W288" i="31"/>
  <c r="V288" i="31" a="1"/>
  <c r="V288" i="31"/>
  <c r="X288" i="31" a="1"/>
  <c r="X288" i="31"/>
  <c r="U287" i="31" a="1"/>
  <c r="U287" i="31"/>
  <c r="W287" i="31" a="1"/>
  <c r="W287" i="31"/>
  <c r="V287" i="31" a="1"/>
  <c r="V287" i="31"/>
  <c r="X287" i="31" a="1"/>
  <c r="X287" i="31"/>
  <c r="U286" i="31" a="1"/>
  <c r="U286" i="31"/>
  <c r="W286" i="31" a="1"/>
  <c r="W286" i="31"/>
  <c r="V286" i="31" a="1"/>
  <c r="V286" i="31"/>
  <c r="X286" i="31" a="1"/>
  <c r="X286" i="31"/>
  <c r="U285" i="31" a="1"/>
  <c r="U285" i="31"/>
  <c r="W285" i="31" a="1"/>
  <c r="W285" i="31"/>
  <c r="V285" i="31" a="1"/>
  <c r="V285" i="31"/>
  <c r="X285" i="31" a="1"/>
  <c r="X285" i="31"/>
  <c r="U284" i="31" a="1"/>
  <c r="U284" i="31"/>
  <c r="W284" i="31" a="1"/>
  <c r="W284" i="31"/>
  <c r="V284" i="31" a="1"/>
  <c r="V284" i="31"/>
  <c r="X284" i="31" a="1"/>
  <c r="X284" i="31"/>
  <c r="U283" i="31" a="1"/>
  <c r="U283" i="31"/>
  <c r="W283" i="31" a="1"/>
  <c r="W283" i="31"/>
  <c r="V283" i="31" a="1"/>
  <c r="V283" i="31"/>
  <c r="X283" i="31" a="1"/>
  <c r="X283" i="31"/>
  <c r="U282" i="31" a="1"/>
  <c r="U282" i="31"/>
  <c r="W282" i="31" a="1"/>
  <c r="W282" i="31"/>
  <c r="V282" i="31" a="1"/>
  <c r="V282" i="31"/>
  <c r="X282" i="31" a="1"/>
  <c r="X282" i="31"/>
  <c r="U281" i="31" a="1"/>
  <c r="U281" i="31"/>
  <c r="W281" i="31" a="1"/>
  <c r="W281" i="31"/>
  <c r="V281" i="31" a="1"/>
  <c r="V281" i="31"/>
  <c r="X281" i="31" a="1"/>
  <c r="X281" i="31"/>
  <c r="U280" i="31" a="1"/>
  <c r="U280" i="31"/>
  <c r="W280" i="31" a="1"/>
  <c r="W280" i="31"/>
  <c r="V280" i="31" a="1"/>
  <c r="V280" i="31"/>
  <c r="X280" i="31" a="1"/>
  <c r="X280" i="31"/>
  <c r="U279" i="31" a="1"/>
  <c r="U279" i="31"/>
  <c r="W279" i="31" a="1"/>
  <c r="W279" i="31"/>
  <c r="V279" i="31" a="1"/>
  <c r="V279" i="31"/>
  <c r="X279" i="31" a="1"/>
  <c r="X279" i="31"/>
  <c r="U278" i="31" a="1"/>
  <c r="U278" i="31"/>
  <c r="W278" i="31" a="1"/>
  <c r="W278" i="31"/>
  <c r="V278" i="31" a="1"/>
  <c r="V278" i="31"/>
  <c r="X278" i="31" a="1"/>
  <c r="X278" i="31"/>
  <c r="U277" i="31" a="1"/>
  <c r="U277" i="31"/>
  <c r="W277" i="31" a="1"/>
  <c r="W277" i="31"/>
  <c r="V277" i="31" a="1"/>
  <c r="V277" i="31"/>
  <c r="X277" i="31" a="1"/>
  <c r="X277" i="31"/>
  <c r="U276" i="31" a="1"/>
  <c r="U276" i="31"/>
  <c r="W276" i="31" a="1"/>
  <c r="W276" i="31"/>
  <c r="V276" i="31" a="1"/>
  <c r="V276" i="31"/>
  <c r="X276" i="31" a="1"/>
  <c r="X276" i="31"/>
  <c r="U275" i="31" a="1"/>
  <c r="U275" i="31"/>
  <c r="W275" i="31" a="1"/>
  <c r="W275" i="31"/>
  <c r="V275" i="31" a="1"/>
  <c r="V275" i="31"/>
  <c r="X275" i="31" a="1"/>
  <c r="X275" i="31"/>
  <c r="U274" i="31" a="1"/>
  <c r="U274" i="31"/>
  <c r="W274" i="31" a="1"/>
  <c r="W274" i="31"/>
  <c r="V274" i="31" a="1"/>
  <c r="V274" i="31"/>
  <c r="X274" i="31" a="1"/>
  <c r="X274" i="31"/>
  <c r="U273" i="31" a="1"/>
  <c r="U273" i="31"/>
  <c r="W273" i="31" a="1"/>
  <c r="W273" i="31"/>
  <c r="V273" i="31" a="1"/>
  <c r="V273" i="31"/>
  <c r="X273" i="31" a="1"/>
  <c r="X273" i="31"/>
  <c r="U272" i="31" a="1"/>
  <c r="U272" i="31"/>
  <c r="W272" i="31" a="1"/>
  <c r="W272" i="31"/>
  <c r="V272" i="31" a="1"/>
  <c r="V272" i="31"/>
  <c r="X272" i="31" a="1"/>
  <c r="X272" i="31"/>
  <c r="U271" i="31" a="1"/>
  <c r="U271" i="31"/>
  <c r="W271" i="31" a="1"/>
  <c r="W271" i="31"/>
  <c r="V271" i="31" a="1"/>
  <c r="V271" i="31"/>
  <c r="X271" i="31" a="1"/>
  <c r="X271" i="31"/>
  <c r="U270" i="31" a="1"/>
  <c r="U270" i="31"/>
  <c r="W270" i="31" a="1"/>
  <c r="W270" i="31"/>
  <c r="V270" i="31" a="1"/>
  <c r="V270" i="31"/>
  <c r="X270" i="31" a="1"/>
  <c r="X270" i="31"/>
  <c r="U269" i="31" a="1"/>
  <c r="U269" i="31"/>
  <c r="W269" i="31" a="1"/>
  <c r="W269" i="31"/>
  <c r="V269" i="31" a="1"/>
  <c r="V269" i="31"/>
  <c r="X269" i="31" a="1"/>
  <c r="X269" i="31"/>
  <c r="U268" i="31" a="1"/>
  <c r="U268" i="31"/>
  <c r="W268" i="31" a="1"/>
  <c r="W268" i="31"/>
  <c r="V268" i="31" a="1"/>
  <c r="V268" i="31"/>
  <c r="X268" i="31" a="1"/>
  <c r="X268" i="31"/>
  <c r="U267" i="31" a="1"/>
  <c r="U267" i="31"/>
  <c r="W267" i="31" a="1"/>
  <c r="W267" i="31"/>
  <c r="V267" i="31" a="1"/>
  <c r="V267" i="31"/>
  <c r="X267" i="31" a="1"/>
  <c r="X267" i="31"/>
  <c r="U266" i="31" a="1"/>
  <c r="U266" i="31"/>
  <c r="W266" i="31" a="1"/>
  <c r="W266" i="31"/>
  <c r="V266" i="31" a="1"/>
  <c r="V266" i="31"/>
  <c r="X266" i="31" a="1"/>
  <c r="X266" i="31"/>
  <c r="U265" i="31" a="1"/>
  <c r="U265" i="31"/>
  <c r="W265" i="31" a="1"/>
  <c r="W265" i="31"/>
  <c r="V265" i="31" a="1"/>
  <c r="V265" i="31"/>
  <c r="X265" i="31" a="1"/>
  <c r="X265" i="31"/>
  <c r="U264" i="31" a="1"/>
  <c r="U264" i="31"/>
  <c r="W264" i="31" a="1"/>
  <c r="W264" i="31"/>
  <c r="V264" i="31" a="1"/>
  <c r="V264" i="31"/>
  <c r="X264" i="31" a="1"/>
  <c r="X264" i="31"/>
  <c r="U263" i="31" a="1"/>
  <c r="U263" i="31"/>
  <c r="W263" i="31" a="1"/>
  <c r="W263" i="31"/>
  <c r="V263" i="31" a="1"/>
  <c r="V263" i="31"/>
  <c r="X263" i="31" a="1"/>
  <c r="X263" i="31"/>
  <c r="U262" i="31" a="1"/>
  <c r="U262" i="31"/>
  <c r="W262" i="31" a="1"/>
  <c r="W262" i="31"/>
  <c r="V262" i="31" a="1"/>
  <c r="V262" i="31"/>
  <c r="X262" i="31" a="1"/>
  <c r="X262" i="31"/>
  <c r="U261" i="31" a="1"/>
  <c r="U261" i="31"/>
  <c r="W261" i="31" a="1"/>
  <c r="W261" i="31"/>
  <c r="V261" i="31" a="1"/>
  <c r="V261" i="31"/>
  <c r="X261" i="31" a="1"/>
  <c r="X261" i="31"/>
  <c r="U260" i="31" a="1"/>
  <c r="U260" i="31"/>
  <c r="W260" i="31" a="1"/>
  <c r="W260" i="31"/>
  <c r="V260" i="31" a="1"/>
  <c r="V260" i="31"/>
  <c r="X260" i="31" a="1"/>
  <c r="X260" i="31"/>
  <c r="U259" i="31" a="1"/>
  <c r="U259" i="31"/>
  <c r="W259" i="31" a="1"/>
  <c r="W259" i="31"/>
  <c r="V259" i="31" a="1"/>
  <c r="V259" i="31"/>
  <c r="X259" i="31" a="1"/>
  <c r="X259" i="31"/>
  <c r="U258" i="31" a="1"/>
  <c r="U258" i="31"/>
  <c r="W258" i="31" a="1"/>
  <c r="W258" i="31"/>
  <c r="V258" i="31" a="1"/>
  <c r="V258" i="31"/>
  <c r="X258" i="31" a="1"/>
  <c r="X258" i="31"/>
  <c r="U257" i="31" a="1"/>
  <c r="U257" i="31"/>
  <c r="W257" i="31" a="1"/>
  <c r="W257" i="31"/>
  <c r="V257" i="31" a="1"/>
  <c r="V257" i="31"/>
  <c r="X257" i="31" a="1"/>
  <c r="X257" i="31"/>
  <c r="U256" i="31" a="1"/>
  <c r="U256" i="31"/>
  <c r="W256" i="31" a="1"/>
  <c r="W256" i="31"/>
  <c r="V256" i="31" a="1"/>
  <c r="V256" i="31"/>
  <c r="X256" i="31" a="1"/>
  <c r="X256" i="31"/>
  <c r="U255" i="31" a="1"/>
  <c r="U255" i="31"/>
  <c r="W255" i="31" a="1"/>
  <c r="W255" i="31"/>
  <c r="V255" i="31" a="1"/>
  <c r="V255" i="31"/>
  <c r="X255" i="31" a="1"/>
  <c r="X255" i="31"/>
  <c r="U254" i="31" a="1"/>
  <c r="U254" i="31"/>
  <c r="W254" i="31" a="1"/>
  <c r="W254" i="31"/>
  <c r="V254" i="31" a="1"/>
  <c r="V254" i="31"/>
  <c r="X254" i="31" a="1"/>
  <c r="X254" i="31"/>
  <c r="U253" i="31" a="1"/>
  <c r="U253" i="31"/>
  <c r="W253" i="31" a="1"/>
  <c r="W253" i="31"/>
  <c r="V253" i="31" a="1"/>
  <c r="V253" i="31"/>
  <c r="X253" i="31" a="1"/>
  <c r="X253" i="31"/>
  <c r="U252" i="31" a="1"/>
  <c r="U252" i="31"/>
  <c r="W252" i="31" a="1"/>
  <c r="W252" i="31"/>
  <c r="V252" i="31" a="1"/>
  <c r="V252" i="31"/>
  <c r="X252" i="31" a="1"/>
  <c r="X252" i="31"/>
  <c r="U251" i="31" a="1"/>
  <c r="U251" i="31"/>
  <c r="W251" i="31" a="1"/>
  <c r="W251" i="31"/>
  <c r="V251" i="31" a="1"/>
  <c r="V251" i="31"/>
  <c r="X251" i="31" a="1"/>
  <c r="X251" i="31"/>
  <c r="U250" i="31" a="1"/>
  <c r="U250" i="31"/>
  <c r="W250" i="31" a="1"/>
  <c r="W250" i="31"/>
  <c r="V250" i="31" a="1"/>
  <c r="V250" i="31"/>
  <c r="X250" i="31" a="1"/>
  <c r="X250" i="31"/>
  <c r="U249" i="31" a="1"/>
  <c r="U249" i="31"/>
  <c r="W249" i="31" a="1"/>
  <c r="W249" i="31"/>
  <c r="V249" i="31" a="1"/>
  <c r="V249" i="31"/>
  <c r="X249" i="31" a="1"/>
  <c r="X249" i="31"/>
  <c r="U248" i="31" a="1"/>
  <c r="U248" i="31"/>
  <c r="W248" i="31" a="1"/>
  <c r="W248" i="31"/>
  <c r="V248" i="31" a="1"/>
  <c r="V248" i="31"/>
  <c r="X248" i="31" a="1"/>
  <c r="X248" i="31"/>
  <c r="U247" i="31" a="1"/>
  <c r="U247" i="31"/>
  <c r="W247" i="31" a="1"/>
  <c r="W247" i="31"/>
  <c r="V247" i="31" a="1"/>
  <c r="V247" i="31"/>
  <c r="X247" i="31" a="1"/>
  <c r="X247" i="31"/>
  <c r="U246" i="31" a="1"/>
  <c r="U246" i="31"/>
  <c r="W246" i="31" a="1"/>
  <c r="W246" i="31"/>
  <c r="V246" i="31" a="1"/>
  <c r="V246" i="31"/>
  <c r="X246" i="31" a="1"/>
  <c r="X246" i="31"/>
  <c r="U245" i="31" a="1"/>
  <c r="U245" i="31"/>
  <c r="W245" i="31" a="1"/>
  <c r="W245" i="31"/>
  <c r="V245" i="31" a="1"/>
  <c r="V245" i="31"/>
  <c r="X245" i="31" a="1"/>
  <c r="X245" i="31"/>
  <c r="U244" i="31" a="1"/>
  <c r="U244" i="31"/>
  <c r="W244" i="31" a="1"/>
  <c r="W244" i="31"/>
  <c r="V244" i="31" a="1"/>
  <c r="V244" i="31"/>
  <c r="X244" i="31" a="1"/>
  <c r="X244" i="31"/>
  <c r="U243" i="31" a="1"/>
  <c r="U243" i="31"/>
  <c r="W243" i="31" a="1"/>
  <c r="W243" i="31"/>
  <c r="V243" i="31" a="1"/>
  <c r="V243" i="31"/>
  <c r="X243" i="31" a="1"/>
  <c r="X243" i="31"/>
  <c r="U242" i="31" a="1"/>
  <c r="U242" i="31"/>
  <c r="W242" i="31" a="1"/>
  <c r="W242" i="31"/>
  <c r="V242" i="31" a="1"/>
  <c r="V242" i="31"/>
  <c r="X242" i="31" a="1"/>
  <c r="X242" i="31"/>
  <c r="U241" i="31" a="1"/>
  <c r="U241" i="31"/>
  <c r="W241" i="31" a="1"/>
  <c r="W241" i="31"/>
  <c r="V241" i="31" a="1"/>
  <c r="V241" i="31"/>
  <c r="X241" i="31" a="1"/>
  <c r="X241" i="31"/>
  <c r="U240" i="31" a="1"/>
  <c r="U240" i="31"/>
  <c r="W240" i="31" a="1"/>
  <c r="W240" i="31"/>
  <c r="V240" i="31" a="1"/>
  <c r="V240" i="31"/>
  <c r="X240" i="31" a="1"/>
  <c r="X240" i="31"/>
  <c r="U239" i="31" a="1"/>
  <c r="U239" i="31"/>
  <c r="W239" i="31" a="1"/>
  <c r="W239" i="31"/>
  <c r="V239" i="31" a="1"/>
  <c r="V239" i="31"/>
  <c r="X239" i="31" a="1"/>
  <c r="X239" i="31"/>
  <c r="U238" i="31" a="1"/>
  <c r="U238" i="31"/>
  <c r="W238" i="31" a="1"/>
  <c r="W238" i="31"/>
  <c r="V238" i="31" a="1"/>
  <c r="V238" i="31"/>
  <c r="X238" i="31" a="1"/>
  <c r="X238" i="31"/>
  <c r="U237" i="31" a="1"/>
  <c r="U237" i="31"/>
  <c r="W237" i="31" a="1"/>
  <c r="W237" i="31"/>
  <c r="V237" i="31" a="1"/>
  <c r="V237" i="31"/>
  <c r="X237" i="31" a="1"/>
  <c r="X237" i="31"/>
  <c r="U236" i="31" a="1"/>
  <c r="U236" i="31"/>
  <c r="W236" i="31" a="1"/>
  <c r="W236" i="31"/>
  <c r="V236" i="31" a="1"/>
  <c r="V236" i="31"/>
  <c r="X236" i="31" a="1"/>
  <c r="X236" i="31"/>
  <c r="U235" i="31" a="1"/>
  <c r="U235" i="31"/>
  <c r="W235" i="31" a="1"/>
  <c r="W235" i="31"/>
  <c r="V235" i="31" a="1"/>
  <c r="V235" i="31"/>
  <c r="X235" i="31" a="1"/>
  <c r="X235" i="31"/>
  <c r="U234" i="31" a="1"/>
  <c r="U234" i="31"/>
  <c r="W234" i="31" a="1"/>
  <c r="W234" i="31"/>
  <c r="V234" i="31" a="1"/>
  <c r="V234" i="31"/>
  <c r="X234" i="31" a="1"/>
  <c r="X234" i="31"/>
  <c r="U233" i="31" a="1"/>
  <c r="U233" i="31"/>
  <c r="W233" i="31" a="1"/>
  <c r="W233" i="31"/>
  <c r="V233" i="31" a="1"/>
  <c r="V233" i="31"/>
  <c r="X233" i="31" a="1"/>
  <c r="X233" i="31"/>
  <c r="U232" i="31" a="1"/>
  <c r="U232" i="31"/>
  <c r="W232" i="31" a="1"/>
  <c r="W232" i="31"/>
  <c r="V232" i="31" a="1"/>
  <c r="V232" i="31"/>
  <c r="X232" i="31" a="1"/>
  <c r="X232" i="31"/>
  <c r="U231" i="31" a="1"/>
  <c r="U231" i="31"/>
  <c r="W231" i="31" a="1"/>
  <c r="W231" i="31"/>
  <c r="V231" i="31" a="1"/>
  <c r="V231" i="31"/>
  <c r="X231" i="31" a="1"/>
  <c r="X231" i="31"/>
  <c r="U230" i="31" a="1"/>
  <c r="U230" i="31"/>
  <c r="W230" i="31" a="1"/>
  <c r="W230" i="31"/>
  <c r="V230" i="31" a="1"/>
  <c r="V230" i="31"/>
  <c r="X230" i="31" a="1"/>
  <c r="X230" i="31"/>
  <c r="U229" i="31" a="1"/>
  <c r="U229" i="31"/>
  <c r="W229" i="31" a="1"/>
  <c r="W229" i="31"/>
  <c r="V229" i="31" a="1"/>
  <c r="V229" i="31"/>
  <c r="X229" i="31" a="1"/>
  <c r="X229" i="31"/>
  <c r="U228" i="31" a="1"/>
  <c r="U228" i="31"/>
  <c r="W228" i="31" a="1"/>
  <c r="W228" i="31"/>
  <c r="V228" i="31" a="1"/>
  <c r="V228" i="31"/>
  <c r="X228" i="31" a="1"/>
  <c r="X228" i="31"/>
  <c r="U227" i="31" a="1"/>
  <c r="U227" i="31"/>
  <c r="W227" i="31" a="1"/>
  <c r="W227" i="31"/>
  <c r="V227" i="31" a="1"/>
  <c r="V227" i="31"/>
  <c r="X227" i="31" a="1"/>
  <c r="X227" i="31"/>
  <c r="U226" i="31" a="1"/>
  <c r="U226" i="31"/>
  <c r="W226" i="31" a="1"/>
  <c r="W226" i="31"/>
  <c r="V226" i="31" a="1"/>
  <c r="V226" i="31"/>
  <c r="X226" i="31" a="1"/>
  <c r="X226" i="31"/>
  <c r="U225" i="31" a="1"/>
  <c r="U225" i="31"/>
  <c r="W225" i="31" a="1"/>
  <c r="W225" i="31"/>
  <c r="V225" i="31" a="1"/>
  <c r="V225" i="31"/>
  <c r="X225" i="31" a="1"/>
  <c r="X225" i="31"/>
  <c r="U224" i="31" a="1"/>
  <c r="U224" i="31"/>
  <c r="W224" i="31" a="1"/>
  <c r="W224" i="31"/>
  <c r="V224" i="31" a="1"/>
  <c r="V224" i="31"/>
  <c r="X224" i="31" a="1"/>
  <c r="X224" i="31"/>
  <c r="U223" i="31" a="1"/>
  <c r="U223" i="31"/>
  <c r="W223" i="31" a="1"/>
  <c r="W223" i="31"/>
  <c r="V223" i="31" a="1"/>
  <c r="V223" i="31"/>
  <c r="X223" i="31" a="1"/>
  <c r="X223" i="31"/>
  <c r="U222" i="31" a="1"/>
  <c r="U222" i="31"/>
  <c r="W222" i="31" a="1"/>
  <c r="W222" i="31"/>
  <c r="V222" i="31" a="1"/>
  <c r="V222" i="31"/>
  <c r="X222" i="31" a="1"/>
  <c r="X222" i="31"/>
  <c r="U221" i="31" a="1"/>
  <c r="U221" i="31"/>
  <c r="W221" i="31" a="1"/>
  <c r="W221" i="31"/>
  <c r="V221" i="31" a="1"/>
  <c r="V221" i="31"/>
  <c r="X221" i="31" a="1"/>
  <c r="X221" i="31"/>
  <c r="U220" i="31" a="1"/>
  <c r="U220" i="31"/>
  <c r="W220" i="31" a="1"/>
  <c r="W220" i="31"/>
  <c r="V220" i="31" a="1"/>
  <c r="V220" i="31"/>
  <c r="X220" i="31" a="1"/>
  <c r="X220" i="31"/>
  <c r="U219" i="31" a="1"/>
  <c r="U219" i="31"/>
  <c r="W219" i="31" a="1"/>
  <c r="W219" i="31"/>
  <c r="V219" i="31" a="1"/>
  <c r="V219" i="31"/>
  <c r="X219" i="31" a="1"/>
  <c r="X219" i="31"/>
  <c r="U218" i="31" a="1"/>
  <c r="U218" i="31"/>
  <c r="W218" i="31" a="1"/>
  <c r="W218" i="31"/>
  <c r="V218" i="31" a="1"/>
  <c r="V218" i="31"/>
  <c r="X218" i="31" a="1"/>
  <c r="X218" i="31"/>
  <c r="U217" i="31" a="1"/>
  <c r="U217" i="31"/>
  <c r="W217" i="31" a="1"/>
  <c r="W217" i="31"/>
  <c r="V217" i="31" a="1"/>
  <c r="V217" i="31"/>
  <c r="X217" i="31" a="1"/>
  <c r="X217" i="31"/>
  <c r="U216" i="31" a="1"/>
  <c r="U216" i="31"/>
  <c r="W216" i="31" a="1"/>
  <c r="W216" i="31"/>
  <c r="V216" i="31" a="1"/>
  <c r="V216" i="31"/>
  <c r="X216" i="31" a="1"/>
  <c r="X216" i="31"/>
  <c r="U215" i="31" a="1"/>
  <c r="U215" i="31"/>
  <c r="W215" i="31" a="1"/>
  <c r="W215" i="31"/>
  <c r="V215" i="31" a="1"/>
  <c r="V215" i="31"/>
  <c r="X215" i="31" a="1"/>
  <c r="X215" i="31"/>
  <c r="U214" i="31" a="1"/>
  <c r="U214" i="31"/>
  <c r="W214" i="31" a="1"/>
  <c r="W214" i="31"/>
  <c r="V214" i="31" a="1"/>
  <c r="V214" i="31"/>
  <c r="X214" i="31" a="1"/>
  <c r="X214" i="31"/>
  <c r="U213" i="31" a="1"/>
  <c r="U213" i="31"/>
  <c r="W213" i="31" a="1"/>
  <c r="W213" i="31"/>
  <c r="V213" i="31" a="1"/>
  <c r="V213" i="31"/>
  <c r="X213" i="31" a="1"/>
  <c r="X213" i="31"/>
  <c r="U212" i="31" a="1"/>
  <c r="U212" i="31"/>
  <c r="W212" i="31" a="1"/>
  <c r="W212" i="31"/>
  <c r="V212" i="31" a="1"/>
  <c r="V212" i="31"/>
  <c r="X212" i="31" a="1"/>
  <c r="X212" i="31"/>
  <c r="U211" i="31" a="1"/>
  <c r="U211" i="31"/>
  <c r="W211" i="31" a="1"/>
  <c r="W211" i="31"/>
  <c r="V211" i="31" a="1"/>
  <c r="V211" i="31"/>
  <c r="X211" i="31" a="1"/>
  <c r="X211" i="31"/>
  <c r="U210" i="31" a="1"/>
  <c r="U210" i="31"/>
  <c r="W210" i="31" a="1"/>
  <c r="W210" i="31"/>
  <c r="V210" i="31" a="1"/>
  <c r="V210" i="31"/>
  <c r="X210" i="31" a="1"/>
  <c r="X210" i="31"/>
  <c r="U209" i="31" a="1"/>
  <c r="U209" i="31"/>
  <c r="W209" i="31" a="1"/>
  <c r="W209" i="31"/>
  <c r="V209" i="31" a="1"/>
  <c r="V209" i="31"/>
  <c r="X209" i="31" a="1"/>
  <c r="X209" i="31"/>
  <c r="U208" i="31" a="1"/>
  <c r="U208" i="31"/>
  <c r="W208" i="31" a="1"/>
  <c r="W208" i="31"/>
  <c r="V208" i="31" a="1"/>
  <c r="V208" i="31"/>
  <c r="X208" i="31" a="1"/>
  <c r="X208" i="31"/>
  <c r="U207" i="31" a="1"/>
  <c r="U207" i="31"/>
  <c r="W207" i="31" a="1"/>
  <c r="W207" i="31"/>
  <c r="V207" i="31" a="1"/>
  <c r="V207" i="31"/>
  <c r="X207" i="31" a="1"/>
  <c r="X207" i="31"/>
  <c r="U206" i="31" a="1"/>
  <c r="U206" i="31"/>
  <c r="W206" i="31" a="1"/>
  <c r="W206" i="31"/>
  <c r="V206" i="31" a="1"/>
  <c r="V206" i="31"/>
  <c r="X206" i="31" a="1"/>
  <c r="X206" i="31"/>
  <c r="U205" i="31" a="1"/>
  <c r="U205" i="31"/>
  <c r="W205" i="31" a="1"/>
  <c r="W205" i="31"/>
  <c r="V205" i="31" a="1"/>
  <c r="V205" i="31"/>
  <c r="X205" i="31" a="1"/>
  <c r="X205" i="31"/>
  <c r="U204" i="31" a="1"/>
  <c r="U204" i="31"/>
  <c r="W204" i="31" a="1"/>
  <c r="W204" i="31"/>
  <c r="V204" i="31" a="1"/>
  <c r="V204" i="31"/>
  <c r="X204" i="31" a="1"/>
  <c r="X204" i="31"/>
  <c r="U203" i="31" a="1"/>
  <c r="U203" i="31"/>
  <c r="W203" i="31" a="1"/>
  <c r="W203" i="31"/>
  <c r="V203" i="31" a="1"/>
  <c r="V203" i="31"/>
  <c r="X203" i="31" a="1"/>
  <c r="X203" i="31"/>
  <c r="U202" i="31" a="1"/>
  <c r="U202" i="31"/>
  <c r="W202" i="31" a="1"/>
  <c r="W202" i="31"/>
  <c r="V202" i="31" a="1"/>
  <c r="V202" i="31"/>
  <c r="X202" i="31" a="1"/>
  <c r="X202" i="31"/>
  <c r="U201" i="31" a="1"/>
  <c r="U201" i="31"/>
  <c r="W201" i="31" a="1"/>
  <c r="W201" i="31"/>
  <c r="V201" i="31" a="1"/>
  <c r="V201" i="31"/>
  <c r="X201" i="31" a="1"/>
  <c r="X201" i="31"/>
  <c r="U200" i="31" a="1"/>
  <c r="U200" i="31"/>
  <c r="W200" i="31" a="1"/>
  <c r="W200" i="31"/>
  <c r="V200" i="31" a="1"/>
  <c r="V200" i="31"/>
  <c r="X200" i="31" a="1"/>
  <c r="X200" i="31"/>
  <c r="U199" i="31" a="1"/>
  <c r="U199" i="31"/>
  <c r="W199" i="31" a="1"/>
  <c r="W199" i="31"/>
  <c r="V199" i="31" a="1"/>
  <c r="V199" i="31"/>
  <c r="X199" i="31" a="1"/>
  <c r="X199" i="31"/>
  <c r="U198" i="31" a="1"/>
  <c r="U198" i="31"/>
  <c r="W198" i="31" a="1"/>
  <c r="W198" i="31"/>
  <c r="V198" i="31" a="1"/>
  <c r="V198" i="31"/>
  <c r="X198" i="31" a="1"/>
  <c r="X198" i="31"/>
  <c r="U197" i="31" a="1"/>
  <c r="U197" i="31"/>
  <c r="W197" i="31" a="1"/>
  <c r="W197" i="31"/>
  <c r="V197" i="31" a="1"/>
  <c r="V197" i="31"/>
  <c r="X197" i="31" a="1"/>
  <c r="X197" i="31"/>
  <c r="U196" i="31" a="1"/>
  <c r="U196" i="31"/>
  <c r="W196" i="31" a="1"/>
  <c r="W196" i="31"/>
  <c r="V196" i="31" a="1"/>
  <c r="V196" i="31"/>
  <c r="X196" i="31" a="1"/>
  <c r="X196" i="31"/>
  <c r="U195" i="31" a="1"/>
  <c r="U195" i="31"/>
  <c r="W195" i="31" a="1"/>
  <c r="W195" i="31"/>
  <c r="V195" i="31" a="1"/>
  <c r="V195" i="31"/>
  <c r="X195" i="31" a="1"/>
  <c r="X195" i="31"/>
  <c r="U194" i="31" a="1"/>
  <c r="U194" i="31"/>
  <c r="W194" i="31" a="1"/>
  <c r="W194" i="31"/>
  <c r="V194" i="31" a="1"/>
  <c r="V194" i="31"/>
  <c r="X194" i="31" a="1"/>
  <c r="X194" i="31"/>
  <c r="U193" i="31" a="1"/>
  <c r="U193" i="31"/>
  <c r="W193" i="31" a="1"/>
  <c r="W193" i="31"/>
  <c r="V193" i="31" a="1"/>
  <c r="V193" i="31"/>
  <c r="X193" i="31" a="1"/>
  <c r="X193" i="31"/>
  <c r="U192" i="31" a="1"/>
  <c r="U192" i="31"/>
  <c r="W192" i="31" a="1"/>
  <c r="W192" i="31"/>
  <c r="V192" i="31" a="1"/>
  <c r="V192" i="31"/>
  <c r="X192" i="31" a="1"/>
  <c r="X192" i="31"/>
  <c r="U191" i="31" a="1"/>
  <c r="U191" i="31"/>
  <c r="W191" i="31" a="1"/>
  <c r="W191" i="31"/>
  <c r="V191" i="31" a="1"/>
  <c r="V191" i="31"/>
  <c r="X191" i="31" a="1"/>
  <c r="X191" i="31"/>
  <c r="U190" i="31" a="1"/>
  <c r="U190" i="31"/>
  <c r="W190" i="31" a="1"/>
  <c r="W190" i="31"/>
  <c r="V190" i="31" a="1"/>
  <c r="V190" i="31"/>
  <c r="X190" i="31" a="1"/>
  <c r="X190" i="31"/>
  <c r="U189" i="31" a="1"/>
  <c r="U189" i="31"/>
  <c r="W189" i="31" a="1"/>
  <c r="W189" i="31"/>
  <c r="V189" i="31" a="1"/>
  <c r="V189" i="31"/>
  <c r="X189" i="31" a="1"/>
  <c r="X189" i="31"/>
  <c r="U188" i="31" a="1"/>
  <c r="U188" i="31"/>
  <c r="W188" i="31" a="1"/>
  <c r="W188" i="31"/>
  <c r="V188" i="31" a="1"/>
  <c r="V188" i="31"/>
  <c r="X188" i="31" a="1"/>
  <c r="X188" i="31"/>
  <c r="U187" i="31" a="1"/>
  <c r="U187" i="31"/>
  <c r="W187" i="31" a="1"/>
  <c r="W187" i="31"/>
  <c r="V187" i="31" a="1"/>
  <c r="V187" i="31"/>
  <c r="X187" i="31" a="1"/>
  <c r="X187" i="31"/>
  <c r="U186" i="31" a="1"/>
  <c r="U186" i="31"/>
  <c r="W186" i="31" a="1"/>
  <c r="W186" i="31"/>
  <c r="V186" i="31" a="1"/>
  <c r="V186" i="31"/>
  <c r="X186" i="31" a="1"/>
  <c r="X186" i="31"/>
  <c r="U185" i="31" a="1"/>
  <c r="U185" i="31"/>
  <c r="W185" i="31" a="1"/>
  <c r="W185" i="31"/>
  <c r="V185" i="31" a="1"/>
  <c r="V185" i="31"/>
  <c r="X185" i="31" a="1"/>
  <c r="X185" i="31"/>
  <c r="U184" i="31" a="1"/>
  <c r="U184" i="31"/>
  <c r="W184" i="31" a="1"/>
  <c r="W184" i="31"/>
  <c r="V184" i="31" a="1"/>
  <c r="V184" i="31"/>
  <c r="X184" i="31" a="1"/>
  <c r="X184" i="31"/>
  <c r="U183" i="31" a="1"/>
  <c r="U183" i="31"/>
  <c r="W183" i="31" a="1"/>
  <c r="W183" i="31"/>
  <c r="V183" i="31" a="1"/>
  <c r="V183" i="31"/>
  <c r="X183" i="31" a="1"/>
  <c r="X183" i="31"/>
  <c r="U182" i="31" a="1"/>
  <c r="U182" i="31"/>
  <c r="W182" i="31" a="1"/>
  <c r="W182" i="31"/>
  <c r="V182" i="31" a="1"/>
  <c r="V182" i="31"/>
  <c r="X182" i="31" a="1"/>
  <c r="X182" i="31"/>
  <c r="U181" i="31" a="1"/>
  <c r="U181" i="31"/>
  <c r="W181" i="31" a="1"/>
  <c r="W181" i="31"/>
  <c r="V181" i="31" a="1"/>
  <c r="V181" i="31"/>
  <c r="X181" i="31" a="1"/>
  <c r="X181" i="31"/>
  <c r="U180" i="31" a="1"/>
  <c r="U180" i="31"/>
  <c r="W180" i="31" a="1"/>
  <c r="W180" i="31"/>
  <c r="V180" i="31" a="1"/>
  <c r="V180" i="31"/>
  <c r="X180" i="31" a="1"/>
  <c r="X180" i="31"/>
  <c r="U179" i="31" a="1"/>
  <c r="U179" i="31"/>
  <c r="W179" i="31" a="1"/>
  <c r="W179" i="31"/>
  <c r="V179" i="31" a="1"/>
  <c r="V179" i="31"/>
  <c r="X179" i="31" a="1"/>
  <c r="X179" i="31"/>
  <c r="U178" i="31" a="1"/>
  <c r="U178" i="31"/>
  <c r="W178" i="31" a="1"/>
  <c r="W178" i="31"/>
  <c r="V178" i="31" a="1"/>
  <c r="V178" i="31"/>
  <c r="X178" i="31" a="1"/>
  <c r="X178" i="31"/>
  <c r="U177" i="31" a="1"/>
  <c r="U177" i="31"/>
  <c r="W177" i="31" a="1"/>
  <c r="W177" i="31"/>
  <c r="V177" i="31" a="1"/>
  <c r="V177" i="31"/>
  <c r="X177" i="31" a="1"/>
  <c r="X177" i="31"/>
  <c r="U176" i="31" a="1"/>
  <c r="U176" i="31"/>
  <c r="W176" i="31" a="1"/>
  <c r="W176" i="31"/>
  <c r="V176" i="31" a="1"/>
  <c r="V176" i="31"/>
  <c r="X176" i="31" a="1"/>
  <c r="X176" i="31"/>
  <c r="U175" i="31" a="1"/>
  <c r="U175" i="31"/>
  <c r="W175" i="31" a="1"/>
  <c r="W175" i="31"/>
  <c r="V175" i="31" a="1"/>
  <c r="V175" i="31"/>
  <c r="X175" i="31" a="1"/>
  <c r="X175" i="31"/>
  <c r="U174" i="31" a="1"/>
  <c r="U174" i="31"/>
  <c r="W174" i="31" a="1"/>
  <c r="W174" i="31"/>
  <c r="V174" i="31" a="1"/>
  <c r="V174" i="31"/>
  <c r="X174" i="31" a="1"/>
  <c r="X174" i="31"/>
  <c r="U173" i="31" a="1"/>
  <c r="U173" i="31"/>
  <c r="W173" i="31" a="1"/>
  <c r="W173" i="31"/>
  <c r="V173" i="31" a="1"/>
  <c r="V173" i="31"/>
  <c r="X173" i="31" a="1"/>
  <c r="X173" i="31"/>
  <c r="U172" i="31" a="1"/>
  <c r="U172" i="31"/>
  <c r="W172" i="31" a="1"/>
  <c r="W172" i="31"/>
  <c r="V172" i="31" a="1"/>
  <c r="V172" i="31"/>
  <c r="X172" i="31" a="1"/>
  <c r="X172" i="31"/>
  <c r="U171" i="31" a="1"/>
  <c r="U171" i="31"/>
  <c r="W171" i="31" a="1"/>
  <c r="W171" i="31"/>
  <c r="V171" i="31" a="1"/>
  <c r="V171" i="31"/>
  <c r="X171" i="31" a="1"/>
  <c r="X171" i="31"/>
  <c r="U170" i="31" a="1"/>
  <c r="U170" i="31"/>
  <c r="W170" i="31" a="1"/>
  <c r="W170" i="31"/>
  <c r="V170" i="31" a="1"/>
  <c r="V170" i="31"/>
  <c r="X170" i="31" a="1"/>
  <c r="X170" i="31"/>
  <c r="U169" i="31" a="1"/>
  <c r="U169" i="31"/>
  <c r="W169" i="31" a="1"/>
  <c r="W169" i="31"/>
  <c r="V169" i="31" a="1"/>
  <c r="V169" i="31"/>
  <c r="X169" i="31" a="1"/>
  <c r="X169" i="31"/>
  <c r="U168" i="31" a="1"/>
  <c r="U168" i="31"/>
  <c r="W168" i="31" a="1"/>
  <c r="W168" i="31"/>
  <c r="V168" i="31" a="1"/>
  <c r="V168" i="31"/>
  <c r="X168" i="31" a="1"/>
  <c r="X168" i="31"/>
  <c r="U167" i="31" a="1"/>
  <c r="U167" i="31"/>
  <c r="W167" i="31" a="1"/>
  <c r="W167" i="31"/>
  <c r="V167" i="31" a="1"/>
  <c r="V167" i="31"/>
  <c r="X167" i="31" a="1"/>
  <c r="X167" i="31"/>
  <c r="U166" i="31" a="1"/>
  <c r="U166" i="31"/>
  <c r="W166" i="31" a="1"/>
  <c r="W166" i="31"/>
  <c r="V166" i="31" a="1"/>
  <c r="V166" i="31"/>
  <c r="X166" i="31" a="1"/>
  <c r="X166" i="31"/>
  <c r="U165" i="31" a="1"/>
  <c r="U165" i="31"/>
  <c r="W165" i="31" a="1"/>
  <c r="W165" i="31"/>
  <c r="V165" i="31" a="1"/>
  <c r="V165" i="31"/>
  <c r="X165" i="31" a="1"/>
  <c r="X165" i="31"/>
  <c r="U164" i="31" a="1"/>
  <c r="U164" i="31"/>
  <c r="W164" i="31" a="1"/>
  <c r="W164" i="31"/>
  <c r="V164" i="31" a="1"/>
  <c r="V164" i="31"/>
  <c r="X164" i="31" a="1"/>
  <c r="X164" i="31"/>
  <c r="U163" i="31" a="1"/>
  <c r="U163" i="31"/>
  <c r="W163" i="31" a="1"/>
  <c r="W163" i="31"/>
  <c r="V163" i="31" a="1"/>
  <c r="V163" i="31"/>
  <c r="X163" i="31" a="1"/>
  <c r="X163" i="31"/>
  <c r="U162" i="31" a="1"/>
  <c r="U162" i="31"/>
  <c r="W162" i="31" a="1"/>
  <c r="W162" i="31"/>
  <c r="V162" i="31" a="1"/>
  <c r="V162" i="31"/>
  <c r="X162" i="31" a="1"/>
  <c r="X162" i="31"/>
  <c r="U161" i="31" a="1"/>
  <c r="U161" i="31"/>
  <c r="W161" i="31" a="1"/>
  <c r="W161" i="31"/>
  <c r="V161" i="31" a="1"/>
  <c r="V161" i="31"/>
  <c r="X161" i="31" a="1"/>
  <c r="X161" i="31"/>
  <c r="U160" i="31" a="1"/>
  <c r="U160" i="31"/>
  <c r="W160" i="31" a="1"/>
  <c r="W160" i="31"/>
  <c r="V160" i="31" a="1"/>
  <c r="V160" i="31"/>
  <c r="X160" i="31" a="1"/>
  <c r="X160" i="31"/>
  <c r="U159" i="31" a="1"/>
  <c r="U159" i="31"/>
  <c r="W159" i="31" a="1"/>
  <c r="W159" i="31"/>
  <c r="V159" i="31" a="1"/>
  <c r="V159" i="31"/>
  <c r="X159" i="31" a="1"/>
  <c r="X159" i="31"/>
  <c r="U158" i="31" a="1"/>
  <c r="U158" i="31"/>
  <c r="W158" i="31" a="1"/>
  <c r="W158" i="31"/>
  <c r="V158" i="31" a="1"/>
  <c r="V158" i="31"/>
  <c r="X158" i="31" a="1"/>
  <c r="X158" i="31"/>
  <c r="U157" i="31" a="1"/>
  <c r="U157" i="31"/>
  <c r="W157" i="31" a="1"/>
  <c r="W157" i="31"/>
  <c r="V157" i="31" a="1"/>
  <c r="V157" i="31"/>
  <c r="X157" i="31" a="1"/>
  <c r="X157" i="31"/>
  <c r="U156" i="31" a="1"/>
  <c r="U156" i="31"/>
  <c r="W156" i="31" a="1"/>
  <c r="W156" i="31"/>
  <c r="V156" i="31" a="1"/>
  <c r="V156" i="31"/>
  <c r="X156" i="31" a="1"/>
  <c r="X156" i="31"/>
  <c r="U155" i="31" a="1"/>
  <c r="U155" i="31"/>
  <c r="W155" i="31" a="1"/>
  <c r="W155" i="31"/>
  <c r="V155" i="31" a="1"/>
  <c r="V155" i="31"/>
  <c r="X155" i="31" a="1"/>
  <c r="X155" i="31"/>
  <c r="U154" i="31" a="1"/>
  <c r="U154" i="31"/>
  <c r="W154" i="31" a="1"/>
  <c r="W154" i="31"/>
  <c r="V154" i="31" a="1"/>
  <c r="V154" i="31"/>
  <c r="X154" i="31" a="1"/>
  <c r="X154" i="31"/>
  <c r="U153" i="31" a="1"/>
  <c r="U153" i="31"/>
  <c r="W153" i="31" a="1"/>
  <c r="W153" i="31"/>
  <c r="V153" i="31" a="1"/>
  <c r="V153" i="31"/>
  <c r="X153" i="31" a="1"/>
  <c r="X153" i="31"/>
  <c r="U152" i="31" a="1"/>
  <c r="U152" i="31"/>
  <c r="W152" i="31" a="1"/>
  <c r="W152" i="31"/>
  <c r="V152" i="31" a="1"/>
  <c r="V152" i="31"/>
  <c r="X152" i="31" a="1"/>
  <c r="X152" i="31"/>
  <c r="U151" i="31" a="1"/>
  <c r="U151" i="31"/>
  <c r="W151" i="31" a="1"/>
  <c r="W151" i="31"/>
  <c r="V151" i="31" a="1"/>
  <c r="V151" i="31"/>
  <c r="X151" i="31" a="1"/>
  <c r="X151" i="31"/>
  <c r="U150" i="31" a="1"/>
  <c r="U150" i="31"/>
  <c r="W150" i="31" a="1"/>
  <c r="W150" i="31"/>
  <c r="V150" i="31" a="1"/>
  <c r="V150" i="31"/>
  <c r="X150" i="31" a="1"/>
  <c r="X150" i="31"/>
  <c r="U149" i="31" a="1"/>
  <c r="U149" i="31"/>
  <c r="W149" i="31" a="1"/>
  <c r="W149" i="31"/>
  <c r="V149" i="31" a="1"/>
  <c r="V149" i="31"/>
  <c r="X149" i="31" a="1"/>
  <c r="X149" i="31"/>
  <c r="U148" i="31" a="1"/>
  <c r="U148" i="31"/>
  <c r="W148" i="31" a="1"/>
  <c r="W148" i="31"/>
  <c r="V148" i="31" a="1"/>
  <c r="V148" i="31"/>
  <c r="X148" i="31" a="1"/>
  <c r="X148" i="31"/>
  <c r="U147" i="31" a="1"/>
  <c r="U147" i="31"/>
  <c r="W147" i="31" a="1"/>
  <c r="W147" i="31"/>
  <c r="V147" i="31" a="1"/>
  <c r="V147" i="31"/>
  <c r="X147" i="31" a="1"/>
  <c r="X147" i="31"/>
  <c r="U146" i="31" a="1"/>
  <c r="U146" i="31"/>
  <c r="W146" i="31" a="1"/>
  <c r="W146" i="31"/>
  <c r="V146" i="31" a="1"/>
  <c r="V146" i="31"/>
  <c r="X146" i="31" a="1"/>
  <c r="X146" i="31"/>
  <c r="U145" i="31" a="1"/>
  <c r="U145" i="31"/>
  <c r="W145" i="31" a="1"/>
  <c r="W145" i="31"/>
  <c r="V145" i="31" a="1"/>
  <c r="V145" i="31"/>
  <c r="X145" i="31" a="1"/>
  <c r="X145" i="31"/>
  <c r="U144" i="31" a="1"/>
  <c r="U144" i="31"/>
  <c r="W144" i="31" a="1"/>
  <c r="W144" i="31"/>
  <c r="V144" i="31" a="1"/>
  <c r="V144" i="31"/>
  <c r="X144" i="31" a="1"/>
  <c r="X144" i="31"/>
  <c r="U143" i="31" a="1"/>
  <c r="U143" i="31"/>
  <c r="W143" i="31" a="1"/>
  <c r="W143" i="31"/>
  <c r="V143" i="31" a="1"/>
  <c r="V143" i="31"/>
  <c r="X143" i="31" a="1"/>
  <c r="X143" i="31"/>
  <c r="U142" i="31" a="1"/>
  <c r="U142" i="31"/>
  <c r="W142" i="31" a="1"/>
  <c r="W142" i="31"/>
  <c r="V142" i="31" a="1"/>
  <c r="V142" i="31"/>
  <c r="X142" i="31" a="1"/>
  <c r="X142" i="31"/>
  <c r="U141" i="31" a="1"/>
  <c r="U141" i="31"/>
  <c r="W141" i="31" a="1"/>
  <c r="W141" i="31"/>
  <c r="V141" i="31" a="1"/>
  <c r="V141" i="31"/>
  <c r="X141" i="31" a="1"/>
  <c r="X141" i="31"/>
  <c r="U140" i="31" a="1"/>
  <c r="U140" i="31"/>
  <c r="W140" i="31" a="1"/>
  <c r="W140" i="31"/>
  <c r="V140" i="31" a="1"/>
  <c r="V140" i="31"/>
  <c r="X140" i="31" a="1"/>
  <c r="X140" i="31"/>
  <c r="U139" i="31" a="1"/>
  <c r="U139" i="31"/>
  <c r="W139" i="31" a="1"/>
  <c r="W139" i="31"/>
  <c r="V139" i="31" a="1"/>
  <c r="V139" i="31"/>
  <c r="X139" i="31" a="1"/>
  <c r="X139" i="31"/>
  <c r="U138" i="31" a="1"/>
  <c r="U138" i="31"/>
  <c r="W138" i="31" a="1"/>
  <c r="W138" i="31"/>
  <c r="V138" i="31" a="1"/>
  <c r="V138" i="31"/>
  <c r="X138" i="31" a="1"/>
  <c r="X138" i="31"/>
  <c r="U137" i="31" a="1"/>
  <c r="U137" i="31"/>
  <c r="W137" i="31" a="1"/>
  <c r="W137" i="31"/>
  <c r="V137" i="31" a="1"/>
  <c r="V137" i="31"/>
  <c r="X137" i="31" a="1"/>
  <c r="X137" i="31"/>
  <c r="U136" i="31" a="1"/>
  <c r="U136" i="31"/>
  <c r="W136" i="31" a="1"/>
  <c r="W136" i="31"/>
  <c r="V136" i="31" a="1"/>
  <c r="V136" i="31"/>
  <c r="X136" i="31" a="1"/>
  <c r="X136" i="31"/>
  <c r="U135" i="31" a="1"/>
  <c r="U135" i="31"/>
  <c r="W135" i="31" a="1"/>
  <c r="W135" i="31"/>
  <c r="V135" i="31" a="1"/>
  <c r="V135" i="31"/>
  <c r="X135" i="31" a="1"/>
  <c r="X135" i="31"/>
  <c r="U134" i="31" a="1"/>
  <c r="U134" i="31"/>
  <c r="W134" i="31" a="1"/>
  <c r="W134" i="31"/>
  <c r="V134" i="31" a="1"/>
  <c r="V134" i="31"/>
  <c r="X134" i="31" a="1"/>
  <c r="X134" i="31"/>
  <c r="U133" i="31" a="1"/>
  <c r="U133" i="31"/>
  <c r="W133" i="31" a="1"/>
  <c r="W133" i="31"/>
  <c r="V133" i="31" a="1"/>
  <c r="V133" i="31"/>
  <c r="X133" i="31" a="1"/>
  <c r="X133" i="31"/>
  <c r="U132" i="31" a="1"/>
  <c r="U132" i="31"/>
  <c r="W132" i="31" a="1"/>
  <c r="W132" i="31"/>
  <c r="V132" i="31" a="1"/>
  <c r="V132" i="31"/>
  <c r="X132" i="31" a="1"/>
  <c r="X132" i="31"/>
  <c r="U131" i="31" a="1"/>
  <c r="U131" i="31"/>
  <c r="W131" i="31" a="1"/>
  <c r="W131" i="31"/>
  <c r="V131" i="31" a="1"/>
  <c r="V131" i="31"/>
  <c r="X131" i="31" a="1"/>
  <c r="X131" i="31"/>
  <c r="U130" i="31" a="1"/>
  <c r="U130" i="31"/>
  <c r="W130" i="31" a="1"/>
  <c r="W130" i="31"/>
  <c r="V130" i="31" a="1"/>
  <c r="V130" i="31"/>
  <c r="X130" i="31" a="1"/>
  <c r="X130" i="31"/>
  <c r="U129" i="31" a="1"/>
  <c r="U129" i="31"/>
  <c r="W129" i="31" a="1"/>
  <c r="W129" i="31"/>
  <c r="V129" i="31" a="1"/>
  <c r="V129" i="31"/>
  <c r="X129" i="31" a="1"/>
  <c r="X129" i="31"/>
  <c r="U128" i="31" a="1"/>
  <c r="U128" i="31"/>
  <c r="W128" i="31" a="1"/>
  <c r="W128" i="31"/>
  <c r="V128" i="31" a="1"/>
  <c r="V128" i="31"/>
  <c r="X128" i="31" a="1"/>
  <c r="X128" i="31"/>
  <c r="U127" i="31" a="1"/>
  <c r="U127" i="31"/>
  <c r="W127" i="31" a="1"/>
  <c r="W127" i="31"/>
  <c r="V127" i="31" a="1"/>
  <c r="V127" i="31"/>
  <c r="X127" i="31" a="1"/>
  <c r="X127" i="31"/>
  <c r="U126" i="31" a="1"/>
  <c r="U126" i="31"/>
  <c r="W126" i="31" a="1"/>
  <c r="W126" i="31"/>
  <c r="V126" i="31" a="1"/>
  <c r="V126" i="31"/>
  <c r="X126" i="31" a="1"/>
  <c r="X126" i="31"/>
  <c r="U125" i="31" a="1"/>
  <c r="U125" i="31"/>
  <c r="W125" i="31" a="1"/>
  <c r="W125" i="31"/>
  <c r="V125" i="31" a="1"/>
  <c r="V125" i="31"/>
  <c r="X125" i="31" a="1"/>
  <c r="X125" i="31"/>
  <c r="U124" i="31" a="1"/>
  <c r="U124" i="31"/>
  <c r="W124" i="31" a="1"/>
  <c r="W124" i="31"/>
  <c r="V124" i="31" a="1"/>
  <c r="V124" i="31"/>
  <c r="X124" i="31" a="1"/>
  <c r="X124" i="31"/>
  <c r="U123" i="31" a="1"/>
  <c r="U123" i="31"/>
  <c r="W123" i="31" a="1"/>
  <c r="W123" i="31"/>
  <c r="V123" i="31" a="1"/>
  <c r="V123" i="31"/>
  <c r="X123" i="31" a="1"/>
  <c r="X123" i="31"/>
  <c r="U122" i="31" a="1"/>
  <c r="U122" i="31"/>
  <c r="W122" i="31" a="1"/>
  <c r="W122" i="31"/>
  <c r="V122" i="31" a="1"/>
  <c r="V122" i="31"/>
  <c r="X122" i="31" a="1"/>
  <c r="X122" i="31"/>
  <c r="U121" i="31" a="1"/>
  <c r="U121" i="31"/>
  <c r="W121" i="31" a="1"/>
  <c r="W121" i="31"/>
  <c r="V121" i="31" a="1"/>
  <c r="V121" i="31"/>
  <c r="X121" i="31" a="1"/>
  <c r="X121" i="31"/>
  <c r="U120" i="31" a="1"/>
  <c r="U120" i="31"/>
  <c r="W120" i="31" a="1"/>
  <c r="W120" i="31"/>
  <c r="V120" i="31" a="1"/>
  <c r="V120" i="31"/>
  <c r="X120" i="31" a="1"/>
  <c r="X120" i="31"/>
  <c r="U119" i="31" a="1"/>
  <c r="U119" i="31"/>
  <c r="W119" i="31" a="1"/>
  <c r="W119" i="31"/>
  <c r="V119" i="31" a="1"/>
  <c r="V119" i="31"/>
  <c r="X119" i="31" a="1"/>
  <c r="X119" i="31"/>
  <c r="U118" i="31" a="1"/>
  <c r="U118" i="31"/>
  <c r="W118" i="31" a="1"/>
  <c r="W118" i="31"/>
  <c r="V118" i="31" a="1"/>
  <c r="V118" i="31"/>
  <c r="X118" i="31" a="1"/>
  <c r="X118" i="31"/>
  <c r="U117" i="31" a="1"/>
  <c r="U117" i="31"/>
  <c r="W117" i="31" a="1"/>
  <c r="W117" i="31"/>
  <c r="V117" i="31" a="1"/>
  <c r="V117" i="31"/>
  <c r="X117" i="31" a="1"/>
  <c r="X117" i="31"/>
  <c r="U116" i="31" a="1"/>
  <c r="U116" i="31"/>
  <c r="W116" i="31" a="1"/>
  <c r="W116" i="31"/>
  <c r="V116" i="31" a="1"/>
  <c r="V116" i="31"/>
  <c r="X116" i="31" a="1"/>
  <c r="X116" i="31"/>
  <c r="U115" i="31" a="1"/>
  <c r="U115" i="31"/>
  <c r="W115" i="31" a="1"/>
  <c r="W115" i="31"/>
  <c r="V115" i="31" a="1"/>
  <c r="V115" i="31"/>
  <c r="X115" i="31" a="1"/>
  <c r="X115" i="31"/>
  <c r="U114" i="31" a="1"/>
  <c r="U114" i="31"/>
  <c r="W114" i="31" a="1"/>
  <c r="W114" i="31"/>
  <c r="V114" i="31" a="1"/>
  <c r="V114" i="31"/>
  <c r="X114" i="31" a="1"/>
  <c r="X114" i="31"/>
  <c r="U113" i="31" a="1"/>
  <c r="U113" i="31"/>
  <c r="W113" i="31" a="1"/>
  <c r="W113" i="31"/>
  <c r="V113" i="31" a="1"/>
  <c r="V113" i="31"/>
  <c r="X113" i="31" a="1"/>
  <c r="X113" i="31"/>
  <c r="U112" i="31" a="1"/>
  <c r="U112" i="31"/>
  <c r="W112" i="31" a="1"/>
  <c r="W112" i="31"/>
  <c r="V112" i="31" a="1"/>
  <c r="V112" i="31"/>
  <c r="X112" i="31" a="1"/>
  <c r="X112" i="31"/>
  <c r="U111" i="31" a="1"/>
  <c r="U111" i="31"/>
  <c r="W111" i="31" a="1"/>
  <c r="W111" i="31"/>
  <c r="V111" i="31" a="1"/>
  <c r="V111" i="31"/>
  <c r="X111" i="31" a="1"/>
  <c r="X111" i="31"/>
  <c r="U110" i="31" a="1"/>
  <c r="U110" i="31"/>
  <c r="W110" i="31" a="1"/>
  <c r="W110" i="31"/>
  <c r="V110" i="31" a="1"/>
  <c r="V110" i="31"/>
  <c r="X110" i="31" a="1"/>
  <c r="X110" i="31"/>
  <c r="U109" i="31" a="1"/>
  <c r="U109" i="31"/>
  <c r="W109" i="31" a="1"/>
  <c r="W109" i="31"/>
  <c r="V109" i="31" a="1"/>
  <c r="V109" i="31"/>
  <c r="X109" i="31" a="1"/>
  <c r="X109" i="31"/>
  <c r="U108" i="31" a="1"/>
  <c r="U108" i="31"/>
  <c r="W108" i="31" a="1"/>
  <c r="W108" i="31"/>
  <c r="V108" i="31" a="1"/>
  <c r="V108" i="31"/>
  <c r="X108" i="31" a="1"/>
  <c r="X108" i="31"/>
  <c r="U107" i="31" a="1"/>
  <c r="U107" i="31"/>
  <c r="W107" i="31" a="1"/>
  <c r="W107" i="31"/>
  <c r="V107" i="31" a="1"/>
  <c r="V107" i="31"/>
  <c r="X107" i="31" a="1"/>
  <c r="X107" i="31"/>
  <c r="U106" i="31" a="1"/>
  <c r="U106" i="31"/>
  <c r="W106" i="31" a="1"/>
  <c r="W106" i="31"/>
  <c r="V106" i="31" a="1"/>
  <c r="V106" i="31"/>
  <c r="X106" i="31" a="1"/>
  <c r="X106" i="31"/>
  <c r="U105" i="31" a="1"/>
  <c r="U105" i="31"/>
  <c r="W105" i="31" a="1"/>
  <c r="W105" i="31"/>
  <c r="V105" i="31" a="1"/>
  <c r="V105" i="31"/>
  <c r="X105" i="31" a="1"/>
  <c r="X105" i="31"/>
  <c r="U104" i="31" a="1"/>
  <c r="U104" i="31"/>
  <c r="W104" i="31" a="1"/>
  <c r="W104" i="31"/>
  <c r="V104" i="31" a="1"/>
  <c r="V104" i="31"/>
  <c r="X104" i="31" a="1"/>
  <c r="X104" i="31"/>
  <c r="U103" i="31" a="1"/>
  <c r="U103" i="31"/>
  <c r="W103" i="31" a="1"/>
  <c r="W103" i="31"/>
  <c r="V103" i="31" a="1"/>
  <c r="V103" i="31"/>
  <c r="X103" i="31" a="1"/>
  <c r="X103" i="31"/>
  <c r="U102" i="31" a="1"/>
  <c r="U102" i="31"/>
  <c r="W102" i="31" a="1"/>
  <c r="W102" i="31"/>
  <c r="V102" i="31" a="1"/>
  <c r="V102" i="31"/>
  <c r="X102" i="31" a="1"/>
  <c r="X102" i="31"/>
  <c r="U101" i="31" a="1"/>
  <c r="U101" i="31"/>
  <c r="W101" i="31" a="1"/>
  <c r="W101" i="31"/>
  <c r="V101" i="31" a="1"/>
  <c r="V101" i="31"/>
  <c r="X101" i="31" a="1"/>
  <c r="X101" i="31"/>
  <c r="U100" i="31" a="1"/>
  <c r="U100" i="31"/>
  <c r="W100" i="31" a="1"/>
  <c r="W100" i="31"/>
  <c r="V100" i="31" a="1"/>
  <c r="V100" i="31"/>
  <c r="X100" i="31" a="1"/>
  <c r="X100" i="31"/>
  <c r="U99" i="31" a="1"/>
  <c r="U99" i="31"/>
  <c r="W99" i="31" a="1"/>
  <c r="W99" i="31"/>
  <c r="V99" i="31" a="1"/>
  <c r="V99" i="31"/>
  <c r="X99" i="31" a="1"/>
  <c r="X99" i="31"/>
  <c r="U98" i="31" a="1"/>
  <c r="U98" i="31"/>
  <c r="W98" i="31" a="1"/>
  <c r="W98" i="31"/>
  <c r="V98" i="31" a="1"/>
  <c r="V98" i="31"/>
  <c r="X98" i="31" a="1"/>
  <c r="X98" i="31"/>
  <c r="U97" i="31" a="1"/>
  <c r="U97" i="31"/>
  <c r="W97" i="31" a="1"/>
  <c r="W97" i="31"/>
  <c r="V97" i="31" a="1"/>
  <c r="V97" i="31"/>
  <c r="X97" i="31" a="1"/>
  <c r="X97" i="31"/>
  <c r="U96" i="31" a="1"/>
  <c r="U96" i="31"/>
  <c r="W96" i="31" a="1"/>
  <c r="W96" i="31"/>
  <c r="V96" i="31" a="1"/>
  <c r="V96" i="31"/>
  <c r="X96" i="31" a="1"/>
  <c r="X96" i="31"/>
  <c r="U95" i="31" a="1"/>
  <c r="U95" i="31"/>
  <c r="W95" i="31" a="1"/>
  <c r="W95" i="31"/>
  <c r="V95" i="31" a="1"/>
  <c r="V95" i="31"/>
  <c r="X95" i="31" a="1"/>
  <c r="X95" i="31"/>
  <c r="U94" i="31" a="1"/>
  <c r="U94" i="31"/>
  <c r="W94" i="31" a="1"/>
  <c r="W94" i="31"/>
  <c r="V94" i="31" a="1"/>
  <c r="V94" i="31"/>
  <c r="X94" i="31" a="1"/>
  <c r="X94" i="31"/>
  <c r="U93" i="31" a="1"/>
  <c r="U93" i="31"/>
  <c r="W93" i="31" a="1"/>
  <c r="W93" i="31"/>
  <c r="V93" i="31" a="1"/>
  <c r="V93" i="31"/>
  <c r="X93" i="31" a="1"/>
  <c r="X93" i="31"/>
  <c r="U92" i="31" a="1"/>
  <c r="U92" i="31"/>
  <c r="W92" i="31" a="1"/>
  <c r="W92" i="31"/>
  <c r="V92" i="31" a="1"/>
  <c r="V92" i="31"/>
  <c r="X92" i="31" a="1"/>
  <c r="X92" i="31"/>
  <c r="U91" i="31" a="1"/>
  <c r="U91" i="31"/>
  <c r="W91" i="31" a="1"/>
  <c r="W91" i="31"/>
  <c r="V91" i="31" a="1"/>
  <c r="V91" i="31"/>
  <c r="X91" i="31" a="1"/>
  <c r="X91" i="31"/>
  <c r="U90" i="31" a="1"/>
  <c r="U90" i="31"/>
  <c r="W90" i="31" a="1"/>
  <c r="W90" i="31"/>
  <c r="V90" i="31" a="1"/>
  <c r="V90" i="31"/>
  <c r="X90" i="31" a="1"/>
  <c r="X90" i="31"/>
  <c r="U89" i="31" a="1"/>
  <c r="U89" i="31"/>
  <c r="W89" i="31" a="1"/>
  <c r="W89" i="31"/>
  <c r="V89" i="31" a="1"/>
  <c r="V89" i="31"/>
  <c r="X89" i="31" a="1"/>
  <c r="X89" i="31"/>
  <c r="U88" i="31" a="1"/>
  <c r="U88" i="31"/>
  <c r="W88" i="31" a="1"/>
  <c r="W88" i="31"/>
  <c r="V88" i="31" a="1"/>
  <c r="V88" i="31"/>
  <c r="X88" i="31" a="1"/>
  <c r="X88" i="31"/>
  <c r="U87" i="31" a="1"/>
  <c r="U87" i="31"/>
  <c r="W87" i="31" a="1"/>
  <c r="W87" i="31"/>
  <c r="V87" i="31" a="1"/>
  <c r="V87" i="31"/>
  <c r="X87" i="31" a="1"/>
  <c r="X87" i="31"/>
  <c r="U86" i="31" a="1"/>
  <c r="U86" i="31"/>
  <c r="W86" i="31" a="1"/>
  <c r="W86" i="31"/>
  <c r="V86" i="31" a="1"/>
  <c r="V86" i="31"/>
  <c r="X86" i="31" a="1"/>
  <c r="X86" i="31"/>
  <c r="U85" i="31" a="1"/>
  <c r="U85" i="31"/>
  <c r="W85" i="31" a="1"/>
  <c r="W85" i="31"/>
  <c r="V85" i="31" a="1"/>
  <c r="V85" i="31"/>
  <c r="X85" i="31" a="1"/>
  <c r="X85" i="31"/>
  <c r="U84" i="31" a="1"/>
  <c r="U84" i="31"/>
  <c r="W84" i="31" a="1"/>
  <c r="W84" i="31"/>
  <c r="V84" i="31" a="1"/>
  <c r="V84" i="31"/>
  <c r="X84" i="31" a="1"/>
  <c r="X84" i="31"/>
  <c r="U83" i="31" a="1"/>
  <c r="U83" i="31"/>
  <c r="W83" i="31" a="1"/>
  <c r="W83" i="31"/>
  <c r="V83" i="31" a="1"/>
  <c r="V83" i="31"/>
  <c r="X83" i="31" a="1"/>
  <c r="X83" i="31"/>
  <c r="U82" i="31" a="1"/>
  <c r="U82" i="31"/>
  <c r="W82" i="31" a="1"/>
  <c r="W82" i="31"/>
  <c r="V82" i="31" a="1"/>
  <c r="V82" i="31"/>
  <c r="X82" i="31" a="1"/>
  <c r="X82" i="31"/>
  <c r="U81" i="31" a="1"/>
  <c r="U81" i="31"/>
  <c r="W81" i="31" a="1"/>
  <c r="W81" i="31"/>
  <c r="V81" i="31" a="1"/>
  <c r="V81" i="31"/>
  <c r="X81" i="31" a="1"/>
  <c r="X81" i="31"/>
  <c r="U80" i="31" a="1"/>
  <c r="U80" i="31"/>
  <c r="W80" i="31" a="1"/>
  <c r="W80" i="31"/>
  <c r="V80" i="31" a="1"/>
  <c r="V80" i="31"/>
  <c r="X80" i="31" a="1"/>
  <c r="X80" i="31"/>
  <c r="U79" i="31" a="1"/>
  <c r="U79" i="31"/>
  <c r="W79" i="31" a="1"/>
  <c r="W79" i="31"/>
  <c r="V79" i="31" a="1"/>
  <c r="V79" i="31"/>
  <c r="X79" i="31" a="1"/>
  <c r="X79" i="31"/>
  <c r="U78" i="31" a="1"/>
  <c r="U78" i="31"/>
  <c r="W78" i="31" a="1"/>
  <c r="W78" i="31"/>
  <c r="V78" i="31" a="1"/>
  <c r="V78" i="31"/>
  <c r="X78" i="31" a="1"/>
  <c r="X78" i="31"/>
  <c r="U77" i="31" a="1"/>
  <c r="U77" i="31"/>
  <c r="W77" i="31" a="1"/>
  <c r="W77" i="31"/>
  <c r="V77" i="31" a="1"/>
  <c r="V77" i="31"/>
  <c r="X77" i="31" a="1"/>
  <c r="X77" i="31"/>
  <c r="U76" i="31" a="1"/>
  <c r="U76" i="31"/>
  <c r="W76" i="31" a="1"/>
  <c r="W76" i="31"/>
  <c r="V76" i="31" a="1"/>
  <c r="V76" i="31"/>
  <c r="X76" i="31" a="1"/>
  <c r="X76" i="31"/>
  <c r="U75" i="31" a="1"/>
  <c r="U75" i="31"/>
  <c r="W75" i="31" a="1"/>
  <c r="W75" i="31"/>
  <c r="V75" i="31" a="1"/>
  <c r="V75" i="31"/>
  <c r="X75" i="31" a="1"/>
  <c r="X75" i="31"/>
  <c r="U74" i="31" a="1"/>
  <c r="U74" i="31"/>
  <c r="W74" i="31" a="1"/>
  <c r="W74" i="31"/>
  <c r="V74" i="31" a="1"/>
  <c r="V74" i="31"/>
  <c r="X74" i="31" a="1"/>
  <c r="X74" i="31"/>
  <c r="U73" i="31" a="1"/>
  <c r="U73" i="31"/>
  <c r="W73" i="31" a="1"/>
  <c r="W73" i="31"/>
  <c r="V73" i="31" a="1"/>
  <c r="V73" i="31"/>
  <c r="X73" i="31" a="1"/>
  <c r="X73" i="31"/>
  <c r="U72" i="31" a="1"/>
  <c r="U72" i="31"/>
  <c r="W72" i="31" a="1"/>
  <c r="W72" i="31"/>
  <c r="V72" i="31" a="1"/>
  <c r="V72" i="31"/>
  <c r="X72" i="31" a="1"/>
  <c r="X72" i="31"/>
  <c r="U71" i="31" a="1"/>
  <c r="U71" i="31"/>
  <c r="W71" i="31" a="1"/>
  <c r="W71" i="31"/>
  <c r="V71" i="31" a="1"/>
  <c r="V71" i="31"/>
  <c r="X71" i="31" a="1"/>
  <c r="X71" i="31"/>
  <c r="U70" i="31" a="1"/>
  <c r="U70" i="31"/>
  <c r="W70" i="31" a="1"/>
  <c r="W70" i="31"/>
  <c r="V70" i="31" a="1"/>
  <c r="V70" i="31"/>
  <c r="X70" i="31" a="1"/>
  <c r="X70" i="31"/>
  <c r="U69" i="31" a="1"/>
  <c r="U69" i="31"/>
  <c r="W69" i="31" a="1"/>
  <c r="W69" i="31"/>
  <c r="V69" i="31" a="1"/>
  <c r="V69" i="31"/>
  <c r="X69" i="31" a="1"/>
  <c r="X69" i="31"/>
  <c r="U68" i="31" a="1"/>
  <c r="U68" i="31"/>
  <c r="W68" i="31" a="1"/>
  <c r="W68" i="31"/>
  <c r="V68" i="31" a="1"/>
  <c r="V68" i="31"/>
  <c r="X68" i="31" a="1"/>
  <c r="X68" i="31"/>
  <c r="U67" i="31" a="1"/>
  <c r="U67" i="31"/>
  <c r="W67" i="31" a="1"/>
  <c r="W67" i="31"/>
  <c r="V67" i="31" a="1"/>
  <c r="V67" i="31"/>
  <c r="X67" i="31" a="1"/>
  <c r="X67" i="31"/>
  <c r="U66" i="31" a="1"/>
  <c r="U66" i="31"/>
  <c r="W66" i="31" a="1"/>
  <c r="W66" i="31"/>
  <c r="V66" i="31" a="1"/>
  <c r="V66" i="31"/>
  <c r="X66" i="31" a="1"/>
  <c r="X66" i="31"/>
  <c r="U65" i="31" a="1"/>
  <c r="U65" i="31"/>
  <c r="W65" i="31" a="1"/>
  <c r="W65" i="31"/>
  <c r="V65" i="31" a="1"/>
  <c r="V65" i="31"/>
  <c r="X65" i="31" a="1"/>
  <c r="X65" i="31"/>
  <c r="U64" i="31" a="1"/>
  <c r="U64" i="31"/>
  <c r="W64" i="31" a="1"/>
  <c r="W64" i="31"/>
  <c r="V64" i="31" a="1"/>
  <c r="V64" i="31"/>
  <c r="X64" i="31" a="1"/>
  <c r="X64" i="31"/>
  <c r="U63" i="31" a="1"/>
  <c r="U63" i="31"/>
  <c r="W63" i="31" a="1"/>
  <c r="W63" i="31"/>
  <c r="V63" i="31" a="1"/>
  <c r="V63" i="31"/>
  <c r="X63" i="31" a="1"/>
  <c r="X63" i="31"/>
  <c r="U62" i="31" a="1"/>
  <c r="U62" i="31"/>
  <c r="W62" i="31" a="1"/>
  <c r="W62" i="31"/>
  <c r="V62" i="31" a="1"/>
  <c r="V62" i="31"/>
  <c r="X62" i="31" a="1"/>
  <c r="X62" i="31"/>
  <c r="U61" i="31" a="1"/>
  <c r="U61" i="31"/>
  <c r="W61" i="31" a="1"/>
  <c r="W61" i="31"/>
  <c r="V61" i="31" a="1"/>
  <c r="V61" i="31"/>
  <c r="X61" i="31" a="1"/>
  <c r="X61" i="31"/>
  <c r="U60" i="31" a="1"/>
  <c r="U60" i="31"/>
  <c r="W60" i="31" a="1"/>
  <c r="W60" i="31"/>
  <c r="V60" i="31" a="1"/>
  <c r="V60" i="31"/>
  <c r="X60" i="31" a="1"/>
  <c r="X60" i="31"/>
  <c r="U59" i="31" a="1"/>
  <c r="U59" i="31"/>
  <c r="W59" i="31" a="1"/>
  <c r="W59" i="31"/>
  <c r="V59" i="31" a="1"/>
  <c r="V59" i="31"/>
  <c r="X59" i="31" a="1"/>
  <c r="X59" i="31"/>
  <c r="U58" i="31" a="1"/>
  <c r="U58" i="31"/>
  <c r="W58" i="31" a="1"/>
  <c r="W58" i="31"/>
  <c r="V58" i="31" a="1"/>
  <c r="V58" i="31"/>
  <c r="X58" i="31" a="1"/>
  <c r="X58" i="31"/>
  <c r="U57" i="31" a="1"/>
  <c r="U57" i="31"/>
  <c r="W57" i="31" a="1"/>
  <c r="W57" i="31"/>
  <c r="V57" i="31" a="1"/>
  <c r="V57" i="31"/>
  <c r="X57" i="31" a="1"/>
  <c r="X57" i="31"/>
  <c r="U56" i="31" a="1"/>
  <c r="U56" i="31"/>
  <c r="W56" i="31" a="1"/>
  <c r="W56" i="31"/>
  <c r="V56" i="31" a="1"/>
  <c r="V56" i="31"/>
  <c r="X56" i="31" a="1"/>
  <c r="X56" i="31"/>
  <c r="U55" i="31" a="1"/>
  <c r="U55" i="31"/>
  <c r="W55" i="31" a="1"/>
  <c r="W55" i="31"/>
  <c r="V55" i="31" a="1"/>
  <c r="V55" i="31"/>
  <c r="X55" i="31" a="1"/>
  <c r="X55" i="31"/>
  <c r="U54" i="31" a="1"/>
  <c r="U54" i="31"/>
  <c r="W54" i="31" a="1"/>
  <c r="W54" i="31"/>
  <c r="V54" i="31" a="1"/>
  <c r="V54" i="31"/>
  <c r="X54" i="31" a="1"/>
  <c r="X54" i="31"/>
  <c r="U53" i="31" a="1"/>
  <c r="U53" i="31"/>
  <c r="W53" i="31" a="1"/>
  <c r="W53" i="31"/>
  <c r="V53" i="31" a="1"/>
  <c r="V53" i="31"/>
  <c r="X53" i="31" a="1"/>
  <c r="X53" i="31"/>
  <c r="U52" i="31" a="1"/>
  <c r="U52" i="31"/>
  <c r="W52" i="31" a="1"/>
  <c r="W52" i="31"/>
  <c r="V52" i="31" a="1"/>
  <c r="V52" i="31"/>
  <c r="X52" i="31" a="1"/>
  <c r="X52" i="31"/>
  <c r="U51" i="31" a="1"/>
  <c r="U51" i="31"/>
  <c r="W51" i="31" a="1"/>
  <c r="W51" i="31"/>
  <c r="V51" i="31" a="1"/>
  <c r="V51" i="31"/>
  <c r="X51" i="31" a="1"/>
  <c r="X51" i="31"/>
  <c r="U50" i="31" a="1"/>
  <c r="U50" i="31"/>
  <c r="W50" i="31" a="1"/>
  <c r="W50" i="31"/>
  <c r="V50" i="31" a="1"/>
  <c r="V50" i="31"/>
  <c r="X50" i="31" a="1"/>
  <c r="X50" i="31"/>
  <c r="U49" i="31" a="1"/>
  <c r="U49" i="31"/>
  <c r="W49" i="31" a="1"/>
  <c r="W49" i="31"/>
  <c r="V49" i="31" a="1"/>
  <c r="V49" i="31"/>
  <c r="X49" i="31" a="1"/>
  <c r="X49" i="31"/>
  <c r="U48" i="31" a="1"/>
  <c r="U48" i="31"/>
  <c r="W48" i="31" a="1"/>
  <c r="W48" i="31"/>
  <c r="V48" i="31" a="1"/>
  <c r="V48" i="31"/>
  <c r="X48" i="31" a="1"/>
  <c r="X48" i="31"/>
  <c r="U47" i="31" a="1"/>
  <c r="U47" i="31"/>
  <c r="W47" i="31" a="1"/>
  <c r="W47" i="31"/>
  <c r="V47" i="31" a="1"/>
  <c r="V47" i="31"/>
  <c r="X47" i="31" a="1"/>
  <c r="X47" i="31"/>
  <c r="U46" i="31" a="1"/>
  <c r="U46" i="31"/>
  <c r="W46" i="31" a="1"/>
  <c r="W46" i="31"/>
  <c r="V46" i="31" a="1"/>
  <c r="V46" i="31"/>
  <c r="X46" i="31" a="1"/>
  <c r="X46" i="31"/>
  <c r="U45" i="31" a="1"/>
  <c r="U45" i="31"/>
  <c r="W45" i="31" a="1"/>
  <c r="W45" i="31"/>
  <c r="V45" i="31" a="1"/>
  <c r="V45" i="31"/>
  <c r="X45" i="31" a="1"/>
  <c r="X45" i="31"/>
  <c r="U44" i="31" a="1"/>
  <c r="U44" i="31"/>
  <c r="W44" i="31" a="1"/>
  <c r="W44" i="31"/>
  <c r="V44" i="31" a="1"/>
  <c r="V44" i="31"/>
  <c r="X44" i="31" a="1"/>
  <c r="X44" i="31"/>
  <c r="U43" i="31" a="1"/>
  <c r="U43" i="31"/>
  <c r="W43" i="31" a="1"/>
  <c r="W43" i="31"/>
  <c r="V43" i="31" a="1"/>
  <c r="V43" i="31"/>
  <c r="X43" i="31" a="1"/>
  <c r="X43" i="31"/>
  <c r="U42" i="31" a="1"/>
  <c r="U42" i="31"/>
  <c r="W42" i="31" a="1"/>
  <c r="W42" i="31"/>
  <c r="V42" i="31" a="1"/>
  <c r="V42" i="31"/>
  <c r="X42" i="31" a="1"/>
  <c r="X42" i="31"/>
  <c r="U41" i="31" a="1"/>
  <c r="U41" i="31"/>
  <c r="W41" i="31" a="1"/>
  <c r="W41" i="31"/>
  <c r="V41" i="31" a="1"/>
  <c r="V41" i="31"/>
  <c r="X41" i="31" a="1"/>
  <c r="X41" i="31"/>
  <c r="U40" i="31" a="1"/>
  <c r="U40" i="31"/>
  <c r="W40" i="31" a="1"/>
  <c r="W40" i="31"/>
  <c r="V40" i="31" a="1"/>
  <c r="V40" i="31"/>
  <c r="X40" i="31" a="1"/>
  <c r="X40" i="31"/>
  <c r="U39" i="31" a="1"/>
  <c r="U39" i="31"/>
  <c r="W39" i="31" a="1"/>
  <c r="W39" i="31"/>
  <c r="V39" i="31" a="1"/>
  <c r="V39" i="31"/>
  <c r="X39" i="31" a="1"/>
  <c r="X39" i="31"/>
  <c r="U38" i="31" a="1"/>
  <c r="U38" i="31"/>
  <c r="W38" i="31" a="1"/>
  <c r="W38" i="31"/>
  <c r="V38" i="31" a="1"/>
  <c r="V38" i="31"/>
  <c r="X38" i="31" a="1"/>
  <c r="X38" i="31"/>
  <c r="U37" i="31" a="1"/>
  <c r="U37" i="31"/>
  <c r="W37" i="31" a="1"/>
  <c r="W37" i="31"/>
  <c r="V37" i="31" a="1"/>
  <c r="V37" i="31"/>
  <c r="X37" i="31" a="1"/>
  <c r="X37" i="31"/>
  <c r="U36" i="31" a="1"/>
  <c r="U36" i="31"/>
  <c r="W36" i="31" a="1"/>
  <c r="W36" i="31"/>
  <c r="V36" i="31" a="1"/>
  <c r="V36" i="31"/>
  <c r="X36" i="31" a="1"/>
  <c r="X36" i="31"/>
  <c r="U35" i="31" a="1"/>
  <c r="U35" i="31"/>
  <c r="W35" i="31" a="1"/>
  <c r="W35" i="31"/>
  <c r="V35" i="31" a="1"/>
  <c r="V35" i="31"/>
  <c r="X35" i="31" a="1"/>
  <c r="X35" i="31"/>
  <c r="U34" i="31" a="1"/>
  <c r="U34" i="31"/>
  <c r="W34" i="31" a="1"/>
  <c r="W34" i="31"/>
  <c r="V34" i="31" a="1"/>
  <c r="V34" i="31"/>
  <c r="X34" i="31" a="1"/>
  <c r="X34" i="31"/>
  <c r="U33" i="31" a="1"/>
  <c r="U33" i="31"/>
  <c r="W33" i="31" a="1"/>
  <c r="W33" i="31"/>
  <c r="V33" i="31" a="1"/>
  <c r="V33" i="31"/>
  <c r="X33" i="31" a="1"/>
  <c r="X33" i="31"/>
  <c r="U32" i="31" a="1"/>
  <c r="U32" i="31"/>
  <c r="W32" i="31" a="1"/>
  <c r="W32" i="31"/>
  <c r="V32" i="31" a="1"/>
  <c r="V32" i="31"/>
  <c r="X32" i="31" a="1"/>
  <c r="X32" i="31"/>
  <c r="U31" i="31" a="1"/>
  <c r="U31" i="31"/>
  <c r="W31" i="31" a="1"/>
  <c r="W31" i="31"/>
  <c r="V31" i="31" a="1"/>
  <c r="V31" i="31"/>
  <c r="X31" i="31" a="1"/>
  <c r="X31" i="31"/>
  <c r="U30" i="31" a="1"/>
  <c r="U30" i="31"/>
  <c r="W30" i="31" a="1"/>
  <c r="W30" i="31"/>
  <c r="V30" i="31" a="1"/>
  <c r="V30" i="31"/>
  <c r="X30" i="31" a="1"/>
  <c r="X30" i="31"/>
  <c r="U29" i="31" a="1"/>
  <c r="U29" i="31"/>
  <c r="W29" i="31" a="1"/>
  <c r="W29" i="31"/>
  <c r="V29" i="31" a="1"/>
  <c r="V29" i="31"/>
  <c r="X29" i="31" a="1"/>
  <c r="X29" i="31"/>
  <c r="U28" i="31" a="1"/>
  <c r="U28" i="31"/>
  <c r="W28" i="31" a="1"/>
  <c r="W28" i="31"/>
  <c r="V28" i="31" a="1"/>
  <c r="V28" i="31"/>
  <c r="X28" i="31" a="1"/>
  <c r="X28" i="31"/>
  <c r="U27" i="31" a="1"/>
  <c r="U27" i="31"/>
  <c r="W27" i="31" a="1"/>
  <c r="W27" i="31"/>
  <c r="V27" i="31" a="1"/>
  <c r="V27" i="31"/>
  <c r="X27" i="31" a="1"/>
  <c r="X27" i="31"/>
  <c r="U26" i="31" a="1"/>
  <c r="U26" i="31"/>
  <c r="W26" i="31" a="1"/>
  <c r="W26" i="31"/>
  <c r="V26" i="31" a="1"/>
  <c r="V26" i="31"/>
  <c r="X26" i="31" a="1"/>
  <c r="X26" i="31"/>
  <c r="U25" i="31" a="1"/>
  <c r="U25" i="31"/>
  <c r="W25" i="31" a="1"/>
  <c r="W25" i="31"/>
  <c r="V25" i="31" a="1"/>
  <c r="V25" i="31"/>
  <c r="X25" i="31" a="1"/>
  <c r="X25" i="31"/>
  <c r="U24" i="31" a="1"/>
  <c r="U24" i="31"/>
  <c r="W24" i="31" a="1"/>
  <c r="W24" i="31"/>
  <c r="V24" i="31" a="1"/>
  <c r="V24" i="31"/>
  <c r="X24" i="31" a="1"/>
  <c r="X24" i="31"/>
  <c r="U23" i="31" a="1"/>
  <c r="U23" i="31"/>
  <c r="W23" i="31" a="1"/>
  <c r="W23" i="31"/>
  <c r="V23" i="31" a="1"/>
  <c r="V23" i="31"/>
  <c r="X23" i="31" a="1"/>
  <c r="X23" i="31"/>
  <c r="U22" i="31" a="1"/>
  <c r="U22" i="31"/>
  <c r="W22" i="31" a="1"/>
  <c r="W22" i="31"/>
  <c r="V22" i="31" a="1"/>
  <c r="V22" i="31"/>
  <c r="X22" i="31" a="1"/>
  <c r="X22" i="31"/>
  <c r="U21" i="31" a="1"/>
  <c r="U21" i="31"/>
  <c r="W21" i="31" a="1"/>
  <c r="W21" i="31"/>
  <c r="V21" i="31" a="1"/>
  <c r="V21" i="31"/>
  <c r="X21" i="31" a="1"/>
  <c r="X21" i="31"/>
  <c r="U20" i="31" a="1"/>
  <c r="U20" i="31"/>
  <c r="W20" i="31" a="1"/>
  <c r="W20" i="31"/>
  <c r="V20" i="31" a="1"/>
  <c r="V20" i="31"/>
  <c r="X20" i="31" a="1"/>
  <c r="X20" i="31"/>
  <c r="U19" i="31" a="1"/>
  <c r="U19" i="31"/>
  <c r="W19" i="31" a="1"/>
  <c r="W19" i="31"/>
  <c r="V19" i="31" a="1"/>
  <c r="V19" i="31"/>
  <c r="X19" i="31" a="1"/>
  <c r="X19" i="31"/>
  <c r="U18" i="31" a="1"/>
  <c r="U18" i="31"/>
  <c r="W18" i="31" a="1"/>
  <c r="W18" i="31"/>
  <c r="V18" i="31" a="1"/>
  <c r="V18" i="31"/>
  <c r="X18" i="31" a="1"/>
  <c r="X18" i="31"/>
  <c r="U17" i="31" a="1"/>
  <c r="U17" i="31"/>
  <c r="W17" i="31" a="1"/>
  <c r="W17" i="31"/>
  <c r="V17" i="31" a="1"/>
  <c r="V17" i="31"/>
  <c r="X17" i="31" a="1"/>
  <c r="X17" i="31"/>
  <c r="U16" i="31" a="1"/>
  <c r="U16" i="31"/>
  <c r="W16" i="31" a="1"/>
  <c r="W16" i="31"/>
  <c r="V16" i="31" a="1"/>
  <c r="V16" i="31"/>
  <c r="X16" i="31" a="1"/>
  <c r="X16" i="31"/>
  <c r="U15" i="31" a="1"/>
  <c r="U15" i="31"/>
  <c r="W15" i="31" a="1"/>
  <c r="W15" i="31"/>
  <c r="V15" i="31" a="1"/>
  <c r="V15" i="31"/>
  <c r="X15" i="31" a="1"/>
  <c r="X15" i="31"/>
  <c r="U14" i="31" a="1"/>
  <c r="U14" i="31"/>
  <c r="W14" i="31" a="1"/>
  <c r="W14" i="31"/>
  <c r="V14" i="31" a="1"/>
  <c r="V14" i="31"/>
  <c r="X14" i="31" a="1"/>
  <c r="X14" i="31"/>
  <c r="U13" i="31" a="1"/>
  <c r="U13" i="31"/>
  <c r="W13" i="31" a="1"/>
  <c r="W13" i="31"/>
  <c r="V13" i="31" a="1"/>
  <c r="V13" i="31"/>
  <c r="X13" i="31" a="1"/>
  <c r="X13" i="31"/>
  <c r="U12" i="31" a="1"/>
  <c r="U12" i="31"/>
  <c r="W12" i="31" a="1"/>
  <c r="W12" i="31"/>
  <c r="V12" i="31" a="1"/>
  <c r="V12" i="31"/>
  <c r="X12" i="31" a="1"/>
  <c r="X12" i="31"/>
  <c r="U11" i="31" a="1"/>
  <c r="U11" i="31"/>
  <c r="W11" i="31" a="1"/>
  <c r="W11" i="31"/>
  <c r="V11" i="31" a="1"/>
  <c r="V11" i="31"/>
  <c r="X11" i="31" a="1"/>
  <c r="X11" i="31"/>
  <c r="U10" i="31" a="1"/>
  <c r="U10" i="31"/>
  <c r="W10" i="31" a="1"/>
  <c r="W10" i="31"/>
  <c r="V10" i="31" a="1"/>
  <c r="V10" i="31"/>
  <c r="X10" i="31" a="1"/>
  <c r="X10" i="31"/>
  <c r="U9" i="31" a="1"/>
  <c r="U9" i="31"/>
  <c r="W9" i="31" a="1"/>
  <c r="W9" i="31"/>
  <c r="V9" i="31" a="1"/>
  <c r="V9" i="31"/>
  <c r="X9" i="31" a="1"/>
  <c r="X9" i="31"/>
  <c r="U8" i="31" a="1"/>
  <c r="U8" i="31"/>
  <c r="W8" i="31" a="1"/>
  <c r="W8" i="31"/>
  <c r="V8" i="31" a="1"/>
  <c r="V8" i="31"/>
  <c r="X8" i="31" a="1"/>
  <c r="X8" i="31"/>
  <c r="U7" i="31" a="1"/>
  <c r="U7" i="31"/>
  <c r="W7" i="31" a="1"/>
  <c r="W7" i="31"/>
  <c r="V7" i="31" a="1"/>
  <c r="V7" i="31"/>
  <c r="X7" i="31" a="1"/>
  <c r="X7" i="31"/>
  <c r="U6" i="31" a="1"/>
  <c r="U6" i="31"/>
  <c r="W6" i="31" a="1"/>
  <c r="W6" i="31"/>
  <c r="V6" i="31" a="1"/>
  <c r="V6" i="31"/>
  <c r="X6" i="31" a="1"/>
  <c r="X6" i="31"/>
  <c r="U5" i="31" a="1"/>
  <c r="U5" i="31"/>
  <c r="W5" i="31" a="1"/>
  <c r="W5" i="31"/>
  <c r="V5" i="31" a="1"/>
  <c r="V5" i="31"/>
  <c r="X5" i="31" a="1"/>
  <c r="X5" i="31"/>
  <c r="U4" i="31" a="1"/>
  <c r="U4" i="31"/>
  <c r="W4" i="31" a="1"/>
  <c r="W4" i="31"/>
  <c r="V4" i="31" a="1"/>
  <c r="V4" i="31"/>
  <c r="X4" i="31" a="1"/>
  <c r="X4" i="31"/>
  <c r="U3" i="31" a="1"/>
  <c r="U3" i="31"/>
  <c r="W3" i="31" a="1"/>
  <c r="W3" i="31"/>
  <c r="V3" i="31" a="1"/>
  <c r="V3" i="31"/>
  <c r="X3" i="31" a="1"/>
  <c r="X3" i="31"/>
  <c r="J4" i="27"/>
  <c r="U4" i="27"/>
  <c r="M4" i="27"/>
  <c r="K4" i="27"/>
  <c r="V4" i="27"/>
  <c r="N4" i="27"/>
  <c r="J3" i="27"/>
  <c r="U3" i="27"/>
  <c r="M3" i="27"/>
  <c r="K3" i="27"/>
  <c r="V3" i="27"/>
  <c r="N3" i="27"/>
  <c r="AK24" i="27"/>
  <c r="AK19" i="27"/>
  <c r="AJ24" i="27"/>
  <c r="AJ19" i="27"/>
  <c r="AL19" i="27"/>
  <c r="AM19" i="27"/>
  <c r="V2" i="31" a="1"/>
  <c r="V2" i="31"/>
  <c r="M2" i="38"/>
  <c r="U2" i="31" a="1"/>
  <c r="U2" i="31"/>
  <c r="L2" i="38"/>
  <c r="AE24" i="27"/>
  <c r="F2" i="27"/>
  <c r="AM24" i="27"/>
  <c r="AK21" i="27"/>
  <c r="I2" i="27"/>
  <c r="AJ21" i="27"/>
  <c r="AL21" i="27"/>
  <c r="H2" i="27"/>
  <c r="AF21" i="27"/>
  <c r="G2" i="27"/>
  <c r="G17" i="25"/>
  <c r="H17" i="25"/>
  <c r="I17" i="25"/>
  <c r="J17" i="25"/>
  <c r="K17" i="25"/>
  <c r="L17" i="25"/>
  <c r="M17" i="25"/>
  <c r="H45" i="35" a="1"/>
  <c r="H45" i="35"/>
  <c r="I15" i="36"/>
  <c r="E15" i="30"/>
  <c r="B34" i="30" a="1"/>
  <c r="B35" i="36" a="1"/>
  <c r="B50" i="36" a="1"/>
  <c r="I19" i="35"/>
  <c r="J19" i="35"/>
  <c r="K19" i="35"/>
  <c r="L19" i="35"/>
  <c r="M19" i="35"/>
  <c r="N19" i="35"/>
  <c r="O19" i="35"/>
  <c r="G10" i="12"/>
  <c r="G11" i="12"/>
  <c r="G12" i="12"/>
  <c r="G13" i="12"/>
  <c r="G14" i="12"/>
  <c r="G3" i="12"/>
  <c r="G4" i="12"/>
  <c r="G5" i="12"/>
  <c r="G6" i="12"/>
  <c r="G7" i="12"/>
  <c r="G8" i="12"/>
  <c r="G9" i="12"/>
  <c r="E35" i="6"/>
  <c r="H5" i="6"/>
  <c r="L5" i="6"/>
  <c r="F35" i="6"/>
  <c r="I45" i="25" a="1"/>
  <c r="I45" i="25"/>
  <c r="I45" i="35" a="1"/>
  <c r="I45" i="35"/>
  <c r="J175" i="11"/>
  <c r="K175" i="11"/>
  <c r="H175" i="11"/>
  <c r="I175" i="11"/>
  <c r="F175" i="11"/>
  <c r="G175" i="11"/>
  <c r="E23" i="36"/>
  <c r="C23" i="30"/>
  <c r="AF36" i="27"/>
  <c r="AF49" i="27"/>
  <c r="F23" i="36"/>
  <c r="AG36" i="27"/>
  <c r="AG49" i="27"/>
  <c r="D175" i="11"/>
  <c r="E175" i="11"/>
  <c r="B148" i="11"/>
  <c r="B176" i="11"/>
  <c r="C176" i="11"/>
  <c r="B147" i="11"/>
  <c r="C175" i="11"/>
  <c r="W2" i="31" a="1"/>
  <c r="W2" i="31"/>
  <c r="N2" i="38"/>
  <c r="P2" i="38"/>
  <c r="E16" i="36"/>
  <c r="C16" i="30"/>
  <c r="AF41" i="27"/>
  <c r="AF28" i="27"/>
  <c r="X2" i="31" a="1"/>
  <c r="X2" i="31"/>
  <c r="O2" i="38"/>
  <c r="Q2" i="38"/>
  <c r="F16" i="36"/>
  <c r="AG41" i="27"/>
  <c r="AG28" i="27"/>
  <c r="AJ23" i="27"/>
  <c r="AL23" i="27"/>
  <c r="AJ15" i="27"/>
  <c r="AK15" i="27"/>
  <c r="AM15" i="27"/>
  <c r="AK23" i="27"/>
  <c r="G18" i="25"/>
  <c r="H18" i="25"/>
  <c r="I18" i="25"/>
  <c r="J18" i="25"/>
  <c r="K18" i="25"/>
  <c r="L18" i="25"/>
  <c r="M18" i="25"/>
  <c r="G19" i="25"/>
  <c r="H19" i="25"/>
  <c r="I19" i="25"/>
  <c r="J19" i="25"/>
  <c r="K19" i="25"/>
  <c r="L19" i="25"/>
  <c r="M19" i="25"/>
  <c r="G5" i="21"/>
  <c r="G35" i="21"/>
  <c r="E35" i="21"/>
  <c r="B42" i="21"/>
  <c r="H6" i="6"/>
  <c r="H35" i="6"/>
  <c r="L6" i="6"/>
  <c r="L40" i="6"/>
  <c r="U3" i="38"/>
  <c r="H3" i="38"/>
  <c r="T3" i="38"/>
  <c r="G3" i="38"/>
  <c r="AG43" i="27"/>
  <c r="S3" i="38"/>
  <c r="W3" i="38"/>
  <c r="F3" i="38"/>
  <c r="K3" i="38"/>
  <c r="AG30" i="27"/>
  <c r="AF43" i="27"/>
  <c r="E3" i="38"/>
  <c r="J3" i="38"/>
  <c r="R3" i="38"/>
  <c r="V3" i="38"/>
  <c r="AF30" i="27"/>
  <c r="E20" i="36"/>
  <c r="C20" i="30"/>
  <c r="AF46" i="27"/>
  <c r="AF33" i="27"/>
  <c r="F20" i="36"/>
  <c r="AG46" i="27"/>
  <c r="AG33" i="27"/>
  <c r="B175" i="11"/>
  <c r="B161" i="11" a="1"/>
  <c r="B161" i="11"/>
  <c r="E18" i="36"/>
  <c r="C18" i="30"/>
  <c r="E2" i="38"/>
  <c r="R2" i="38"/>
  <c r="AF50" i="27"/>
  <c r="AF37" i="27"/>
  <c r="F18" i="36"/>
  <c r="F27" i="36"/>
  <c r="AG50" i="27"/>
  <c r="AG37" i="27"/>
  <c r="S2" i="38"/>
  <c r="F2" i="38"/>
  <c r="AL24" i="27"/>
  <c r="K2" i="27"/>
  <c r="V2" i="27"/>
  <c r="N2" i="27"/>
  <c r="C17" i="35"/>
  <c r="C22" i="36"/>
  <c r="AM21" i="27"/>
  <c r="M2" i="27"/>
  <c r="J2" i="27"/>
  <c r="U2" i="27"/>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c r="B35" i="36"/>
  <c r="D36" i="36"/>
  <c r="C36" i="36"/>
  <c r="E36" i="36"/>
  <c r="B34" i="30"/>
  <c r="D35" i="30"/>
  <c r="C35" i="30"/>
  <c r="E35" i="30"/>
  <c r="D50" i="36"/>
  <c r="D35" i="36"/>
  <c r="D34" i="30"/>
  <c r="C34" i="30"/>
  <c r="E34" i="30"/>
  <c r="E27" i="30"/>
  <c r="I27" i="36"/>
  <c r="F44" i="35"/>
  <c r="F44" i="25"/>
  <c r="S4" i="17"/>
  <c r="Q4" i="17"/>
  <c r="R4" i="17"/>
  <c r="P4" i="17"/>
  <c r="AK36" i="27"/>
  <c r="AK49" i="27"/>
  <c r="AJ36" i="27"/>
  <c r="AJ49" i="27"/>
  <c r="AM49" i="27"/>
  <c r="AM36" i="27"/>
  <c r="AL49" i="27"/>
  <c r="AL36" i="27"/>
  <c r="G23" i="30"/>
  <c r="H23" i="30"/>
  <c r="I23" i="30"/>
  <c r="J23" i="30"/>
  <c r="K23" i="30"/>
  <c r="L23" i="30"/>
  <c r="M23" i="30"/>
  <c r="N23" i="30"/>
  <c r="F23" i="30"/>
  <c r="K23" i="36"/>
  <c r="L23" i="36"/>
  <c r="M23" i="36"/>
  <c r="N23" i="36"/>
  <c r="O23" i="36"/>
  <c r="P23" i="36"/>
  <c r="Q23" i="36"/>
  <c r="R23" i="36"/>
  <c r="J23" i="36"/>
  <c r="B162" i="11" a="1"/>
  <c r="B162" i="11"/>
  <c r="I49" i="25"/>
  <c r="H49" i="25"/>
  <c r="I48" i="25"/>
  <c r="H48" i="25"/>
  <c r="I47" i="25"/>
  <c r="H47" i="25"/>
  <c r="I50" i="35"/>
  <c r="I49" i="35"/>
  <c r="I48" i="35"/>
  <c r="AK41" i="27"/>
  <c r="AM41" i="27"/>
  <c r="AK28" i="27"/>
  <c r="AM28" i="27"/>
  <c r="G16" i="30"/>
  <c r="H16" i="30"/>
  <c r="I16" i="30"/>
  <c r="J16" i="30"/>
  <c r="K16" i="30"/>
  <c r="L16" i="30"/>
  <c r="M16" i="30"/>
  <c r="N16" i="30"/>
  <c r="F16" i="30"/>
  <c r="K16" i="36"/>
  <c r="L16" i="36"/>
  <c r="M16" i="36"/>
  <c r="N16" i="36"/>
  <c r="O16" i="36"/>
  <c r="P16" i="36"/>
  <c r="Q16" i="36"/>
  <c r="R16" i="36"/>
  <c r="J16" i="36"/>
  <c r="AJ41" i="27"/>
  <c r="AL41" i="27"/>
  <c r="AJ28" i="27"/>
  <c r="AL28" i="27"/>
  <c r="AL15" i="27"/>
  <c r="C23" i="25"/>
  <c r="C28" i="36"/>
  <c r="AM23" i="27"/>
  <c r="C23" i="35"/>
  <c r="F5" i="21"/>
  <c r="F6" i="21"/>
  <c r="E45" i="30"/>
  <c r="AK43" i="27"/>
  <c r="AK30" i="27"/>
  <c r="AJ43" i="27"/>
  <c r="AJ30" i="27"/>
  <c r="AL30" i="27"/>
  <c r="AL43" i="27"/>
  <c r="AM30" i="27"/>
  <c r="AM43" i="27"/>
  <c r="AK46" i="27"/>
  <c r="AK33" i="27"/>
  <c r="AJ46" i="27"/>
  <c r="AJ33" i="27"/>
  <c r="AM33" i="27"/>
  <c r="AM46" i="27"/>
  <c r="AL33" i="27"/>
  <c r="AL46" i="27"/>
  <c r="G20" i="30"/>
  <c r="H20" i="30"/>
  <c r="I20" i="30"/>
  <c r="J20" i="30"/>
  <c r="K20" i="30"/>
  <c r="L20" i="30"/>
  <c r="M20" i="30"/>
  <c r="N20" i="30"/>
  <c r="F20" i="30"/>
  <c r="K20" i="36"/>
  <c r="L20" i="36"/>
  <c r="M20" i="36"/>
  <c r="N20" i="36"/>
  <c r="O20" i="36"/>
  <c r="P20" i="36"/>
  <c r="Q20" i="36"/>
  <c r="R20" i="36"/>
  <c r="J20" i="36"/>
  <c r="F28" i="36"/>
  <c r="F29" i="36"/>
  <c r="AK50" i="27"/>
  <c r="AK37" i="27"/>
  <c r="AM37" i="27"/>
  <c r="H2" i="38"/>
  <c r="U2" i="38"/>
  <c r="C27" i="30"/>
  <c r="F18" i="30"/>
  <c r="F27" i="30"/>
  <c r="G18" i="30"/>
  <c r="G27" i="30"/>
  <c r="H18" i="30"/>
  <c r="H27" i="30"/>
  <c r="I18" i="30"/>
  <c r="I27" i="30"/>
  <c r="J18" i="30"/>
  <c r="J27" i="30"/>
  <c r="K18" i="30"/>
  <c r="K27" i="30"/>
  <c r="L18" i="30"/>
  <c r="L27" i="30"/>
  <c r="M18" i="30"/>
  <c r="M27" i="30"/>
  <c r="N18" i="30"/>
  <c r="N27" i="30"/>
  <c r="E27" i="36"/>
  <c r="J18" i="36"/>
  <c r="J27" i="36"/>
  <c r="K18" i="36"/>
  <c r="K27" i="36"/>
  <c r="L18" i="36"/>
  <c r="L27" i="36"/>
  <c r="M18" i="36"/>
  <c r="M27" i="36"/>
  <c r="N18" i="36"/>
  <c r="N27" i="36"/>
  <c r="O18" i="36"/>
  <c r="O27" i="36"/>
  <c r="P18" i="36"/>
  <c r="P27" i="36"/>
  <c r="Q18" i="36"/>
  <c r="Q27" i="36"/>
  <c r="R18" i="36"/>
  <c r="R27" i="36"/>
  <c r="AJ50" i="27"/>
  <c r="AJ37" i="27"/>
  <c r="G2" i="38"/>
  <c r="J2" i="38"/>
  <c r="T2" i="38"/>
  <c r="V2" i="38"/>
  <c r="E28" i="36"/>
  <c r="C28" i="30"/>
  <c r="P45" i="25"/>
  <c r="P48" i="25"/>
  <c r="Q48" i="25"/>
  <c r="Q59" i="25"/>
  <c r="Q45" i="25"/>
  <c r="P49" i="25"/>
  <c r="Q52" i="25"/>
  <c r="Q49" i="25"/>
  <c r="P50" i="25"/>
  <c r="I17" i="35"/>
  <c r="J17" i="35"/>
  <c r="K17" i="35"/>
  <c r="L17" i="35"/>
  <c r="M17" i="35"/>
  <c r="N17" i="35"/>
  <c r="O17" i="35"/>
  <c r="H49" i="35"/>
  <c r="H53" i="35" a="1"/>
  <c r="H53" i="35"/>
  <c r="H48" i="35"/>
  <c r="H47" i="35"/>
  <c r="H53" i="25" a="1"/>
  <c r="H53" i="25"/>
  <c r="G28" i="25"/>
  <c r="G28" i="35"/>
  <c r="F49" i="25"/>
  <c r="F48" i="25"/>
  <c r="F47" i="25"/>
  <c r="F46" i="25"/>
  <c r="F45" i="25"/>
  <c r="I53" i="35" a="1"/>
  <c r="I53" i="35"/>
  <c r="F49" i="35"/>
  <c r="F48" i="35"/>
  <c r="F47" i="35"/>
  <c r="F46" i="35"/>
  <c r="F45" i="35"/>
  <c r="M23" i="25"/>
  <c r="L23" i="25"/>
  <c r="K23" i="25"/>
  <c r="J23" i="25"/>
  <c r="I23" i="25"/>
  <c r="H23" i="25"/>
  <c r="G23" i="25"/>
  <c r="E37" i="6"/>
  <c r="D37" i="21"/>
  <c r="I23" i="35"/>
  <c r="J23" i="35"/>
  <c r="K23" i="35"/>
  <c r="L23" i="35"/>
  <c r="M23" i="35"/>
  <c r="N23" i="35"/>
  <c r="O23" i="35"/>
  <c r="E37" i="21"/>
  <c r="B37" i="21"/>
  <c r="F37" i="6"/>
  <c r="B37" i="6"/>
  <c r="F35" i="21"/>
  <c r="G5" i="6"/>
  <c r="G6" i="6"/>
  <c r="F28" i="30"/>
  <c r="E28" i="30"/>
  <c r="E29" i="30"/>
  <c r="N28" i="30"/>
  <c r="N29" i="30"/>
  <c r="G28" i="30"/>
  <c r="G29" i="30"/>
  <c r="H28" i="30"/>
  <c r="H29" i="30"/>
  <c r="I28" i="30"/>
  <c r="I29" i="30"/>
  <c r="J28" i="30"/>
  <c r="J29" i="30"/>
  <c r="K28" i="30"/>
  <c r="K29" i="30"/>
  <c r="L28" i="30"/>
  <c r="L29" i="30"/>
  <c r="M28" i="30"/>
  <c r="M29" i="30"/>
  <c r="J28" i="36"/>
  <c r="I28" i="36"/>
  <c r="I29" i="36"/>
  <c r="K28" i="36"/>
  <c r="K29" i="36"/>
  <c r="L28" i="36"/>
  <c r="L29" i="36"/>
  <c r="M28" i="36"/>
  <c r="M29" i="36"/>
  <c r="N28" i="36"/>
  <c r="N29" i="36"/>
  <c r="O28" i="36"/>
  <c r="O29" i="36"/>
  <c r="P28" i="36"/>
  <c r="P29" i="36"/>
  <c r="Q28" i="36"/>
  <c r="Q29" i="36"/>
  <c r="R28" i="36"/>
  <c r="R29" i="36"/>
  <c r="D28" i="30"/>
  <c r="AL37" i="27"/>
  <c r="D17" i="30"/>
  <c r="D18" i="30"/>
  <c r="D19" i="30"/>
  <c r="D20" i="30"/>
  <c r="D21" i="30"/>
  <c r="D22" i="30"/>
  <c r="D23" i="30"/>
  <c r="D24" i="30"/>
  <c r="D25" i="30"/>
  <c r="D16" i="30"/>
  <c r="D27" i="30"/>
  <c r="D29" i="30"/>
  <c r="G28" i="36"/>
  <c r="H18" i="36"/>
  <c r="AL50" i="27"/>
  <c r="H17" i="36"/>
  <c r="H19" i="36"/>
  <c r="H20" i="36"/>
  <c r="H21" i="36"/>
  <c r="H22" i="36"/>
  <c r="H23" i="36"/>
  <c r="H24" i="36"/>
  <c r="H25" i="36"/>
  <c r="H16" i="36"/>
  <c r="H27" i="36"/>
  <c r="G17" i="36"/>
  <c r="G18" i="36"/>
  <c r="G19" i="36"/>
  <c r="G20" i="36"/>
  <c r="G21" i="36"/>
  <c r="G22" i="36"/>
  <c r="G23" i="36"/>
  <c r="G24" i="36"/>
  <c r="G25" i="36"/>
  <c r="G16" i="36"/>
  <c r="G27" i="36"/>
  <c r="G29" i="36"/>
  <c r="J29" i="36"/>
  <c r="E29" i="36"/>
  <c r="F29" i="30"/>
  <c r="C29" i="30"/>
  <c r="C35" i="36"/>
  <c r="W2" i="38"/>
  <c r="C50" i="36"/>
  <c r="K2" i="38"/>
  <c r="H28" i="36"/>
  <c r="AM50" i="27"/>
  <c r="P51" i="25"/>
  <c r="P52" i="25"/>
  <c r="Q50" i="25"/>
  <c r="G32" i="35"/>
  <c r="G33" i="35"/>
  <c r="G34" i="35"/>
  <c r="G35" i="35"/>
  <c r="G36" i="35"/>
  <c r="G37" i="35"/>
  <c r="G38" i="35"/>
  <c r="G32" i="25"/>
  <c r="G33" i="25"/>
  <c r="G34" i="25"/>
  <c r="G35" i="25"/>
  <c r="G36" i="25"/>
  <c r="G37" i="25"/>
  <c r="G38" i="25"/>
  <c r="F52" i="25"/>
  <c r="I53" i="25" a="1"/>
  <c r="I53" i="25"/>
  <c r="F52" i="35"/>
  <c r="I57" i="35"/>
  <c r="I56" i="35"/>
  <c r="I55" i="35"/>
  <c r="I54" i="35" a="1"/>
  <c r="I54" i="35"/>
  <c r="I57" i="25"/>
  <c r="H57" i="25"/>
  <c r="I56" i="25"/>
  <c r="H56" i="25"/>
  <c r="I55" i="25"/>
  <c r="H55" i="25"/>
  <c r="B45" i="25"/>
  <c r="I54" i="25" a="1"/>
  <c r="I54" i="25"/>
  <c r="H54" i="25" a="1"/>
  <c r="H54" i="25"/>
  <c r="G10" i="6"/>
  <c r="G35" i="6"/>
  <c r="E61" i="36"/>
  <c r="C61" i="36"/>
  <c r="C46" i="36"/>
  <c r="E46" i="36"/>
  <c r="E50" i="36"/>
  <c r="E35" i="36"/>
  <c r="H29" i="36"/>
  <c r="P58" i="25"/>
  <c r="P59" i="25"/>
  <c r="H57" i="35"/>
  <c r="H56" i="35"/>
  <c r="H55" i="35"/>
  <c r="B45" i="35"/>
  <c r="H54" i="35" a="1"/>
  <c r="H54" i="35"/>
  <c r="H28" i="35"/>
  <c r="F57" i="25"/>
  <c r="F56" i="25"/>
  <c r="F55" i="25"/>
  <c r="F54" i="25"/>
  <c r="F53" i="25"/>
  <c r="H28" i="25"/>
  <c r="F57" i="35"/>
  <c r="F56" i="35"/>
  <c r="F55" i="35"/>
  <c r="F54" i="35"/>
  <c r="F53" i="35"/>
  <c r="D17" i="35"/>
  <c r="E17" i="35"/>
  <c r="D18" i="35"/>
  <c r="E18" i="35"/>
  <c r="D19" i="35"/>
  <c r="E19" i="35"/>
  <c r="D20" i="35"/>
  <c r="E20" i="35"/>
  <c r="P60" i="25"/>
  <c r="H32" i="35"/>
  <c r="H33" i="35"/>
  <c r="H34" i="35"/>
  <c r="H35" i="35"/>
  <c r="H36" i="35"/>
  <c r="H37" i="35"/>
  <c r="H38" i="35"/>
  <c r="H32" i="25"/>
  <c r="H33" i="25"/>
  <c r="H34" i="25"/>
  <c r="H35" i="25"/>
  <c r="H36" i="25"/>
  <c r="H37" i="25"/>
  <c r="H38" i="25"/>
  <c r="D22" i="36"/>
  <c r="D23" i="36"/>
  <c r="D24" i="36"/>
  <c r="D25" i="36"/>
  <c r="K10" i="6"/>
  <c r="K5" i="6"/>
  <c r="K6" i="6"/>
  <c r="K40" i="6"/>
  <c r="AM16" i="27" l="1"/>
  <c r="AL16" i="27"/>
  <c r="AB4" i="27"/>
  <c r="AA4" i="27"/>
  <c r="X4" i="27"/>
  <c r="W4" i="27"/>
  <c r="Z4" i="27"/>
  <c r="Y4" i="27"/>
  <c r="AA2" i="26" a="1"/>
  <c r="AA2" i="26" s="1"/>
  <c r="AB3" i="27"/>
  <c r="AA3" i="27"/>
  <c r="I46" i="25" s="1" a="1"/>
  <c r="I46" i="25" s="1"/>
  <c r="X3" i="27"/>
  <c r="W3" i="27"/>
  <c r="Z3" i="27"/>
  <c r="Y3" i="27"/>
  <c r="B150" i="11" a="1"/>
  <c r="B150" i="11" s="1"/>
  <c r="B178" i="11" s="1"/>
  <c r="B164" i="11" s="1" a="1"/>
  <c r="B164" i="11" s="1"/>
  <c r="AY4" i="41"/>
  <c r="AZ4" i="41"/>
  <c r="BA4" i="41"/>
  <c r="BB4" i="41"/>
  <c r="BC4" i="41"/>
  <c r="BD4" i="41"/>
  <c r="BE4" i="41"/>
  <c r="BF4" i="41"/>
  <c r="BG4" i="41"/>
  <c r="BH4" i="41"/>
  <c r="BI4" i="41"/>
  <c r="BJ4" i="41"/>
  <c r="BK4" i="41"/>
  <c r="BL4" i="41"/>
  <c r="BM4" i="41"/>
  <c r="BN4" i="41"/>
  <c r="BO4" i="41"/>
  <c r="BP4" i="41"/>
  <c r="BQ4" i="41"/>
  <c r="BR4" i="41"/>
  <c r="D51" i="11"/>
  <c r="E51" i="11"/>
  <c r="F51" i="11"/>
  <c r="G51" i="11"/>
  <c r="B29" i="35" a="1"/>
  <c r="B29" i="25" a="1"/>
  <c r="B11" i="25" a="1"/>
  <c r="B11" i="35" a="1"/>
  <c r="G31" i="25" l="1"/>
  <c r="K31" i="25" a="1"/>
  <c r="K31" i="25" s="1"/>
  <c r="C31" i="25"/>
  <c r="D31" i="25"/>
  <c r="E31" i="25"/>
  <c r="H31" i="25" s="1"/>
  <c r="G31" i="35"/>
  <c r="K31" i="35" a="1"/>
  <c r="K31" i="35" s="1"/>
  <c r="C31" i="35"/>
  <c r="D31" i="35"/>
  <c r="E31" i="35"/>
  <c r="H31" i="35" s="1"/>
  <c r="I47" i="35" a="1"/>
  <c r="I47" i="35" s="1"/>
  <c r="I46" i="35" a="1"/>
  <c r="I46" i="35" s="1"/>
  <c r="D10" i="25" a="1"/>
  <c r="F10" i="35" a="1"/>
  <c r="B29" i="25"/>
  <c r="G30" i="25"/>
  <c r="D30" i="25"/>
  <c r="K30" i="25" a="1"/>
  <c r="K30" i="25" s="1"/>
  <c r="C30" i="25"/>
  <c r="E30" i="25"/>
  <c r="H30" i="25" s="1"/>
  <c r="B29" i="35"/>
  <c r="G30" i="35"/>
  <c r="D30" i="35"/>
  <c r="K30" i="35" a="1"/>
  <c r="K30" i="35" s="1"/>
  <c r="C30" i="35"/>
  <c r="E30" i="35"/>
  <c r="H30" i="35" s="1"/>
  <c r="B149" i="11" a="1"/>
  <c r="B149" i="11" s="1"/>
  <c r="B177" i="11" s="1"/>
  <c r="B163" i="11" s="1" a="1"/>
  <c r="B163" i="11" s="1"/>
  <c r="B11" i="35"/>
  <c r="C12" i="35"/>
  <c r="C14" i="35"/>
  <c r="C15" i="35"/>
  <c r="C13" i="35"/>
  <c r="C16" i="35"/>
  <c r="B11" i="25"/>
  <c r="C16" i="36" s="1"/>
  <c r="C17" i="36"/>
  <c r="C12" i="25"/>
  <c r="C14" i="25"/>
  <c r="C16" i="25"/>
  <c r="C19" i="36"/>
  <c r="C15" i="25"/>
  <c r="C20" i="36"/>
  <c r="C18" i="36"/>
  <c r="C21" i="36"/>
  <c r="C13" i="25"/>
  <c r="B37" i="11" a="1"/>
  <c r="B37" i="11" s="1"/>
  <c r="D29" i="25"/>
  <c r="C29" i="25"/>
  <c r="G29" i="25"/>
  <c r="G39" i="25" s="1"/>
  <c r="K29" i="25" a="1"/>
  <c r="K29" i="25" s="1"/>
  <c r="E29" i="25"/>
  <c r="D29" i="35"/>
  <c r="C29" i="35"/>
  <c r="G29" i="35"/>
  <c r="G39" i="35" s="1"/>
  <c r="K29" i="35" a="1"/>
  <c r="K29" i="35" s="1"/>
  <c r="E29" i="35"/>
  <c r="C11" i="35"/>
  <c r="C11" i="25"/>
  <c r="H21" i="35" l="1"/>
  <c r="H23" i="35"/>
  <c r="H20" i="35"/>
  <c r="H17" i="35"/>
  <c r="H18" i="35"/>
  <c r="H19" i="35"/>
  <c r="F21" i="25"/>
  <c r="F23" i="25"/>
  <c r="F18" i="25"/>
  <c r="F19" i="25"/>
  <c r="F17" i="25"/>
  <c r="F20" i="25"/>
  <c r="F10" i="35"/>
  <c r="G23" i="35"/>
  <c r="G20" i="35"/>
  <c r="G17" i="35"/>
  <c r="G18" i="35"/>
  <c r="G19" i="35"/>
  <c r="G21" i="35"/>
  <c r="D10" i="25"/>
  <c r="E23" i="25"/>
  <c r="E18" i="25"/>
  <c r="E19" i="25"/>
  <c r="E17" i="25"/>
  <c r="E20" i="25"/>
  <c r="E21" i="25"/>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6" i="12"/>
  <c r="F15" i="12"/>
  <c r="F18" i="12"/>
  <c r="F17" i="12"/>
  <c r="F4" i="12"/>
  <c r="F5" i="12"/>
  <c r="F6" i="12"/>
  <c r="F7" i="12"/>
  <c r="F8" i="12"/>
  <c r="F9" i="12"/>
  <c r="F10" i="12"/>
  <c r="F11" i="12"/>
  <c r="F12" i="12"/>
  <c r="F13" i="12"/>
  <c r="F14" i="12"/>
  <c r="F3" i="12"/>
  <c r="M13" i="25"/>
  <c r="L13" i="25"/>
  <c r="K13" i="25"/>
  <c r="J13" i="25"/>
  <c r="I13" i="25"/>
  <c r="H13" i="25"/>
  <c r="G13" i="25"/>
  <c r="E13" i="25"/>
  <c r="F13" i="25"/>
  <c r="D13" i="25"/>
  <c r="G15" i="25"/>
  <c r="H15" i="25"/>
  <c r="I15" i="25"/>
  <c r="J15" i="25"/>
  <c r="K15" i="25"/>
  <c r="L15" i="25"/>
  <c r="M15" i="25"/>
  <c r="Q51" i="25"/>
  <c r="Q53" i="25" s="1"/>
  <c r="P53" i="25" s="1"/>
  <c r="F15" i="25"/>
  <c r="E15" i="25"/>
  <c r="D15" i="25"/>
  <c r="G16" i="25"/>
  <c r="H16" i="25"/>
  <c r="I16" i="25"/>
  <c r="J16" i="25"/>
  <c r="K16" i="25"/>
  <c r="L16" i="25"/>
  <c r="M16" i="25"/>
  <c r="F16" i="25"/>
  <c r="E16" i="25"/>
  <c r="D16" i="25"/>
  <c r="G14" i="25"/>
  <c r="H14" i="25"/>
  <c r="I14" i="25"/>
  <c r="J14" i="25"/>
  <c r="K14" i="25"/>
  <c r="L14" i="25"/>
  <c r="M14" i="25"/>
  <c r="F14" i="25"/>
  <c r="E14" i="25"/>
  <c r="D14" i="25"/>
  <c r="G12" i="25"/>
  <c r="H12" i="25"/>
  <c r="I12" i="25"/>
  <c r="J12" i="25"/>
  <c r="K12" i="25"/>
  <c r="L12" i="25"/>
  <c r="M12" i="25"/>
  <c r="F12" i="25"/>
  <c r="E12" i="25"/>
  <c r="D12" i="25"/>
  <c r="C27" i="36"/>
  <c r="C29" i="36" s="1"/>
  <c r="I16" i="35"/>
  <c r="J16" i="35"/>
  <c r="K16" i="35"/>
  <c r="L16" i="35"/>
  <c r="M16" i="35"/>
  <c r="N16" i="35"/>
  <c r="O16" i="35"/>
  <c r="H16" i="35"/>
  <c r="G16" i="35"/>
  <c r="F16" i="35"/>
  <c r="O13" i="35"/>
  <c r="N13" i="35"/>
  <c r="M13" i="35"/>
  <c r="L13" i="35"/>
  <c r="K13" i="35"/>
  <c r="J13" i="35"/>
  <c r="I13" i="35"/>
  <c r="G13" i="35"/>
  <c r="H13" i="35"/>
  <c r="F13" i="35"/>
  <c r="I15" i="35"/>
  <c r="J15" i="35"/>
  <c r="K15" i="35"/>
  <c r="L15" i="35"/>
  <c r="M15" i="35"/>
  <c r="N15" i="35"/>
  <c r="O15" i="35"/>
  <c r="H15" i="35"/>
  <c r="G15" i="35"/>
  <c r="F15" i="35"/>
  <c r="I14" i="35"/>
  <c r="J14" i="35"/>
  <c r="K14" i="35"/>
  <c r="L14" i="35"/>
  <c r="M14" i="35"/>
  <c r="N14" i="35"/>
  <c r="O14" i="35"/>
  <c r="H14" i="35"/>
  <c r="G14" i="35"/>
  <c r="F14" i="35"/>
  <c r="I12" i="35"/>
  <c r="J12" i="35"/>
  <c r="K12" i="35"/>
  <c r="L12" i="35"/>
  <c r="M12" i="35"/>
  <c r="N12" i="35"/>
  <c r="O12" i="35"/>
  <c r="H12" i="35"/>
  <c r="G12" i="35"/>
  <c r="F12" i="35"/>
  <c r="H29" i="35"/>
  <c r="H39" i="35" s="1"/>
  <c r="I28" i="35"/>
  <c r="K39" i="35"/>
  <c r="E40" i="35"/>
  <c r="H29" i="25"/>
  <c r="H39" i="25" s="1"/>
  <c r="I28" i="25"/>
  <c r="K39" i="25"/>
  <c r="E40" i="25"/>
  <c r="Q60" i="25" s="1"/>
  <c r="C22" i="25"/>
  <c r="G11" i="25"/>
  <c r="G22" i="25" s="1"/>
  <c r="G24" i="25" s="1"/>
  <c r="H11" i="25"/>
  <c r="H22" i="25" s="1"/>
  <c r="H24" i="25" s="1"/>
  <c r="I11" i="25"/>
  <c r="I22" i="25" s="1"/>
  <c r="I24" i="25" s="1"/>
  <c r="J11" i="25"/>
  <c r="J22" i="25" s="1"/>
  <c r="J24" i="25" s="1"/>
  <c r="K11" i="25"/>
  <c r="K22" i="25" s="1"/>
  <c r="K24" i="25" s="1"/>
  <c r="L11" i="25"/>
  <c r="L22" i="25" s="1"/>
  <c r="L24" i="25" s="1"/>
  <c r="M11" i="25"/>
  <c r="M22" i="25" s="1"/>
  <c r="M24" i="25" s="1"/>
  <c r="E2" i="26" a="1"/>
  <c r="E2" i="26" s="1"/>
  <c r="E11" i="25"/>
  <c r="E22" i="25" s="1"/>
  <c r="E24" i="25" s="1"/>
  <c r="F11" i="25"/>
  <c r="F22" i="25" s="1"/>
  <c r="F24" i="25" s="1"/>
  <c r="D11" i="25"/>
  <c r="C22" i="35"/>
  <c r="I11" i="35"/>
  <c r="I22" i="35" s="1"/>
  <c r="I24" i="35" s="1"/>
  <c r="J11" i="35"/>
  <c r="J22" i="35" s="1"/>
  <c r="J24" i="35" s="1"/>
  <c r="K11" i="35"/>
  <c r="K22" i="35" s="1"/>
  <c r="K24" i="35" s="1"/>
  <c r="L11" i="35"/>
  <c r="L22" i="35" s="1"/>
  <c r="L24" i="35" s="1"/>
  <c r="M11" i="35"/>
  <c r="M22" i="35" s="1"/>
  <c r="M24" i="35" s="1"/>
  <c r="N11" i="35"/>
  <c r="N22" i="35" s="1"/>
  <c r="N24" i="35" s="1"/>
  <c r="O11" i="35"/>
  <c r="O22" i="35" s="1"/>
  <c r="O24" i="35" s="1"/>
  <c r="H11" i="35"/>
  <c r="H22" i="35" s="1"/>
  <c r="H24" i="35" s="1"/>
  <c r="G11" i="35"/>
  <c r="G22" i="35" s="1"/>
  <c r="G24" i="35" s="1"/>
  <c r="F11" i="35"/>
  <c r="D23" i="25" l="1"/>
  <c r="D18" i="25"/>
  <c r="D19" i="25"/>
  <c r="D17" i="25"/>
  <c r="D20" i="25"/>
  <c r="D21" i="25"/>
  <c r="F23" i="35"/>
  <c r="F20" i="35"/>
  <c r="F17" i="35"/>
  <c r="F18" i="35"/>
  <c r="F19" i="35"/>
  <c r="F21" i="35"/>
  <c r="P55" i="25"/>
  <c r="P62" i="25" a="1"/>
  <c r="P62" i="25" s="1"/>
  <c r="J28" i="25"/>
  <c r="I29" i="25"/>
  <c r="J28" i="35"/>
  <c r="I29" i="35"/>
  <c r="C24" i="35" a="1"/>
  <c r="C24" i="35" s="1"/>
  <c r="C45" i="35"/>
  <c r="C24" i="25" a="1"/>
  <c r="C24" i="25" s="1"/>
  <c r="Q62" i="25" a="1"/>
  <c r="Q62" i="25" s="1"/>
  <c r="C45" i="25"/>
  <c r="F22" i="35" l="1"/>
  <c r="F24" i="35" s="1"/>
  <c r="D22" i="25"/>
  <c r="D24" i="25" s="1"/>
  <c r="I30" i="35"/>
  <c r="I31" i="35" s="1"/>
  <c r="I32" i="35" s="1"/>
  <c r="I33" i="35" s="1"/>
  <c r="I34" i="35" s="1"/>
  <c r="I35" i="35" s="1"/>
  <c r="I36" i="35" s="1"/>
  <c r="I37" i="35" s="1"/>
  <c r="I38" i="35" s="1"/>
  <c r="I39" i="35"/>
  <c r="I40" i="35" s="1"/>
  <c r="J38" i="35"/>
  <c r="J37" i="35"/>
  <c r="J36" i="35"/>
  <c r="J35" i="35"/>
  <c r="J34" i="35"/>
  <c r="J33" i="35"/>
  <c r="J32" i="35"/>
  <c r="J30" i="35"/>
  <c r="J31" i="35"/>
  <c r="J39" i="35"/>
  <c r="J29" i="35"/>
  <c r="I30" i="25"/>
  <c r="I31" i="25" s="1"/>
  <c r="I32" i="25" s="1"/>
  <c r="I33" i="25" s="1"/>
  <c r="I34" i="25" s="1"/>
  <c r="I35" i="25" s="1"/>
  <c r="I36" i="25" s="1"/>
  <c r="I37" i="25" s="1"/>
  <c r="I38" i="25" s="1"/>
  <c r="I39" i="25"/>
  <c r="I40" i="25" s="1"/>
  <c r="J38" i="25"/>
  <c r="J37" i="25"/>
  <c r="J36" i="25"/>
  <c r="J35" i="25"/>
  <c r="J34" i="25"/>
  <c r="J33" i="25"/>
  <c r="J32" i="25"/>
  <c r="J30" i="25"/>
  <c r="J31" i="25"/>
  <c r="J39" i="25"/>
  <c r="J29" i="25"/>
  <c r="C46" i="25" a="1"/>
  <c r="C46" i="25" s="1"/>
  <c r="D46" i="25" s="1"/>
  <c r="D51" i="25" s="1" a="1"/>
  <c r="D51" i="25" s="1"/>
  <c r="D47" i="25" a="1"/>
  <c r="D47" i="25" s="1"/>
  <c r="C47" i="25" a="1"/>
  <c r="C47" i="25" s="1"/>
  <c r="F28" i="25" a="1"/>
  <c r="F28" i="25" s="1"/>
  <c r="D45" i="25" a="1"/>
  <c r="D45" i="25" s="1"/>
  <c r="D38" i="21"/>
  <c r="D36" i="21" s="1"/>
  <c r="B36" i="21" s="1"/>
  <c r="E38" i="6"/>
  <c r="E36" i="6" s="1"/>
  <c r="B36" i="6" s="1"/>
  <c r="F28" i="35" a="1"/>
  <c r="F28" i="35" s="1"/>
  <c r="D45" i="35" a="1"/>
  <c r="D45" i="35" s="1"/>
  <c r="D47" i="35" a="1"/>
  <c r="D47" i="35" s="1"/>
  <c r="C46" i="35" a="1"/>
  <c r="C46" i="35" s="1"/>
  <c r="C47" i="35" a="1"/>
  <c r="C47" i="35" s="1"/>
  <c r="E38" i="21"/>
  <c r="E36" i="21" s="1"/>
  <c r="F38" i="6"/>
  <c r="F36" i="6" s="1"/>
  <c r="N2" i="37" l="1"/>
  <c r="D46" i="35"/>
  <c r="D51" i="35" s="1" a="1"/>
  <c r="D51" i="35" s="1"/>
  <c r="D48" i="35" a="1"/>
  <c r="D48" i="35" s="1"/>
  <c r="C48" i="35" s="1"/>
  <c r="C49" i="35" s="1"/>
  <c r="D49" i="35"/>
  <c r="F29" i="35"/>
  <c r="F30" i="35"/>
  <c r="F31" i="35"/>
  <c r="F32" i="35"/>
  <c r="F33" i="35"/>
  <c r="F34" i="35"/>
  <c r="F35" i="35"/>
  <c r="F36" i="35"/>
  <c r="F37" i="35"/>
  <c r="F38" i="35"/>
  <c r="F29" i="25"/>
  <c r="F30" i="25"/>
  <c r="F31" i="25"/>
  <c r="F32" i="25"/>
  <c r="F33" i="25"/>
  <c r="F34" i="25"/>
  <c r="F35" i="25"/>
  <c r="F36" i="25"/>
  <c r="F37" i="25"/>
  <c r="F38" i="25"/>
  <c r="D48" i="25" a="1"/>
  <c r="D48" i="25" s="1"/>
  <c r="C48" i="25" s="1"/>
  <c r="C49" i="25" s="1"/>
  <c r="D49" i="25"/>
  <c r="D11" i="35" l="1"/>
  <c r="D12" i="35"/>
  <c r="E12" i="35" s="1"/>
  <c r="D17" i="36" s="1"/>
  <c r="D13" i="35"/>
  <c r="E13" i="35" s="1"/>
  <c r="D18" i="36" s="1"/>
  <c r="D14" i="35"/>
  <c r="E14" i="35" s="1"/>
  <c r="D19" i="36" s="1"/>
  <c r="D15" i="35"/>
  <c r="E15" i="35" s="1"/>
  <c r="D20" i="36" s="1"/>
  <c r="D16" i="35"/>
  <c r="E16" i="35" s="1"/>
  <c r="D21" i="36" s="1"/>
  <c r="D22" i="35"/>
  <c r="E11" i="35"/>
  <c r="F39" i="25"/>
  <c r="D50" i="25" s="1"/>
  <c r="C50" i="25" s="1"/>
  <c r="F39" i="35"/>
  <c r="D50" i="35" s="1"/>
  <c r="C50" i="35" s="1"/>
  <c r="N3" i="37"/>
  <c r="N4" i="37"/>
  <c r="E22" i="35" l="1"/>
  <c r="D16" i="36"/>
  <c r="D27" i="36" s="1"/>
  <c r="D23" i="35"/>
  <c r="E23" i="35"/>
  <c r="D28" i="36" s="1"/>
  <c r="D29" i="36" s="1"/>
  <c r="D24" i="35"/>
  <c r="C55" i="35"/>
  <c r="C53" i="35"/>
  <c r="C54" i="35" s="1"/>
  <c r="M2" i="37" s="1"/>
  <c r="C55" i="25"/>
  <c r="C53" i="25"/>
  <c r="C54" i="25" s="1"/>
  <c r="E24" i="35" l="1"/>
  <c r="D55" i="25"/>
  <c r="C57" i="25" a="1"/>
  <c r="C57" i="25" s="1"/>
  <c r="E41" i="25"/>
  <c r="M4" i="37"/>
  <c r="M3" i="37"/>
  <c r="C57" i="35" a="1"/>
  <c r="C57" i="35" s="1"/>
  <c r="D55" i="35"/>
  <c r="E41" i="35"/>
  <c r="D42" i="35" l="1"/>
  <c r="K42" i="21"/>
  <c r="L42" i="6"/>
  <c r="D57" i="35" a="1"/>
  <c r="D57" i="35" s="1"/>
  <c r="F41" i="35" s="1" a="1"/>
  <c r="F41" i="35" s="1"/>
  <c r="J42" i="21"/>
  <c r="D42" i="25"/>
  <c r="F42" i="25"/>
  <c r="K42" i="6"/>
  <c r="D57" i="25" a="1"/>
  <c r="D57" i="25" s="1"/>
  <c r="F41" i="25" s="1" a="1"/>
  <c r="F41" i="25" s="1"/>
  <c r="J41" i="21" l="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I42" i="21"/>
  <c r="I35" i="21" l="1"/>
  <c r="H35" i="21"/>
  <c r="B41"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<sst xmlns="http://schemas.openxmlformats.org/spreadsheetml/2006/main" count="1351" uniqueCount="555">
  <si>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</si>
  <si>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</si>
  <si>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</si>
  <si>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</si>
  <si>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</si>
  <si>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</si>
  <si>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</si>
  <si>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</si>
  <si>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</si>
  <si>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</si>
  <si>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</si>
  <si>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</si>
  <si>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</si>
  <si>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</si>
  <si>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</si>
  <si>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</si>
  <si>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</si>
  <si>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</si>
  <si>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</si>
  <si>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</si>
  <si>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</si>
  <si>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</si>
  <si>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</si>
  <si>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</si>
  <si>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</si>
  <si>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</si>
  <si>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</si>
  <si>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</si>
  <si>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</si>
  <si>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</si>
  <si>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</si>
  <si>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</si>
  <si>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</si>
  <si>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</si>
  <si>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</si>
  <si>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</si>
  <si>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</si>
  <si>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</si>
  <si>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</si>
  <si>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</si>
  <si>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</si>
  <si>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</si>
  <si>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</si>
  <si>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</si>
  <si>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</si>
  <si>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</si>
  <si>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</si>
  <si>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</si>
  <si>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</si>
  <si>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</si>
  <si>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</si>
  <si>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</si>
  <si>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</si>
  <si>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</si>
  <si>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</si>
  <si>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</si>
  <si>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</si>
  <si>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</si>
  <si>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</si>
  <si>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</si>
  <si>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</si>
  <si>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</si>
  <si>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</si>
  <si>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</si>
  <si>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</si>
  <si>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</si>
  <si>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</si>
  <si>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</si>
  <si>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</si>
  <si>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</si>
  <si>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</si>
  <si>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</si>
  <si>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</si>
  <si>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</si>
  <si>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</si>
  <si>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</si>
  <si>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</si>
  <si>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</si>
  <si>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</si>
  <si>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</si>
  <si>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</si>
  <si>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</si>
  <si>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</si>
  <si>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</si>
  <si>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</si>
  <si>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</si>
  <si>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</si>
  <si>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</si>
  <si>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</si>
  <si>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</si>
  <si>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</si>
  <si>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</si>
  <si>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</si>
  <si>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</si>
  <si>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</si>
  <si>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</si>
  <si>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</si>
  <si>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</si>
  <si>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</si>
  <si>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</si>
  <si>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</si>
  <si>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</si>
  <si>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</si>
  <si>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</si>
  <si>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</si>
  <si>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</si>
  <si>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</si>
  <si>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</si>
  <si>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</si>
  <si>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</si>
  <si>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</si>
  <si>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</si>
  <si>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</si>
  <si>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</si>
  <si>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</si>
  <si>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</si>
  <si>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</si>
  <si>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</si>
  <si>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</si>
  <si>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</si>
  <si>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</si>
  <si>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</si>
  <si>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</si>
  <si>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</si>
  <si>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</si>
  <si>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</si>
  <si>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</si>
  <si>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</si>
  <si>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</si>
  <si>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</si>
  <si>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</si>
  <si>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</si>
  <si>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</si>
  <si>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</si>
  <si>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</si>
  <si>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</si>
  <si>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</si>
  <si>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</si>
  <si>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</si>
  <si>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</si>
  <si>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</si>
  <si>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</si>
  <si>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</si>
  <si>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</si>
  <si>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</si>
  <si>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</si>
  <si>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</si>
  <si>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</si>
  <si>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</si>
  <si>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</si>
  <si>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</si>
  <si>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</si>
  <si>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</si>
  <si>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</si>
  <si>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</si>
  <si>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</si>
  <si>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</si>
  <si>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</si>
  <si>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</si>
  <si>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</si>
  <si>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</si>
  <si>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</si>
  <si>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</si>
  <si>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</si>
  <si>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</si>
  <si>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</si>
  <si>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</si>
  <si>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</si>
  <si>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</si>
  <si>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</si>
  <si>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</si>
  <si>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</si>
  <si>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</si>
  <si>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</si>
  <si>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</si>
  <si>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</si>
  <si>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</si>
  <si>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</si>
  <si>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</si>
  <si>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</si>
  <si>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</si>
  <si>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</si>
  <si>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</si>
  <si>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</si>
  <si>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</si>
  <si>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</si>
  <si>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</si>
  <si>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</si>
  <si>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</si>
  <si>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</si>
  <si>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</si>
  <si>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</si>
  <si>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</si>
  <si>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</si>
  <si>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</si>
  <si>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</si>
  <si>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</si>
  <si>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</si>
  <si>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</si>
  <si>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</si>
  <si>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</si>
  <si>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</si>
  <si>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</si>
  <si>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</si>
  <si>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</si>
  <si>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</si>
  <si>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</si>
  <si>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</si>
  <si>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</si>
  <si>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</si>
  <si>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</si>
  <si>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</si>
  <si>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</si>
  <si>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</si>
  <si>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</si>
  <si>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</si>
  <si>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</si>
  <si>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</si>
  <si>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</si>
  <si>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</si>
  <si>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</si>
  <si>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</si>
  <si>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</si>
  <si>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</si>
  <si>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</si>
  <si>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</si>
  <si>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</si>
  <si>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</si>
  <si>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</si>
  <si>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</si>
  <si>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</si>
  <si>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</si>
  <si>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</si>
  <si>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</si>
  <si>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</si>
  <si>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</si>
  <si>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</si>
  <si>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</si>
  <si>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</si>
  <si>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</si>
  <si>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</si>
  <si>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</si>
  <si>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</si>
  <si>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</si>
  <si>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</si>
  <si>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</si>
  <si>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</si>
  <si>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</si>
  <si>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</si>
  <si>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</si>
  <si>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</si>
  <si>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</si>
  <si>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</si>
  <si>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</si>
  <si>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</si>
  <si>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</si>
  <si>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</si>
  <si>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</si>
  <si>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</si>
  <si>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</si>
  <si>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</si>
  <si>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</si>
  <si>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</si>
  <si>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</si>
  <si>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</si>
  <si>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</si>
  <si>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</si>
  <si>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</si>
  <si>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</si>
  <si>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</si>
  <si>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</si>
  <si>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</si>
  <si>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</si>
  <si>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</si>
  <si>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</si>
  <si>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</si>
  <si>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</si>
  <si>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</si>
  <si>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</si>
  <si>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</si>
  <si>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</si>
  <si>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</si>
  <si>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</si>
  <si>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</si>
  <si>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</si>
  <si>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</si>
  <si>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</si>
  <si>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</si>
  <si>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</si>
  <si>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</si>
  <si>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</si>
  <si>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</si>
  <si>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</si>
  <si>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</si>
  <si>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</si>
  <si>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</si>
  <si>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</si>
  <si>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</si>
  <si>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</si>
  <si>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</si>
  <si>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</si>
  <si>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</si>
  <si>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</si>
  <si>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</si>
  <si>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</si>
  <si>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</si>
  <si>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</si>
  <si>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</si>
  <si>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</si>
  <si>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</si>
  <si>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</si>
  <si>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</si>
  <si>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</si>
  <si>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</si>
  <si>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</si>
  <si>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</si>
  <si>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</si>
  <si>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</si>
  <si>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</si>
  <si>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</si>
  <si>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</si>
  <si>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</si>
  <si>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</si>
  <si>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</si>
  <si>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</si>
  <si>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</si>
  <si>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</si>
  <si>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</si>
  <si>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</si>
  <si>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</si>
  <si>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</si>
  <si>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</si>
  <si>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</si>
  <si>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</si>
  <si>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</si>
  <si>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</si>
  <si>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</si>
  <si>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</si>
  <si>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</si>
  <si>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</si>
  <si>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</si>
  <si>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</si>
  <si>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</si>
  <si>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</si>
  <si>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</si>
  <si>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</si>
  <si>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</si>
  <si>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</si>
  <si>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</si>
  <si>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</si>
  <si>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</si>
  <si>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</si>
  <si>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</si>
  <si>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</si>
  <si>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</si>
  <si>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</si>
  <si>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</si>
  <si>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</si>
  <si>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</si>
  <si>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</si>
  <si>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</si>
  <si>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</si>
  <si>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</si>
  <si>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</si>
  <si>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</si>
  <si>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</si>
  <si>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</si>
  <si>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</si>
  <si>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</si>
  <si>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</si>
  <si>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</si>
  <si>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</si>
  <si>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</si>
  <si>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</si>
  <si>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</si>
  <si>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</si>
  <si>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</si>
  <si>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</si>
  <si>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</si>
  <si>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</si>
  <si>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</si>
  <si>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</si>
  <si>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</si>
  <si>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</si>
  <si>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</si>
  <si>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</si>
  <si>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</si>
  <si>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</si>
  <si>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</si>
  <si>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</si>
  <si>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</si>
  <si>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</si>
  <si>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</si>
  <si>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</si>
  <si>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</si>
  <si>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</si>
  <si>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</si>
  <si>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</si>
  <si>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</si>
  <si>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</si>
  <si>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</si>
  <si>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</si>
  <si>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</si>
  <si>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</si>
  <si>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</si>
  <si>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</si>
  <si>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</si>
  <si>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</si>
  <si>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</si>
  <si>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</si>
  <si>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</si>
  <si>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</si>
  <si>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</si>
  <si>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</si>
  <si>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</si>
  <si>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</si>
  <si>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</si>
  <si>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</si>
  <si>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</si>
  <si>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</si>
  <si>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</si>
  <si>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</si>
  <si>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</si>
  <si>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</si>
  <si>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</si>
  <si>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</si>
  <si>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</si>
  <si>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</si>
  <si>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</si>
  <si>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</si>
  <si>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</si>
  <si>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</si>
  <si>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</si>
  <si>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</si>
  <si>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</si>
  <si>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</si>
  <si>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</si>
  <si>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</si>
  <si>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</si>
  <si>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</si>
  <si>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</si>
  <si>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</si>
  <si>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</si>
  <si>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</si>
  <si>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</si>
  <si>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</si>
  <si>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</si>
  <si>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</si>
  <si>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</si>
  <si>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</si>
  <si>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</si>
  <si>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</si>
  <si>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</si>
  <si>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</si>
  <si>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</si>
  <si>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</si>
  <si>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</si>
  <si>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</si>
  <si>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</si>
  <si>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</si>
  <si>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</si>
  <si>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</si>
  <si>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</si>
  <si>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</si>
  <si>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</si>
  <si>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</si>
  <si>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</si>
  <si>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</si>
  <si>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</si>
  <si>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</si>
  <si>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</si>
  <si>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</si>
  <si>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</si>
  <si>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</si>
  <si>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</si>
  <si>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</si>
  <si>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</si>
  <si>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</si>
  <si>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</si>
  <si>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</si>
  <si>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</si>
  <si>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</si>
  <si>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</si>
  <si>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</si>
  <si>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</si>
  <si>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</si>
  <si>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</si>
  <si>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Forfait_Samenwerking</t>
  </si>
  <si>
    <t>Forfait_Samenwerking_Beoordeeld</t>
  </si>
  <si>
    <t>Forfait_Onderhoud</t>
  </si>
  <si>
    <t>Forfait_Onderhoud_Beoordeling</t>
  </si>
  <si>
    <t>Forfait_Investering</t>
  </si>
  <si>
    <t>Max. 150 kg N dierextrectie/ha (10/12)</t>
  </si>
  <si>
    <t>Max. 100 kg N dierextrectie/ha (10/12)</t>
  </si>
  <si>
    <t>Max. 150 kg N dierextrectie/ha</t>
  </si>
  <si>
    <t>Max. 100 kg N dierextrectie/ha</t>
  </si>
  <si>
    <t>Drooglegging max. 40 cm</t>
  </si>
  <si>
    <t>Drooglegging max. 30 cm</t>
  </si>
  <si>
    <t>Drooglegging max. 20 cm</t>
  </si>
  <si>
    <t>Vergoeding_15</t>
  </si>
  <si>
    <t>Vergoeding_16</t>
  </si>
  <si>
    <t>Vergoeding_17</t>
  </si>
  <si>
    <t>Vergoeding_18</t>
  </si>
  <si>
    <t>Vergoeding_19</t>
  </si>
  <si>
    <t>Vergoeding_20</t>
  </si>
  <si>
    <t>Vergoeding_21</t>
  </si>
  <si>
    <t>Vergoeding_22</t>
  </si>
  <si>
    <t>Vergoeding_23</t>
  </si>
  <si>
    <t>Vergoeding_24</t>
  </si>
  <si>
    <t>Vergoeding_25</t>
  </si>
  <si>
    <t>Vergoeding_26</t>
  </si>
  <si>
    <t>Vergoeding_27</t>
  </si>
  <si>
    <t>Vergoeding_28</t>
  </si>
  <si>
    <t>Vergoeding_29</t>
  </si>
  <si>
    <t>Vergoeding_30</t>
  </si>
  <si>
    <t>Vergoeding_31</t>
  </si>
  <si>
    <t>Vergoeding_32</t>
  </si>
  <si>
    <t>Vergoeding_33</t>
  </si>
  <si>
    <t>Vergoeding_34</t>
  </si>
  <si>
    <t>Max. 150 kg N dierextrectie/ha + Drooglegging max. 40 cm</t>
  </si>
  <si>
    <t>Max. 150 kg N dierextrectie/ha + Drooglegging max. 30 cm</t>
  </si>
  <si>
    <t>Max. 150 kg N dierextrectie/ha + Drooglegging max. 20 cm</t>
  </si>
  <si>
    <t>Max. 100 kg N dierextrectie/ha + Drooglegging max. 40 cm</t>
  </si>
  <si>
    <t>Max. 100 kg N dierextrectie/ha + Drooglegging max. 30 cm</t>
  </si>
  <si>
    <t>Max. 100 kg N dierextrectie/ha + Drooglegging max. 20 cm</t>
  </si>
  <si>
    <t>Max. 150 kg N dierextrectie/ha (10/12) + Drooglegging max. 40 cm</t>
  </si>
  <si>
    <t>Max. 150 kg N dierextrectie/ha (10/12) + Drooglegging max. 30 cm</t>
  </si>
  <si>
    <t>Max. 150 kg N dierextrectie/ha (10/12) + Drooglegging max. 20 cm</t>
  </si>
  <si>
    <t>Max. 100 kg N dierextrectie/ha (10/12) + Drooglegging max. 40 cm</t>
  </si>
  <si>
    <t>Max. 100 kg N dierextrectie/ha (10/12) + Drooglegging max. 30 cm</t>
  </si>
  <si>
    <t>Max. 100 kg N dierextrectie/ha (10/12) + Drooglegging max. 20 cm</t>
  </si>
  <si>
    <t>Drooglegging max. 40 cm (verlaging ANLB)</t>
  </si>
  <si>
    <t>Drooglegging max. 30 cm (verlaging ANLB)</t>
  </si>
  <si>
    <t>Drooglegging max. 20 cm (verlaging ANLB)</t>
  </si>
  <si>
    <t>Max. 150 kg N dierextrectie/ha + Drooglegging max. 40 cm (verlaging ANLB)</t>
  </si>
  <si>
    <t>Max. 150 kg N dierextrectie/ha + Drooglegging max. 30 cm (verlaging ANLB)</t>
  </si>
  <si>
    <t>Max. 150 kg N dierextrectie/ha + Drooglegging max. 20 cm (verlaging ANLB)</t>
  </si>
  <si>
    <t>Max. 100 kg N dierextrectie/ha + Drooglegging max. 40 cm (verlaging ANLB)</t>
  </si>
  <si>
    <t>Max. 100 kg N dierextrectie/ha + Drooglegging max. 30 cm (verlaging ANLB)</t>
  </si>
  <si>
    <t>Max. 100 kg N dierextrectie/ha + Drooglegging max. 20 cm (verlaging ANLB)</t>
  </si>
  <si>
    <t>Max. 150 kg N dierextrectie/ha (10/12) + Drooglegging max. 40 cm (verlaging ANLB)</t>
  </si>
  <si>
    <t>Max. 150 kg N dierextrectie/ha (10/12) + Drooglegging max. 30 cm (verlaging ANLB)</t>
  </si>
  <si>
    <t>Max. 150 kg N dierextrectie/ha (10/12) + Drooglegging max. 20 cm (verlaging ANLB)</t>
  </si>
  <si>
    <t>Max. 100 kg N dierextrectie/ha (10/12) + Drooglegging max. 40 cm (verlaging ANLB)</t>
  </si>
  <si>
    <t>Max. 100 kg N dierextrectie/ha (10/12) + Drooglegging max. 30 cm (verlaging ANLB)</t>
  </si>
  <si>
    <t>Max. 100 kg N dierextrectie/ha (10/12) + Drooglegging max. 20 cm (verlaging ANLB)</t>
  </si>
  <si>
    <t>Versie 30-06-2025</t>
  </si>
  <si>
    <t xml:space="preserve">Let op: De gekozen rekenmethode geldt voor alle tabbladen en berekeningen. </t>
  </si>
  <si>
    <t>Samenwerken aan innovatie (EIP) Digitalisering en Robotisering</t>
  </si>
  <si>
    <t>Voorbereiding samenwerkingsproject</t>
  </si>
  <si>
    <t>Investeringen</t>
  </si>
  <si>
    <r>
      <t xml:space="preserve">
Voor onderstaade kosten kunt u subsidie krijgen. Dit noemen wij ook wel de subsidiabele activiteiten en kunt u selecteren in kolom E. De voorbereidingskosten en uitvoeringskosten worden 100% vergoed. Voor investeringen krijgt u 40% van de kosten vergoed.
</t>
    </r>
    <r>
      <rPr>
        <u/>
        <sz val="9"/>
        <color theme="0"/>
        <rFont val="Calibri"/>
        <family val="2"/>
        <scheme val="minor"/>
      </rPr>
      <t xml:space="preserve">
Voorbereidingskosten</t>
    </r>
    <r>
      <rPr>
        <b/>
        <sz val="9"/>
        <color theme="0"/>
        <rFont val="Calibri"/>
        <family val="2"/>
        <scheme val="minor"/>
      </rPr>
      <t xml:space="preserve"> zijn subsidiabel tot 1 jaar voordat u uw aanvraag doet. Het gaat dan alleen om kosten voor activiteiten die direct horen bij de voorbereiding van de subsidieaanvraag. 
U krijgt subsidie voor activiteiten voor: het vinden van deelnemers aan het samenwerkingsverband; het opstellen van een projectplan; het opstellen van de samenwerkingsovereenkomst.
</t>
    </r>
    <r>
      <rPr>
        <u/>
        <sz val="9"/>
        <color theme="0"/>
        <rFont val="Calibri"/>
        <family val="2"/>
        <scheme val="minor"/>
      </rPr>
      <t>Uitvoeringskosten</t>
    </r>
    <r>
      <rPr>
        <b/>
        <sz val="9"/>
        <color theme="0"/>
        <rFont val="Calibri"/>
        <family val="2"/>
        <scheme val="minor"/>
      </rPr>
      <t xml:space="preserve"> zijn alle kosten die te maken hebben met het uitvoeren van het project. 
U krijgt onder meer subsidie voor: projectmanagement; het samenwerkingsverband coördineren; onderzoek doen; verbruikskosten tijdens de projectperiode, bijvoorbeeld brandstof; prototypes en modellen ontwikkelen; arbeidskosten die worden uitgegeven aan de uitvoering van het project; opgedane kennis verspreiden. 
</t>
    </r>
    <r>
      <rPr>
        <u/>
        <sz val="9"/>
        <color theme="0"/>
        <rFont val="Calibri"/>
        <family val="2"/>
        <scheme val="minor"/>
      </rPr>
      <t>Investeringen</t>
    </r>
    <r>
      <rPr>
        <b/>
        <sz val="9"/>
        <color theme="0"/>
        <rFont val="Calibri"/>
        <family val="2"/>
        <scheme val="minor"/>
      </rPr>
      <t xml:space="preserve"> in bedrijfsmiddelen zijn vaste bezittingen die voor een langere tijd bij het bedrijf horen. Ze worden gebruikt voor de bedrijfsvoering. De investeringen horen bij het ondernemingsvermogen. Voorbeelden van bedrijfsmiddelen zijn gebouwen, machines en inventaris. Koopt u in uw project software en hardware? En de licenties die daarbij horen? Deze kosten vallen ook onder investeringen.
</t>
    </r>
  </si>
  <si>
    <t>Heeft u een specifieke vraag over de regeling of het aanvraagproces?
🔗 Test de EIP Subsidie Buddy via https://abs.techletes.ai/subsidie-buddy-eip</t>
  </si>
  <si>
    <t>Heeft u een specifieke vraag over de regeling of het aanvraagproces? 🔗 Test de EIP Subsidie Buddy via https://abs.techletes.ai/subsidie-buddy-eip</t>
  </si>
  <si>
    <t>Samenwerken aan innovatie (EIP) digitalisering en robotisering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</si>
</sst>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41"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9"/>
      <color theme="0"/>
      <name val="Calibri"/>
      <family val="2"/>
      <scheme val="minor"/>
    </font>
    <font>
      <u/>
      <sz val="9"/>
      <color theme="0"/>
      <name val="Calibri"/>
      <family val="2"/>
      <scheme val="minor"/>
    </font>
    <font>
      <u/>
      <sz val="11"/>
      <color theme="10"/>
      <name val="Calibri"/>
      <family val="2"/>
      <scheme val="minor"/>
    </font>
    <font>
      <u/>
      <sz val="8"/>
      <color theme="9" tint="0.79998168889431442"/>
      <name val="Verdana"/>
      <family val="2"/>
    </font>
    <font>
      <u/>
      <sz val="11"/>
      <color theme="0"/>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7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right style="medium">
        <color indexed="64"/>
      </right>
      <top/>
      <bottom/>
      <diagonal/>
    </border>
    <border>
      <left style="medium">
        <color auto="1"/>
      </left>
      <right/>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indexed="64"/>
      </left>
      <right/>
      <top style="thin">
        <color indexed="64"/>
      </top>
      <bottom style="thin">
        <color theme="0" tint="-0.24994659260841701"/>
      </bottom>
      <diagonal/>
    </border>
    <border>
      <left/>
      <right style="medium">
        <color auto="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9" tint="0.79998168889431442"/>
      </bottom>
      <diagonal/>
    </border>
    <border>
      <left/>
      <right style="thin">
        <color theme="0" tint="-0.24994659260841701"/>
      </right>
      <top style="thin">
        <color theme="9" tint="0.79998168889431442"/>
      </top>
      <bottom style="thin">
        <color theme="0" tint="-0.24994659260841701"/>
      </bottom>
      <diagonal/>
    </border>
    <border>
      <left/>
      <right/>
      <top style="thin">
        <color theme="9" tint="0.79998168889431442"/>
      </top>
      <bottom style="thin">
        <color theme="0" tint="-0.24994659260841701"/>
      </bottom>
      <diagonal/>
    </border>
  </borders>
  <cellStyleXfs count="12">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5" fillId="9" borderId="0" applyNumberFormat="0" applyBorder="0" applyAlignment="0" applyProtection="0"/>
    <xf numFmtId="0" fontId="3"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 fillId="0" borderId="0"/>
    <xf numFmtId="0" fontId="38" fillId="0" borderId="0" applyNumberFormat="0" applyFill="0" applyBorder="0" applyAlignment="0" applyProtection="0"/>
  </cellStyleXfs>
  <cellXfs count="496">
    <xf numFmtId="0" fontId="0" fillId="0" borderId="0" xfId="0"/>
    <xf numFmtId="0" fontId="2" fillId="0" borderId="0" xfId="0" applyFont="1"/>
    <xf numFmtId="0" fontId="2" fillId="0" borderId="0" xfId="0" applyFont="1" applyAlignment="1">
      <alignment wrapText="1"/>
    </xf>
    <xf numFmtId="49" fontId="2" fillId="0" borderId="0" xfId="0" applyNumberFormat="1" applyFont="1" applyAlignment="1">
      <alignment wrapText="1"/>
    </xf>
    <xf numFmtId="0" fontId="2" fillId="13" borderId="1" xfId="0" applyFont="1" applyFill="1" applyBorder="1" applyAlignment="1">
      <alignment horizontal="left" vertical="center" wrapText="1"/>
    </xf>
    <xf numFmtId="0" fontId="2" fillId="7" borderId="1" xfId="4" applyNumberFormat="1" applyFont="1" applyBorder="1" applyAlignment="1" applyProtection="1">
      <alignment horizontal="right"/>
      <protection hidden="1"/>
    </xf>
    <xf numFmtId="0" fontId="3" fillId="8" borderId="1" xfId="5" applyBorder="1" applyAlignment="1" applyProtection="1">
      <alignment horizontal="left"/>
      <protection hidden="1"/>
    </xf>
    <xf numFmtId="0" fontId="2" fillId="8" borderId="1" xfId="5" applyFont="1" applyBorder="1" applyAlignment="1" applyProtection="1">
      <alignment horizontal="left"/>
      <protection hidden="1"/>
    </xf>
    <xf numFmtId="0" fontId="2" fillId="18" borderId="1" xfId="3" applyFont="1" applyFill="1" applyBorder="1" applyProtection="1">
      <protection hidden="1"/>
    </xf>
    <xf numFmtId="164" fontId="2" fillId="18" borderId="1" xfId="3" applyNumberFormat="1" applyFont="1" applyFill="1" applyBorder="1" applyProtection="1">
      <protection hidden="1"/>
    </xf>
    <xf numFmtId="9" fontId="2" fillId="18" borderId="1" xfId="3" applyNumberFormat="1" applyFont="1" applyFill="1" applyBorder="1" applyProtection="1">
      <protection hidden="1"/>
    </xf>
    <xf numFmtId="1" fontId="2" fillId="18" borderId="1" xfId="3" applyNumberFormat="1" applyFont="1" applyFill="1" applyBorder="1" applyAlignment="1" applyProtection="1">
      <alignment vertical="top"/>
      <protection hidden="1"/>
    </xf>
    <xf numFmtId="0" fontId="0" fillId="0" borderId="1" xfId="0" applyBorder="1"/>
    <xf numFmtId="10" fontId="2" fillId="18" borderId="1" xfId="3" applyNumberFormat="1" applyFont="1" applyFill="1" applyBorder="1" applyProtection="1">
      <protection hidden="1"/>
    </xf>
    <xf numFmtId="0" fontId="2" fillId="18" borderId="1" xfId="3" applyFont="1" applyFill="1" applyBorder="1" applyAlignment="1" applyProtection="1">
      <protection hidden="1"/>
    </xf>
    <xf numFmtId="0" fontId="0" fillId="2" borderId="0" xfId="0" applyFill="1"/>
    <xf numFmtId="0" fontId="10" fillId="2" borderId="0" xfId="0" applyFont="1" applyFill="1"/>
    <xf numFmtId="0" fontId="2" fillId="7" borderId="1" xfId="4" applyNumberFormat="1" applyFont="1" applyBorder="1" applyAlignment="1" applyProtection="1">
      <alignment horizontal="right" vertical="center"/>
      <protection hidden="1"/>
    </xf>
    <xf numFmtId="49" fontId="2" fillId="7" borderId="1" xfId="4" applyNumberFormat="1" applyFont="1" applyBorder="1" applyAlignment="1" applyProtection="1">
      <alignment horizontal="left" vertical="center"/>
      <protection hidden="1"/>
    </xf>
    <xf numFmtId="0" fontId="2" fillId="0" borderId="5" xfId="0" applyFont="1" applyBorder="1" applyAlignment="1">
      <alignment horizontal="center" vertical="center"/>
    </xf>
    <xf numFmtId="0" fontId="2" fillId="17" borderId="1" xfId="0" applyFont="1" applyFill="1" applyBorder="1" applyAlignment="1">
      <alignment wrapText="1"/>
    </xf>
    <xf numFmtId="0" fontId="2"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2" fillId="0" borderId="0" xfId="0" applyFont="1" applyProtection="1">
      <protection hidden="1"/>
    </xf>
    <xf numFmtId="0" fontId="3" fillId="0" borderId="0" xfId="0" applyFont="1" applyProtection="1">
      <protection hidden="1"/>
    </xf>
    <xf numFmtId="0" fontId="0" fillId="0" borderId="0" xfId="0"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center"/>
      <protection hidden="1"/>
    </xf>
    <xf numFmtId="0" fontId="2" fillId="0" borderId="7" xfId="3" applyFont="1" applyFill="1" applyBorder="1" applyAlignment="1" applyProtection="1">
      <alignment horizontal="center"/>
      <protection hidden="1"/>
    </xf>
    <xf numFmtId="0" fontId="2" fillId="0" borderId="6" xfId="3"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vertical="center"/>
      <protection hidden="1"/>
    </xf>
    <xf numFmtId="0" fontId="2" fillId="18" borderId="3" xfId="3" applyFont="1" applyFill="1" applyBorder="1" applyProtection="1">
      <protection hidden="1"/>
    </xf>
    <xf numFmtId="0" fontId="2" fillId="18" borderId="2" xfId="3" applyFont="1" applyFill="1" applyBorder="1" applyProtection="1">
      <protection hidden="1"/>
    </xf>
    <xf numFmtId="0" fontId="6" fillId="0" borderId="0" xfId="0" applyFont="1" applyProtection="1">
      <protection hidden="1"/>
    </xf>
    <xf numFmtId="1" fontId="6" fillId="0" borderId="0" xfId="0" applyNumberFormat="1" applyFont="1" applyAlignment="1" applyProtection="1">
      <alignment vertical="top"/>
      <protection hidden="1"/>
    </xf>
    <xf numFmtId="0" fontId="3" fillId="2" borderId="0" xfId="0" applyFont="1" applyFill="1" applyProtection="1">
      <protection hidden="1"/>
    </xf>
    <xf numFmtId="1" fontId="2" fillId="2" borderId="0" xfId="1" applyNumberFormat="1" applyFont="1" applyFill="1" applyBorder="1" applyAlignment="1" applyProtection="1">
      <protection hidden="1"/>
    </xf>
    <xf numFmtId="0" fontId="3" fillId="2" borderId="0" xfId="0" applyFont="1" applyFill="1" applyAlignment="1" applyProtection="1">
      <alignment wrapText="1"/>
      <protection hidden="1"/>
    </xf>
    <xf numFmtId="0" fontId="0" fillId="2" borderId="0" xfId="0" applyFill="1" applyProtection="1">
      <protection hidden="1"/>
    </xf>
    <xf numFmtId="165" fontId="3" fillId="2" borderId="0" xfId="1" applyNumberFormat="1" applyFill="1" applyBorder="1" applyAlignment="1" applyProtection="1">
      <protection hidden="1"/>
    </xf>
    <xf numFmtId="164" fontId="2" fillId="12" borderId="12" xfId="7" applyNumberFormat="1" applyFont="1" applyFill="1" applyBorder="1" applyAlignment="1" applyProtection="1">
      <protection hidden="1"/>
    </xf>
    <xf numFmtId="0" fontId="2" fillId="2" borderId="0" xfId="5" applyFont="1" applyFill="1" applyBorder="1" applyAlignment="1" applyProtection="1">
      <alignment horizontal="left"/>
      <protection hidden="1"/>
    </xf>
    <xf numFmtId="164" fontId="2" fillId="2" borderId="0" xfId="7" applyNumberFormat="1" applyFont="1" applyFill="1" applyBorder="1" applyAlignment="1" applyProtection="1">
      <protection hidden="1"/>
    </xf>
    <xf numFmtId="164" fontId="3" fillId="2" borderId="0" xfId="7" applyNumberFormat="1" applyFill="1" applyBorder="1" applyAlignment="1" applyProtection="1">
      <protection hidden="1"/>
    </xf>
    <xf numFmtId="0" fontId="2" fillId="11" borderId="12" xfId="5" applyFont="1" applyFill="1" applyBorder="1" applyAlignment="1" applyProtection="1">
      <alignment horizontal="left" wrapText="1"/>
      <protection hidden="1"/>
    </xf>
    <xf numFmtId="10" fontId="2" fillId="11" borderId="12" xfId="7" applyNumberFormat="1" applyFont="1" applyFill="1" applyBorder="1" applyAlignment="1" applyProtection="1">
      <protection hidden="1"/>
    </xf>
    <xf numFmtId="0" fontId="3" fillId="11" borderId="12" xfId="5" applyFill="1" applyBorder="1" applyAlignment="1" applyProtection="1">
      <alignment horizontal="left" wrapText="1"/>
      <protection hidden="1"/>
    </xf>
    <xf numFmtId="164" fontId="2" fillId="11" borderId="12" xfId="7" applyNumberFormat="1" applyFont="1" applyFill="1" applyBorder="1" applyAlignment="1" applyProtection="1">
      <protection hidden="1"/>
    </xf>
    <xf numFmtId="164" fontId="3" fillId="0" borderId="0" xfId="0" applyNumberFormat="1" applyFont="1" applyAlignment="1" applyProtection="1">
      <alignment wrapText="1"/>
      <protection hidden="1"/>
    </xf>
    <xf numFmtId="164" fontId="3" fillId="11" borderId="1" xfId="7" applyNumberFormat="1" applyFill="1" applyBorder="1" applyAlignment="1" applyProtection="1">
      <protection hidden="1"/>
    </xf>
    <xf numFmtId="0" fontId="3" fillId="11" borderId="1" xfId="5" applyFill="1" applyBorder="1" applyAlignment="1" applyProtection="1">
      <alignment horizontal="left"/>
      <protection hidden="1"/>
    </xf>
    <xf numFmtId="0" fontId="14" fillId="11" borderId="1" xfId="5" applyFont="1" applyFill="1" applyBorder="1" applyAlignment="1" applyProtection="1">
      <alignment horizontal="left" wrapText="1"/>
      <protection hidden="1"/>
    </xf>
    <xf numFmtId="164" fontId="15" fillId="11" borderId="1" xfId="7" applyNumberFormat="1" applyFont="1" applyFill="1" applyBorder="1" applyAlignment="1" applyProtection="1">
      <protection hidden="1"/>
    </xf>
    <xf numFmtId="164" fontId="7" fillId="11" borderId="1" xfId="7" applyNumberFormat="1" applyFont="1" applyFill="1" applyBorder="1" applyAlignment="1" applyProtection="1">
      <protection hidden="1"/>
    </xf>
    <xf numFmtId="9" fontId="0" fillId="0" borderId="0" xfId="0" applyNumberFormat="1"/>
    <xf numFmtId="0" fontId="0" fillId="20" borderId="0" xfId="0" applyFill="1"/>
    <xf numFmtId="0" fontId="5" fillId="21" borderId="0" xfId="0" applyFont="1" applyFill="1"/>
    <xf numFmtId="164" fontId="9" fillId="18" borderId="1" xfId="3" applyNumberFormat="1" applyFont="1" applyFill="1" applyBorder="1" applyProtection="1">
      <protection hidden="1"/>
    </xf>
    <xf numFmtId="0" fontId="9" fillId="18" borderId="3" xfId="3" applyFont="1" applyFill="1" applyBorder="1" applyProtection="1">
      <protection hidden="1"/>
    </xf>
    <xf numFmtId="0" fontId="9"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5" fillId="21" borderId="0" xfId="0" applyFont="1" applyFill="1" applyAlignment="1">
      <alignment horizontal="center"/>
    </xf>
    <xf numFmtId="4" fontId="0" fillId="20" borderId="0" xfId="0" applyNumberFormat="1" applyFill="1"/>
    <xf numFmtId="0" fontId="0" fillId="22" borderId="0" xfId="0" applyFill="1"/>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165"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2" fillId="24" borderId="1" xfId="4" applyNumberFormat="1" applyFont="1" applyFill="1" applyBorder="1" applyAlignment="1" applyProtection="1">
      <alignment horizontal="left" vertical="center"/>
      <protection hidden="1"/>
    </xf>
    <xf numFmtId="164" fontId="17" fillId="12" borderId="1" xfId="7" applyNumberFormat="1" applyFont="1" applyFill="1" applyBorder="1" applyAlignment="1" applyProtection="1">
      <alignment horizontal="left" vertical="center" wrapText="1"/>
      <protection hidden="1"/>
    </xf>
    <xf numFmtId="0" fontId="16" fillId="19" borderId="1" xfId="5" applyFont="1" applyFill="1" applyBorder="1" applyAlignment="1" applyProtection="1">
      <alignment horizontal="left" vertical="center"/>
      <protection hidden="1"/>
    </xf>
    <xf numFmtId="164" fontId="16" fillId="12" borderId="1" xfId="7" applyNumberFormat="1" applyFont="1" applyFill="1" applyBorder="1" applyAlignment="1" applyProtection="1">
      <alignment vertical="center"/>
      <protection hidden="1"/>
    </xf>
    <xf numFmtId="10" fontId="2" fillId="11" borderId="12" xfId="7" applyNumberFormat="1" applyFont="1" applyFill="1" applyBorder="1" applyAlignment="1" applyProtection="1">
      <alignment vertical="center"/>
      <protection hidden="1"/>
    </xf>
    <xf numFmtId="164" fontId="3" fillId="11" borderId="12" xfId="7" applyNumberFormat="1" applyFill="1" applyBorder="1" applyAlignment="1" applyProtection="1">
      <alignment vertical="center" wrapText="1"/>
      <protection hidden="1"/>
    </xf>
    <xf numFmtId="0" fontId="19" fillId="0" borderId="0" xfId="0" applyFont="1" applyProtection="1">
      <protection hidden="1"/>
    </xf>
    <xf numFmtId="0" fontId="2" fillId="11" borderId="1" xfId="5" applyFont="1" applyFill="1" applyBorder="1" applyAlignment="1" applyProtection="1">
      <alignment horizontal="left" vertical="center" wrapText="1"/>
      <protection hidden="1"/>
    </xf>
    <xf numFmtId="164" fontId="3"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3" fillId="12" borderId="12" xfId="5" applyFill="1" applyBorder="1" applyAlignment="1" applyProtection="1">
      <alignment horizontal="left"/>
      <protection hidden="1"/>
    </xf>
    <xf numFmtId="164" fontId="3" fillId="12" borderId="12" xfId="7" applyNumberFormat="1" applyFill="1" applyBorder="1" applyAlignment="1" applyProtection="1">
      <protection hidden="1"/>
    </xf>
    <xf numFmtId="9" fontId="3" fillId="12" borderId="12" xfId="7" applyNumberFormat="1" applyFill="1" applyBorder="1" applyAlignment="1" applyProtection="1">
      <protection hidden="1"/>
    </xf>
    <xf numFmtId="0" fontId="0" fillId="3" borderId="0" xfId="0" applyFill="1"/>
    <xf numFmtId="9" fontId="5" fillId="21" borderId="0" xfId="0" applyNumberFormat="1" applyFont="1" applyFill="1"/>
    <xf numFmtId="9" fontId="0" fillId="3" borderId="0" xfId="0" applyNumberFormat="1" applyFill="1"/>
    <xf numFmtId="0" fontId="2"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2" fillId="11" borderId="0" xfId="7" applyNumberFormat="1" applyFont="1" applyFill="1" applyBorder="1" applyAlignment="1" applyProtection="1">
      <protection hidden="1"/>
    </xf>
    <xf numFmtId="164" fontId="3" fillId="11" borderId="0" xfId="7" applyNumberFormat="1" applyFill="1" applyBorder="1" applyAlignment="1" applyProtection="1">
      <protection hidden="1"/>
    </xf>
    <xf numFmtId="0" fontId="3" fillId="11" borderId="1" xfId="5" applyFill="1" applyBorder="1" applyAlignment="1" applyProtection="1">
      <alignment horizontal="left" vertical="center" wrapText="1"/>
      <protection hidden="1"/>
    </xf>
    <xf numFmtId="164" fontId="3" fillId="0" borderId="0" xfId="0" applyNumberFormat="1" applyFont="1" applyProtection="1">
      <protection hidden="1"/>
    </xf>
    <xf numFmtId="164" fontId="3" fillId="16" borderId="1" xfId="2" applyNumberFormat="1" applyFill="1" applyBorder="1" applyAlignment="1" applyProtection="1">
      <protection hidden="1"/>
    </xf>
    <xf numFmtId="164" fontId="3" fillId="16" borderId="1" xfId="7" applyNumberFormat="1" applyFill="1" applyBorder="1" applyAlignment="1" applyProtection="1">
      <protection hidden="1"/>
    </xf>
    <xf numFmtId="0" fontId="3" fillId="18" borderId="1" xfId="5" applyFill="1" applyBorder="1" applyAlignment="1" applyProtection="1">
      <alignment horizontal="left"/>
      <protection hidden="1"/>
    </xf>
    <xf numFmtId="164" fontId="3" fillId="28" borderId="1" xfId="7" applyNumberFormat="1" applyFill="1" applyBorder="1" applyAlignment="1" applyProtection="1">
      <protection hidden="1"/>
    </xf>
    <xf numFmtId="0" fontId="3" fillId="12" borderId="12" xfId="5" applyFill="1" applyBorder="1" applyAlignment="1" applyProtection="1">
      <alignment horizontal="right"/>
      <protection hidden="1"/>
    </xf>
    <xf numFmtId="0" fontId="2" fillId="12" borderId="12" xfId="5" applyFont="1" applyFill="1" applyBorder="1" applyAlignment="1" applyProtection="1">
      <alignment horizontal="right"/>
      <protection hidden="1"/>
    </xf>
    <xf numFmtId="0" fontId="12" fillId="23" borderId="10" xfId="1" applyNumberFormat="1" applyFont="1" applyFill="1" applyBorder="1" applyAlignment="1" applyProtection="1">
      <alignment vertical="center"/>
      <protection hidden="1"/>
    </xf>
    <xf numFmtId="0" fontId="12" fillId="23" borderId="2" xfId="1" applyNumberFormat="1" applyFont="1" applyFill="1" applyBorder="1" applyAlignment="1" applyProtection="1">
      <alignment vertical="center"/>
      <protection hidden="1"/>
    </xf>
    <xf numFmtId="0" fontId="8" fillId="18" borderId="1" xfId="6" applyFont="1" applyFill="1" applyBorder="1" applyAlignment="1" applyProtection="1">
      <alignment vertical="center"/>
      <protection hidden="1"/>
    </xf>
    <xf numFmtId="0" fontId="12"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3" fillId="18" borderId="6" xfId="0" applyFont="1" applyFill="1" applyBorder="1" applyAlignment="1" applyProtection="1">
      <alignment horizontal="center"/>
      <protection hidden="1"/>
    </xf>
    <xf numFmtId="0" fontId="3" fillId="18" borderId="0" xfId="0" applyFont="1" applyFill="1" applyProtection="1">
      <protection hidden="1"/>
    </xf>
    <xf numFmtId="0" fontId="3" fillId="14" borderId="6" xfId="0" applyFont="1" applyFill="1" applyBorder="1" applyAlignment="1" applyProtection="1">
      <alignment horizontal="center"/>
      <protection hidden="1"/>
    </xf>
    <xf numFmtId="0" fontId="2" fillId="14" borderId="4" xfId="3" applyFont="1" applyFill="1" applyBorder="1" applyProtection="1">
      <protection hidden="1"/>
    </xf>
    <xf numFmtId="0" fontId="12" fillId="14" borderId="2" xfId="1" applyNumberFormat="1" applyFont="1" applyFill="1" applyBorder="1" applyAlignment="1" applyProtection="1">
      <alignment vertical="center"/>
      <protection hidden="1"/>
    </xf>
    <xf numFmtId="0" fontId="3" fillId="14" borderId="0" xfId="0" applyFont="1" applyFill="1" applyProtection="1">
      <protection hidden="1"/>
    </xf>
    <xf numFmtId="1" fontId="9" fillId="14" borderId="1" xfId="3" applyNumberFormat="1" applyFont="1" applyFill="1" applyBorder="1" applyAlignment="1" applyProtection="1">
      <alignment vertical="top"/>
      <protection hidden="1"/>
    </xf>
    <xf numFmtId="0" fontId="2" fillId="14" borderId="1" xfId="3" applyFont="1" applyFill="1" applyBorder="1" applyProtection="1">
      <protection hidden="1"/>
    </xf>
    <xf numFmtId="0" fontId="2" fillId="14" borderId="1" xfId="3" applyFont="1" applyFill="1" applyBorder="1" applyAlignment="1" applyProtection="1">
      <protection hidden="1"/>
    </xf>
    <xf numFmtId="0" fontId="9" fillId="14" borderId="1" xfId="3" applyFont="1" applyFill="1" applyBorder="1" applyProtection="1">
      <protection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164" fontId="6" fillId="0" borderId="0" xfId="0" applyNumberFormat="1" applyFont="1" applyProtection="1">
      <protection hidden="1"/>
    </xf>
    <xf numFmtId="0" fontId="2" fillId="0" borderId="5" xfId="0" applyFont="1" applyBorder="1" applyAlignment="1">
      <alignment vertical="center"/>
    </xf>
    <xf numFmtId="0" fontId="0" fillId="0" borderId="0" xfId="0" applyAlignment="1">
      <alignment wrapText="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4" fontId="3" fillId="32" borderId="12" xfId="7" applyNumberFormat="1" applyFill="1" applyBorder="1" applyAlignment="1" applyProtection="1">
      <protection locked="0" hidden="1"/>
    </xf>
    <xf numFmtId="0" fontId="2" fillId="18" borderId="1" xfId="5" applyFont="1" applyFill="1" applyBorder="1" applyAlignment="1" applyProtection="1">
      <alignment horizontal="left"/>
      <protection hidden="1"/>
    </xf>
    <xf numFmtId="164" fontId="3" fillId="0" borderId="12" xfId="7" applyNumberFormat="1" applyFill="1" applyBorder="1" applyAlignment="1" applyProtection="1">
      <protection hidden="1"/>
    </xf>
    <xf numFmtId="164" fontId="2"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164" fontId="3" fillId="2" borderId="0" xfId="0" applyNumberFormat="1" applyFont="1" applyFill="1" applyAlignment="1" applyProtection="1">
      <alignment wrapText="1"/>
      <protection hidden="1"/>
    </xf>
    <xf numFmtId="164" fontId="3" fillId="11" borderId="12" xfId="7" applyNumberFormat="1" applyFill="1" applyBorder="1" applyAlignment="1" applyProtection="1">
      <alignment horizontal="center"/>
      <protection hidden="1"/>
    </xf>
    <xf numFmtId="10" fontId="3" fillId="0" borderId="0" xfId="8" applyNumberFormat="1" applyFont="1" applyProtection="1">
      <protection hidden="1"/>
    </xf>
    <xf numFmtId="0" fontId="3" fillId="11" borderId="0" xfId="5" applyFill="1" applyBorder="1" applyAlignment="1" applyProtection="1">
      <alignment horizontal="left" wrapText="1"/>
      <protection hidden="1"/>
    </xf>
    <xf numFmtId="9" fontId="3" fillId="11" borderId="1" xfId="8" applyFill="1" applyBorder="1" applyAlignment="1" applyProtection="1">
      <protection hidden="1"/>
    </xf>
    <xf numFmtId="0" fontId="3" fillId="11" borderId="1" xfId="5" applyFill="1" applyBorder="1" applyAlignment="1" applyProtection="1">
      <alignment horizontal="left" wrapText="1"/>
      <protection hidden="1"/>
    </xf>
    <xf numFmtId="49" fontId="2" fillId="7" borderId="1" xfId="4" applyNumberFormat="1" applyFont="1" applyBorder="1" applyAlignment="1" applyProtection="1">
      <alignment horizontal="right" vertical="center"/>
      <protection hidden="1"/>
    </xf>
    <xf numFmtId="164" fontId="3" fillId="11" borderId="1" xfId="7" applyNumberFormat="1" applyFill="1" applyBorder="1" applyAlignment="1" applyProtection="1">
      <alignment horizontal="left" vertical="center"/>
      <protection hidden="1"/>
    </xf>
    <xf numFmtId="164" fontId="3" fillId="11" borderId="12" xfId="7" applyNumberFormat="1" applyFill="1" applyBorder="1" applyAlignment="1" applyProtection="1">
      <alignment horizontal="left" vertical="center"/>
      <protection hidden="1"/>
    </xf>
    <xf numFmtId="9" fontId="3"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2" fillId="0" borderId="0" xfId="0" applyNumberFormat="1" applyFont="1" applyProtection="1">
      <protection hidden="1"/>
    </xf>
    <xf numFmtId="0" fontId="2" fillId="0" borderId="0" xfId="0" applyFont="1" applyAlignment="1" applyProtection="1">
      <alignment horizontal="center" vertical="center" wrapText="1"/>
      <protection hidden="1"/>
    </xf>
    <xf numFmtId="0" fontId="2" fillId="8" borderId="1" xfId="5" applyFont="1" applyBorder="1" applyAlignment="1" applyProtection="1">
      <alignment horizontal="left" vertical="center"/>
      <protection hidden="1"/>
    </xf>
    <xf numFmtId="0" fontId="3" fillId="0" borderId="0" xfId="0" applyFont="1" applyAlignment="1" applyProtection="1">
      <alignment horizontal="center" wrapText="1"/>
      <protection hidden="1"/>
    </xf>
    <xf numFmtId="164" fontId="2" fillId="33" borderId="1" xfId="7" applyNumberFormat="1" applyFont="1" applyFill="1" applyBorder="1" applyAlignment="1" applyProtection="1">
      <protection hidden="1"/>
    </xf>
    <xf numFmtId="0" fontId="22" fillId="2" borderId="0" xfId="0" applyFont="1" applyFill="1"/>
    <xf numFmtId="0" fontId="2"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2" fillId="0" borderId="11" xfId="0" applyFont="1" applyBorder="1" applyAlignment="1">
      <alignment vertical="center" wrapText="1"/>
    </xf>
    <xf numFmtId="0" fontId="2" fillId="0" borderId="0" xfId="0" applyFont="1" applyAlignment="1">
      <alignment vertical="center" wrapText="1"/>
    </xf>
    <xf numFmtId="0" fontId="18" fillId="23" borderId="42" xfId="3" applyFont="1" applyFill="1" applyBorder="1" applyAlignment="1" applyProtection="1">
      <alignment horizontal="center" wrapText="1"/>
      <protection hidden="1"/>
    </xf>
    <xf numFmtId="166" fontId="0" fillId="0" borderId="0" xfId="0" applyNumberFormat="1" applyProtection="1">
      <protection locked="0"/>
    </xf>
    <xf numFmtId="0" fontId="2" fillId="0" borderId="0" xfId="0" applyFont="1" applyAlignment="1" applyProtection="1">
      <alignment horizontal="left" vertical="center"/>
      <protection hidden="1"/>
    </xf>
    <xf numFmtId="0" fontId="18" fillId="0" borderId="0" xfId="0" applyFont="1" applyProtection="1">
      <protection hidden="1"/>
    </xf>
    <xf numFmtId="0" fontId="2" fillId="0" borderId="0" xfId="0" applyFont="1" applyAlignment="1" applyProtection="1">
      <alignment vertical="center"/>
      <protection hidden="1"/>
    </xf>
    <xf numFmtId="0" fontId="18" fillId="23" borderId="43" xfId="3" applyFont="1" applyFill="1" applyBorder="1" applyAlignment="1" applyProtection="1">
      <alignment wrapText="1"/>
      <protection hidden="1"/>
    </xf>
    <xf numFmtId="0" fontId="18" fillId="23" borderId="44" xfId="3" applyFont="1" applyFill="1" applyBorder="1" applyAlignment="1" applyProtection="1">
      <alignment wrapText="1"/>
      <protection hidden="1"/>
    </xf>
    <xf numFmtId="0" fontId="18" fillId="23" borderId="0" xfId="3" applyFont="1" applyFill="1" applyBorder="1" applyAlignment="1" applyProtection="1">
      <alignment horizontal="center" wrapText="1"/>
      <protection hidden="1"/>
    </xf>
    <xf numFmtId="0" fontId="6" fillId="0" borderId="45" xfId="0" applyFont="1" applyBorder="1" applyProtection="1">
      <protection hidden="1"/>
    </xf>
    <xf numFmtId="0" fontId="18" fillId="23" borderId="46" xfId="3" applyFont="1" applyFill="1" applyBorder="1" applyAlignment="1" applyProtection="1">
      <alignment wrapText="1"/>
      <protection hidden="1"/>
    </xf>
    <xf numFmtId="0" fontId="18" fillId="16" borderId="47" xfId="3" applyFont="1" applyFill="1" applyBorder="1" applyAlignment="1" applyProtection="1">
      <alignment wrapText="1"/>
      <protection hidden="1"/>
    </xf>
    <xf numFmtId="0" fontId="2" fillId="8" borderId="1" xfId="5" applyFont="1" applyBorder="1" applyAlignment="1" applyProtection="1">
      <alignment vertical="center"/>
      <protection hidden="1"/>
    </xf>
    <xf numFmtId="0" fontId="2" fillId="8" borderId="1" xfId="5" applyFont="1" applyBorder="1" applyAlignment="1" applyProtection="1">
      <alignment vertical="center" wrapText="1"/>
      <protection hidden="1"/>
    </xf>
    <xf numFmtId="0" fontId="5" fillId="27" borderId="1" xfId="3" applyFont="1" applyFill="1" applyBorder="1" applyAlignment="1" applyProtection="1">
      <alignment vertical="center" wrapText="1"/>
      <protection hidden="1"/>
    </xf>
    <xf numFmtId="0" fontId="18" fillId="0" borderId="4" xfId="1" applyNumberFormat="1" applyFont="1" applyFill="1" applyBorder="1" applyAlignment="1" applyProtection="1">
      <alignment horizontal="left" vertical="center"/>
      <protection hidden="1"/>
    </xf>
    <xf numFmtId="0" fontId="2" fillId="0" borderId="0" xfId="0" applyFont="1" applyAlignment="1" applyProtection="1">
      <alignment horizontal="center" vertical="top" wrapText="1"/>
      <protection hidden="1"/>
    </xf>
    <xf numFmtId="0" fontId="2" fillId="8" borderId="1" xfId="5" applyFont="1" applyBorder="1" applyAlignment="1" applyProtection="1">
      <alignment horizontal="left" vertical="top" wrapText="1"/>
      <protection hidden="1"/>
    </xf>
    <xf numFmtId="0" fontId="2" fillId="2" borderId="0" xfId="0" applyFont="1" applyFill="1" applyProtection="1">
      <protection hidden="1"/>
    </xf>
    <xf numFmtId="0" fontId="2" fillId="2" borderId="0" xfId="0" applyFont="1" applyFill="1" applyAlignment="1" applyProtection="1">
      <alignment horizontal="center" vertical="center" wrapText="1"/>
      <protection hidden="1"/>
    </xf>
    <xf numFmtId="164" fontId="3" fillId="2" borderId="0" xfId="0" applyNumberFormat="1" applyFont="1" applyFill="1" applyProtection="1">
      <protection hidden="1"/>
    </xf>
    <xf numFmtId="164" fontId="2" fillId="2" borderId="0" xfId="0" applyNumberFormat="1" applyFont="1" applyFill="1" applyProtection="1">
      <protection hidden="1"/>
    </xf>
    <xf numFmtId="0" fontId="2" fillId="26" borderId="48" xfId="5" applyFont="1" applyFill="1" applyBorder="1" applyAlignment="1" applyProtection="1">
      <alignment horizontal="left"/>
      <protection hidden="1"/>
    </xf>
    <xf numFmtId="0" fontId="2" fillId="26" borderId="48" xfId="5" applyFont="1" applyFill="1" applyBorder="1" applyAlignment="1" applyProtection="1">
      <alignment horizontal="center"/>
      <protection hidden="1"/>
    </xf>
    <xf numFmtId="0" fontId="3" fillId="3" borderId="12" xfId="5" applyFill="1" applyBorder="1" applyAlignment="1" applyProtection="1">
      <alignment horizontal="right"/>
      <protection hidden="1"/>
    </xf>
    <xf numFmtId="164" fontId="3" fillId="3" borderId="12" xfId="0" applyNumberFormat="1" applyFont="1" applyFill="1" applyBorder="1" applyProtection="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 fillId="8" borderId="1" xfId="5" applyNumberFormat="1" applyBorder="1" applyAlignment="1" applyProtection="1">
      <alignment horizontal="left"/>
      <protection hidden="1"/>
    </xf>
    <xf numFmtId="0" fontId="17" fillId="11" borderId="1" xfId="5" applyFont="1" applyFill="1" applyBorder="1" applyAlignment="1" applyProtection="1">
      <alignment horizontal="left" vertical="center"/>
      <protection hidden="1"/>
    </xf>
    <xf numFmtId="164" fontId="17" fillId="11" borderId="1" xfId="7" applyNumberFormat="1" applyFont="1" applyFill="1" applyBorder="1" applyAlignment="1" applyProtection="1">
      <alignment vertical="center"/>
      <protection hidden="1"/>
    </xf>
    <xf numFmtId="0" fontId="17" fillId="11" borderId="26" xfId="5" applyFont="1" applyFill="1" applyBorder="1" applyAlignment="1" applyProtection="1">
      <alignment horizontal="left" vertical="center" wrapText="1"/>
      <protection hidden="1"/>
    </xf>
    <xf numFmtId="10" fontId="17" fillId="11" borderId="12" xfId="8" applyNumberFormat="1" applyFont="1" applyFill="1" applyBorder="1" applyAlignment="1" applyProtection="1">
      <alignment vertical="center"/>
      <protection hidden="1"/>
    </xf>
    <xf numFmtId="0" fontId="17" fillId="11" borderId="26" xfId="5" applyFont="1" applyFill="1" applyBorder="1" applyAlignment="1" applyProtection="1">
      <alignment horizontal="left" wrapText="1"/>
      <protection hidden="1"/>
    </xf>
    <xf numFmtId="164" fontId="17" fillId="11" borderId="12" xfId="7" applyNumberFormat="1" applyFont="1" applyFill="1" applyBorder="1" applyAlignment="1" applyProtection="1">
      <protection hidden="1"/>
    </xf>
    <xf numFmtId="164" fontId="17" fillId="11" borderId="27" xfId="7" applyNumberFormat="1" applyFont="1" applyFill="1" applyBorder="1" applyAlignment="1" applyProtection="1">
      <protection hidden="1"/>
    </xf>
    <xf numFmtId="164" fontId="17" fillId="11" borderId="28" xfId="7" applyNumberFormat="1" applyFont="1" applyFill="1" applyBorder="1" applyAlignment="1" applyProtection="1">
      <protection hidden="1"/>
    </xf>
    <xf numFmtId="164" fontId="17" fillId="11" borderId="12" xfId="7" applyNumberFormat="1" applyFont="1" applyFill="1" applyBorder="1" applyAlignment="1" applyProtection="1">
      <alignment vertical="center"/>
      <protection hidden="1"/>
    </xf>
    <xf numFmtId="0" fontId="17" fillId="11" borderId="1" xfId="5" applyFont="1" applyFill="1" applyBorder="1" applyAlignment="1" applyProtection="1">
      <alignment horizontal="left" vertical="center" wrapText="1"/>
      <protection hidden="1"/>
    </xf>
    <xf numFmtId="0" fontId="17" fillId="11" borderId="1" xfId="5" applyFont="1" applyFill="1" applyBorder="1" applyAlignment="1" applyProtection="1">
      <alignment horizontal="left" wrapText="1"/>
      <protection hidden="1"/>
    </xf>
    <xf numFmtId="164" fontId="17" fillId="11" borderId="1" xfId="7" applyNumberFormat="1" applyFont="1" applyFill="1" applyBorder="1" applyAlignment="1" applyProtection="1">
      <protection hidden="1"/>
    </xf>
    <xf numFmtId="164" fontId="17" fillId="11" borderId="3" xfId="7" applyNumberFormat="1" applyFont="1" applyFill="1" applyBorder="1" applyAlignment="1" applyProtection="1">
      <protection hidden="1"/>
    </xf>
    <xf numFmtId="164" fontId="17" fillId="11" borderId="2" xfId="7" applyNumberFormat="1" applyFont="1" applyFill="1" applyBorder="1" applyAlignment="1" applyProtection="1">
      <protection hidden="1"/>
    </xf>
    <xf numFmtId="10" fontId="17" fillId="11" borderId="12" xfId="7" applyNumberFormat="1" applyFont="1" applyFill="1" applyBorder="1" applyAlignment="1" applyProtection="1">
      <alignment vertical="center"/>
      <protection hidden="1"/>
    </xf>
    <xf numFmtId="0" fontId="18" fillId="23" borderId="38"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3" fillId="14" borderId="1" xfId="1" applyNumberFormat="1" applyFont="1" applyFill="1" applyBorder="1" applyAlignment="1" applyProtection="1">
      <alignment horizontal="left" vertical="center"/>
      <protection hidden="1"/>
    </xf>
    <xf numFmtId="0" fontId="3" fillId="18" borderId="1" xfId="3" applyFill="1" applyBorder="1" applyProtection="1">
      <protection hidden="1"/>
    </xf>
    <xf numFmtId="0" fontId="23" fillId="14" borderId="17" xfId="1" applyNumberFormat="1" applyFont="1" applyFill="1" applyBorder="1" applyAlignment="1" applyProtection="1">
      <alignment vertical="center"/>
      <protection hidden="1"/>
    </xf>
    <xf numFmtId="0" fontId="3" fillId="18" borderId="3" xfId="1" applyNumberFormat="1" applyFill="1" applyBorder="1" applyAlignment="1" applyProtection="1">
      <alignment vertical="center"/>
      <protection hidden="1"/>
    </xf>
    <xf numFmtId="0" fontId="5" fillId="0" borderId="0" xfId="0" applyFont="1" applyProtection="1">
      <protection hidden="1"/>
    </xf>
    <xf numFmtId="0" fontId="25" fillId="2" borderId="0" xfId="0" applyFont="1" applyFill="1" applyAlignment="1">
      <alignment horizontal="left" vertical="center" indent="2"/>
    </xf>
    <xf numFmtId="0" fontId="2" fillId="2" borderId="0" xfId="0" applyFont="1" applyFill="1" applyAlignment="1">
      <alignment horizontal="left" vertical="center" indent="2"/>
    </xf>
    <xf numFmtId="0" fontId="0" fillId="2" borderId="0" xfId="0" applyFill="1" applyAlignment="1">
      <alignment horizontal="left" vertical="center" indent="2"/>
    </xf>
    <xf numFmtId="0" fontId="11" fillId="2" borderId="0" xfId="0" applyFont="1" applyFill="1" applyAlignment="1">
      <alignment horizontal="left" vertical="center" indent="2"/>
    </xf>
    <xf numFmtId="0" fontId="10" fillId="2" borderId="0" xfId="0" applyFont="1" applyFill="1" applyAlignment="1">
      <alignment horizontal="left" vertical="center" indent="2"/>
    </xf>
    <xf numFmtId="0" fontId="2" fillId="2" borderId="0" xfId="1" applyFont="1" applyFill="1" applyBorder="1" applyAlignment="1" applyProtection="1">
      <protection hidden="1"/>
    </xf>
    <xf numFmtId="165" fontId="2" fillId="2" borderId="0" xfId="1" applyNumberFormat="1" applyFont="1" applyFill="1" applyBorder="1" applyProtection="1">
      <protection hidden="1"/>
    </xf>
    <xf numFmtId="0" fontId="12" fillId="2" borderId="0" xfId="1" applyNumberFormat="1" applyFont="1" applyFill="1" applyBorder="1" applyAlignment="1" applyProtection="1">
      <alignment horizontal="left" vertical="center"/>
      <protection hidden="1"/>
    </xf>
    <xf numFmtId="49" fontId="0" fillId="0" borderId="0" xfId="0" applyNumberFormat="1"/>
    <xf numFmtId="0" fontId="26" fillId="2" borderId="0" xfId="0" applyFont="1" applyFill="1" applyAlignment="1">
      <alignment horizontal="left" vertical="center" indent="2"/>
    </xf>
    <xf numFmtId="0" fontId="18" fillId="23" borderId="8" xfId="3" applyFont="1" applyFill="1" applyBorder="1" applyAlignment="1" applyProtection="1">
      <alignment horizontal="left" vertical="center" wrapText="1"/>
      <protection hidden="1"/>
    </xf>
    <xf numFmtId="0" fontId="2"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3" fillId="36" borderId="0" xfId="0" applyFont="1" applyFill="1" applyProtection="1">
      <protection hidden="1"/>
    </xf>
    <xf numFmtId="0" fontId="2" fillId="18" borderId="17" xfId="3" applyFont="1" applyFill="1" applyBorder="1" applyProtection="1">
      <protection hidden="1"/>
    </xf>
    <xf numFmtId="0" fontId="2" fillId="18" borderId="25" xfId="3" applyFont="1" applyFill="1" applyBorder="1" applyProtection="1">
      <protection hidden="1"/>
    </xf>
    <xf numFmtId="0" fontId="2" fillId="18" borderId="7" xfId="3" applyFont="1" applyFill="1" applyBorder="1" applyProtection="1">
      <protection hidden="1"/>
    </xf>
    <xf numFmtId="0" fontId="2" fillId="14" borderId="52" xfId="3" applyFont="1" applyFill="1" applyBorder="1" applyProtection="1">
      <protection hidden="1"/>
    </xf>
    <xf numFmtId="0" fontId="23" fillId="14" borderId="5" xfId="1" applyNumberFormat="1" applyFont="1" applyFill="1" applyBorder="1" applyAlignment="1" applyProtection="1">
      <alignment horizontal="left" vertical="center"/>
      <protection hidden="1"/>
    </xf>
    <xf numFmtId="0" fontId="2" fillId="14" borderId="5" xfId="1" applyNumberFormat="1" applyFont="1" applyFill="1" applyBorder="1" applyAlignment="1" applyProtection="1">
      <protection hidden="1"/>
    </xf>
    <xf numFmtId="0" fontId="2" fillId="14" borderId="5" xfId="3" applyFont="1" applyFill="1" applyBorder="1" applyProtection="1">
      <protection hidden="1"/>
    </xf>
    <xf numFmtId="0" fontId="2" fillId="14" borderId="8" xfId="3" applyFont="1" applyFill="1" applyBorder="1" applyProtection="1">
      <protection hidden="1"/>
    </xf>
    <xf numFmtId="0" fontId="18" fillId="23" borderId="11" xfId="3" applyFont="1" applyFill="1" applyBorder="1" applyAlignment="1" applyProtection="1">
      <alignment horizontal="left" vertical="center" wrapText="1"/>
      <protection hidden="1"/>
    </xf>
    <xf numFmtId="0" fontId="3" fillId="18" borderId="25" xfId="3" applyFill="1" applyBorder="1" applyProtection="1">
      <protection hidden="1"/>
    </xf>
    <xf numFmtId="0" fontId="2" fillId="14" borderId="53" xfId="3" applyFont="1" applyFill="1" applyBorder="1" applyProtection="1">
      <protection hidden="1"/>
    </xf>
    <xf numFmtId="0" fontId="23" fillId="14" borderId="54" xfId="1" applyNumberFormat="1" applyFont="1" applyFill="1" applyBorder="1" applyAlignment="1" applyProtection="1">
      <alignment horizontal="left" vertical="center"/>
      <protection hidden="1"/>
    </xf>
    <xf numFmtId="0" fontId="2" fillId="14" borderId="54" xfId="3" applyFont="1" applyFill="1" applyBorder="1" applyProtection="1">
      <protection hidden="1"/>
    </xf>
    <xf numFmtId="0" fontId="2" fillId="14" borderId="55" xfId="3" applyFont="1" applyFill="1" applyBorder="1" applyProtection="1">
      <protection hidden="1"/>
    </xf>
    <xf numFmtId="0" fontId="0" fillId="22" borderId="56" xfId="0" applyFill="1" applyBorder="1"/>
    <xf numFmtId="0" fontId="0" fillId="22" borderId="57" xfId="0" applyFill="1" applyBorder="1"/>
    <xf numFmtId="0" fontId="0" fillId="0" borderId="56" xfId="0" applyBorder="1"/>
    <xf numFmtId="0" fontId="0" fillId="0" borderId="57" xfId="0" applyBorder="1"/>
    <xf numFmtId="0" fontId="18" fillId="25" borderId="0" xfId="0" applyFont="1" applyFill="1"/>
    <xf numFmtId="0" fontId="18" fillId="25" borderId="58" xfId="0" applyFont="1" applyFill="1" applyBorder="1"/>
    <xf numFmtId="0" fontId="0" fillId="37" borderId="0" xfId="0" applyFill="1"/>
    <xf numFmtId="0" fontId="12" fillId="23" borderId="5" xfId="1" applyNumberFormat="1" applyFont="1" applyFill="1" applyBorder="1" applyAlignment="1" applyProtection="1">
      <alignment vertical="center"/>
      <protection hidden="1"/>
    </xf>
    <xf numFmtId="0" fontId="2" fillId="23" borderId="5" xfId="3" applyFont="1" applyFill="1" applyBorder="1" applyProtection="1">
      <protection hidden="1"/>
    </xf>
    <xf numFmtId="0" fontId="2" fillId="23" borderId="3" xfId="3" applyFont="1" applyFill="1" applyBorder="1" applyProtection="1">
      <protection hidden="1"/>
    </xf>
    <xf numFmtId="0" fontId="18" fillId="23" borderId="3" xfId="3" applyFont="1" applyFill="1" applyBorder="1" applyAlignment="1" applyProtection="1">
      <alignment vertical="center" wrapText="1"/>
      <protection hidden="1"/>
    </xf>
    <xf numFmtId="0" fontId="18" fillId="25" borderId="56" xfId="0" applyFont="1" applyFill="1" applyBorder="1" applyAlignment="1">
      <alignment horizontal="left" vertical="center" wrapText="1"/>
    </xf>
    <xf numFmtId="0" fontId="18" fillId="25" borderId="57" xfId="0" applyFont="1" applyFill="1" applyBorder="1" applyAlignment="1">
      <alignment horizontal="left" vertical="center" wrapText="1"/>
    </xf>
    <xf numFmtId="164" fontId="2" fillId="18" borderId="1" xfId="7" applyNumberFormat="1" applyFont="1" applyFill="1" applyBorder="1" applyAlignment="1" applyProtection="1">
      <protection hidden="1"/>
    </xf>
    <xf numFmtId="10" fontId="2" fillId="18" borderId="1" xfId="8" applyNumberFormat="1" applyFont="1" applyFill="1" applyBorder="1" applyProtection="1">
      <protection hidden="1"/>
    </xf>
    <xf numFmtId="0" fontId="5" fillId="38" borderId="0" xfId="0" applyFont="1" applyFill="1"/>
    <xf numFmtId="0" fontId="18" fillId="25" borderId="0" xfId="0" applyFont="1" applyFill="1" applyAlignment="1">
      <alignment horizontal="left" vertical="center" wrapText="1"/>
    </xf>
    <xf numFmtId="164" fontId="0" fillId="0" borderId="0" xfId="9" applyFont="1" applyProtection="1">
      <protection hidden="1"/>
    </xf>
    <xf numFmtId="164" fontId="3" fillId="0" borderId="1" xfId="7" applyNumberFormat="1" applyFill="1" applyBorder="1" applyAlignment="1" applyProtection="1">
      <protection hidden="1"/>
    </xf>
    <xf numFmtId="164" fontId="2" fillId="15" borderId="1" xfId="7" applyNumberFormat="1" applyFont="1" applyFill="1" applyBorder="1" applyAlignment="1" applyProtection="1">
      <protection hidden="1"/>
    </xf>
    <xf numFmtId="10" fontId="3" fillId="0" borderId="0" xfId="0" applyNumberFormat="1" applyFont="1" applyAlignment="1" applyProtection="1">
      <alignment horizontal="center"/>
      <protection hidden="1"/>
    </xf>
    <xf numFmtId="0" fontId="2"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8" fillId="25" borderId="15" xfId="0" applyNumberFormat="1" applyFont="1" applyFill="1" applyBorder="1"/>
    <xf numFmtId="0" fontId="0" fillId="22" borderId="59" xfId="0" applyFill="1" applyBorder="1"/>
    <xf numFmtId="167" fontId="0" fillId="22" borderId="59" xfId="0" applyNumberFormat="1" applyFill="1" applyBorder="1"/>
    <xf numFmtId="4" fontId="0" fillId="22" borderId="59"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3"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3"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1" fillId="0" borderId="0" xfId="0" applyFont="1" applyProtection="1">
      <protection hidden="1"/>
    </xf>
    <xf numFmtId="0" fontId="32" fillId="0" borderId="0" xfId="0" applyFont="1" applyAlignment="1" applyProtection="1">
      <alignment horizontal="left" vertical="top"/>
      <protection hidden="1"/>
    </xf>
    <xf numFmtId="0" fontId="33" fillId="2" borderId="0" xfId="0" applyFont="1" applyFill="1"/>
    <xf numFmtId="0" fontId="10" fillId="2" borderId="0" xfId="0" quotePrefix="1" applyFont="1" applyFill="1" applyAlignment="1">
      <alignment horizontal="left" vertical="center" indent="2"/>
    </xf>
    <xf numFmtId="0" fontId="8"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164" fontId="3" fillId="16" borderId="1" xfId="1" applyNumberFormat="1" applyFill="1" applyBorder="1" applyAlignment="1" applyProtection="1">
      <alignment vertical="center"/>
      <protection hidden="1"/>
    </xf>
    <xf numFmtId="164" fontId="3" fillId="11" borderId="1" xfId="1" applyNumberFormat="1" applyFill="1" applyBorder="1" applyAlignment="1" applyProtection="1">
      <alignment vertical="center"/>
      <protection hidden="1"/>
    </xf>
    <xf numFmtId="10" fontId="3" fillId="16" borderId="1" xfId="0" applyNumberFormat="1" applyFont="1" applyFill="1" applyBorder="1" applyAlignment="1" applyProtection="1">
      <alignment vertical="center"/>
      <protection hidden="1"/>
    </xf>
    <xf numFmtId="10" fontId="3" fillId="11" borderId="1" xfId="1" applyNumberFormat="1" applyFill="1" applyBorder="1" applyAlignment="1" applyProtection="1">
      <alignment vertical="center"/>
      <protection hidden="1"/>
    </xf>
    <xf numFmtId="164" fontId="3" fillId="16" borderId="1" xfId="0" applyNumberFormat="1" applyFont="1" applyFill="1" applyBorder="1" applyAlignment="1" applyProtection="1">
      <alignment vertical="center"/>
      <protection hidden="1"/>
    </xf>
    <xf numFmtId="164" fontId="3" fillId="3" borderId="1" xfId="9" applyFont="1" applyFill="1" applyBorder="1" applyAlignment="1" applyProtection="1">
      <alignment vertical="center"/>
      <protection locked="0"/>
    </xf>
    <xf numFmtId="0" fontId="3" fillId="11" borderId="1" xfId="0" applyFont="1" applyFill="1" applyBorder="1" applyAlignment="1" applyProtection="1">
      <alignment horizontal="center" vertical="center"/>
      <protection hidden="1"/>
    </xf>
    <xf numFmtId="164" fontId="3" fillId="28" borderId="1" xfId="1" applyNumberFormat="1" applyFill="1" applyBorder="1" applyAlignment="1" applyProtection="1">
      <alignment vertical="center"/>
      <protection hidden="1"/>
    </xf>
    <xf numFmtId="10" fontId="3" fillId="16" borderId="1" xfId="1" applyNumberFormat="1" applyFill="1" applyBorder="1" applyAlignment="1" applyProtection="1">
      <alignment vertical="center"/>
      <protection hidden="1"/>
    </xf>
    <xf numFmtId="10" fontId="3" fillId="28" borderId="1" xfId="0" applyNumberFormat="1" applyFont="1" applyFill="1" applyBorder="1" applyAlignment="1" applyProtection="1">
      <alignment vertical="center"/>
      <protection hidden="1"/>
    </xf>
    <xf numFmtId="10" fontId="3" fillId="3" borderId="1" xfId="0" applyNumberFormat="1" applyFont="1" applyFill="1" applyBorder="1" applyAlignment="1" applyProtection="1">
      <alignment vertical="center"/>
      <protection locked="0"/>
    </xf>
    <xf numFmtId="165" fontId="3" fillId="16"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12" borderId="1" xfId="0" applyFont="1" applyFill="1" applyBorder="1" applyAlignment="1" applyProtection="1">
      <alignment vertical="center"/>
      <protection hidden="1"/>
    </xf>
    <xf numFmtId="0" fontId="21" fillId="31" borderId="1" xfId="0" applyFont="1" applyFill="1" applyBorder="1" applyAlignment="1" applyProtection="1">
      <alignment horizontal="center" vertical="center"/>
      <protection locked="0"/>
    </xf>
    <xf numFmtId="165" fontId="21" fillId="31" borderId="1" xfId="2" applyNumberFormat="1" applyFont="1" applyFill="1" applyBorder="1" applyAlignment="1" applyProtection="1">
      <alignment vertical="center"/>
      <protection hidden="1"/>
    </xf>
    <xf numFmtId="165" fontId="21" fillId="31" borderId="1" xfId="0" applyNumberFormat="1" applyFont="1" applyFill="1" applyBorder="1" applyAlignment="1" applyProtection="1">
      <alignment vertical="center"/>
      <protection locked="0"/>
    </xf>
    <xf numFmtId="165" fontId="3" fillId="11" borderId="1" xfId="0" applyNumberFormat="1" applyFont="1" applyFill="1" applyBorder="1" applyAlignment="1" applyProtection="1">
      <alignment vertical="center"/>
      <protection hidden="1"/>
    </xf>
    <xf numFmtId="0" fontId="7" fillId="11" borderId="1" xfId="0" applyFont="1" applyFill="1" applyBorder="1" applyAlignment="1" applyProtection="1">
      <alignment vertical="center"/>
      <protection hidden="1"/>
    </xf>
    <xf numFmtId="0" fontId="3" fillId="12" borderId="1" xfId="0" applyFont="1" applyFill="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0" fontId="3" fillId="31" borderId="1" xfId="0" applyFont="1" applyFill="1" applyBorder="1" applyAlignment="1" applyProtection="1">
      <alignment horizontal="center" vertical="center"/>
      <protection hidden="1"/>
    </xf>
    <xf numFmtId="168" fontId="3" fillId="11" borderId="1" xfId="0" applyNumberFormat="1"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hidden="1"/>
    </xf>
    <xf numFmtId="165" fontId="3" fillId="12" borderId="1" xfId="2" applyNumberFormat="1" applyFill="1" applyBorder="1" applyAlignment="1" applyProtection="1">
      <alignment vertical="center"/>
      <protection hidden="1"/>
    </xf>
    <xf numFmtId="165" fontId="10" fillId="3" borderId="1"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vertical="center" wrapText="1"/>
      <protection locked="0"/>
    </xf>
    <xf numFmtId="0" fontId="0" fillId="12" borderId="0" xfId="0" applyFill="1"/>
    <xf numFmtId="0" fontId="10" fillId="11" borderId="1" xfId="0" applyFont="1" applyFill="1" applyBorder="1" applyAlignment="1" applyProtection="1">
      <alignment horizontal="left" vertical="center" wrapText="1"/>
      <protection locked="0"/>
    </xf>
    <xf numFmtId="49"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1" fillId="31" borderId="1" xfId="0" applyFont="1" applyFill="1" applyBorder="1" applyAlignment="1" applyProtection="1">
      <alignment horizontal="left" vertical="center" wrapText="1"/>
      <protection locked="0"/>
    </xf>
    <xf numFmtId="1" fontId="3" fillId="30" borderId="19" xfId="0" applyNumberFormat="1" applyFont="1" applyFill="1" applyBorder="1" applyAlignment="1" applyProtection="1">
      <alignment horizontal="center" vertical="center" wrapText="1"/>
      <protection hidden="1"/>
    </xf>
    <xf numFmtId="0" fontId="3" fillId="3" borderId="20" xfId="0" applyFont="1" applyFill="1" applyBorder="1" applyAlignment="1" applyProtection="1">
      <alignment vertical="center"/>
      <protection locked="0" hidden="1"/>
    </xf>
    <xf numFmtId="0" fontId="20" fillId="15" borderId="21" xfId="0" applyFont="1" applyFill="1" applyBorder="1" applyAlignment="1" applyProtection="1">
      <alignment vertical="center" wrapText="1"/>
      <protection locked="0"/>
    </xf>
    <xf numFmtId="164" fontId="20" fillId="15" borderId="22" xfId="0" applyNumberFormat="1" applyFont="1" applyFill="1" applyBorder="1" applyAlignment="1" applyProtection="1">
      <alignment vertical="center"/>
      <protection locked="0"/>
    </xf>
    <xf numFmtId="2"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hidden="1"/>
    </xf>
    <xf numFmtId="164" fontId="20" fillId="15" borderId="18" xfId="0" applyNumberFormat="1" applyFont="1" applyFill="1" applyBorder="1" applyAlignment="1" applyProtection="1">
      <alignment vertical="center"/>
      <protection hidden="1"/>
    </xf>
    <xf numFmtId="169" fontId="20" fillId="15" borderId="18" xfId="0" applyNumberFormat="1" applyFont="1" applyFill="1" applyBorder="1" applyAlignment="1" applyProtection="1">
      <alignment vertical="center"/>
      <protection hidden="1"/>
    </xf>
    <xf numFmtId="165" fontId="20" fillId="15" borderId="23" xfId="0" applyNumberFormat="1" applyFont="1" applyFill="1" applyBorder="1" applyAlignment="1" applyProtection="1">
      <alignment vertical="center"/>
      <protection hidden="1"/>
    </xf>
    <xf numFmtId="1" fontId="3" fillId="11" borderId="22" xfId="0" applyNumberFormat="1" applyFont="1" applyFill="1" applyBorder="1" applyAlignment="1" applyProtection="1">
      <alignment horizontal="center" vertical="center" wrapText="1"/>
      <protection locked="0" hidden="1"/>
    </xf>
    <xf numFmtId="170" fontId="20" fillId="15" borderId="18" xfId="0" applyNumberFormat="1" applyFont="1" applyFill="1" applyBorder="1" applyAlignment="1" applyProtection="1">
      <alignment vertical="center"/>
      <protection locked="0" hidden="1"/>
    </xf>
    <xf numFmtId="164" fontId="20" fillId="15" borderId="22" xfId="0" applyNumberFormat="1" applyFont="1" applyFill="1" applyBorder="1" applyAlignment="1" applyProtection="1">
      <alignment vertical="center"/>
      <protection hidden="1"/>
    </xf>
    <xf numFmtId="9" fontId="20" fillId="15" borderId="18" xfId="8" applyFont="1" applyFill="1" applyBorder="1" applyAlignment="1" applyProtection="1">
      <alignment vertical="center"/>
      <protection hidden="1"/>
    </xf>
    <xf numFmtId="10" fontId="20" fillId="15" borderId="18" xfId="0" applyNumberFormat="1" applyFont="1" applyFill="1" applyBorder="1" applyAlignment="1" applyProtection="1">
      <alignment vertical="center"/>
      <protection hidden="1"/>
    </xf>
    <xf numFmtId="165" fontId="20" fillId="15" borderId="18" xfId="0" applyNumberFormat="1" applyFont="1" applyFill="1" applyBorder="1" applyAlignment="1" applyProtection="1">
      <alignment vertical="center"/>
      <protection hidden="1"/>
    </xf>
    <xf numFmtId="165" fontId="20" fillId="15" borderId="38" xfId="0" applyNumberFormat="1" applyFont="1" applyFill="1" applyBorder="1" applyAlignment="1" applyProtection="1">
      <alignment vertical="center" wrapText="1"/>
      <protection locked="0"/>
    </xf>
    <xf numFmtId="1" fontId="3" fillId="11" borderId="18" xfId="0" applyNumberFormat="1" applyFont="1" applyFill="1" applyBorder="1" applyAlignment="1" applyProtection="1">
      <alignment vertical="center" wrapText="1"/>
      <protection locked="0"/>
    </xf>
    <xf numFmtId="0" fontId="3" fillId="3" borderId="20" xfId="0" applyFont="1" applyFill="1" applyBorder="1" applyAlignment="1" applyProtection="1">
      <alignment vertical="center"/>
      <protection locked="0"/>
    </xf>
    <xf numFmtId="4" fontId="20" fillId="15" borderId="18" xfId="0" applyNumberFormat="1" applyFont="1" applyFill="1" applyBorder="1" applyAlignment="1" applyProtection="1">
      <alignment vertical="center"/>
      <protection locked="0"/>
    </xf>
    <xf numFmtId="170" fontId="20" fillId="15" borderId="18" xfId="0" applyNumberFormat="1" applyFont="1" applyFill="1" applyBorder="1" applyAlignment="1" applyProtection="1">
      <alignment vertical="center"/>
      <protection hidden="1"/>
    </xf>
    <xf numFmtId="165" fontId="20" fillId="15" borderId="42" xfId="0" applyNumberFormat="1" applyFont="1" applyFill="1" applyBorder="1" applyAlignment="1" applyProtection="1">
      <alignment vertical="center"/>
      <protection hidden="1"/>
    </xf>
    <xf numFmtId="49" fontId="20" fillId="15" borderId="38" xfId="0" applyNumberFormat="1" applyFont="1" applyFill="1" applyBorder="1" applyAlignment="1" applyProtection="1">
      <alignment vertical="center" wrapText="1"/>
      <protection locked="0"/>
    </xf>
    <xf numFmtId="4" fontId="20" fillId="15" borderId="18" xfId="0" applyNumberFormat="1" applyFont="1" applyFill="1" applyBorder="1" applyAlignment="1" applyProtection="1">
      <alignment vertical="center"/>
      <protection locked="0" hidden="1"/>
    </xf>
    <xf numFmtId="0" fontId="3" fillId="0" borderId="0" xfId="0" applyFont="1" applyAlignment="1" applyProtection="1">
      <alignment horizontal="center" vertical="center" wrapText="1"/>
      <protection hidden="1"/>
    </xf>
    <xf numFmtId="164" fontId="3"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5" fillId="0" borderId="0" xfId="0" applyNumberFormat="1" applyFont="1" applyAlignment="1" applyProtection="1">
      <alignment horizontal="center"/>
      <protection hidden="1"/>
    </xf>
    <xf numFmtId="10" fontId="5" fillId="0" borderId="0" xfId="0" applyNumberFormat="1" applyFont="1" applyAlignment="1" applyProtection="1">
      <alignment horizontal="center" wrapText="1"/>
      <protection hidden="1"/>
    </xf>
    <xf numFmtId="4" fontId="21" fillId="31" borderId="1" xfId="0" applyNumberFormat="1" applyFont="1" applyFill="1" applyBorder="1" applyAlignment="1" applyProtection="1">
      <alignment vertical="center"/>
      <protection locked="0"/>
    </xf>
    <xf numFmtId="4" fontId="3"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1" fillId="41" borderId="0" xfId="0" applyFont="1" applyFill="1" applyAlignment="1">
      <alignment horizontal="left" vertical="center" indent="2"/>
    </xf>
    <xf numFmtId="0" fontId="10" fillId="41" borderId="0" xfId="0" applyFont="1" applyFill="1" applyAlignment="1">
      <alignment horizontal="left" vertical="center" indent="2"/>
    </xf>
    <xf numFmtId="0" fontId="0" fillId="41" borderId="0" xfId="0" applyFill="1"/>
    <xf numFmtId="0" fontId="11" fillId="0" borderId="0" xfId="0" applyFont="1" applyAlignment="1">
      <alignment horizontal="left" vertical="center" indent="2"/>
    </xf>
    <xf numFmtId="0" fontId="2" fillId="41" borderId="0" xfId="0" applyFont="1" applyFill="1" applyAlignment="1">
      <alignment horizontal="left" vertical="center" indent="2"/>
    </xf>
    <xf numFmtId="0" fontId="10" fillId="41" borderId="0" xfId="0" quotePrefix="1" applyFont="1" applyFill="1" applyAlignment="1">
      <alignment horizontal="left" vertical="center" indent="2"/>
    </xf>
    <xf numFmtId="0" fontId="3" fillId="3" borderId="1" xfId="0" applyFont="1" applyFill="1" applyBorder="1" applyAlignment="1" applyProtection="1">
      <alignment horizontal="center" vertical="center"/>
      <protection locked="0"/>
    </xf>
    <xf numFmtId="0" fontId="3" fillId="12" borderId="12" xfId="5" applyFill="1" applyBorder="1" applyAlignment="1" applyProtection="1">
      <alignment horizontal="left" wrapText="1"/>
      <protection hidden="1"/>
    </xf>
    <xf numFmtId="171" fontId="18" fillId="25" borderId="0" xfId="0" applyNumberFormat="1" applyFont="1" applyFill="1"/>
    <xf numFmtId="4" fontId="0" fillId="22" borderId="0" xfId="0" applyNumberFormat="1" applyFill="1"/>
    <xf numFmtId="164" fontId="14" fillId="11" borderId="27" xfId="7" applyNumberFormat="1" applyFont="1" applyFill="1" applyBorder="1" applyAlignment="1" applyProtection="1">
      <protection hidden="1"/>
    </xf>
    <xf numFmtId="0" fontId="5" fillId="0" borderId="0" xfId="0" applyFont="1" applyAlignment="1" applyProtection="1">
      <alignment vertical="center"/>
      <protection hidden="1"/>
    </xf>
    <xf numFmtId="164" fontId="17" fillId="11" borderId="12" xfId="7" quotePrefix="1" applyNumberFormat="1" applyFont="1" applyFill="1" applyBorder="1" applyAlignment="1" applyProtection="1">
      <protection hidden="1"/>
    </xf>
    <xf numFmtId="0" fontId="39" fillId="23" borderId="3" xfId="11" applyFont="1" applyFill="1" applyBorder="1" applyAlignment="1" applyProtection="1">
      <alignment vertical="center" wrapText="1"/>
      <protection hidden="1"/>
    </xf>
    <xf numFmtId="0" fontId="18" fillId="23" borderId="11" xfId="3" applyFont="1" applyFill="1" applyBorder="1" applyAlignment="1" applyProtection="1">
      <alignment wrapText="1"/>
      <protection hidden="1"/>
    </xf>
    <xf numFmtId="0" fontId="18" fillId="16" borderId="66" xfId="3" applyFont="1" applyFill="1" applyBorder="1" applyAlignment="1" applyProtection="1">
      <alignment wrapText="1"/>
      <protection hidden="1"/>
    </xf>
    <xf numFmtId="0" fontId="18" fillId="16" borderId="11" xfId="3" applyFont="1" applyFill="1" applyBorder="1" applyAlignment="1" applyProtection="1">
      <alignment wrapText="1"/>
      <protection hidden="1"/>
    </xf>
    <xf numFmtId="0" fontId="18" fillId="24" borderId="67" xfId="3" applyFont="1" applyFill="1" applyBorder="1" applyAlignment="1" applyProtection="1">
      <alignment wrapText="1"/>
      <protection hidden="1"/>
    </xf>
    <xf numFmtId="0" fontId="18" fillId="16" borderId="8" xfId="3" applyFont="1" applyFill="1" applyBorder="1" applyAlignment="1" applyProtection="1">
      <alignment wrapText="1"/>
      <protection hidden="1"/>
    </xf>
    <xf numFmtId="1" fontId="9" fillId="14" borderId="63" xfId="3" applyNumberFormat="1" applyFont="1" applyFill="1" applyBorder="1" applyAlignment="1" applyProtection="1">
      <alignment vertical="top"/>
      <protection hidden="1"/>
    </xf>
    <xf numFmtId="0" fontId="2" fillId="14" borderId="63" xfId="3" applyFont="1" applyFill="1" applyBorder="1" applyProtection="1">
      <protection hidden="1"/>
    </xf>
    <xf numFmtId="0" fontId="23" fillId="14" borderId="63" xfId="1" applyNumberFormat="1" applyFont="1" applyFill="1" applyBorder="1" applyAlignment="1" applyProtection="1">
      <alignment horizontal="left" vertical="center"/>
      <protection hidden="1"/>
    </xf>
    <xf numFmtId="0" fontId="2" fillId="14" borderId="63" xfId="3" applyFont="1" applyFill="1" applyBorder="1" applyAlignment="1" applyProtection="1">
      <protection hidden="1"/>
    </xf>
    <xf numFmtId="0" fontId="9" fillId="14" borderId="63" xfId="3" applyFont="1" applyFill="1" applyBorder="1" applyProtection="1">
      <protection hidden="1"/>
    </xf>
    <xf numFmtId="0" fontId="3" fillId="3" borderId="11" xfId="0" applyFont="1" applyFill="1" applyBorder="1" applyAlignment="1" applyProtection="1">
      <alignment vertical="center" wrapText="1"/>
      <protection locked="0"/>
    </xf>
    <xf numFmtId="0" fontId="3" fillId="3" borderId="70" xfId="0" applyFont="1" applyFill="1" applyBorder="1" applyAlignment="1" applyProtection="1">
      <alignment vertical="center" wrapText="1"/>
      <protection locked="0"/>
    </xf>
    <xf numFmtId="49" fontId="3" fillId="7" borderId="1" xfId="4" applyNumberFormat="1" applyBorder="1" applyAlignment="1" applyProtection="1">
      <alignment horizontal="left" vertical="center" wrapText="1"/>
      <protection locked="0"/>
    </xf>
    <xf numFmtId="0" fontId="3" fillId="14" borderId="1" xfId="1" applyFill="1" applyBorder="1" applyAlignment="1" applyProtection="1">
      <alignment horizontal="left"/>
      <protection locked="0"/>
    </xf>
    <xf numFmtId="0" fontId="3" fillId="7" borderId="1" xfId="4" applyNumberFormat="1" applyBorder="1" applyAlignment="1" applyProtection="1">
      <alignment horizontal="left" vertical="center"/>
      <protection locked="0"/>
    </xf>
    <xf numFmtId="0" fontId="38" fillId="7" borderId="1" xfId="11" applyNumberFormat="1" applyFill="1" applyBorder="1" applyAlignment="1" applyProtection="1">
      <alignment horizontal="left" vertical="center" wrapText="1"/>
      <protection locked="0"/>
    </xf>
    <xf numFmtId="0" fontId="38" fillId="7" borderId="1" xfId="11" applyNumberFormat="1" applyFill="1" applyBorder="1" applyAlignment="1" applyProtection="1">
      <alignment horizontal="left" vertical="center"/>
      <protection locked="0"/>
    </xf>
    <xf numFmtId="0" fontId="18" fillId="23" borderId="3" xfId="3" applyFont="1" applyFill="1" applyBorder="1" applyAlignment="1" applyProtection="1">
      <alignment horizontal="center" vertical="center" wrapText="1"/>
      <protection hidden="1"/>
    </xf>
    <xf numFmtId="0" fontId="18" fillId="23" borderId="2" xfId="3" applyFont="1" applyFill="1" applyBorder="1" applyAlignment="1" applyProtection="1">
      <alignment horizontal="center" vertical="center" wrapText="1"/>
      <protection hidden="1"/>
    </xf>
    <xf numFmtId="0" fontId="18" fillId="23" borderId="52" xfId="3" applyFont="1" applyFill="1" applyBorder="1" applyAlignment="1" applyProtection="1">
      <alignment horizontal="center" vertical="center" wrapText="1"/>
      <protection hidden="1"/>
    </xf>
    <xf numFmtId="0" fontId="18" fillId="23" borderId="8" xfId="3" applyFont="1" applyFill="1" applyBorder="1" applyAlignment="1" applyProtection="1">
      <alignment horizontal="center" vertical="center" wrapText="1"/>
      <protection hidden="1"/>
    </xf>
    <xf numFmtId="0" fontId="40" fillId="23" borderId="3" xfId="11" applyFont="1" applyFill="1" applyBorder="1" applyAlignment="1" applyProtection="1">
      <alignment horizontal="left" vertical="center" wrapText="1"/>
      <protection hidden="1"/>
    </xf>
    <xf numFmtId="0" fontId="40" fillId="23" borderId="10" xfId="11" applyFont="1" applyFill="1" applyBorder="1" applyAlignment="1" applyProtection="1">
      <alignment horizontal="left" vertical="center" wrapText="1"/>
      <protection hidden="1"/>
    </xf>
    <xf numFmtId="0" fontId="40" fillId="23" borderId="2" xfId="11" applyFont="1" applyFill="1" applyBorder="1" applyAlignment="1" applyProtection="1">
      <alignment horizontal="left" vertical="center" wrapText="1"/>
      <protection hidden="1"/>
    </xf>
    <xf numFmtId="0" fontId="40" fillId="23" borderId="61" xfId="11" applyFont="1" applyFill="1" applyBorder="1" applyAlignment="1" applyProtection="1">
      <alignment horizontal="left" vertical="center" wrapText="1"/>
      <protection hidden="1"/>
    </xf>
    <xf numFmtId="0" fontId="40" fillId="23" borderId="62" xfId="11" applyFont="1" applyFill="1" applyBorder="1" applyAlignment="1" applyProtection="1">
      <alignment horizontal="left" vertical="center" wrapText="1"/>
      <protection hidden="1"/>
    </xf>
    <xf numFmtId="0" fontId="8" fillId="16" borderId="68" xfId="3" applyFont="1" applyFill="1" applyBorder="1" applyAlignment="1" applyProtection="1">
      <alignment horizontal="center" wrapText="1"/>
      <protection hidden="1"/>
    </xf>
    <xf numFmtId="0" fontId="8" fillId="16" borderId="61" xfId="3" applyFont="1" applyFill="1" applyBorder="1" applyAlignment="1" applyProtection="1">
      <alignment horizontal="center" wrapText="1"/>
      <protection hidden="1"/>
    </xf>
    <xf numFmtId="0" fontId="8" fillId="16" borderId="69" xfId="3" applyFont="1" applyFill="1" applyBorder="1" applyAlignment="1" applyProtection="1">
      <alignment horizontal="center" wrapText="1"/>
      <protection hidden="1"/>
    </xf>
    <xf numFmtId="0" fontId="8" fillId="24" borderId="65" xfId="3" applyFont="1" applyFill="1" applyBorder="1" applyAlignment="1" applyProtection="1">
      <alignment horizontal="center" wrapText="1"/>
      <protection hidden="1"/>
    </xf>
    <xf numFmtId="0" fontId="8" fillId="24" borderId="0" xfId="3" applyFont="1" applyFill="1" applyBorder="1" applyAlignment="1" applyProtection="1">
      <alignment horizontal="center" wrapText="1"/>
      <protection hidden="1"/>
    </xf>
    <xf numFmtId="0" fontId="8" fillId="24" borderId="64" xfId="3" applyFont="1" applyFill="1" applyBorder="1" applyAlignment="1" applyProtection="1">
      <alignment horizontal="center" wrapText="1"/>
      <protection hidden="1"/>
    </xf>
    <xf numFmtId="0" fontId="38" fillId="16" borderId="5" xfId="11" applyFill="1" applyBorder="1" applyAlignment="1" applyProtection="1">
      <alignment horizontal="left" vertical="center" wrapText="1"/>
      <protection hidden="1"/>
    </xf>
    <xf numFmtId="0" fontId="36" fillId="23" borderId="0" xfId="4" applyNumberFormat="1" applyFont="1" applyFill="1" applyBorder="1" applyAlignment="1" applyProtection="1">
      <alignment horizontal="left" vertical="top" wrapText="1"/>
      <protection hidden="1"/>
    </xf>
    <xf numFmtId="0" fontId="36" fillId="23" borderId="5" xfId="4" applyNumberFormat="1" applyFont="1" applyFill="1" applyBorder="1" applyAlignment="1" applyProtection="1">
      <alignment horizontal="left" vertical="top" wrapText="1"/>
      <protection hidden="1"/>
    </xf>
    <xf numFmtId="0" fontId="18" fillId="23" borderId="4" xfId="4" applyNumberFormat="1" applyFont="1" applyFill="1" applyBorder="1" applyAlignment="1" applyProtection="1">
      <alignment horizontal="center" vertical="center" wrapText="1"/>
      <protection hidden="1"/>
    </xf>
    <xf numFmtId="0" fontId="18" fillId="23" borderId="9" xfId="4" applyNumberFormat="1" applyFont="1" applyFill="1" applyBorder="1" applyAlignment="1" applyProtection="1">
      <alignment horizontal="center" vertical="center" wrapText="1"/>
      <protection hidden="1"/>
    </xf>
    <xf numFmtId="0" fontId="18" fillId="23" borderId="11" xfId="4" applyNumberFormat="1" applyFont="1" applyFill="1" applyBorder="1" applyAlignment="1" applyProtection="1">
      <alignment horizontal="center" vertical="center" wrapText="1"/>
      <protection hidden="1"/>
    </xf>
    <xf numFmtId="0" fontId="18" fillId="23" borderId="9" xfId="3" applyFont="1" applyFill="1" applyBorder="1" applyAlignment="1" applyProtection="1">
      <alignment horizontal="center" vertical="center" wrapText="1"/>
      <protection hidden="1"/>
    </xf>
    <xf numFmtId="0" fontId="18" fillId="23" borderId="11" xfId="3" applyFont="1" applyFill="1" applyBorder="1" applyAlignment="1" applyProtection="1">
      <alignment horizontal="center" vertical="center" wrapText="1"/>
      <protection hidden="1"/>
    </xf>
    <xf numFmtId="0" fontId="18" fillId="23" borderId="17" xfId="3" applyFont="1" applyFill="1" applyBorder="1" applyAlignment="1" applyProtection="1">
      <alignment horizontal="center" vertical="center"/>
      <protection hidden="1"/>
    </xf>
    <xf numFmtId="0" fontId="18" fillId="23" borderId="7" xfId="3" applyFont="1" applyFill="1" applyBorder="1" applyAlignment="1" applyProtection="1">
      <alignment horizontal="center" vertical="center"/>
      <protection hidden="1"/>
    </xf>
    <xf numFmtId="0" fontId="18" fillId="23" borderId="52" xfId="3" applyFont="1" applyFill="1" applyBorder="1" applyAlignment="1" applyProtection="1">
      <alignment horizontal="center" vertical="center"/>
      <protection hidden="1"/>
    </xf>
    <xf numFmtId="0" fontId="18" fillId="23" borderId="8" xfId="3" applyFont="1" applyFill="1" applyBorder="1" applyAlignment="1" applyProtection="1">
      <alignment horizontal="center" vertical="center"/>
      <protection hidden="1"/>
    </xf>
    <xf numFmtId="0" fontId="18" fillId="23" borderId="17" xfId="3" applyFont="1" applyFill="1" applyBorder="1" applyAlignment="1" applyProtection="1">
      <alignment horizontal="center" vertical="center" wrapText="1"/>
      <protection hidden="1"/>
    </xf>
    <xf numFmtId="0" fontId="18" fillId="23" borderId="7" xfId="3" applyFont="1" applyFill="1" applyBorder="1" applyAlignment="1" applyProtection="1">
      <alignment horizontal="center" vertical="center" wrapText="1"/>
      <protection hidden="1"/>
    </xf>
    <xf numFmtId="0" fontId="18" fillId="23" borderId="4" xfId="3" applyNumberFormat="1" applyFont="1" applyFill="1" applyBorder="1" applyAlignment="1" applyProtection="1">
      <alignment horizontal="center" vertical="center" wrapText="1"/>
      <protection hidden="1"/>
    </xf>
    <xf numFmtId="0" fontId="18" fillId="23" borderId="9" xfId="3" applyNumberFormat="1" applyFont="1" applyFill="1" applyBorder="1" applyAlignment="1" applyProtection="1">
      <alignment horizontal="center" vertical="center" wrapText="1"/>
      <protection hidden="1"/>
    </xf>
    <xf numFmtId="0" fontId="18" fillId="23" borderId="11" xfId="3" applyNumberFormat="1" applyFont="1" applyFill="1" applyBorder="1" applyAlignment="1" applyProtection="1">
      <alignment horizontal="center" vertical="center" wrapText="1"/>
      <protection hidden="1"/>
    </xf>
    <xf numFmtId="0" fontId="18" fillId="23" borderId="3" xfId="3" applyFont="1" applyFill="1" applyBorder="1" applyAlignment="1" applyProtection="1">
      <alignment horizontal="center"/>
      <protection hidden="1"/>
    </xf>
    <xf numFmtId="0" fontId="18" fillId="23" borderId="2" xfId="3" applyFont="1" applyFill="1" applyBorder="1" applyAlignment="1" applyProtection="1">
      <alignment horizontal="center"/>
      <protection hidden="1"/>
    </xf>
    <xf numFmtId="0" fontId="40" fillId="23" borderId="72" xfId="11" applyFont="1" applyFill="1" applyBorder="1" applyAlignment="1" applyProtection="1">
      <alignment horizontal="left" vertical="center" wrapText="1"/>
      <protection hidden="1"/>
    </xf>
    <xf numFmtId="0" fontId="40" fillId="23" borderId="71" xfId="11" applyFont="1" applyFill="1" applyBorder="1" applyAlignment="1" applyProtection="1">
      <alignment horizontal="left" vertical="center" wrapText="1"/>
      <protection hidden="1"/>
    </xf>
    <xf numFmtId="0" fontId="2" fillId="0" borderId="60" xfId="0" applyFont="1" applyBorder="1" applyAlignment="1" applyProtection="1">
      <alignment horizontal="center"/>
      <protection hidden="1"/>
    </xf>
    <xf numFmtId="0" fontId="2" fillId="0" borderId="0" xfId="0" applyFont="1" applyAlignment="1" applyProtection="1">
      <alignment horizontal="center"/>
      <protection hidden="1"/>
    </xf>
    <xf numFmtId="0" fontId="3" fillId="0" borderId="60"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3" fillId="14" borderId="1" xfId="1" applyNumberFormat="1" applyFill="1" applyBorder="1" applyAlignment="1" applyProtection="1">
      <alignment horizontal="left"/>
      <protection hidden="1"/>
    </xf>
    <xf numFmtId="0" fontId="3" fillId="7" borderId="1" xfId="4" applyNumberFormat="1" applyBorder="1" applyAlignment="1" applyProtection="1">
      <alignment horizontal="left" vertical="center" wrapText="1"/>
      <protection hidden="1"/>
    </xf>
    <xf numFmtId="0" fontId="3" fillId="7" borderId="1" xfId="4" applyNumberFormat="1" applyBorder="1" applyAlignment="1" applyProtection="1">
      <alignment horizontal="left" vertical="center"/>
      <protection hidden="1"/>
    </xf>
    <xf numFmtId="0" fontId="38" fillId="7" borderId="1" xfId="11" applyNumberFormat="1" applyFill="1" applyBorder="1" applyAlignment="1" applyProtection="1">
      <alignment vertical="center" wrapText="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17" fillId="11" borderId="27" xfId="5" applyFont="1" applyFill="1" applyBorder="1" applyAlignment="1" applyProtection="1">
      <alignment horizontal="left" vertical="center" wrapText="1"/>
      <protection hidden="1"/>
    </xf>
    <xf numFmtId="0" fontId="17" fillId="11" borderId="35" xfId="5" applyFont="1" applyFill="1" applyBorder="1" applyAlignment="1" applyProtection="1">
      <alignment horizontal="left" vertical="center" wrapText="1"/>
      <protection hidden="1"/>
    </xf>
    <xf numFmtId="0" fontId="17" fillId="11" borderId="3" xfId="7" applyNumberFormat="1" applyFont="1" applyFill="1" applyBorder="1" applyAlignment="1" applyProtection="1">
      <alignment horizontal="left" vertical="center" wrapText="1"/>
      <protection hidden="1"/>
    </xf>
    <xf numFmtId="0" fontId="17" fillId="11" borderId="2" xfId="7" applyNumberFormat="1" applyFont="1" applyFill="1" applyBorder="1" applyAlignment="1" applyProtection="1">
      <alignment horizontal="left" vertical="center" wrapText="1"/>
      <protection hidden="1"/>
    </xf>
    <xf numFmtId="0" fontId="17" fillId="11" borderId="36" xfId="5" applyFont="1" applyFill="1" applyBorder="1" applyAlignment="1" applyProtection="1">
      <alignment horizontal="center" vertical="center" wrapText="1"/>
      <protection hidden="1"/>
    </xf>
    <xf numFmtId="0" fontId="17" fillId="11" borderId="37" xfId="5" applyFont="1" applyFill="1" applyBorder="1" applyAlignment="1" applyProtection="1">
      <alignment horizontal="center" vertical="center" wrapText="1"/>
      <protection hidden="1"/>
    </xf>
    <xf numFmtId="0" fontId="17" fillId="11" borderId="35" xfId="5" applyFont="1" applyFill="1" applyBorder="1" applyAlignment="1" applyProtection="1">
      <alignment horizontal="center" vertical="center" wrapText="1"/>
      <protection hidden="1"/>
    </xf>
    <xf numFmtId="0" fontId="17" fillId="11" borderId="33" xfId="5" applyFont="1" applyFill="1" applyBorder="1" applyAlignment="1" applyProtection="1">
      <alignment horizontal="center" vertical="center" wrapText="1"/>
      <protection hidden="1"/>
    </xf>
    <xf numFmtId="0" fontId="17" fillId="11" borderId="34" xfId="5" applyFont="1" applyFill="1" applyBorder="1" applyAlignment="1" applyProtection="1">
      <alignment horizontal="center" vertical="center" wrapText="1"/>
      <protection hidden="1"/>
    </xf>
    <xf numFmtId="0" fontId="17" fillId="11" borderId="29" xfId="5" applyFont="1" applyFill="1" applyBorder="1" applyAlignment="1" applyProtection="1">
      <alignment horizontal="center" vertical="center" wrapText="1"/>
      <protection hidden="1"/>
    </xf>
    <xf numFmtId="0" fontId="3" fillId="7" borderId="1" xfId="4" applyNumberFormat="1" applyBorder="1" applyAlignment="1" applyProtection="1">
      <alignment vertical="center"/>
      <protection hidden="1"/>
    </xf>
    <xf numFmtId="0" fontId="17" fillId="11" borderId="30" xfId="5" applyFont="1" applyFill="1" applyBorder="1" applyAlignment="1" applyProtection="1">
      <alignment horizontal="center" wrapText="1"/>
      <protection hidden="1"/>
    </xf>
    <xf numFmtId="0" fontId="17" fillId="11" borderId="31" xfId="5" applyFont="1" applyFill="1" applyBorder="1" applyAlignment="1" applyProtection="1">
      <alignment horizontal="center" wrapText="1"/>
      <protection hidden="1"/>
    </xf>
    <xf numFmtId="0" fontId="17" fillId="11" borderId="32" xfId="5" applyFont="1" applyFill="1" applyBorder="1" applyAlignment="1" applyProtection="1">
      <alignment horizontal="center" wrapText="1"/>
      <protection hidden="1"/>
    </xf>
    <xf numFmtId="164" fontId="17" fillId="11" borderId="27" xfId="7" applyNumberFormat="1" applyFont="1" applyFill="1" applyBorder="1" applyAlignment="1" applyProtection="1">
      <alignment horizontal="left" vertical="center" wrapText="1"/>
      <protection hidden="1"/>
    </xf>
    <xf numFmtId="164" fontId="17" fillId="11" borderId="28" xfId="7" applyNumberFormat="1" applyFont="1" applyFill="1" applyBorder="1" applyAlignment="1" applyProtection="1">
      <alignment horizontal="left" vertical="center" wrapText="1"/>
      <protection hidden="1"/>
    </xf>
    <xf numFmtId="0" fontId="8" fillId="16" borderId="39" xfId="3" applyFont="1" applyFill="1" applyBorder="1" applyAlignment="1" applyProtection="1">
      <alignment horizontal="center" wrapText="1"/>
      <protection hidden="1"/>
    </xf>
    <xf numFmtId="0" fontId="8" fillId="16" borderId="40" xfId="3" applyFont="1" applyFill="1" applyBorder="1" applyAlignment="1" applyProtection="1">
      <alignment horizontal="center" wrapText="1"/>
      <protection hidden="1"/>
    </xf>
    <xf numFmtId="0" fontId="8" fillId="16" borderId="41" xfId="3" applyFont="1" applyFill="1" applyBorder="1" applyAlignment="1" applyProtection="1">
      <alignment horizontal="center" wrapText="1"/>
      <protection hidden="1"/>
    </xf>
    <xf numFmtId="0" fontId="8" fillId="24" borderId="24" xfId="3" applyFont="1" applyFill="1" applyBorder="1" applyAlignment="1" applyProtection="1">
      <alignment horizontal="center" wrapText="1"/>
      <protection hidden="1"/>
    </xf>
    <xf numFmtId="0" fontId="8" fillId="24" borderId="25" xfId="3" applyFont="1" applyFill="1" applyBorder="1" applyAlignment="1" applyProtection="1">
      <alignment horizontal="center" wrapText="1"/>
      <protection hidden="1"/>
    </xf>
    <xf numFmtId="0" fontId="3" fillId="24" borderId="3" xfId="1" applyNumberFormat="1" applyFill="1" applyBorder="1" applyAlignment="1" applyProtection="1">
      <alignment horizontal="center"/>
      <protection locked="0" hidden="1"/>
    </xf>
    <xf numFmtId="0" fontId="3" fillId="24" borderId="10" xfId="1" applyNumberFormat="1" applyFill="1" applyBorder="1" applyAlignment="1" applyProtection="1">
      <alignment horizontal="center"/>
      <protection locked="0" hidden="1"/>
    </xf>
    <xf numFmtId="0" fontId="3" fillId="24" borderId="2" xfId="1" applyNumberFormat="1" applyFill="1" applyBorder="1" applyAlignment="1" applyProtection="1">
      <alignment horizontal="center"/>
      <protection locked="0" hidden="1"/>
    </xf>
    <xf numFmtId="168" fontId="3" fillId="24" borderId="3" xfId="1" applyNumberFormat="1" applyFill="1" applyBorder="1" applyAlignment="1" applyProtection="1">
      <alignment horizontal="left"/>
      <protection locked="0" hidden="1"/>
    </xf>
    <xf numFmtId="168" fontId="3" fillId="24" borderId="10" xfId="1" applyNumberFormat="1" applyFill="1" applyBorder="1" applyAlignment="1" applyProtection="1">
      <alignment horizontal="left"/>
      <protection locked="0" hidden="1"/>
    </xf>
    <xf numFmtId="168" fontId="3" fillId="24" borderId="2" xfId="1" applyNumberFormat="1" applyFill="1" applyBorder="1" applyAlignment="1" applyProtection="1">
      <alignment horizontal="left"/>
      <protection locked="0" hidden="1"/>
    </xf>
    <xf numFmtId="49" fontId="3" fillId="24" borderId="3" xfId="1" applyNumberFormat="1" applyFill="1" applyBorder="1" applyAlignment="1" applyProtection="1">
      <alignment horizontal="left"/>
      <protection locked="0" hidden="1"/>
    </xf>
    <xf numFmtId="49" fontId="3" fillId="24" borderId="10" xfId="1" applyNumberFormat="1" applyFill="1" applyBorder="1" applyAlignment="1" applyProtection="1">
      <alignment horizontal="left"/>
      <protection locked="0" hidden="1"/>
    </xf>
    <xf numFmtId="49" fontId="3" fillId="24" borderId="2" xfId="1" applyNumberFormat="1" applyFill="1" applyBorder="1" applyAlignment="1" applyProtection="1">
      <alignment horizontal="left"/>
      <protection locked="0" hidden="1"/>
    </xf>
    <xf numFmtId="0" fontId="3" fillId="7" borderId="3" xfId="4" applyNumberFormat="1" applyBorder="1" applyAlignment="1" applyProtection="1">
      <alignment horizontal="left" vertical="center" wrapText="1"/>
      <protection hidden="1"/>
    </xf>
    <xf numFmtId="0" fontId="3" fillId="7" borderId="10" xfId="4" applyNumberFormat="1" applyBorder="1" applyAlignment="1" applyProtection="1">
      <alignment horizontal="left" vertical="center" wrapText="1"/>
      <protection hidden="1"/>
    </xf>
    <xf numFmtId="0" fontId="3" fillId="7" borderId="2" xfId="4" applyNumberFormat="1" applyBorder="1" applyAlignment="1" applyProtection="1">
      <alignment horizontal="left" vertical="center" wrapText="1"/>
      <protection hidden="1"/>
    </xf>
    <xf numFmtId="0" fontId="3" fillId="7" borderId="3" xfId="4" applyNumberFormat="1" applyBorder="1" applyAlignment="1" applyProtection="1">
      <alignment horizontal="left" vertical="center"/>
      <protection hidden="1"/>
    </xf>
    <xf numFmtId="0" fontId="3" fillId="7" borderId="10" xfId="4" applyNumberFormat="1" applyBorder="1" applyAlignment="1" applyProtection="1">
      <alignment horizontal="left" vertical="center"/>
      <protection hidden="1"/>
    </xf>
    <xf numFmtId="0" fontId="3" fillId="7" borderId="2" xfId="4" applyNumberFormat="1" applyBorder="1" applyAlignment="1" applyProtection="1">
      <alignment horizontal="left" vertical="center"/>
      <protection hidden="1"/>
    </xf>
    <xf numFmtId="0" fontId="3" fillId="7" borderId="3" xfId="4" applyNumberFormat="1" applyBorder="1" applyAlignment="1" applyProtection="1">
      <alignment horizontal="center" vertical="center"/>
      <protection hidden="1"/>
    </xf>
    <xf numFmtId="0" fontId="3" fillId="7" borderId="10" xfId="4" applyNumberFormat="1" applyBorder="1" applyAlignment="1" applyProtection="1">
      <alignment horizontal="center" vertical="center"/>
      <protection hidden="1"/>
    </xf>
    <xf numFmtId="0" fontId="3" fillId="7" borderId="2" xfId="4" applyNumberFormat="1" applyBorder="1" applyAlignment="1" applyProtection="1">
      <alignment horizontal="center" vertical="center"/>
      <protection hidden="1"/>
    </xf>
    <xf numFmtId="0" fontId="3" fillId="14" borderId="3" xfId="1" applyNumberFormat="1" applyFill="1" applyBorder="1" applyAlignment="1" applyProtection="1">
      <alignment horizontal="left"/>
      <protection hidden="1"/>
    </xf>
    <xf numFmtId="0" fontId="3" fillId="14" borderId="10" xfId="1" applyNumberFormat="1" applyFill="1" applyBorder="1" applyAlignment="1" applyProtection="1">
      <alignment horizontal="left"/>
      <protection hidden="1"/>
    </xf>
    <xf numFmtId="0" fontId="3" fillId="14" borderId="2" xfId="1" applyNumberFormat="1" applyFill="1" applyBorder="1" applyAlignment="1" applyProtection="1">
      <alignment horizontal="left"/>
      <protection hidden="1"/>
    </xf>
    <xf numFmtId="0" fontId="5" fillId="23" borderId="49" xfId="0" applyFont="1" applyFill="1" applyBorder="1" applyAlignment="1" applyProtection="1">
      <alignment horizontal="center"/>
      <protection hidden="1"/>
    </xf>
    <xf numFmtId="0" fontId="5" fillId="23" borderId="50" xfId="0" applyFont="1" applyFill="1" applyBorder="1" applyAlignment="1" applyProtection="1">
      <alignment horizontal="center"/>
      <protection hidden="1"/>
    </xf>
    <xf numFmtId="0" fontId="5" fillId="23" borderId="51" xfId="0" applyFont="1" applyFill="1" applyBorder="1" applyAlignment="1" applyProtection="1">
      <alignment horizontal="center"/>
      <protection hidden="1"/>
    </xf>
    <xf numFmtId="0" fontId="5" fillId="27" borderId="49" xfId="0" applyFont="1" applyFill="1" applyBorder="1" applyAlignment="1" applyProtection="1">
      <alignment horizontal="center"/>
      <protection hidden="1"/>
    </xf>
    <xf numFmtId="0" fontId="5" fillId="27" borderId="51" xfId="0" applyFont="1" applyFill="1" applyBorder="1" applyAlignment="1" applyProtection="1">
      <alignment horizontal="center"/>
      <protection hidden="1"/>
    </xf>
    <xf numFmtId="0" fontId="3" fillId="24" borderId="3" xfId="1" applyNumberFormat="1" applyFill="1" applyBorder="1" applyAlignment="1" applyProtection="1">
      <alignment horizontal="center" vertical="center"/>
      <protection locked="0" hidden="1"/>
    </xf>
    <xf numFmtId="0" fontId="3" fillId="24" borderId="10" xfId="1" applyNumberFormat="1" applyFill="1" applyBorder="1" applyAlignment="1" applyProtection="1">
      <alignment horizontal="center" vertical="center"/>
      <protection locked="0" hidden="1"/>
    </xf>
    <xf numFmtId="0" fontId="3" fillId="24" borderId="2" xfId="1" applyNumberFormat="1" applyFill="1" applyBorder="1" applyAlignment="1" applyProtection="1">
      <alignment horizontal="center" vertical="center"/>
      <protection locked="0" hidden="1"/>
    </xf>
    <xf numFmtId="168" fontId="3" fillId="31" borderId="3" xfId="1" applyNumberFormat="1" applyFill="1" applyBorder="1" applyAlignment="1" applyProtection="1">
      <alignment horizontal="left"/>
      <protection hidden="1"/>
    </xf>
    <xf numFmtId="168" fontId="3" fillId="31" borderId="10" xfId="1" applyNumberFormat="1" applyFill="1" applyBorder="1" applyAlignment="1" applyProtection="1">
      <alignment horizontal="left"/>
      <protection hidden="1"/>
    </xf>
    <xf numFmtId="168" fontId="3" fillId="31" borderId="2" xfId="1" applyNumberFormat="1" applyFill="1" applyBorder="1" applyAlignment="1" applyProtection="1">
      <alignment horizontal="left"/>
      <protection hidden="1"/>
    </xf>
    <xf numFmtId="0" fontId="2" fillId="0" borderId="5" xfId="0" applyFont="1" applyBorder="1" applyAlignment="1">
      <alignment horizontal="center" vertical="center"/>
    </xf>
  </cellXfs>
  <cellStyles count="12">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Hyperlink" xfId="11" builtinId="8"/>
    <cellStyle name="Procent" xfId="8" builtinId="5"/>
    <cellStyle name="Standaard" xfId="0" builtinId="0"/>
    <cellStyle name="Standaard 2" xfId="10" xr:uid="{00F5BB47-3E64-47E3-9E65-A7B31E9EF4EB}"/>
    <cellStyle name="Valuta" xfId="9" builtinId="4"/>
  </cellStyles>
  <dxfs count="26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5</xdr:row>
      <xdr:rowOff>193131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7" dataDxfId="266">
  <tableColumns count="41">
    <tableColumn id="1" xr3:uid="{4FC831A0-ABC4-4093-8E9C-A71F8D55B386}" name="Openstelling" dataDxfId="265"/>
    <tableColumn id="2" xr3:uid="{BDBE6677-4833-4E06-89E1-54F800393059}" name="Subsidiabele_Activiteit" dataDxfId="264"/>
    <tableColumn id="3" xr3:uid="{D60E7305-BF27-4BE4-A457-8377F9E7334E}" name="Subsidie %" dataDxfId="263"/>
    <tableColumn id="4" xr3:uid="{BB1F079C-CEFB-44F2-9B23-B3722450CB0C}" name="Arbeidskosten" dataDxfId="262"/>
    <tableColumn id="5" xr3:uid="{4E5D2361-4170-484A-AB0A-1C417A1CDBCE}" name="Arbeidskosten op basis van IKS" dataDxfId="261">
      <calculatedColumnFormula>IFERROR(IF(VLOOKUP(Tb_Activiteiten[[#This Row],[Openstelling]],Tb_Openstelling[],2,0)=1,1,""),"")</calculatedColumnFormula>
    </tableColumn>
    <tableColumn id="7" xr3:uid="{C4BA27ED-9766-4959-9960-34056A7708BE}" name="Kosten derden exclusief btw" dataDxfId="260"/>
    <tableColumn id="8" xr3:uid="{8D158D05-3FCF-4F9B-B2D8-1C8B3FCDE2F0}" name="Niet verrekenbare btw" dataDxfId="259"/>
    <tableColumn id="9" xr3:uid="{8D50B413-5AB1-4381-9F2F-FA0D621956D8}" name="Grondkosten" dataDxfId="258"/>
    <tableColumn id="10" xr3:uid="{7934201B-23C4-435B-8349-45D7F5EA4D8E}" name="Bijdrage in natura (overige)" dataDxfId="257"/>
    <tableColumn id="11" xr3:uid="{3EDF8E13-89B0-4EFC-93D0-E7666B0ACEE1}" name="Bijdrage in natura (vrijwilligers)" dataDxfId="256"/>
    <tableColumn id="12" xr3:uid="{0A610226-E32D-4A16-A0F0-7F23060C9396}" name="Afschrijvingskosten" dataDxfId="255"/>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4"/>
    <tableColumn id="19" xr3:uid="{9F2B0ED0-76CB-4909-836D-8E7CA405FAB0}" name="Eigen arbeid" dataDxfId="253"/>
    <tableColumn id="13" xr3:uid="{0122FD0D-30E5-4169-AFDD-9262DB6B79B1}" name="Projectmedewerker" dataDxfId="252"/>
    <tableColumn id="14" xr3:uid="{6E776D66-8E46-4B55-9352-1B0F40F0592C}" name="Landbouwer" dataDxfId="251"/>
    <tableColumn id="15" xr3:uid="{03E8DC6E-292D-40C6-8338-05487E147D78}" name="Adviseur" dataDxfId="250"/>
    <tableColumn id="16" xr3:uid="{3C7B3D03-AAC3-4426-8C15-10B06EFBEEC3}" name="Projectleider/Expert" dataDxfId="249"/>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8"/>
    <tableColumn id="26" xr3:uid="{5C890250-EA1C-47AD-AD57-4A9F7670499E}" name="Arbeid_vast_1" dataDxfId="247">
      <calculatedColumnFormula>IF(ISNUMBER(FIND("arbeid",Methode_Keuze)),"",IF(ISNUMBER(FIND("arbeid",Methode_Keuze)),"",IF(Tb_Activiteiten[[#This Row],[Loonkosten]]=1,Tb_Activiteiten[[#Headers],[Loonkosten]],"")))</calculatedColumnFormula>
    </tableColumn>
    <tableColumn id="30" xr3:uid="{6483900E-1D8A-48BA-BC8D-E3487D3D1070}" name="Arbeid_vast_2" dataDxfId="246">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5">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4">
      <calculatedColumnFormula>IF(ISNUMBER(FIND("arbeid",Methode_Keuze)),"",IF(ISNUMBER(FIND("arbeid",Methode_Keuze)),"",IF(Tb_Activiteiten[[#This Row],[Landbouwer]]=1,Tb_Activiteiten[[#Headers],[Landbouwer]],"")))</calculatedColumnFormula>
    </tableColumn>
    <tableColumn id="33" xr3:uid="{52CFD47C-6AB1-44C5-88C8-E82BCF9E637D}" name="Arbeid_vast_5" dataDxfId="243">
      <calculatedColumnFormula>IF(ISNUMBER(FIND("arbeid",Methode_Keuze)),"",IF(ISNUMBER(FIND("arbeid",Methode_Keuze)),"",IF(Tb_Activiteiten[[#This Row],[Adviseur]]=1,Tb_Activiteiten[[#Headers],[Adviseur]],"")))</calculatedColumnFormula>
    </tableColumn>
    <tableColumn id="34" xr3:uid="{18E42BD0-5AED-43E3-8C86-DF7E66CC2FD8}" name="Arbeid_vast_6" dataDxfId="242">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1">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40">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9">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8">
      <calculatedColumnFormula>IF(ISNUMBER(FIND("overige",Methode_Keuze)),"",IF(Tb_Activiteiten[[#This Row],[Niet verrekenbare btw]]=1,Tb_Activiteiten[[#Headers],[Niet verrekenbare btw]],""))</calculatedColumnFormula>
    </tableColumn>
    <tableColumn id="22" xr3:uid="{953530BF-C585-407A-A08A-0595C56CD8D2}" name="Kostenpost_5" dataDxfId="237">
      <calculatedColumnFormula>IF(ISNUMBER(FIND("overige",Methode_Keuze)),"",IF(Tb_Activiteiten[[#This Row],[Grondkosten]]=1,Tb_Activiteiten[[#Headers],[Grondkosten]],""))</calculatedColumnFormula>
    </tableColumn>
    <tableColumn id="23" xr3:uid="{13362067-6257-4FBC-922F-37044919E2E1}" name="Kostenpost_6" dataDxfId="236">
      <calculatedColumnFormula>IF(ISNUMBER(FIND("overige",Methode_Keuze)),"",IF(Tb_Activiteiten[[#This Row],[Bijdrage in natura (overige)]]=1,Tb_Activiteiten[[#Headers],[Bijdrage in natura (overige)]],""))</calculatedColumnFormula>
    </tableColumn>
    <tableColumn id="24" xr3:uid="{4F768848-2060-48E2-98C0-E1F003FF9210}" name="Kostenpost_7" dataDxfId="235">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4">
      <calculatedColumnFormula>IF(ISNUMBER(FIND("overige",Methode_Keuze)),"",IF(Tb_Activiteiten[[#This Row],[Afschrijvingskosten]]=1,Tb_Activiteiten[[#Headers],[Afschrijvingskosten]],""))</calculatedColumnFormula>
    </tableColumn>
    <tableColumn id="29" xr3:uid="{5CBCFCE4-EA94-43CB-951F-A3E72228D20C}" name="Kostenpost_9" dataDxfId="233">
      <calculatedColumnFormula>IF(ISNUMBER(FIND("overige",Methode_Keuze)),"",IF(Tb_Activiteiten[[#This Row],[Vergoeding]]=1,Tb_Activiteiten[[#Headers],[Vergoeding]],""))</calculatedColumnFormula>
    </tableColumn>
    <tableColumn id="35" xr3:uid="{0B4CFC09-8D8E-4FEB-A061-1E51BA6F2A84}" name="Kostenpost_10" dataDxfId="232">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1">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30" dataDxfId="229">
  <tableColumns count="11">
    <tableColumn id="1" xr3:uid="{0EFE5CAE-C14D-4238-A738-2AF316F00AAE}" name="Openstelling" dataDxfId="228"/>
    <tableColumn id="4" xr3:uid="{2A9284CB-EA54-4B09-9759-A8D936C0D919}" name="IKS" dataDxfId="227"/>
    <tableColumn id="3" xr3:uid="{7C9AE659-EEC3-4F87-9C69-65D59EF511CB}" name="Geen VKO" dataDxfId="226"/>
    <tableColumn id="5" xr3:uid="{4CC9DDF8-27D3-4A3A-AF90-241FEF59ADCC}" name="VKO arbeid" dataDxfId="225"/>
    <tableColumn id="2" xr3:uid="{4ACFCDD5-915F-40F6-9F0D-B67183D5EEAC}" name="VKO overig" dataDxfId="224"/>
    <tableColumn id="6" xr3:uid="{91FF20B6-E557-4417-96A7-30276C2051CA}" name="Min. subsidiebedrag" dataDxfId="223"/>
    <tableColumn id="7" xr3:uid="{46D88572-AA49-42C5-BCBC-066712762F2E}" name="Max. subsidiebedrag" dataDxfId="222"/>
    <tableColumn id="8" xr3:uid="{EB9C89C4-CA01-46A5-B6F9-BF0FD7ACF3BB}" name="Grond_%" dataDxfId="221" dataCellStyle="Procent"/>
    <tableColumn id="11" xr3:uid="{02A7B4AB-1954-431B-AA93-4BD23E763CA9}" name="SIG_%" dataDxfId="220" dataCellStyle="Procent"/>
    <tableColumn id="9" xr3:uid="{C0FC3C2F-F644-4DFA-8894-B273C299674F}" name="Onderhoud_%" dataDxfId="219"/>
    <tableColumn id="10" xr3:uid="{96207932-C83E-4744-8FE5-615A96564C31}" name="Samenwerking_%"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7" tableBorderDxfId="216">
  <autoFilter ref="A1:C12" xr:uid="{C637C9B8-7ABD-421F-95A2-2CFC35DD688D}"/>
  <tableColumns count="3">
    <tableColumn id="1" xr3:uid="{841E876E-EFEB-46AC-8BBF-07EE6063846B}" name="Volgorde" dataDxfId="215"/>
    <tableColumn id="2" xr3:uid="{6076EA89-38F6-45BF-8DFF-262A429EBD8C}" name="Kostenpost_Openstelling" dataDxfId="214"/>
    <tableColumn id="3" xr3:uid="{F15970C4-E00D-4961-BAC1-35C4C5D9B960}" name="Aantal" dataDxfId="213">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212">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211">
  <autoFilter ref="AD14:AN25" xr:uid="{9F51824B-5CF6-4DC2-ACB3-A4E9E7784C57}"/>
  <tableColumns count="11">
    <tableColumn id="1" xr3:uid="{2F3F9470-2B8B-4036-A5A4-5BC84E4B8DD7}" name="KostenOmschrijving" dataDxfId="210">
      <calculatedColumnFormula>$AD2</calculatedColumnFormula>
    </tableColumn>
    <tableColumn id="2" xr3:uid="{831F417A-6FA9-4C96-936A-EEA85C0817C5}" name="Kosten_Aanvraag" dataDxfId="209">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8">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7">
      <calculatedColumnFormula>Tb_ProjectKosten[[#This Row],[KostenOmschrijving]]</calculatedColumnFormula>
    </tableColumn>
    <tableColumn id="6" xr3:uid="{E9126FDC-4B0A-4906-AC5D-2525153657E8}" name="Forfait" dataDxfId="206">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5"/>
    <tableColumn id="10" xr3:uid="{EF1806D2-502D-4F0C-8415-13A0647D4049}" name="Forfait_Bedrag" dataDxfId="204">
      <calculatedColumnFormula>SUMIF('5. Kosten uitvoering project'!$F:$F,Tb_ProjectKosten[[#This Row],[Begroting]],'5. Kosten uitvoering project'!R:R)</calculatedColumnFormula>
    </tableColumn>
    <tableColumn id="8" xr3:uid="{6E1F7D31-D5FE-455E-B3A2-D9AA7039DCB8}" name="Forfait_Bedrag_Beoordeeld" dataDxfId="203">
      <calculatedColumnFormula>SUMIF('5. Kosten uitvoering project'!$F:$F,Tb_ProjectKosten[[#This Row],[Begroting]],'5. Kosten uitvoering project'!S:S)</calculatedColumnFormula>
    </tableColumn>
    <tableColumn id="11" xr3:uid="{4FD57502-7656-4D88-90B3-AC7B38448B8E}" name="Kosten_Aanvraag_Inclusief" dataDxfId="202">
      <calculatedColumnFormula>Tb_ProjectKosten[[#This Row],[Kosten_Aanvraag]]+Tb_ProjectKosten[[#This Row],[Forfait_Bedrag]]</calculatedColumnFormula>
    </tableColumn>
    <tableColumn id="4" xr3:uid="{20D42C4B-A6CC-4A88-BC68-75A67967BF46}" name="Kosten_Beoordeeld_Inclusief" dataDxfId="201">
      <calculatedColumnFormula>Tb_ProjectKosten[[#This Row],[Kosten_Beoordeeld]]+Tb_ProjectKosten[[#This Row],[Forfait_Bedrag_Beoordeeld]]</calculatedColumnFormula>
    </tableColumn>
    <tableColumn id="7" xr3:uid="{4F40C8E3-D9D5-4BE4-A0DE-0B6F48A357C4}" name="Opmerking" dataDxfId="200">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199">
      <calculatedColumnFormula>$AD15</calculatedColumnFormula>
    </tableColumn>
    <tableColumn id="4" xr3:uid="{0DFF44C4-2CF5-4BAC-999A-474E45E3AE92}" name="Deelbetaling" dataDxfId="198">
      <calculatedColumnFormula>IF(Keuze_DB_Nr&lt;&gt;"",Keuze_DB_Nr,"")</calculatedColumnFormula>
    </tableColumn>
    <tableColumn id="2" xr3:uid="{D7EF5D4E-C280-4448-B599-4F9AFF9F4460}" name="Deelbetaling_Aanvraag" dataDxfId="197">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6">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5">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4"/>
    <tableColumn id="10" xr3:uid="{5E44BC59-8593-420A-ADFA-E0C433FE45B7}" name="Forfait_Bedrag" dataDxfId="193">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2">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1">
      <calculatedColumnFormula>Tb_DBKosten[[#This Row],[Deelbetaling_Aanvraag]]+Tb_DBKosten[[#This Row],[Forfait_Bedrag]]</calculatedColumnFormula>
    </tableColumn>
    <tableColumn id="5" xr3:uid="{E4550958-F033-4A58-A7C8-97856031EA18}" name="Uitgaven_Beoordeeld_Inclusief" dataDxfId="190">
      <calculatedColumnFormula>Tb_DBKosten[[#This Row],[Deelbetaling_Beoordeeld]]+Tb_DBKosten[[#This Row],[Forfait_Bedrag_Beoordeeld]]</calculatedColumnFormula>
    </tableColumn>
    <tableColumn id="7" xr3:uid="{4F4D1BDB-62A5-42CE-A1C5-2C2898547051}" name="Opmerking" dataDxfId="189">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188">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187">
      <calculatedColumnFormula>$AD28</calculatedColumnFormula>
    </tableColumn>
    <tableColumn id="4" xr3:uid="{1FAD732B-887F-41B4-9CDC-A2FDEED6D0DA}" name="Deelbetaling" dataDxfId="186">
      <calculatedColumnFormula>IF(Keuze_DB_Nr_BEO&lt;&gt;"",Keuze_DB_Nr_BEO,"")</calculatedColumnFormula>
    </tableColumn>
    <tableColumn id="2" xr3:uid="{5FAAA98A-3F59-429A-AAEF-F5BD90973EB6}" name="Deelbetaling_Aanvraag" dataDxfId="185">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4">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3">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2"/>
    <tableColumn id="10" xr3:uid="{02F6A4EA-520C-44C2-9565-8ABB24DD4BE6}" name="Forfait_Bedrag" dataDxfId="181">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80">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9">
      <calculatedColumnFormula>Tb_DBKostenBEO[[#This Row],[Deelbetaling_Aanvraag]]+Tb_DBKostenBEO[[#This Row],[Forfait_Bedrag]]</calculatedColumnFormula>
    </tableColumn>
    <tableColumn id="5" xr3:uid="{6F3153B9-502C-4DC5-88E7-3E9FE5FA33BB}" name="Uitgaven_Beoordeeld_Inclusief" dataDxfId="178">
      <calculatedColumnFormula>Tb_DBKostenBEO[[#This Row],[Deelbetaling_Beoordeeld]]+Tb_DBKostenBEO[[#This Row],[Forfait_Bedrag_Beoordeeld]]</calculatedColumnFormula>
    </tableColumn>
    <tableColumn id="7" xr3:uid="{255F25DF-14B3-46D2-AE6C-659AE2A43CAC}" name="Opmerking" dataDxfId="177">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43" totalsRowShown="0" headerRowDxfId="176" dataDxfId="174" headerRowBorderDxfId="175" tableBorderDxfId="173">
  <autoFilter ref="B2:J43" xr:uid="{EF18165E-1E22-4AA2-89FB-8C6EB1500185}"/>
  <tableColumns count="9">
    <tableColumn id="1" xr3:uid="{AA722BCD-DB51-4C1C-964B-A542CDAFD58D}" name="Kostentype" dataDxfId="172"/>
    <tableColumn id="8" xr3:uid="{C80D61D5-1FFD-41D8-9A31-CD9C0589D973}" name="Type" dataDxfId="171"/>
    <tableColumn id="16" xr3:uid="{97E14609-F0ED-471F-976E-F46CAAEF5E3A}" name="Forfait" dataDxfId="170"/>
    <tableColumn id="12" xr3:uid="{E2302880-7157-4478-857E-4AE1C8E4EE73}" name="Arbeidskosten" dataDxfId="169"/>
    <tableColumn id="11" xr3:uid="{0AFF5F76-45CD-49B9-B26B-BED703671F5D}" name="Weergeven" dataDxfId="168">
      <calculatedColumnFormula>IF(OR(COUNTIFS(Kostentypen!$B$77:$O$88,Tb_KostenTypen[[#This Row],[Kostentype]])&gt;0,COUNTIFS(Kostentypen!$A$161:$O$172,Tb_KostenTypen[[#This Row],[Kostentype]])&gt;0),1,0)</calculatedColumnFormula>
    </tableColumn>
    <tableColumn id="4" xr3:uid="{CE009743-D121-4AC6-B30A-6625FA696CBA}" name="Weergeven_2" dataDxfId="167">
      <calculatedColumnFormula>IF(COUNTIFS(Kostentypen!$A$119:$G$130,Tb_KostenTypen[[#This Row],[Kostentype]])&gt;0,1,0)</calculatedColumnFormula>
    </tableColumn>
    <tableColumn id="2" xr3:uid="{3BBD5B9A-46F6-43DF-BB1E-6230EC9646D1}" name="Geen vereenvoudigde kostenoptie" dataDxfId="166"/>
    <tableColumn id="3" xr3:uid="{9512AFBA-74B0-4B9B-A2D6-96F3D2570811}" name="Vereenvoudigde kostenoptie voor arbeidskosten" dataDxfId="165"/>
    <tableColumn id="7" xr3:uid="{22C7790E-000E-433B-A63C-83E031A637C7}" name="Vereenvoudigde kostenoptie voor overige kosten" dataDxfId="1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bs.techletes.ai/subsidie-buddy-eip/?ref=bsnomg74jlcu" TargetMode="External"/><Relationship Id="rId1" Type="http://schemas.openxmlformats.org/officeDocument/2006/relationships/hyperlink" Target="https://abs.techletes.ai/subsidie-buddy-eip/"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bs.techletes.ai/subsidie-buddy-eip/?ref=bsnomg74jlc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abs.techletes.ai/subsidie-buddy-eip/?ref=bsnomg74jlc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bs.techletes.ai/subsidie-buddy-eip/?ref=bsnomg74jlcu"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bs.techletes.ai/subsidie-buddy-eip/?ref=bsnomg74jlcu" TargetMode="External"/><Relationship Id="rId1" Type="http://schemas.openxmlformats.org/officeDocument/2006/relationships/hyperlink" Target="https://abs.techletes.ai/subsidie-buddy-ei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abs.techletes.ai/subsidie-buddy-eip/?ref=bsnomg74jlcu"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6"/>
  <sheetViews>
    <sheetView showRowColHeaders="0" zoomScaleNormal="100" workbookViewId="0"/>
  </sheetViews>
  <sheetFormatPr defaultColWidth="9.140625" defaultRowHeight="15" x14ac:dyDescent="0.25"/>
  <cols>
    <col min="1" max="16384" width="9.140625" style="15"/>
  </cols>
  <sheetData>
    <row r="1" spans="1:1" ht="111" customHeight="1" x14ac:dyDescent="0.25">
      <c r="A1" s="225"/>
    </row>
    <row r="2" spans="1:1" ht="30" customHeight="1" x14ac:dyDescent="0.25">
      <c r="A2" s="223" t="s">
        <v>255</v>
      </c>
    </row>
    <row r="3" spans="1:1" ht="30" customHeight="1" x14ac:dyDescent="0.25">
      <c r="A3" s="232" t="s">
        <v>554</v>
      </c>
    </row>
    <row r="4" spans="1:1" x14ac:dyDescent="0.25">
      <c r="A4" s="224" t="s">
        <v>546</v>
      </c>
    </row>
    <row r="5" spans="1:1" x14ac:dyDescent="0.25">
      <c r="A5" s="225"/>
    </row>
    <row r="6" spans="1:1" x14ac:dyDescent="0.25">
      <c r="A6" s="225" t="s">
        <v>211</v>
      </c>
    </row>
    <row r="7" spans="1:1" x14ac:dyDescent="0.25">
      <c r="A7" s="225" t="s">
        <v>369</v>
      </c>
    </row>
    <row r="8" spans="1:1" x14ac:dyDescent="0.25">
      <c r="A8" s="225"/>
    </row>
    <row r="9" spans="1:1" x14ac:dyDescent="0.25">
      <c r="A9" s="225" t="s">
        <v>370</v>
      </c>
    </row>
    <row r="10" spans="1:1" x14ac:dyDescent="0.25">
      <c r="A10" s="225" t="s">
        <v>243</v>
      </c>
    </row>
    <row r="11" spans="1:1" x14ac:dyDescent="0.25">
      <c r="A11" s="225"/>
    </row>
    <row r="12" spans="1:1" x14ac:dyDescent="0.25">
      <c r="A12" s="224" t="s">
        <v>212</v>
      </c>
    </row>
    <row r="13" spans="1:1" x14ac:dyDescent="0.25">
      <c r="A13" s="226" t="s">
        <v>246</v>
      </c>
    </row>
    <row r="14" spans="1:1" x14ac:dyDescent="0.25">
      <c r="A14" s="225" t="s">
        <v>485</v>
      </c>
    </row>
    <row r="15" spans="1:1" x14ac:dyDescent="0.25">
      <c r="A15" s="225" t="s">
        <v>371</v>
      </c>
    </row>
    <row r="16" spans="1:1" x14ac:dyDescent="0.25">
      <c r="A16" s="225" t="s">
        <v>484</v>
      </c>
    </row>
    <row r="17" spans="1:19" x14ac:dyDescent="0.25">
      <c r="A17" s="225" t="s">
        <v>372</v>
      </c>
    </row>
    <row r="18" spans="1:19" x14ac:dyDescent="0.25">
      <c r="A18" s="225" t="s">
        <v>373</v>
      </c>
    </row>
    <row r="19" spans="1:19" x14ac:dyDescent="0.25">
      <c r="A19" s="225" t="s">
        <v>547</v>
      </c>
    </row>
    <row r="20" spans="1:19" x14ac:dyDescent="0.25">
      <c r="A20" s="225"/>
      <c r="E20" s="16"/>
      <c r="F20" s="16"/>
      <c r="G20" s="16"/>
      <c r="H20" s="16"/>
      <c r="I20" s="16"/>
      <c r="J20" s="16"/>
      <c r="K20" s="16"/>
      <c r="L20" s="16"/>
      <c r="M20" s="16"/>
      <c r="N20" s="16"/>
      <c r="O20" s="16"/>
      <c r="P20" s="16"/>
      <c r="Q20" s="16"/>
      <c r="R20" s="16"/>
      <c r="S20" s="16"/>
    </row>
    <row r="21" spans="1:19" x14ac:dyDescent="0.25">
      <c r="A21" s="226" t="s">
        <v>247</v>
      </c>
      <c r="B21" s="16"/>
      <c r="C21" s="16"/>
      <c r="D21" s="16"/>
      <c r="E21" s="16"/>
      <c r="F21" s="16"/>
      <c r="G21" s="16"/>
      <c r="H21" s="16"/>
      <c r="I21" s="16"/>
      <c r="J21" s="16"/>
      <c r="K21" s="16"/>
      <c r="L21" s="16"/>
      <c r="M21" s="16"/>
      <c r="N21" s="16"/>
      <c r="O21" s="16"/>
      <c r="P21" s="16"/>
      <c r="Q21" s="16"/>
      <c r="R21" s="16"/>
      <c r="S21" s="16"/>
    </row>
    <row r="22" spans="1:19" x14ac:dyDescent="0.25">
      <c r="A22" s="225" t="s">
        <v>256</v>
      </c>
      <c r="B22" s="16"/>
      <c r="C22" s="16"/>
      <c r="D22" s="16"/>
      <c r="E22" s="16"/>
      <c r="F22" s="16"/>
      <c r="G22" s="16"/>
      <c r="H22" s="16"/>
      <c r="I22" s="16"/>
      <c r="J22" s="16"/>
      <c r="K22" s="16"/>
      <c r="L22" s="16"/>
      <c r="M22" s="16"/>
      <c r="N22" s="16"/>
      <c r="O22" s="16"/>
      <c r="P22" s="16"/>
      <c r="Q22" s="16"/>
      <c r="R22" s="16"/>
      <c r="S22" s="16"/>
    </row>
    <row r="23" spans="1:19" x14ac:dyDescent="0.25">
      <c r="A23" s="225" t="s">
        <v>237</v>
      </c>
      <c r="B23" s="16"/>
      <c r="C23" s="16"/>
      <c r="D23" s="16"/>
      <c r="E23" s="16"/>
      <c r="F23" s="16"/>
      <c r="G23" s="16"/>
      <c r="H23" s="16"/>
      <c r="I23" s="16"/>
      <c r="J23" s="16"/>
      <c r="K23" s="16"/>
      <c r="L23" s="16"/>
      <c r="M23" s="16"/>
      <c r="N23" s="16"/>
      <c r="O23" s="16"/>
      <c r="P23" s="16"/>
      <c r="Q23" s="16"/>
      <c r="R23" s="16"/>
      <c r="S23" s="16"/>
    </row>
    <row r="24" spans="1:19" x14ac:dyDescent="0.25">
      <c r="A24" s="225" t="s">
        <v>374</v>
      </c>
      <c r="B24" s="16"/>
      <c r="C24" s="16"/>
      <c r="D24" s="16"/>
      <c r="E24" s="16"/>
      <c r="F24" s="16"/>
      <c r="G24" s="16"/>
      <c r="H24" s="16"/>
      <c r="I24" s="16"/>
      <c r="J24" s="16"/>
      <c r="K24" s="16"/>
      <c r="L24" s="16"/>
      <c r="M24" s="16"/>
      <c r="N24" s="16"/>
      <c r="O24" s="16"/>
      <c r="P24" s="16"/>
      <c r="Q24" s="16"/>
      <c r="R24" s="16"/>
      <c r="S24" s="16"/>
    </row>
    <row r="25" spans="1:19" x14ac:dyDescent="0.25">
      <c r="A25" s="225" t="s">
        <v>375</v>
      </c>
      <c r="B25" s="16"/>
      <c r="C25" s="16"/>
      <c r="D25" s="16"/>
      <c r="E25" s="16"/>
      <c r="F25" s="16"/>
      <c r="G25" s="16"/>
      <c r="H25" s="16"/>
      <c r="I25" s="16"/>
      <c r="J25" s="16"/>
      <c r="K25" s="16"/>
      <c r="L25" s="16"/>
      <c r="M25" s="16"/>
      <c r="N25" s="16"/>
      <c r="O25" s="16"/>
      <c r="P25" s="16"/>
      <c r="Q25" s="16"/>
      <c r="R25" s="16"/>
      <c r="S25" s="16"/>
    </row>
    <row r="26" spans="1:19" x14ac:dyDescent="0.25">
      <c r="A26" s="225" t="s">
        <v>376</v>
      </c>
      <c r="B26" s="16"/>
      <c r="C26" s="16"/>
      <c r="D26" s="16"/>
    </row>
    <row r="27" spans="1:19" x14ac:dyDescent="0.25">
      <c r="A27" s="225" t="s">
        <v>377</v>
      </c>
    </row>
    <row r="28" spans="1:19" x14ac:dyDescent="0.25">
      <c r="A28" s="225" t="s">
        <v>378</v>
      </c>
      <c r="E28" s="16"/>
      <c r="F28" s="16"/>
      <c r="G28" s="16"/>
      <c r="H28" s="16"/>
      <c r="I28" s="16"/>
      <c r="J28" s="16"/>
      <c r="K28" s="16"/>
      <c r="L28" s="16"/>
      <c r="M28" s="16"/>
      <c r="N28" s="16"/>
      <c r="O28" s="16"/>
      <c r="P28" s="16"/>
      <c r="Q28" s="16"/>
      <c r="R28" s="16"/>
      <c r="S28" s="16"/>
    </row>
    <row r="29" spans="1:19" x14ac:dyDescent="0.25">
      <c r="A29" s="225" t="s">
        <v>379</v>
      </c>
      <c r="B29" s="16"/>
      <c r="C29" s="16"/>
      <c r="D29" s="16"/>
      <c r="E29" s="16"/>
      <c r="F29" s="16"/>
      <c r="G29" s="16"/>
      <c r="H29" s="16"/>
      <c r="I29" s="16"/>
      <c r="J29" s="16"/>
      <c r="K29" s="16"/>
      <c r="L29" s="16"/>
      <c r="M29" s="16"/>
      <c r="N29" s="16"/>
      <c r="O29" s="16"/>
      <c r="P29" s="16"/>
      <c r="Q29" s="16"/>
      <c r="R29" s="16"/>
      <c r="S29" s="16"/>
    </row>
    <row r="30" spans="1:19" x14ac:dyDescent="0.25">
      <c r="A30" s="225"/>
      <c r="B30" s="16"/>
      <c r="C30" s="16"/>
      <c r="D30" s="16"/>
      <c r="E30" s="16"/>
      <c r="F30" s="16"/>
      <c r="G30" s="16"/>
      <c r="H30" s="16"/>
      <c r="I30" s="16"/>
      <c r="J30" s="16"/>
      <c r="K30" s="16"/>
      <c r="L30" s="16"/>
      <c r="M30" s="16"/>
      <c r="N30" s="16"/>
      <c r="O30" s="16"/>
      <c r="P30" s="16"/>
      <c r="Q30" s="16"/>
      <c r="R30" s="16"/>
      <c r="S30" s="16"/>
    </row>
    <row r="31" spans="1:19" x14ac:dyDescent="0.25">
      <c r="A31" s="226" t="s">
        <v>248</v>
      </c>
      <c r="B31" s="16"/>
      <c r="C31" s="16"/>
      <c r="D31" s="16"/>
      <c r="E31" s="16"/>
      <c r="F31" s="16"/>
      <c r="G31" s="16"/>
      <c r="H31" s="16"/>
      <c r="I31" s="16"/>
      <c r="J31" s="16"/>
      <c r="K31" s="16"/>
      <c r="L31" s="16"/>
      <c r="M31" s="16"/>
      <c r="N31" s="16"/>
      <c r="O31" s="16"/>
      <c r="P31" s="16"/>
      <c r="Q31" s="16"/>
      <c r="R31" s="16"/>
      <c r="S31" s="16"/>
    </row>
    <row r="32" spans="1:19" x14ac:dyDescent="0.25">
      <c r="A32" s="227" t="s">
        <v>213</v>
      </c>
      <c r="B32" s="16"/>
      <c r="C32" s="16"/>
      <c r="D32" s="16"/>
      <c r="E32" s="16"/>
      <c r="F32" s="16"/>
      <c r="G32" s="16"/>
      <c r="H32" s="16"/>
      <c r="I32" s="16"/>
      <c r="J32" s="16"/>
      <c r="K32" s="16"/>
      <c r="L32" s="16"/>
      <c r="M32" s="16"/>
      <c r="N32" s="16"/>
      <c r="O32" s="16"/>
      <c r="P32" s="16"/>
      <c r="Q32" s="16"/>
      <c r="R32" s="16"/>
      <c r="S32" s="16"/>
    </row>
    <row r="33" spans="1:22" x14ac:dyDescent="0.25">
      <c r="A33" s="227" t="s">
        <v>257</v>
      </c>
      <c r="B33" s="16"/>
      <c r="C33" s="16"/>
      <c r="D33" s="16"/>
      <c r="E33" s="16"/>
      <c r="F33" s="16"/>
      <c r="G33" s="16"/>
      <c r="H33" s="16"/>
      <c r="I33" s="16"/>
      <c r="J33" s="16"/>
      <c r="K33" s="16"/>
      <c r="L33" s="16"/>
      <c r="M33" s="16"/>
      <c r="N33" s="16"/>
      <c r="O33" s="16"/>
      <c r="P33" s="16"/>
      <c r="Q33" s="16"/>
      <c r="R33" s="16"/>
      <c r="S33" s="16"/>
    </row>
    <row r="34" spans="1:22" x14ac:dyDescent="0.25">
      <c r="A34" s="227" t="s">
        <v>380</v>
      </c>
      <c r="B34" s="16"/>
      <c r="C34" s="16"/>
      <c r="D34" s="16"/>
      <c r="E34" s="16"/>
      <c r="F34" s="16"/>
      <c r="G34" s="16"/>
      <c r="H34" s="16"/>
      <c r="I34" s="16"/>
      <c r="J34" s="16"/>
      <c r="K34" s="16"/>
      <c r="L34" s="16"/>
      <c r="M34" s="16"/>
      <c r="N34" s="16"/>
      <c r="O34" s="16"/>
      <c r="P34" s="16"/>
      <c r="Q34" s="16"/>
      <c r="R34" s="16"/>
      <c r="S34" s="16"/>
    </row>
    <row r="35" spans="1:22" x14ac:dyDescent="0.25">
      <c r="A35" s="227"/>
      <c r="B35" s="16"/>
      <c r="C35" s="16"/>
      <c r="D35" s="16"/>
      <c r="E35" s="16"/>
      <c r="F35" s="16"/>
      <c r="G35" s="16"/>
      <c r="H35" s="16"/>
      <c r="I35" s="16"/>
      <c r="J35" s="16"/>
      <c r="K35" s="16"/>
      <c r="L35" s="16"/>
      <c r="M35" s="16"/>
      <c r="N35" s="16"/>
      <c r="O35" s="16"/>
      <c r="P35" s="16"/>
      <c r="Q35" s="16"/>
      <c r="R35" s="16"/>
      <c r="S35" s="16"/>
    </row>
    <row r="36" spans="1:22" x14ac:dyDescent="0.25">
      <c r="A36" s="227" t="s">
        <v>249</v>
      </c>
      <c r="B36" s="16"/>
      <c r="C36" s="16"/>
      <c r="D36" s="16"/>
      <c r="E36" s="16"/>
      <c r="F36" s="16"/>
      <c r="G36" s="16"/>
      <c r="H36" s="16"/>
      <c r="I36" s="16"/>
      <c r="J36" s="16"/>
      <c r="K36" s="16"/>
      <c r="L36" s="16"/>
      <c r="M36" s="16"/>
      <c r="N36" s="16"/>
      <c r="O36" s="16"/>
      <c r="P36" s="16"/>
      <c r="Q36" s="16"/>
      <c r="R36" s="16"/>
      <c r="S36" s="16"/>
    </row>
    <row r="37" spans="1:22" x14ac:dyDescent="0.25">
      <c r="A37" s="227" t="s">
        <v>381</v>
      </c>
      <c r="B37" s="16"/>
      <c r="C37" s="16"/>
      <c r="D37" s="16"/>
      <c r="E37" s="16"/>
      <c r="F37" s="16"/>
      <c r="G37" s="16"/>
      <c r="H37" s="16"/>
      <c r="I37" s="16"/>
      <c r="J37" s="16"/>
      <c r="K37" s="16"/>
      <c r="L37" s="16"/>
      <c r="M37" s="16"/>
      <c r="N37" s="16"/>
      <c r="O37" s="16"/>
      <c r="P37" s="16"/>
      <c r="Q37" s="16"/>
      <c r="R37" s="16"/>
      <c r="S37" s="16"/>
    </row>
    <row r="38" spans="1:22" x14ac:dyDescent="0.25">
      <c r="A38" s="227" t="s">
        <v>382</v>
      </c>
      <c r="B38" s="16"/>
      <c r="C38" s="16"/>
      <c r="D38" s="16"/>
      <c r="E38" s="16"/>
      <c r="F38" s="16"/>
      <c r="G38" s="16"/>
      <c r="H38" s="16"/>
      <c r="I38" s="16"/>
      <c r="J38" s="16"/>
      <c r="K38" s="16"/>
      <c r="L38" s="16"/>
      <c r="M38" s="16"/>
      <c r="N38" s="16"/>
      <c r="O38" s="16"/>
      <c r="P38" s="16"/>
      <c r="Q38" s="16"/>
      <c r="R38" s="16"/>
      <c r="S38" s="16"/>
    </row>
    <row r="39" spans="1:22" x14ac:dyDescent="0.25">
      <c r="A39" s="227" t="s">
        <v>354</v>
      </c>
      <c r="B39" s="16"/>
      <c r="C39" s="16"/>
      <c r="D39" s="16"/>
    </row>
    <row r="40" spans="1:22" x14ac:dyDescent="0.25">
      <c r="A40" s="227" t="s">
        <v>479</v>
      </c>
    </row>
    <row r="41" spans="1:22" x14ac:dyDescent="0.25">
      <c r="A41" s="227" t="s">
        <v>355</v>
      </c>
      <c r="E41" s="16"/>
      <c r="F41" s="16"/>
      <c r="G41" s="16"/>
      <c r="H41" s="16"/>
      <c r="I41" s="16"/>
      <c r="J41" s="16"/>
      <c r="K41" s="16"/>
      <c r="L41" s="16"/>
      <c r="M41" s="16"/>
      <c r="N41" s="16"/>
      <c r="O41" s="16"/>
      <c r="P41" s="16"/>
      <c r="Q41" s="16"/>
    </row>
    <row r="42" spans="1:22" x14ac:dyDescent="0.25">
      <c r="A42" s="227" t="s">
        <v>238</v>
      </c>
      <c r="B42" s="16"/>
      <c r="C42" s="16"/>
      <c r="D42" s="16"/>
      <c r="E42" s="16"/>
      <c r="F42" s="16"/>
      <c r="G42" s="16"/>
      <c r="H42" s="16"/>
      <c r="I42" s="16"/>
      <c r="J42" s="16"/>
      <c r="K42" s="16"/>
      <c r="L42" s="16"/>
      <c r="M42" s="16"/>
      <c r="N42" s="16"/>
      <c r="O42" s="16"/>
      <c r="P42" s="16"/>
      <c r="Q42" s="16"/>
    </row>
    <row r="43" spans="1:22" x14ac:dyDescent="0.25">
      <c r="A43" s="227" t="s">
        <v>383</v>
      </c>
      <c r="B43" s="16"/>
      <c r="C43" s="16"/>
      <c r="D43" s="16"/>
      <c r="E43" s="16"/>
      <c r="F43" s="16"/>
      <c r="G43" s="16"/>
      <c r="H43" s="16"/>
      <c r="I43" s="16"/>
      <c r="J43" s="16"/>
      <c r="K43" s="16"/>
      <c r="L43" s="16"/>
      <c r="M43" s="16"/>
      <c r="N43" s="16"/>
      <c r="O43" s="16"/>
      <c r="P43" s="16"/>
      <c r="Q43" s="16"/>
    </row>
    <row r="44" spans="1:22" x14ac:dyDescent="0.25">
      <c r="A44" s="225"/>
      <c r="B44" s="16"/>
      <c r="C44" s="16"/>
      <c r="D44" s="16"/>
      <c r="E44" s="16"/>
      <c r="F44" s="16"/>
      <c r="G44" s="16"/>
      <c r="H44" s="16"/>
      <c r="I44" s="16"/>
      <c r="J44" s="16"/>
      <c r="K44" s="16"/>
      <c r="L44" s="16"/>
      <c r="M44" s="16"/>
      <c r="N44" s="16"/>
      <c r="O44" s="16"/>
      <c r="P44" s="16"/>
      <c r="Q44" s="16"/>
    </row>
    <row r="45" spans="1:22" x14ac:dyDescent="0.25">
      <c r="A45" s="226" t="s">
        <v>250</v>
      </c>
      <c r="B45" s="16"/>
      <c r="C45" s="16"/>
      <c r="D45" s="16"/>
      <c r="E45" s="16"/>
      <c r="F45" s="16"/>
      <c r="G45" s="16"/>
      <c r="H45" s="16"/>
      <c r="I45" s="16"/>
      <c r="J45" s="16"/>
      <c r="K45" s="16"/>
      <c r="L45" s="16"/>
      <c r="M45" s="16"/>
      <c r="N45" s="16"/>
      <c r="O45" s="16"/>
      <c r="P45" s="16"/>
      <c r="Q45" s="16"/>
    </row>
    <row r="46" spans="1:22" x14ac:dyDescent="0.25">
      <c r="A46" s="227" t="s">
        <v>356</v>
      </c>
      <c r="B46" s="16"/>
      <c r="C46" s="16"/>
      <c r="D46" s="16"/>
      <c r="E46" s="16"/>
      <c r="F46" s="16"/>
      <c r="G46" s="16"/>
      <c r="H46" s="16"/>
      <c r="I46" s="16"/>
      <c r="J46" s="16"/>
      <c r="K46" s="16"/>
      <c r="L46" s="16"/>
      <c r="M46" s="16"/>
      <c r="N46" s="16"/>
      <c r="O46" s="16"/>
      <c r="P46" s="16"/>
      <c r="Q46" s="16"/>
    </row>
    <row r="47" spans="1:22" x14ac:dyDescent="0.25">
      <c r="A47" s="227" t="s">
        <v>384</v>
      </c>
      <c r="B47" s="16"/>
      <c r="C47" s="16"/>
      <c r="D47" s="16"/>
      <c r="E47" s="16"/>
      <c r="F47" s="16"/>
      <c r="G47" s="16"/>
      <c r="H47" s="16"/>
      <c r="I47" s="16"/>
      <c r="J47" s="16"/>
      <c r="K47" s="16"/>
      <c r="L47" s="16"/>
      <c r="M47" s="16"/>
      <c r="N47" s="16"/>
      <c r="O47" s="16"/>
      <c r="P47" s="16"/>
      <c r="Q47" s="16"/>
    </row>
    <row r="48" spans="1:22" x14ac:dyDescent="0.25">
      <c r="A48" s="227" t="s">
        <v>385</v>
      </c>
      <c r="B48" s="16"/>
      <c r="C48" s="16"/>
      <c r="D48" s="16"/>
      <c r="E48" s="16"/>
      <c r="F48" s="16"/>
      <c r="G48" s="16"/>
      <c r="H48" s="16"/>
      <c r="I48" s="16"/>
      <c r="J48" s="16"/>
      <c r="K48" s="16"/>
      <c r="L48" s="16"/>
      <c r="M48" s="16"/>
      <c r="N48" s="16"/>
      <c r="O48" s="16"/>
      <c r="P48" s="295"/>
      <c r="Q48" s="295"/>
      <c r="R48" s="165"/>
      <c r="S48" s="165"/>
      <c r="T48" s="165"/>
      <c r="U48" s="165"/>
      <c r="V48" s="165"/>
    </row>
    <row r="49" spans="1:20" x14ac:dyDescent="0.25">
      <c r="A49" s="225"/>
      <c r="B49" s="16"/>
      <c r="C49" s="16"/>
      <c r="D49" s="16"/>
      <c r="E49" s="16"/>
      <c r="F49" s="16"/>
      <c r="G49" s="16"/>
      <c r="H49" s="16"/>
      <c r="I49" s="295"/>
      <c r="J49" s="295"/>
      <c r="K49" s="295"/>
      <c r="L49" s="295"/>
      <c r="M49" s="295"/>
      <c r="N49" s="295"/>
      <c r="O49" s="295"/>
      <c r="P49" s="16"/>
      <c r="Q49" s="16"/>
    </row>
    <row r="50" spans="1:20" x14ac:dyDescent="0.25">
      <c r="A50" s="225" t="s">
        <v>214</v>
      </c>
      <c r="B50" s="16"/>
      <c r="C50" s="16"/>
      <c r="D50" s="16"/>
      <c r="E50" s="16"/>
      <c r="F50" s="16"/>
      <c r="G50" s="16"/>
      <c r="H50" s="16"/>
      <c r="I50" s="16"/>
      <c r="J50" s="16"/>
      <c r="K50" s="16"/>
      <c r="L50" s="16"/>
      <c r="M50" s="16"/>
      <c r="N50" s="16"/>
      <c r="O50" s="16"/>
      <c r="P50" s="16"/>
      <c r="Q50" s="16"/>
    </row>
    <row r="51" spans="1:20" x14ac:dyDescent="0.25">
      <c r="A51" s="225" t="s">
        <v>386</v>
      </c>
      <c r="B51" s="16"/>
      <c r="C51" s="16"/>
      <c r="D51" s="16"/>
      <c r="E51" s="16"/>
      <c r="F51" s="16"/>
      <c r="G51" s="16"/>
      <c r="H51" s="16"/>
      <c r="I51" s="16"/>
      <c r="J51" s="16"/>
      <c r="K51" s="16"/>
      <c r="L51" s="16"/>
      <c r="M51" s="16"/>
      <c r="N51" s="16"/>
      <c r="O51" s="16"/>
      <c r="P51" s="16"/>
      <c r="Q51" s="16"/>
    </row>
    <row r="52" spans="1:20" x14ac:dyDescent="0.25">
      <c r="A52" s="225" t="s">
        <v>387</v>
      </c>
      <c r="B52" s="16"/>
      <c r="C52" s="16"/>
      <c r="D52" s="16"/>
    </row>
    <row r="53" spans="1:20" x14ac:dyDescent="0.25">
      <c r="A53" s="225"/>
    </row>
    <row r="54" spans="1:20" x14ac:dyDescent="0.25">
      <c r="A54" s="225" t="s">
        <v>357</v>
      </c>
    </row>
    <row r="55" spans="1:20" x14ac:dyDescent="0.25">
      <c r="A55" s="225" t="s">
        <v>358</v>
      </c>
    </row>
    <row r="56" spans="1:20" x14ac:dyDescent="0.25">
      <c r="A56" s="225" t="s">
        <v>359</v>
      </c>
    </row>
    <row r="57" spans="1:20" x14ac:dyDescent="0.25">
      <c r="A57" s="225"/>
    </row>
    <row r="58" spans="1:20" x14ac:dyDescent="0.25">
      <c r="A58" s="225" t="s">
        <v>215</v>
      </c>
    </row>
    <row r="59" spans="1:20" x14ac:dyDescent="0.25">
      <c r="A59" s="225"/>
    </row>
    <row r="60" spans="1:20" x14ac:dyDescent="0.25">
      <c r="A60" s="226" t="s">
        <v>251</v>
      </c>
    </row>
    <row r="61" spans="1:20" x14ac:dyDescent="0.25">
      <c r="A61" s="225" t="s">
        <v>252</v>
      </c>
      <c r="E61" s="16"/>
      <c r="F61" s="16"/>
      <c r="G61" s="16"/>
      <c r="H61" s="16"/>
      <c r="I61" s="16"/>
      <c r="J61" s="16"/>
      <c r="K61" s="16"/>
      <c r="L61" s="16"/>
      <c r="M61" s="16"/>
      <c r="N61" s="16"/>
      <c r="O61" s="16"/>
      <c r="P61" s="16"/>
      <c r="Q61" s="16"/>
      <c r="R61" s="16"/>
      <c r="S61" s="16"/>
      <c r="T61" s="16"/>
    </row>
    <row r="62" spans="1:20" x14ac:dyDescent="0.25">
      <c r="A62" s="225" t="s">
        <v>241</v>
      </c>
      <c r="B62" s="16"/>
      <c r="C62" s="16"/>
      <c r="D62" s="16"/>
      <c r="E62" s="16"/>
      <c r="F62" s="16"/>
      <c r="G62" s="16"/>
      <c r="H62" s="16"/>
      <c r="I62" s="16"/>
      <c r="J62" s="16"/>
      <c r="K62" s="16"/>
      <c r="L62" s="16"/>
      <c r="M62" s="16"/>
      <c r="N62" s="16"/>
      <c r="O62" s="16"/>
      <c r="P62" s="16"/>
      <c r="Q62" s="16"/>
      <c r="R62" s="16"/>
      <c r="S62" s="16"/>
      <c r="T62" s="16"/>
    </row>
    <row r="63" spans="1:20" x14ac:dyDescent="0.25">
      <c r="A63" s="225" t="s">
        <v>216</v>
      </c>
      <c r="B63" s="16"/>
      <c r="C63" s="16"/>
      <c r="D63" s="16"/>
      <c r="E63" s="16"/>
      <c r="F63" s="16"/>
      <c r="G63" s="16"/>
      <c r="H63" s="16"/>
      <c r="I63" s="16"/>
      <c r="J63" s="16"/>
      <c r="K63" s="16"/>
      <c r="L63" s="16"/>
      <c r="M63" s="16"/>
      <c r="N63" s="16"/>
      <c r="O63" s="16"/>
      <c r="P63" s="16"/>
      <c r="Q63" s="16"/>
      <c r="R63" s="16"/>
      <c r="S63" s="16"/>
      <c r="T63" s="16"/>
    </row>
    <row r="64" spans="1:20" x14ac:dyDescent="0.25">
      <c r="A64" s="225" t="s">
        <v>335</v>
      </c>
      <c r="B64" s="16"/>
      <c r="C64" s="16"/>
      <c r="D64" s="16"/>
      <c r="E64" s="16"/>
      <c r="F64" s="16"/>
      <c r="G64" s="16"/>
      <c r="H64" s="16"/>
      <c r="I64" s="16"/>
      <c r="J64" s="16"/>
      <c r="K64" s="16"/>
      <c r="L64" s="16"/>
      <c r="M64" s="16"/>
      <c r="N64" s="16"/>
      <c r="O64" s="16"/>
      <c r="P64" s="16"/>
      <c r="Q64" s="16"/>
      <c r="R64" s="16"/>
      <c r="S64" s="16"/>
      <c r="T64" s="16"/>
    </row>
    <row r="65" spans="1:20" x14ac:dyDescent="0.25">
      <c r="A65" s="225"/>
      <c r="B65" s="16"/>
      <c r="C65" s="16"/>
      <c r="D65" s="16"/>
      <c r="E65" s="16"/>
      <c r="F65" s="16"/>
      <c r="G65" s="16"/>
      <c r="H65" s="16"/>
      <c r="I65" s="16"/>
      <c r="J65" s="16"/>
      <c r="K65" s="16"/>
      <c r="L65" s="16"/>
      <c r="M65" s="16"/>
      <c r="N65" s="16"/>
      <c r="O65" s="16"/>
      <c r="P65" s="16"/>
      <c r="Q65" s="16"/>
      <c r="R65" s="16"/>
      <c r="S65" s="16"/>
      <c r="T65" s="16"/>
    </row>
    <row r="66" spans="1:20" x14ac:dyDescent="0.25">
      <c r="A66" s="227" t="s">
        <v>388</v>
      </c>
      <c r="B66" s="16"/>
      <c r="C66" s="16"/>
      <c r="D66" s="16"/>
      <c r="E66" s="16"/>
      <c r="F66" s="16"/>
      <c r="G66" s="16"/>
      <c r="H66" s="16"/>
      <c r="I66" s="16"/>
      <c r="J66" s="16"/>
      <c r="K66" s="16"/>
      <c r="L66" s="16"/>
      <c r="M66" s="16"/>
      <c r="N66" s="16"/>
      <c r="O66" s="16"/>
      <c r="P66" s="16"/>
      <c r="Q66" s="16"/>
      <c r="R66" s="16"/>
      <c r="S66" s="16"/>
      <c r="T66" s="16"/>
    </row>
    <row r="67" spans="1:20" x14ac:dyDescent="0.25">
      <c r="A67" s="227" t="s">
        <v>389</v>
      </c>
      <c r="B67" s="16"/>
      <c r="C67" s="16"/>
      <c r="D67" s="16"/>
      <c r="E67" s="16"/>
      <c r="F67" s="16"/>
      <c r="G67" s="16"/>
      <c r="H67" s="16"/>
      <c r="I67" s="16"/>
      <c r="J67" s="16"/>
      <c r="K67" s="16"/>
      <c r="L67" s="16"/>
      <c r="M67" s="16"/>
      <c r="N67" s="16"/>
      <c r="O67" s="16"/>
      <c r="P67" s="16"/>
      <c r="Q67" s="16"/>
      <c r="R67" s="16"/>
      <c r="S67" s="16"/>
      <c r="T67" s="16"/>
    </row>
    <row r="68" spans="1:20" x14ac:dyDescent="0.25">
      <c r="A68" s="227" t="s">
        <v>239</v>
      </c>
      <c r="B68" s="16"/>
      <c r="C68" s="16"/>
      <c r="D68" s="16"/>
      <c r="E68" s="16"/>
      <c r="F68" s="16"/>
      <c r="G68" s="16"/>
      <c r="H68" s="16"/>
      <c r="I68" s="16"/>
      <c r="J68" s="16"/>
      <c r="K68" s="16"/>
      <c r="L68" s="16"/>
      <c r="M68" s="16"/>
      <c r="N68" s="16"/>
      <c r="O68" s="16"/>
      <c r="P68" s="16"/>
      <c r="Q68" s="16"/>
      <c r="R68" s="16"/>
      <c r="S68" s="16"/>
      <c r="T68" s="16"/>
    </row>
    <row r="69" spans="1:20" x14ac:dyDescent="0.25">
      <c r="A69" s="227" t="s">
        <v>390</v>
      </c>
      <c r="B69" s="16"/>
      <c r="C69" s="16"/>
      <c r="D69" s="16"/>
      <c r="E69" s="16"/>
      <c r="F69" s="16"/>
      <c r="G69" s="16"/>
      <c r="H69" s="16"/>
      <c r="I69" s="16"/>
      <c r="J69" s="16"/>
      <c r="K69" s="16"/>
      <c r="L69" s="16"/>
      <c r="M69" s="16"/>
      <c r="N69" s="16"/>
      <c r="O69" s="16"/>
      <c r="P69" s="16"/>
      <c r="Q69" s="16"/>
      <c r="R69" s="16"/>
      <c r="S69" s="16"/>
      <c r="T69" s="16"/>
    </row>
    <row r="70" spans="1:20" x14ac:dyDescent="0.25">
      <c r="A70" s="227" t="s">
        <v>391</v>
      </c>
      <c r="B70" s="16"/>
      <c r="C70" s="16"/>
      <c r="D70" s="16"/>
    </row>
    <row r="71" spans="1:20" x14ac:dyDescent="0.25">
      <c r="A71" s="227" t="s">
        <v>392</v>
      </c>
    </row>
    <row r="72" spans="1:20" x14ac:dyDescent="0.25">
      <c r="A72" s="227" t="s">
        <v>240</v>
      </c>
    </row>
    <row r="73" spans="1:20" x14ac:dyDescent="0.25">
      <c r="A73" s="227" t="s">
        <v>393</v>
      </c>
    </row>
    <row r="74" spans="1:20" hidden="1" x14ac:dyDescent="0.25">
      <c r="A74" s="364" t="s">
        <v>477</v>
      </c>
    </row>
    <row r="75" spans="1:20" x14ac:dyDescent="0.25">
      <c r="A75" s="225"/>
    </row>
    <row r="76" spans="1:20" x14ac:dyDescent="0.25">
      <c r="A76" s="225" t="s">
        <v>218</v>
      </c>
    </row>
    <row r="77" spans="1:20" x14ac:dyDescent="0.25">
      <c r="A77" s="225" t="s">
        <v>217</v>
      </c>
    </row>
    <row r="78" spans="1:20" x14ac:dyDescent="0.25">
      <c r="A78" s="227"/>
    </row>
    <row r="79" spans="1:20" x14ac:dyDescent="0.25">
      <c r="A79" s="227" t="s">
        <v>394</v>
      </c>
    </row>
    <row r="80" spans="1:20" x14ac:dyDescent="0.25">
      <c r="A80" s="227" t="s">
        <v>395</v>
      </c>
    </row>
    <row r="81" spans="1:20" x14ac:dyDescent="0.25">
      <c r="A81" s="227" t="s">
        <v>396</v>
      </c>
    </row>
    <row r="82" spans="1:20" x14ac:dyDescent="0.25">
      <c r="A82" s="296" t="s">
        <v>397</v>
      </c>
    </row>
    <row r="83" spans="1:20" x14ac:dyDescent="0.25">
      <c r="A83" s="296" t="s">
        <v>398</v>
      </c>
    </row>
    <row r="84" spans="1:20" hidden="1" x14ac:dyDescent="0.25">
      <c r="A84" s="364" t="s">
        <v>353</v>
      </c>
      <c r="E84" s="16"/>
      <c r="F84" s="16"/>
      <c r="G84" s="16"/>
      <c r="H84" s="16"/>
      <c r="I84" s="16"/>
      <c r="J84" s="16"/>
      <c r="K84" s="16"/>
      <c r="L84" s="16"/>
      <c r="M84" s="16"/>
      <c r="N84" s="16"/>
      <c r="O84" s="16"/>
      <c r="P84" s="16"/>
      <c r="Q84" s="16"/>
      <c r="R84" s="16"/>
      <c r="S84" s="16"/>
      <c r="T84" s="16"/>
    </row>
    <row r="85" spans="1:20" x14ac:dyDescent="0.25">
      <c r="A85" s="225"/>
      <c r="B85" s="16"/>
      <c r="C85" s="16"/>
      <c r="D85" s="16"/>
      <c r="E85" s="16"/>
      <c r="F85" s="16"/>
      <c r="G85" s="16"/>
      <c r="H85" s="16"/>
      <c r="I85" s="16"/>
      <c r="J85" s="16"/>
      <c r="K85" s="16"/>
      <c r="L85" s="16"/>
      <c r="M85" s="16"/>
      <c r="N85" s="16"/>
      <c r="O85" s="16"/>
      <c r="P85" s="16"/>
      <c r="Q85" s="16"/>
      <c r="R85" s="16"/>
      <c r="S85" s="16"/>
      <c r="T85" s="16"/>
    </row>
    <row r="86" spans="1:20" x14ac:dyDescent="0.25">
      <c r="A86" s="225" t="s">
        <v>399</v>
      </c>
      <c r="B86" s="16"/>
      <c r="C86" s="16"/>
      <c r="D86" s="16"/>
      <c r="E86" s="16"/>
      <c r="F86" s="16"/>
      <c r="G86" s="16"/>
      <c r="H86" s="16"/>
      <c r="I86" s="16"/>
      <c r="J86" s="16"/>
      <c r="K86" s="16"/>
      <c r="L86" s="16"/>
      <c r="M86" s="16"/>
      <c r="N86" s="16"/>
      <c r="O86" s="16"/>
      <c r="P86" s="16"/>
      <c r="Q86" s="16"/>
      <c r="R86" s="16"/>
      <c r="S86" s="16"/>
      <c r="T86" s="16"/>
    </row>
    <row r="87" spans="1:20" x14ac:dyDescent="0.25">
      <c r="A87" s="225"/>
      <c r="B87" s="16"/>
      <c r="C87" s="16"/>
      <c r="D87" s="16"/>
      <c r="E87" s="16"/>
      <c r="F87" s="16"/>
      <c r="G87" s="16"/>
      <c r="H87" s="16"/>
      <c r="I87" s="16"/>
      <c r="J87" s="16"/>
      <c r="K87" s="16"/>
      <c r="L87" s="16"/>
      <c r="M87" s="16"/>
      <c r="N87" s="16"/>
      <c r="O87" s="16"/>
      <c r="P87" s="16"/>
      <c r="Q87" s="16"/>
      <c r="R87" s="16"/>
      <c r="S87" s="16"/>
      <c r="T87" s="16"/>
    </row>
    <row r="88" spans="1:20" x14ac:dyDescent="0.25">
      <c r="A88" s="226" t="s">
        <v>253</v>
      </c>
      <c r="B88" s="16"/>
      <c r="C88" s="16"/>
      <c r="D88" s="16"/>
      <c r="E88" s="16"/>
      <c r="F88" s="16"/>
      <c r="G88" s="16"/>
      <c r="H88" s="16"/>
      <c r="I88" s="16"/>
      <c r="J88" s="16"/>
      <c r="K88" s="16"/>
      <c r="L88" s="16"/>
      <c r="M88" s="16"/>
      <c r="N88" s="16"/>
      <c r="O88" s="16"/>
      <c r="P88" s="16"/>
      <c r="Q88" s="16"/>
      <c r="R88" s="16"/>
      <c r="S88" s="16"/>
      <c r="T88" s="16"/>
    </row>
    <row r="89" spans="1:20" x14ac:dyDescent="0.25">
      <c r="A89" s="227" t="s">
        <v>400</v>
      </c>
      <c r="B89" s="16"/>
      <c r="C89" s="16"/>
      <c r="D89" s="16"/>
      <c r="E89" s="16"/>
      <c r="F89" s="16"/>
      <c r="G89" s="16"/>
      <c r="H89" s="16"/>
      <c r="I89" s="16"/>
      <c r="J89" s="16"/>
      <c r="K89" s="16"/>
      <c r="L89" s="16"/>
      <c r="M89" s="16"/>
      <c r="N89" s="16"/>
      <c r="O89" s="16"/>
      <c r="P89" s="16"/>
      <c r="Q89" s="16"/>
      <c r="R89" s="16"/>
      <c r="S89" s="16"/>
      <c r="T89" s="16"/>
    </row>
    <row r="90" spans="1:20" x14ac:dyDescent="0.25">
      <c r="A90" s="227"/>
      <c r="B90" s="16"/>
      <c r="C90" s="16"/>
      <c r="D90" s="16"/>
      <c r="E90" s="16"/>
      <c r="F90" s="16"/>
      <c r="G90" s="16"/>
      <c r="H90" s="16"/>
      <c r="I90" s="16"/>
      <c r="J90" s="16"/>
      <c r="K90" s="16"/>
      <c r="L90" s="16"/>
      <c r="M90" s="16"/>
      <c r="N90" s="16"/>
      <c r="O90" s="16"/>
      <c r="P90" s="16"/>
      <c r="Q90" s="16"/>
      <c r="R90" s="16"/>
      <c r="S90" s="16"/>
      <c r="T90" s="16"/>
    </row>
    <row r="91" spans="1:20" x14ac:dyDescent="0.25">
      <c r="A91" s="227" t="s">
        <v>360</v>
      </c>
      <c r="B91" s="16"/>
      <c r="C91" s="16"/>
      <c r="D91" s="16"/>
      <c r="E91" s="16"/>
      <c r="F91" s="16"/>
      <c r="G91" s="16"/>
      <c r="H91" s="16"/>
      <c r="I91" s="16"/>
      <c r="J91" s="16"/>
      <c r="K91" s="16"/>
      <c r="L91" s="16"/>
      <c r="M91" s="16"/>
      <c r="N91" s="16"/>
      <c r="O91" s="16"/>
      <c r="P91" s="16"/>
      <c r="Q91" s="16"/>
      <c r="R91" s="16"/>
      <c r="S91" s="16"/>
      <c r="T91" s="16"/>
    </row>
    <row r="92" spans="1:20" x14ac:dyDescent="0.25">
      <c r="A92" s="227" t="s">
        <v>401</v>
      </c>
      <c r="B92" s="16"/>
      <c r="C92" s="16"/>
      <c r="D92" s="16"/>
      <c r="E92" s="16"/>
      <c r="F92" s="16"/>
      <c r="G92" s="16"/>
      <c r="H92" s="16"/>
      <c r="I92" s="16"/>
      <c r="J92" s="16"/>
      <c r="K92" s="16"/>
      <c r="L92" s="16"/>
      <c r="M92" s="16"/>
      <c r="N92" s="16"/>
      <c r="O92" s="16"/>
      <c r="P92" s="16"/>
      <c r="Q92" s="16"/>
      <c r="R92" s="16"/>
      <c r="S92" s="16"/>
      <c r="T92" s="16"/>
    </row>
    <row r="93" spans="1:20" x14ac:dyDescent="0.25">
      <c r="A93" s="227"/>
      <c r="B93" s="16"/>
      <c r="C93" s="16"/>
      <c r="D93" s="16"/>
      <c r="E93" s="16"/>
      <c r="F93" s="16"/>
      <c r="G93" s="16"/>
      <c r="H93" s="16"/>
      <c r="I93" s="16"/>
      <c r="J93" s="16"/>
      <c r="K93" s="16"/>
      <c r="L93" s="16"/>
      <c r="M93" s="16"/>
      <c r="N93" s="16"/>
      <c r="O93" s="16"/>
      <c r="P93" s="16"/>
      <c r="Q93" s="16"/>
      <c r="R93" s="16"/>
      <c r="S93" s="16"/>
      <c r="T93" s="16"/>
    </row>
    <row r="94" spans="1:20" x14ac:dyDescent="0.25">
      <c r="A94" s="227" t="s">
        <v>402</v>
      </c>
      <c r="B94" s="16"/>
      <c r="C94" s="16"/>
      <c r="D94" s="16"/>
      <c r="E94" s="16"/>
      <c r="F94" s="16"/>
      <c r="G94" s="16"/>
      <c r="H94" s="16"/>
      <c r="I94" s="16"/>
      <c r="J94" s="16"/>
      <c r="K94" s="16"/>
      <c r="L94" s="16"/>
      <c r="M94" s="16"/>
      <c r="N94" s="16"/>
      <c r="O94" s="16"/>
      <c r="P94" s="16"/>
      <c r="Q94" s="16"/>
      <c r="R94" s="16"/>
      <c r="S94" s="16"/>
      <c r="T94" s="16"/>
    </row>
    <row r="95" spans="1:20" x14ac:dyDescent="0.25">
      <c r="A95" s="227" t="s">
        <v>403</v>
      </c>
      <c r="B95" s="16"/>
      <c r="C95" s="16"/>
      <c r="D95" s="16"/>
      <c r="E95" s="16"/>
      <c r="F95" s="16"/>
      <c r="G95" s="16"/>
      <c r="H95" s="16"/>
      <c r="I95" s="16"/>
      <c r="J95" s="16"/>
      <c r="K95" s="16"/>
      <c r="L95" s="16"/>
      <c r="M95" s="16"/>
      <c r="N95" s="16"/>
      <c r="O95" s="16"/>
      <c r="P95" s="16"/>
      <c r="Q95" s="16"/>
      <c r="R95" s="16"/>
      <c r="S95" s="16"/>
      <c r="T95" s="16"/>
    </row>
    <row r="96" spans="1:20" x14ac:dyDescent="0.25">
      <c r="A96" s="227"/>
      <c r="B96" s="16"/>
      <c r="C96" s="16"/>
      <c r="D96" s="16"/>
      <c r="E96" s="16"/>
      <c r="F96" s="16"/>
      <c r="G96" s="16"/>
      <c r="H96" s="16"/>
      <c r="I96" s="16"/>
      <c r="J96" s="16"/>
      <c r="K96" s="16"/>
      <c r="L96" s="16"/>
      <c r="M96" s="16"/>
      <c r="N96" s="16"/>
      <c r="O96" s="16"/>
      <c r="P96" s="16"/>
      <c r="Q96" s="16"/>
      <c r="R96" s="16"/>
      <c r="S96" s="16"/>
      <c r="T96" s="16"/>
    </row>
    <row r="97" spans="1:4" x14ac:dyDescent="0.25">
      <c r="A97" s="227" t="s">
        <v>404</v>
      </c>
      <c r="B97" s="16"/>
      <c r="C97" s="16"/>
      <c r="D97" s="16"/>
    </row>
    <row r="98" spans="1:4" x14ac:dyDescent="0.25">
      <c r="A98" s="225"/>
    </row>
    <row r="99" spans="1:4" x14ac:dyDescent="0.25">
      <c r="A99" s="225" t="s">
        <v>405</v>
      </c>
    </row>
    <row r="100" spans="1:4" x14ac:dyDescent="0.25">
      <c r="A100" s="225"/>
    </row>
    <row r="101" spans="1:4" hidden="1" x14ac:dyDescent="0.25">
      <c r="A101" s="365" t="s">
        <v>406</v>
      </c>
    </row>
    <row r="102" spans="1:4" hidden="1" x14ac:dyDescent="0.25">
      <c r="A102" s="364" t="s">
        <v>407</v>
      </c>
    </row>
    <row r="103" spans="1:4" hidden="1" x14ac:dyDescent="0.25">
      <c r="A103" s="364"/>
    </row>
    <row r="104" spans="1:4" hidden="1" x14ac:dyDescent="0.25">
      <c r="A104" s="366" t="s">
        <v>408</v>
      </c>
    </row>
    <row r="105" spans="1:4" hidden="1" x14ac:dyDescent="0.25">
      <c r="A105" s="367"/>
    </row>
    <row r="106" spans="1:4" x14ac:dyDescent="0.25">
      <c r="A106" s="368" t="s">
        <v>409</v>
      </c>
    </row>
    <row r="107" spans="1:4" x14ac:dyDescent="0.25">
      <c r="A107" s="227" t="s">
        <v>410</v>
      </c>
    </row>
    <row r="108" spans="1:4" x14ac:dyDescent="0.25">
      <c r="A108" s="227" t="s">
        <v>411</v>
      </c>
    </row>
    <row r="109" spans="1:4" x14ac:dyDescent="0.25">
      <c r="A109" s="227"/>
    </row>
    <row r="110" spans="1:4" x14ac:dyDescent="0.25">
      <c r="A110" s="227" t="s">
        <v>412</v>
      </c>
    </row>
    <row r="111" spans="1:4" x14ac:dyDescent="0.25">
      <c r="A111" s="227" t="s">
        <v>413</v>
      </c>
    </row>
    <row r="112" spans="1:4" x14ac:dyDescent="0.25">
      <c r="A112" s="227" t="s">
        <v>414</v>
      </c>
    </row>
    <row r="113" spans="1:1" x14ac:dyDescent="0.25">
      <c r="A113" s="227"/>
    </row>
    <row r="114" spans="1:1" x14ac:dyDescent="0.25">
      <c r="A114" s="227" t="s">
        <v>415</v>
      </c>
    </row>
    <row r="115" spans="1:1" x14ac:dyDescent="0.25">
      <c r="A115" s="227" t="s">
        <v>416</v>
      </c>
    </row>
    <row r="116" spans="1:1" x14ac:dyDescent="0.25">
      <c r="A116" s="227" t="s">
        <v>417</v>
      </c>
    </row>
  </sheetData>
  <sheetProtection algorithmName="SHA-512" hashValue="dK9HafPbePCJO+0Xij/6Brevt1dkrNZiWr7dxpQatU3kiacbZ3TbeZkiLVzQjo5zm7ycrFqGCkRX9mStLM2GMw==" saltValue="B5lYYs3VmESMgWenL8n9Aw=="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19"/>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2"/>
      <c r="B2" s="123" t="s">
        <v>20</v>
      </c>
      <c r="C2" s="218" t="str">
        <f>IF(OR('1. Aanvraaggegevens'!C8="",'1. Aanvraaggegevens'!C8=0),"Kies een berekeningsmethode op tabblad '1. Aanvraaggegevens'",'1. Aanvraaggegevens'!C8)</f>
        <v>Kies een berekeningsmethode op tabblad '1. Aanvraaggegevens'</v>
      </c>
      <c r="D2" s="123"/>
      <c r="E2" s="123"/>
      <c r="F2" s="123"/>
      <c r="G2" s="124"/>
      <c r="H2" s="125" t="str">
        <f>IF(C2="Vereenvoudigde kostenoptie voor arbeidskosten","--&gt;U heeft gekozen voor een forfait voor arbeidskosten. U hoeft daarom geen loonkosten op te geven.","")</f>
        <v/>
      </c>
      <c r="I2" s="125"/>
      <c r="J2" s="125"/>
      <c r="K2" s="125"/>
      <c r="L2" s="122"/>
      <c r="M2" s="124"/>
      <c r="N2" s="124"/>
      <c r="O2" s="124"/>
      <c r="P2" s="124"/>
      <c r="Q2" s="125" t="str">
        <f>IF(G2="Vereenvoudigde kostenoptie voor arbeidskosten","--&gt;U heeft gekozen voor een forfait voor arbeidskosten. U hoeft daarom geen loonkosten op te geven.","")</f>
        <v/>
      </c>
      <c r="R2" s="125"/>
      <c r="S2" s="125"/>
      <c r="T2" s="125"/>
      <c r="U2" s="123"/>
      <c r="V2" s="123"/>
      <c r="W2" s="123"/>
      <c r="X2" s="123"/>
      <c r="Y2" s="123"/>
    </row>
    <row r="3" spans="1:25" s="25" customFormat="1" ht="15" customHeight="1" x14ac:dyDescent="0.25">
      <c r="A3" s="73"/>
      <c r="B3" s="136"/>
      <c r="C3" s="136"/>
      <c r="D3" s="458" t="s">
        <v>221</v>
      </c>
      <c r="E3" s="459"/>
      <c r="F3" s="459"/>
      <c r="G3" s="459"/>
      <c r="H3" s="459"/>
      <c r="I3" s="459"/>
      <c r="J3" s="459"/>
      <c r="K3" s="460"/>
      <c r="L3" s="461" t="s">
        <v>147</v>
      </c>
      <c r="M3" s="462"/>
      <c r="N3" s="462"/>
      <c r="O3" s="462"/>
      <c r="P3" s="462"/>
      <c r="Q3" s="462"/>
      <c r="R3" s="462"/>
      <c r="S3" s="462"/>
      <c r="T3" s="462"/>
      <c r="U3" s="181"/>
      <c r="V3" s="136"/>
      <c r="W3" s="136"/>
      <c r="X3" s="136"/>
      <c r="Y3" s="215"/>
    </row>
    <row r="4" spans="1:25" s="27" customFormat="1" ht="60" x14ac:dyDescent="0.25">
      <c r="A4" s="74" t="s">
        <v>29</v>
      </c>
      <c r="B4" s="74" t="s">
        <v>36</v>
      </c>
      <c r="C4" s="126" t="s">
        <v>227</v>
      </c>
      <c r="D4" s="132" t="s">
        <v>34</v>
      </c>
      <c r="E4" s="133" t="s">
        <v>78</v>
      </c>
      <c r="F4" s="133" t="s">
        <v>33</v>
      </c>
      <c r="G4" s="134" t="s">
        <v>26</v>
      </c>
      <c r="H4" s="134" t="s">
        <v>13</v>
      </c>
      <c r="I4" s="134" t="s">
        <v>14</v>
      </c>
      <c r="J4" s="171" t="s">
        <v>37</v>
      </c>
      <c r="K4" s="214" t="s">
        <v>222</v>
      </c>
      <c r="L4" s="132" t="s">
        <v>148</v>
      </c>
      <c r="M4" s="133" t="s">
        <v>34</v>
      </c>
      <c r="N4" s="133" t="s">
        <v>78</v>
      </c>
      <c r="O4" s="133" t="s">
        <v>33</v>
      </c>
      <c r="P4" s="134" t="s">
        <v>26</v>
      </c>
      <c r="Q4" s="134" t="s">
        <v>13</v>
      </c>
      <c r="R4" s="134" t="s">
        <v>14</v>
      </c>
      <c r="S4" s="171" t="s">
        <v>37</v>
      </c>
      <c r="T4" s="178" t="s">
        <v>223</v>
      </c>
      <c r="U4" s="180" t="s">
        <v>244</v>
      </c>
      <c r="V4" s="128" t="s">
        <v>135</v>
      </c>
      <c r="W4" s="74" t="s">
        <v>137</v>
      </c>
      <c r="X4" s="74" t="s">
        <v>149</v>
      </c>
      <c r="Y4" s="74" t="s">
        <v>150</v>
      </c>
    </row>
    <row r="5" spans="1:25" x14ac:dyDescent="0.25">
      <c r="A5" s="332" t="str">
        <f>IF(OR($B5="Ja",$B5="Nee"),MAX($A$4:A4)+1,"")</f>
        <v/>
      </c>
      <c r="B5" s="350" t="s">
        <v>35</v>
      </c>
      <c r="C5" s="334"/>
      <c r="D5" s="335"/>
      <c r="E5" s="351"/>
      <c r="F5" s="337"/>
      <c r="G5" s="337"/>
      <c r="H5" s="339">
        <f>SUM(F5*12,G5)</f>
        <v>0</v>
      </c>
      <c r="I5" s="352">
        <f>1720*E5/40</f>
        <v>0</v>
      </c>
      <c r="J5" s="353">
        <f t="shared" ref="J5:J36" si="0">IF($B5="nee",IFERROR(ROUND(H5*(1+$W5)/I5,2),0),0)</f>
        <v>0</v>
      </c>
      <c r="K5" s="354"/>
      <c r="L5" s="342"/>
      <c r="M5" s="338"/>
      <c r="N5" s="355"/>
      <c r="O5" s="338"/>
      <c r="P5" s="338"/>
      <c r="Q5" s="339">
        <f>SUM(O5*12,P5)</f>
        <v>0</v>
      </c>
      <c r="R5" s="352">
        <f t="shared" ref="R5:R36" si="1">1720*N5/40</f>
        <v>0</v>
      </c>
      <c r="S5" s="353">
        <f t="shared" ref="S5:S36" si="2">IF($B5="nee",IFERROR(ROUND(Q5*(1+$W5)/R5,2),0),0)</f>
        <v>0</v>
      </c>
      <c r="T5" s="354"/>
      <c r="U5" s="339" t="s">
        <v>136</v>
      </c>
      <c r="V5" s="345" t="str">
        <f t="shared" ref="V5:V36" si="3">IF(Methode_Keuze&lt;&gt;"",IF($C$2="Vereenvoudigde kostenoptie voor overige kosten","nee","ja"),"ja")</f>
        <v>ja</v>
      </c>
      <c r="W5" s="346">
        <f>IF(V5="ja",0.442*(1.15)+0.15,0.442)</f>
        <v>0.6583</v>
      </c>
      <c r="X5" s="347">
        <f>IF(B5="Ja",D5,J5)</f>
        <v>0</v>
      </c>
      <c r="Y5" s="347" t="str">
        <f>IF(B5="Ja",IF(L5="JA",D5,M5),IF(B5="Nee",IF(L5="JA",J5,S5),""))</f>
        <v/>
      </c>
    </row>
    <row r="6" spans="1:25" x14ac:dyDescent="0.25">
      <c r="A6" s="332" t="str">
        <f>IF(B6&lt;&gt;"&lt;Selecteer&gt;",MAX($A$4:A5)+1,"")</f>
        <v/>
      </c>
      <c r="B6" s="350" t="s">
        <v>35</v>
      </c>
      <c r="C6" s="334"/>
      <c r="D6" s="335"/>
      <c r="E6" s="351"/>
      <c r="F6" s="337"/>
      <c r="G6" s="337"/>
      <c r="H6" s="339">
        <f t="shared" ref="H6:H54" si="4">SUM(F6*12,G6)</f>
        <v>0</v>
      </c>
      <c r="I6" s="352">
        <f t="shared" ref="I6:I54" si="5">1720*E6/40</f>
        <v>0</v>
      </c>
      <c r="J6" s="353">
        <f t="shared" si="0"/>
        <v>0</v>
      </c>
      <c r="K6" s="354"/>
      <c r="L6" s="342"/>
      <c r="M6" s="338"/>
      <c r="N6" s="355"/>
      <c r="O6" s="338"/>
      <c r="P6" s="338"/>
      <c r="Q6" s="339">
        <f t="shared" ref="Q6:Q54" si="6">SUM(O6*12,P6)</f>
        <v>0</v>
      </c>
      <c r="R6" s="352">
        <f t="shared" si="1"/>
        <v>0</v>
      </c>
      <c r="S6" s="353">
        <f t="shared" si="2"/>
        <v>0</v>
      </c>
      <c r="T6" s="354"/>
      <c r="U6" s="339" t="s">
        <v>136</v>
      </c>
      <c r="V6" s="345" t="str">
        <f t="shared" si="3"/>
        <v>ja</v>
      </c>
      <c r="W6" s="346">
        <f t="shared" ref="W6:W54" si="7">IF(V6="ja",0.442*(1.15)+0.15,0.442)</f>
        <v>0.6583</v>
      </c>
      <c r="X6" s="347">
        <f t="shared" ref="X6:X54" si="8">IF(B6="Ja",D6,J6)</f>
        <v>0</v>
      </c>
      <c r="Y6" s="347" t="str">
        <f t="shared" ref="Y6:Y54" si="9">IF(B6="Ja",IF(L6="JA",D6,M6),IF(B6="Nee",IF(L6="JA",J6,S6),""))</f>
        <v/>
      </c>
    </row>
    <row r="7" spans="1:25" x14ac:dyDescent="0.25">
      <c r="A7" s="332" t="str">
        <f>IF(B7&lt;&gt;"&lt;Selecteer&gt;",MAX($A$4:A6)+1,"")</f>
        <v/>
      </c>
      <c r="B7" s="350" t="s">
        <v>35</v>
      </c>
      <c r="C7" s="334"/>
      <c r="D7" s="335"/>
      <c r="E7" s="351"/>
      <c r="F7" s="337"/>
      <c r="G7" s="337"/>
      <c r="H7" s="339">
        <f t="shared" si="4"/>
        <v>0</v>
      </c>
      <c r="I7" s="352">
        <f t="shared" si="5"/>
        <v>0</v>
      </c>
      <c r="J7" s="353">
        <f t="shared" si="0"/>
        <v>0</v>
      </c>
      <c r="K7" s="354"/>
      <c r="L7" s="342"/>
      <c r="M7" s="338"/>
      <c r="N7" s="355"/>
      <c r="O7" s="338"/>
      <c r="P7" s="338"/>
      <c r="Q7" s="339">
        <f t="shared" si="6"/>
        <v>0</v>
      </c>
      <c r="R7" s="352">
        <f t="shared" si="1"/>
        <v>0</v>
      </c>
      <c r="S7" s="353">
        <f t="shared" si="2"/>
        <v>0</v>
      </c>
      <c r="T7" s="354"/>
      <c r="U7" s="339" t="s">
        <v>136</v>
      </c>
      <c r="V7" s="345" t="str">
        <f t="shared" si="3"/>
        <v>ja</v>
      </c>
      <c r="W7" s="346">
        <f t="shared" si="7"/>
        <v>0.6583</v>
      </c>
      <c r="X7" s="347">
        <f t="shared" si="8"/>
        <v>0</v>
      </c>
      <c r="Y7" s="347" t="str">
        <f t="shared" si="9"/>
        <v/>
      </c>
    </row>
    <row r="8" spans="1:25" x14ac:dyDescent="0.25">
      <c r="A8" s="332" t="str">
        <f>IF(B8&lt;&gt;"&lt;Selecteer&gt;",MAX($A$4:A7)+1,"")</f>
        <v/>
      </c>
      <c r="B8" s="350" t="s">
        <v>35</v>
      </c>
      <c r="C8" s="334"/>
      <c r="D8" s="335"/>
      <c r="E8" s="351"/>
      <c r="F8" s="337"/>
      <c r="G8" s="337"/>
      <c r="H8" s="339">
        <f t="shared" si="4"/>
        <v>0</v>
      </c>
      <c r="I8" s="352">
        <f t="shared" si="5"/>
        <v>0</v>
      </c>
      <c r="J8" s="353">
        <f t="shared" si="0"/>
        <v>0</v>
      </c>
      <c r="K8" s="354"/>
      <c r="L8" s="342"/>
      <c r="M8" s="338"/>
      <c r="N8" s="355"/>
      <c r="O8" s="338"/>
      <c r="P8" s="338"/>
      <c r="Q8" s="339">
        <f t="shared" si="6"/>
        <v>0</v>
      </c>
      <c r="R8" s="352">
        <f t="shared" si="1"/>
        <v>0</v>
      </c>
      <c r="S8" s="353">
        <f t="shared" si="2"/>
        <v>0</v>
      </c>
      <c r="T8" s="354"/>
      <c r="U8" s="339" t="s">
        <v>136</v>
      </c>
      <c r="V8" s="345" t="str">
        <f t="shared" si="3"/>
        <v>ja</v>
      </c>
      <c r="W8" s="346">
        <f t="shared" si="7"/>
        <v>0.6583</v>
      </c>
      <c r="X8" s="347">
        <f t="shared" si="8"/>
        <v>0</v>
      </c>
      <c r="Y8" s="347" t="str">
        <f t="shared" si="9"/>
        <v/>
      </c>
    </row>
    <row r="9" spans="1:25" x14ac:dyDescent="0.25">
      <c r="A9" s="332" t="str">
        <f>IF(B9&lt;&gt;"&lt;Selecteer&gt;",MAX($A$4:A8)+1,"")</f>
        <v/>
      </c>
      <c r="B9" s="350" t="s">
        <v>35</v>
      </c>
      <c r="C9" s="334"/>
      <c r="D9" s="335"/>
      <c r="E9" s="351"/>
      <c r="F9" s="337"/>
      <c r="G9" s="337"/>
      <c r="H9" s="339">
        <f t="shared" si="4"/>
        <v>0</v>
      </c>
      <c r="I9" s="352">
        <f t="shared" si="5"/>
        <v>0</v>
      </c>
      <c r="J9" s="353">
        <f t="shared" si="0"/>
        <v>0</v>
      </c>
      <c r="K9" s="354"/>
      <c r="L9" s="342"/>
      <c r="M9" s="338"/>
      <c r="N9" s="355"/>
      <c r="O9" s="338"/>
      <c r="P9" s="338"/>
      <c r="Q9" s="339">
        <f t="shared" si="6"/>
        <v>0</v>
      </c>
      <c r="R9" s="352">
        <f t="shared" si="1"/>
        <v>0</v>
      </c>
      <c r="S9" s="353">
        <f t="shared" si="2"/>
        <v>0</v>
      </c>
      <c r="T9" s="354"/>
      <c r="U9" s="339" t="s">
        <v>136</v>
      </c>
      <c r="V9" s="345" t="str">
        <f t="shared" si="3"/>
        <v>ja</v>
      </c>
      <c r="W9" s="346">
        <f t="shared" si="7"/>
        <v>0.6583</v>
      </c>
      <c r="X9" s="347">
        <f t="shared" si="8"/>
        <v>0</v>
      </c>
      <c r="Y9" s="347" t="str">
        <f t="shared" si="9"/>
        <v/>
      </c>
    </row>
    <row r="10" spans="1:25" x14ac:dyDescent="0.25">
      <c r="A10" s="332" t="str">
        <f>IF(B10&lt;&gt;"&lt;Selecteer&gt;",MAX($A$4:A9)+1,"")</f>
        <v/>
      </c>
      <c r="B10" s="350" t="s">
        <v>35</v>
      </c>
      <c r="C10" s="334"/>
      <c r="D10" s="335"/>
      <c r="E10" s="351"/>
      <c r="F10" s="337"/>
      <c r="G10" s="337"/>
      <c r="H10" s="339">
        <f t="shared" si="4"/>
        <v>0</v>
      </c>
      <c r="I10" s="352">
        <f t="shared" si="5"/>
        <v>0</v>
      </c>
      <c r="J10" s="353">
        <f t="shared" si="0"/>
        <v>0</v>
      </c>
      <c r="K10" s="354"/>
      <c r="L10" s="342"/>
      <c r="M10" s="338"/>
      <c r="N10" s="355"/>
      <c r="O10" s="338"/>
      <c r="P10" s="338"/>
      <c r="Q10" s="339">
        <f t="shared" si="6"/>
        <v>0</v>
      </c>
      <c r="R10" s="352">
        <f t="shared" si="1"/>
        <v>0</v>
      </c>
      <c r="S10" s="353">
        <f t="shared" si="2"/>
        <v>0</v>
      </c>
      <c r="T10" s="354"/>
      <c r="U10" s="339" t="s">
        <v>136</v>
      </c>
      <c r="V10" s="345" t="str">
        <f t="shared" si="3"/>
        <v>ja</v>
      </c>
      <c r="W10" s="346">
        <f t="shared" si="7"/>
        <v>0.6583</v>
      </c>
      <c r="X10" s="347">
        <f t="shared" si="8"/>
        <v>0</v>
      </c>
      <c r="Y10" s="347" t="str">
        <f t="shared" si="9"/>
        <v/>
      </c>
    </row>
    <row r="11" spans="1:25" x14ac:dyDescent="0.25">
      <c r="A11" s="332" t="str">
        <f>IF(B11&lt;&gt;"&lt;Selecteer&gt;",MAX($A$4:A10)+1,"")</f>
        <v/>
      </c>
      <c r="B11" s="350" t="s">
        <v>35</v>
      </c>
      <c r="C11" s="334"/>
      <c r="D11" s="335"/>
      <c r="E11" s="351"/>
      <c r="F11" s="337"/>
      <c r="G11" s="337"/>
      <c r="H11" s="339">
        <f t="shared" si="4"/>
        <v>0</v>
      </c>
      <c r="I11" s="352">
        <f t="shared" si="5"/>
        <v>0</v>
      </c>
      <c r="J11" s="353">
        <f t="shared" si="0"/>
        <v>0</v>
      </c>
      <c r="K11" s="354"/>
      <c r="L11" s="342"/>
      <c r="M11" s="338"/>
      <c r="N11" s="355"/>
      <c r="O11" s="338"/>
      <c r="P11" s="338"/>
      <c r="Q11" s="339">
        <f t="shared" si="6"/>
        <v>0</v>
      </c>
      <c r="R11" s="352">
        <f t="shared" si="1"/>
        <v>0</v>
      </c>
      <c r="S11" s="353">
        <f t="shared" si="2"/>
        <v>0</v>
      </c>
      <c r="T11" s="354"/>
      <c r="U11" s="339" t="s">
        <v>136</v>
      </c>
      <c r="V11" s="345" t="str">
        <f t="shared" si="3"/>
        <v>ja</v>
      </c>
      <c r="W11" s="346">
        <f t="shared" si="7"/>
        <v>0.6583</v>
      </c>
      <c r="X11" s="347">
        <f t="shared" si="8"/>
        <v>0</v>
      </c>
      <c r="Y11" s="347" t="str">
        <f t="shared" si="9"/>
        <v/>
      </c>
    </row>
    <row r="12" spans="1:25" x14ac:dyDescent="0.25">
      <c r="A12" s="332" t="str">
        <f>IF(B12&lt;&gt;"&lt;Selecteer&gt;",MAX($A$4:A11)+1,"")</f>
        <v/>
      </c>
      <c r="B12" s="350" t="s">
        <v>35</v>
      </c>
      <c r="C12" s="334"/>
      <c r="D12" s="335"/>
      <c r="E12" s="351"/>
      <c r="F12" s="337"/>
      <c r="G12" s="337"/>
      <c r="H12" s="339">
        <f t="shared" si="4"/>
        <v>0</v>
      </c>
      <c r="I12" s="352">
        <f t="shared" si="5"/>
        <v>0</v>
      </c>
      <c r="J12" s="353">
        <f t="shared" si="0"/>
        <v>0</v>
      </c>
      <c r="K12" s="354"/>
      <c r="L12" s="342"/>
      <c r="M12" s="338"/>
      <c r="N12" s="355"/>
      <c r="O12" s="338"/>
      <c r="P12" s="338"/>
      <c r="Q12" s="339">
        <f t="shared" si="6"/>
        <v>0</v>
      </c>
      <c r="R12" s="352">
        <f t="shared" si="1"/>
        <v>0</v>
      </c>
      <c r="S12" s="353">
        <f t="shared" si="2"/>
        <v>0</v>
      </c>
      <c r="T12" s="354"/>
      <c r="U12" s="339" t="s">
        <v>136</v>
      </c>
      <c r="V12" s="345" t="str">
        <f t="shared" si="3"/>
        <v>ja</v>
      </c>
      <c r="W12" s="346">
        <f t="shared" si="7"/>
        <v>0.6583</v>
      </c>
      <c r="X12" s="347">
        <f t="shared" si="8"/>
        <v>0</v>
      </c>
      <c r="Y12" s="347" t="str">
        <f t="shared" si="9"/>
        <v/>
      </c>
    </row>
    <row r="13" spans="1:25" x14ac:dyDescent="0.25">
      <c r="A13" s="332" t="str">
        <f>IF(B13&lt;&gt;"&lt;Selecteer&gt;",MAX($A$4:A12)+1,"")</f>
        <v/>
      </c>
      <c r="B13" s="350" t="s">
        <v>35</v>
      </c>
      <c r="C13" s="334"/>
      <c r="D13" s="335"/>
      <c r="E13" s="351"/>
      <c r="F13" s="337"/>
      <c r="G13" s="337"/>
      <c r="H13" s="339">
        <f t="shared" si="4"/>
        <v>0</v>
      </c>
      <c r="I13" s="352">
        <f t="shared" si="5"/>
        <v>0</v>
      </c>
      <c r="J13" s="353">
        <f t="shared" si="0"/>
        <v>0</v>
      </c>
      <c r="K13" s="354"/>
      <c r="L13" s="342"/>
      <c r="M13" s="338"/>
      <c r="N13" s="355"/>
      <c r="O13" s="338"/>
      <c r="P13" s="338"/>
      <c r="Q13" s="339">
        <f t="shared" si="6"/>
        <v>0</v>
      </c>
      <c r="R13" s="352">
        <f t="shared" si="1"/>
        <v>0</v>
      </c>
      <c r="S13" s="353">
        <f t="shared" si="2"/>
        <v>0</v>
      </c>
      <c r="T13" s="354"/>
      <c r="U13" s="339" t="s">
        <v>136</v>
      </c>
      <c r="V13" s="345" t="str">
        <f t="shared" si="3"/>
        <v>ja</v>
      </c>
      <c r="W13" s="346">
        <f t="shared" si="7"/>
        <v>0.6583</v>
      </c>
      <c r="X13" s="347">
        <f t="shared" si="8"/>
        <v>0</v>
      </c>
      <c r="Y13" s="347" t="str">
        <f t="shared" si="9"/>
        <v/>
      </c>
    </row>
    <row r="14" spans="1:25" x14ac:dyDescent="0.25">
      <c r="A14" s="332" t="str">
        <f>IF(B14&lt;&gt;"&lt;Selecteer&gt;",MAX($A$4:A13)+1,"")</f>
        <v/>
      </c>
      <c r="B14" s="350" t="s">
        <v>35</v>
      </c>
      <c r="C14" s="334"/>
      <c r="D14" s="335"/>
      <c r="E14" s="351"/>
      <c r="F14" s="337"/>
      <c r="G14" s="337"/>
      <c r="H14" s="339">
        <f t="shared" si="4"/>
        <v>0</v>
      </c>
      <c r="I14" s="352">
        <f t="shared" si="5"/>
        <v>0</v>
      </c>
      <c r="J14" s="353">
        <f t="shared" si="0"/>
        <v>0</v>
      </c>
      <c r="K14" s="354"/>
      <c r="L14" s="342"/>
      <c r="M14" s="338"/>
      <c r="N14" s="355"/>
      <c r="O14" s="338"/>
      <c r="P14" s="338"/>
      <c r="Q14" s="339">
        <f t="shared" si="6"/>
        <v>0</v>
      </c>
      <c r="R14" s="352">
        <f t="shared" si="1"/>
        <v>0</v>
      </c>
      <c r="S14" s="353">
        <f t="shared" si="2"/>
        <v>0</v>
      </c>
      <c r="T14" s="354"/>
      <c r="U14" s="339" t="s">
        <v>136</v>
      </c>
      <c r="V14" s="345" t="str">
        <f t="shared" si="3"/>
        <v>ja</v>
      </c>
      <c r="W14" s="346">
        <f t="shared" si="7"/>
        <v>0.6583</v>
      </c>
      <c r="X14" s="347">
        <f t="shared" si="8"/>
        <v>0</v>
      </c>
      <c r="Y14" s="347" t="str">
        <f t="shared" si="9"/>
        <v/>
      </c>
    </row>
    <row r="15" spans="1:25" x14ac:dyDescent="0.25">
      <c r="A15" s="332" t="str">
        <f>IF(B15&lt;&gt;"&lt;Selecteer&gt;",MAX($A$4:A14)+1,"")</f>
        <v/>
      </c>
      <c r="B15" s="350" t="s">
        <v>35</v>
      </c>
      <c r="C15" s="334"/>
      <c r="D15" s="335"/>
      <c r="E15" s="351"/>
      <c r="F15" s="337"/>
      <c r="G15" s="337"/>
      <c r="H15" s="339">
        <f t="shared" si="4"/>
        <v>0</v>
      </c>
      <c r="I15" s="352">
        <f t="shared" si="5"/>
        <v>0</v>
      </c>
      <c r="J15" s="353">
        <f t="shared" si="0"/>
        <v>0</v>
      </c>
      <c r="K15" s="354"/>
      <c r="L15" s="342"/>
      <c r="M15" s="338"/>
      <c r="N15" s="355"/>
      <c r="O15" s="338"/>
      <c r="P15" s="338"/>
      <c r="Q15" s="339">
        <f t="shared" si="6"/>
        <v>0</v>
      </c>
      <c r="R15" s="352">
        <f t="shared" si="1"/>
        <v>0</v>
      </c>
      <c r="S15" s="353">
        <f t="shared" si="2"/>
        <v>0</v>
      </c>
      <c r="T15" s="354"/>
      <c r="U15" s="339" t="s">
        <v>136</v>
      </c>
      <c r="V15" s="345" t="str">
        <f t="shared" si="3"/>
        <v>ja</v>
      </c>
      <c r="W15" s="346">
        <f t="shared" si="7"/>
        <v>0.6583</v>
      </c>
      <c r="X15" s="347">
        <f t="shared" si="8"/>
        <v>0</v>
      </c>
      <c r="Y15" s="347" t="str">
        <f t="shared" si="9"/>
        <v/>
      </c>
    </row>
    <row r="16" spans="1:25" x14ac:dyDescent="0.25">
      <c r="A16" s="332" t="str">
        <f>IF(B16&lt;&gt;"&lt;Selecteer&gt;",MAX($A$4:A15)+1,"")</f>
        <v/>
      </c>
      <c r="B16" s="350" t="s">
        <v>35</v>
      </c>
      <c r="C16" s="334"/>
      <c r="D16" s="335"/>
      <c r="E16" s="351"/>
      <c r="F16" s="337"/>
      <c r="G16" s="337"/>
      <c r="H16" s="339">
        <f t="shared" si="4"/>
        <v>0</v>
      </c>
      <c r="I16" s="352">
        <f t="shared" si="5"/>
        <v>0</v>
      </c>
      <c r="J16" s="353">
        <f t="shared" si="0"/>
        <v>0</v>
      </c>
      <c r="K16" s="354"/>
      <c r="L16" s="342"/>
      <c r="M16" s="338"/>
      <c r="N16" s="355"/>
      <c r="O16" s="338"/>
      <c r="P16" s="338"/>
      <c r="Q16" s="339">
        <f t="shared" si="6"/>
        <v>0</v>
      </c>
      <c r="R16" s="352">
        <f t="shared" si="1"/>
        <v>0</v>
      </c>
      <c r="S16" s="353">
        <f t="shared" si="2"/>
        <v>0</v>
      </c>
      <c r="T16" s="354"/>
      <c r="U16" s="339" t="s">
        <v>136</v>
      </c>
      <c r="V16" s="345" t="str">
        <f t="shared" si="3"/>
        <v>ja</v>
      </c>
      <c r="W16" s="346">
        <f t="shared" si="7"/>
        <v>0.6583</v>
      </c>
      <c r="X16" s="347">
        <f t="shared" si="8"/>
        <v>0</v>
      </c>
      <c r="Y16" s="347" t="str">
        <f t="shared" si="9"/>
        <v/>
      </c>
    </row>
    <row r="17" spans="1:25" x14ac:dyDescent="0.25">
      <c r="A17" s="332" t="str">
        <f>IF(B17&lt;&gt;"&lt;Selecteer&gt;",MAX($A$4:A16)+1,"")</f>
        <v/>
      </c>
      <c r="B17" s="350" t="s">
        <v>35</v>
      </c>
      <c r="C17" s="334"/>
      <c r="D17" s="335"/>
      <c r="E17" s="351"/>
      <c r="F17" s="337"/>
      <c r="G17" s="337"/>
      <c r="H17" s="339">
        <f t="shared" si="4"/>
        <v>0</v>
      </c>
      <c r="I17" s="352">
        <f t="shared" si="5"/>
        <v>0</v>
      </c>
      <c r="J17" s="353">
        <f t="shared" si="0"/>
        <v>0</v>
      </c>
      <c r="K17" s="354"/>
      <c r="L17" s="342"/>
      <c r="M17" s="338"/>
      <c r="N17" s="355"/>
      <c r="O17" s="338"/>
      <c r="P17" s="338"/>
      <c r="Q17" s="339">
        <f t="shared" si="6"/>
        <v>0</v>
      </c>
      <c r="R17" s="352">
        <f t="shared" si="1"/>
        <v>0</v>
      </c>
      <c r="S17" s="353">
        <f t="shared" si="2"/>
        <v>0</v>
      </c>
      <c r="T17" s="354"/>
      <c r="U17" s="339" t="s">
        <v>136</v>
      </c>
      <c r="V17" s="345" t="str">
        <f t="shared" si="3"/>
        <v>ja</v>
      </c>
      <c r="W17" s="346">
        <f t="shared" si="7"/>
        <v>0.6583</v>
      </c>
      <c r="X17" s="347">
        <f t="shared" si="8"/>
        <v>0</v>
      </c>
      <c r="Y17" s="347" t="str">
        <f t="shared" si="9"/>
        <v/>
      </c>
    </row>
    <row r="18" spans="1:25" x14ac:dyDescent="0.25">
      <c r="A18" s="332" t="str">
        <f>IF(B18&lt;&gt;"&lt;Selecteer&gt;",MAX($A$4:A17)+1,"")</f>
        <v/>
      </c>
      <c r="B18" s="350" t="s">
        <v>35</v>
      </c>
      <c r="C18" s="334"/>
      <c r="D18" s="335"/>
      <c r="E18" s="351"/>
      <c r="F18" s="337"/>
      <c r="G18" s="337"/>
      <c r="H18" s="339">
        <f t="shared" si="4"/>
        <v>0</v>
      </c>
      <c r="I18" s="352">
        <f t="shared" si="5"/>
        <v>0</v>
      </c>
      <c r="J18" s="353">
        <f t="shared" si="0"/>
        <v>0</v>
      </c>
      <c r="K18" s="354"/>
      <c r="L18" s="342"/>
      <c r="M18" s="338"/>
      <c r="N18" s="355"/>
      <c r="O18" s="338"/>
      <c r="P18" s="338"/>
      <c r="Q18" s="339">
        <f t="shared" si="6"/>
        <v>0</v>
      </c>
      <c r="R18" s="352">
        <f t="shared" si="1"/>
        <v>0</v>
      </c>
      <c r="S18" s="353">
        <f t="shared" si="2"/>
        <v>0</v>
      </c>
      <c r="T18" s="354"/>
      <c r="U18" s="339" t="s">
        <v>136</v>
      </c>
      <c r="V18" s="345" t="str">
        <f t="shared" si="3"/>
        <v>ja</v>
      </c>
      <c r="W18" s="346">
        <f t="shared" si="7"/>
        <v>0.6583</v>
      </c>
      <c r="X18" s="347">
        <f t="shared" si="8"/>
        <v>0</v>
      </c>
      <c r="Y18" s="347" t="str">
        <f t="shared" si="9"/>
        <v/>
      </c>
    </row>
    <row r="19" spans="1:25" x14ac:dyDescent="0.25">
      <c r="A19" s="332" t="str">
        <f>IF(B19&lt;&gt;"&lt;Selecteer&gt;",MAX($A$4:A18)+1,"")</f>
        <v/>
      </c>
      <c r="B19" s="350" t="s">
        <v>35</v>
      </c>
      <c r="C19" s="334"/>
      <c r="D19" s="335"/>
      <c r="E19" s="351"/>
      <c r="F19" s="337"/>
      <c r="G19" s="337"/>
      <c r="H19" s="339">
        <f t="shared" si="4"/>
        <v>0</v>
      </c>
      <c r="I19" s="352">
        <f t="shared" si="5"/>
        <v>0</v>
      </c>
      <c r="J19" s="353">
        <f t="shared" si="0"/>
        <v>0</v>
      </c>
      <c r="K19" s="354"/>
      <c r="L19" s="342"/>
      <c r="M19" s="338"/>
      <c r="N19" s="355"/>
      <c r="O19" s="338"/>
      <c r="P19" s="338"/>
      <c r="Q19" s="339">
        <f t="shared" si="6"/>
        <v>0</v>
      </c>
      <c r="R19" s="352">
        <f t="shared" si="1"/>
        <v>0</v>
      </c>
      <c r="S19" s="353">
        <f t="shared" si="2"/>
        <v>0</v>
      </c>
      <c r="T19" s="354"/>
      <c r="U19" s="339" t="s">
        <v>136</v>
      </c>
      <c r="V19" s="345" t="str">
        <f t="shared" si="3"/>
        <v>ja</v>
      </c>
      <c r="W19" s="346">
        <f t="shared" si="7"/>
        <v>0.6583</v>
      </c>
      <c r="X19" s="347">
        <f t="shared" si="8"/>
        <v>0</v>
      </c>
      <c r="Y19" s="347" t="str">
        <f t="shared" si="9"/>
        <v/>
      </c>
    </row>
    <row r="20" spans="1:25" x14ac:dyDescent="0.25">
      <c r="A20" s="332" t="str">
        <f>IF(B20&lt;&gt;"&lt;Selecteer&gt;",MAX($A$4:A19)+1,"")</f>
        <v/>
      </c>
      <c r="B20" s="350" t="s">
        <v>35</v>
      </c>
      <c r="C20" s="334"/>
      <c r="D20" s="335"/>
      <c r="E20" s="351"/>
      <c r="F20" s="337"/>
      <c r="G20" s="337"/>
      <c r="H20" s="339">
        <f t="shared" si="4"/>
        <v>0</v>
      </c>
      <c r="I20" s="352">
        <f t="shared" si="5"/>
        <v>0</v>
      </c>
      <c r="J20" s="353">
        <f t="shared" si="0"/>
        <v>0</v>
      </c>
      <c r="K20" s="354"/>
      <c r="L20" s="342"/>
      <c r="M20" s="338"/>
      <c r="N20" s="355"/>
      <c r="O20" s="338"/>
      <c r="P20" s="338"/>
      <c r="Q20" s="339">
        <f t="shared" si="6"/>
        <v>0</v>
      </c>
      <c r="R20" s="352">
        <f t="shared" si="1"/>
        <v>0</v>
      </c>
      <c r="S20" s="353">
        <f t="shared" si="2"/>
        <v>0</v>
      </c>
      <c r="T20" s="354"/>
      <c r="U20" s="339" t="s">
        <v>136</v>
      </c>
      <c r="V20" s="345" t="str">
        <f t="shared" si="3"/>
        <v>ja</v>
      </c>
      <c r="W20" s="346">
        <f t="shared" si="7"/>
        <v>0.6583</v>
      </c>
      <c r="X20" s="347">
        <f t="shared" si="8"/>
        <v>0</v>
      </c>
      <c r="Y20" s="347" t="str">
        <f t="shared" si="9"/>
        <v/>
      </c>
    </row>
    <row r="21" spans="1:25" x14ac:dyDescent="0.25">
      <c r="A21" s="332" t="str">
        <f>IF(B21&lt;&gt;"&lt;Selecteer&gt;",MAX($A$4:A20)+1,"")</f>
        <v/>
      </c>
      <c r="B21" s="350" t="s">
        <v>35</v>
      </c>
      <c r="C21" s="334"/>
      <c r="D21" s="335"/>
      <c r="E21" s="351"/>
      <c r="F21" s="337"/>
      <c r="G21" s="337"/>
      <c r="H21" s="339">
        <f t="shared" si="4"/>
        <v>0</v>
      </c>
      <c r="I21" s="352">
        <f t="shared" si="5"/>
        <v>0</v>
      </c>
      <c r="J21" s="353">
        <f t="shared" si="0"/>
        <v>0</v>
      </c>
      <c r="K21" s="354"/>
      <c r="L21" s="342"/>
      <c r="M21" s="338"/>
      <c r="N21" s="355"/>
      <c r="O21" s="338"/>
      <c r="P21" s="338"/>
      <c r="Q21" s="339">
        <f t="shared" si="6"/>
        <v>0</v>
      </c>
      <c r="R21" s="352">
        <f t="shared" si="1"/>
        <v>0</v>
      </c>
      <c r="S21" s="353">
        <f t="shared" si="2"/>
        <v>0</v>
      </c>
      <c r="T21" s="354"/>
      <c r="U21" s="339" t="s">
        <v>136</v>
      </c>
      <c r="V21" s="345" t="str">
        <f t="shared" si="3"/>
        <v>ja</v>
      </c>
      <c r="W21" s="346">
        <f t="shared" si="7"/>
        <v>0.6583</v>
      </c>
      <c r="X21" s="347">
        <f t="shared" si="8"/>
        <v>0</v>
      </c>
      <c r="Y21" s="347" t="str">
        <f t="shared" si="9"/>
        <v/>
      </c>
    </row>
    <row r="22" spans="1:25" x14ac:dyDescent="0.25">
      <c r="A22" s="332" t="str">
        <f>IF(B22&lt;&gt;"&lt;Selecteer&gt;",MAX($A$4:A21)+1,"")</f>
        <v/>
      </c>
      <c r="B22" s="350" t="s">
        <v>35</v>
      </c>
      <c r="C22" s="334"/>
      <c r="D22" s="335"/>
      <c r="E22" s="351"/>
      <c r="F22" s="337"/>
      <c r="G22" s="337"/>
      <c r="H22" s="339">
        <f t="shared" si="4"/>
        <v>0</v>
      </c>
      <c r="I22" s="352">
        <f t="shared" si="5"/>
        <v>0</v>
      </c>
      <c r="J22" s="353">
        <f t="shared" si="0"/>
        <v>0</v>
      </c>
      <c r="K22" s="354"/>
      <c r="L22" s="342"/>
      <c r="M22" s="338"/>
      <c r="N22" s="355"/>
      <c r="O22" s="338"/>
      <c r="P22" s="338"/>
      <c r="Q22" s="339">
        <f t="shared" si="6"/>
        <v>0</v>
      </c>
      <c r="R22" s="352">
        <f t="shared" si="1"/>
        <v>0</v>
      </c>
      <c r="S22" s="353">
        <f t="shared" si="2"/>
        <v>0</v>
      </c>
      <c r="T22" s="354"/>
      <c r="U22" s="339" t="s">
        <v>136</v>
      </c>
      <c r="V22" s="345" t="str">
        <f t="shared" si="3"/>
        <v>ja</v>
      </c>
      <c r="W22" s="346">
        <f t="shared" si="7"/>
        <v>0.6583</v>
      </c>
      <c r="X22" s="347">
        <f t="shared" si="8"/>
        <v>0</v>
      </c>
      <c r="Y22" s="347" t="str">
        <f t="shared" si="9"/>
        <v/>
      </c>
    </row>
    <row r="23" spans="1:25" x14ac:dyDescent="0.25">
      <c r="A23" s="332" t="str">
        <f>IF(B23&lt;&gt;"&lt;Selecteer&gt;",MAX($A$4:A22)+1,"")</f>
        <v/>
      </c>
      <c r="B23" s="350" t="s">
        <v>35</v>
      </c>
      <c r="C23" s="334"/>
      <c r="D23" s="335"/>
      <c r="E23" s="351"/>
      <c r="F23" s="337"/>
      <c r="G23" s="337"/>
      <c r="H23" s="339">
        <f t="shared" si="4"/>
        <v>0</v>
      </c>
      <c r="I23" s="352">
        <f t="shared" si="5"/>
        <v>0</v>
      </c>
      <c r="J23" s="353">
        <f t="shared" si="0"/>
        <v>0</v>
      </c>
      <c r="K23" s="354"/>
      <c r="L23" s="342"/>
      <c r="M23" s="338"/>
      <c r="N23" s="355"/>
      <c r="O23" s="338"/>
      <c r="P23" s="338"/>
      <c r="Q23" s="339">
        <f t="shared" si="6"/>
        <v>0</v>
      </c>
      <c r="R23" s="352">
        <f t="shared" si="1"/>
        <v>0</v>
      </c>
      <c r="S23" s="353">
        <f t="shared" si="2"/>
        <v>0</v>
      </c>
      <c r="T23" s="354"/>
      <c r="U23" s="339" t="s">
        <v>136</v>
      </c>
      <c r="V23" s="345" t="str">
        <f t="shared" si="3"/>
        <v>ja</v>
      </c>
      <c r="W23" s="346">
        <f t="shared" si="7"/>
        <v>0.6583</v>
      </c>
      <c r="X23" s="347">
        <f t="shared" si="8"/>
        <v>0</v>
      </c>
      <c r="Y23" s="347" t="str">
        <f t="shared" si="9"/>
        <v/>
      </c>
    </row>
    <row r="24" spans="1:25" x14ac:dyDescent="0.25">
      <c r="A24" s="332" t="str">
        <f>IF(B24&lt;&gt;"&lt;Selecteer&gt;",MAX($A$4:A23)+1,"")</f>
        <v/>
      </c>
      <c r="B24" s="350" t="s">
        <v>35</v>
      </c>
      <c r="C24" s="334"/>
      <c r="D24" s="335"/>
      <c r="E24" s="351"/>
      <c r="F24" s="337"/>
      <c r="G24" s="337"/>
      <c r="H24" s="339">
        <f t="shared" si="4"/>
        <v>0</v>
      </c>
      <c r="I24" s="352">
        <f t="shared" si="5"/>
        <v>0</v>
      </c>
      <c r="J24" s="353">
        <f t="shared" si="0"/>
        <v>0</v>
      </c>
      <c r="K24" s="354"/>
      <c r="L24" s="342"/>
      <c r="M24" s="338"/>
      <c r="N24" s="355"/>
      <c r="O24" s="338"/>
      <c r="P24" s="338"/>
      <c r="Q24" s="339">
        <f t="shared" si="6"/>
        <v>0</v>
      </c>
      <c r="R24" s="352">
        <f t="shared" si="1"/>
        <v>0</v>
      </c>
      <c r="S24" s="353">
        <f t="shared" si="2"/>
        <v>0</v>
      </c>
      <c r="T24" s="354"/>
      <c r="U24" s="339" t="s">
        <v>136</v>
      </c>
      <c r="V24" s="345" t="str">
        <f t="shared" si="3"/>
        <v>ja</v>
      </c>
      <c r="W24" s="346">
        <f t="shared" si="7"/>
        <v>0.6583</v>
      </c>
      <c r="X24" s="347">
        <f t="shared" si="8"/>
        <v>0</v>
      </c>
      <c r="Y24" s="347" t="str">
        <f t="shared" si="9"/>
        <v/>
      </c>
    </row>
    <row r="25" spans="1:25" x14ac:dyDescent="0.25">
      <c r="A25" s="332" t="str">
        <f>IF(B25&lt;&gt;"&lt;Selecteer&gt;",MAX($A$4:A24)+1,"")</f>
        <v/>
      </c>
      <c r="B25" s="350" t="s">
        <v>35</v>
      </c>
      <c r="C25" s="334"/>
      <c r="D25" s="335"/>
      <c r="E25" s="351"/>
      <c r="F25" s="337"/>
      <c r="G25" s="337"/>
      <c r="H25" s="339">
        <f t="shared" si="4"/>
        <v>0</v>
      </c>
      <c r="I25" s="352">
        <f t="shared" si="5"/>
        <v>0</v>
      </c>
      <c r="J25" s="353">
        <f t="shared" si="0"/>
        <v>0</v>
      </c>
      <c r="K25" s="354"/>
      <c r="L25" s="342"/>
      <c r="M25" s="338"/>
      <c r="N25" s="355"/>
      <c r="O25" s="338"/>
      <c r="P25" s="338"/>
      <c r="Q25" s="339">
        <f t="shared" si="6"/>
        <v>0</v>
      </c>
      <c r="R25" s="352">
        <f t="shared" si="1"/>
        <v>0</v>
      </c>
      <c r="S25" s="353">
        <f t="shared" si="2"/>
        <v>0</v>
      </c>
      <c r="T25" s="354"/>
      <c r="U25" s="339" t="s">
        <v>136</v>
      </c>
      <c r="V25" s="345" t="str">
        <f t="shared" si="3"/>
        <v>ja</v>
      </c>
      <c r="W25" s="346">
        <f t="shared" si="7"/>
        <v>0.6583</v>
      </c>
      <c r="X25" s="347">
        <f t="shared" si="8"/>
        <v>0</v>
      </c>
      <c r="Y25" s="347" t="str">
        <f t="shared" si="9"/>
        <v/>
      </c>
    </row>
    <row r="26" spans="1:25" x14ac:dyDescent="0.25">
      <c r="A26" s="332" t="str">
        <f>IF(B26&lt;&gt;"&lt;Selecteer&gt;",MAX($A$4:A25)+1,"")</f>
        <v/>
      </c>
      <c r="B26" s="350" t="s">
        <v>35</v>
      </c>
      <c r="C26" s="334"/>
      <c r="D26" s="335"/>
      <c r="E26" s="351"/>
      <c r="F26" s="337"/>
      <c r="G26" s="337"/>
      <c r="H26" s="339">
        <f t="shared" si="4"/>
        <v>0</v>
      </c>
      <c r="I26" s="352">
        <f t="shared" si="5"/>
        <v>0</v>
      </c>
      <c r="J26" s="353">
        <f t="shared" si="0"/>
        <v>0</v>
      </c>
      <c r="K26" s="354"/>
      <c r="L26" s="342"/>
      <c r="M26" s="338"/>
      <c r="N26" s="355"/>
      <c r="O26" s="338"/>
      <c r="P26" s="338"/>
      <c r="Q26" s="339">
        <f t="shared" si="6"/>
        <v>0</v>
      </c>
      <c r="R26" s="352">
        <f t="shared" si="1"/>
        <v>0</v>
      </c>
      <c r="S26" s="353">
        <f t="shared" si="2"/>
        <v>0</v>
      </c>
      <c r="T26" s="354"/>
      <c r="U26" s="339" t="s">
        <v>136</v>
      </c>
      <c r="V26" s="345" t="str">
        <f t="shared" si="3"/>
        <v>ja</v>
      </c>
      <c r="W26" s="346">
        <f t="shared" si="7"/>
        <v>0.6583</v>
      </c>
      <c r="X26" s="347">
        <f t="shared" si="8"/>
        <v>0</v>
      </c>
      <c r="Y26" s="347" t="str">
        <f t="shared" si="9"/>
        <v/>
      </c>
    </row>
    <row r="27" spans="1:25" x14ac:dyDescent="0.25">
      <c r="A27" s="332" t="str">
        <f>IF(B27&lt;&gt;"&lt;Selecteer&gt;",MAX($A$4:A26)+1,"")</f>
        <v/>
      </c>
      <c r="B27" s="350" t="s">
        <v>35</v>
      </c>
      <c r="C27" s="334"/>
      <c r="D27" s="335"/>
      <c r="E27" s="351"/>
      <c r="F27" s="337"/>
      <c r="G27" s="337"/>
      <c r="H27" s="339">
        <f t="shared" si="4"/>
        <v>0</v>
      </c>
      <c r="I27" s="352">
        <f t="shared" si="5"/>
        <v>0</v>
      </c>
      <c r="J27" s="353">
        <f t="shared" si="0"/>
        <v>0</v>
      </c>
      <c r="K27" s="354"/>
      <c r="L27" s="342"/>
      <c r="M27" s="338"/>
      <c r="N27" s="355"/>
      <c r="O27" s="338"/>
      <c r="P27" s="338"/>
      <c r="Q27" s="339">
        <f t="shared" si="6"/>
        <v>0</v>
      </c>
      <c r="R27" s="352">
        <f t="shared" si="1"/>
        <v>0</v>
      </c>
      <c r="S27" s="353">
        <f t="shared" si="2"/>
        <v>0</v>
      </c>
      <c r="T27" s="354"/>
      <c r="U27" s="339" t="s">
        <v>136</v>
      </c>
      <c r="V27" s="345" t="str">
        <f t="shared" si="3"/>
        <v>ja</v>
      </c>
      <c r="W27" s="346">
        <f t="shared" si="7"/>
        <v>0.6583</v>
      </c>
      <c r="X27" s="347">
        <f t="shared" si="8"/>
        <v>0</v>
      </c>
      <c r="Y27" s="347" t="str">
        <f t="shared" si="9"/>
        <v/>
      </c>
    </row>
    <row r="28" spans="1:25" x14ac:dyDescent="0.25">
      <c r="A28" s="332" t="str">
        <f>IF(B28&lt;&gt;"&lt;Selecteer&gt;",MAX($A$4:A27)+1,"")</f>
        <v/>
      </c>
      <c r="B28" s="350" t="s">
        <v>35</v>
      </c>
      <c r="C28" s="334"/>
      <c r="D28" s="335"/>
      <c r="E28" s="351"/>
      <c r="F28" s="337"/>
      <c r="G28" s="337"/>
      <c r="H28" s="339">
        <f t="shared" si="4"/>
        <v>0</v>
      </c>
      <c r="I28" s="352">
        <f t="shared" si="5"/>
        <v>0</v>
      </c>
      <c r="J28" s="353">
        <f t="shared" si="0"/>
        <v>0</v>
      </c>
      <c r="K28" s="354"/>
      <c r="L28" s="342"/>
      <c r="M28" s="338"/>
      <c r="N28" s="355"/>
      <c r="O28" s="338"/>
      <c r="P28" s="338"/>
      <c r="Q28" s="339">
        <f t="shared" si="6"/>
        <v>0</v>
      </c>
      <c r="R28" s="352">
        <f t="shared" si="1"/>
        <v>0</v>
      </c>
      <c r="S28" s="353">
        <f t="shared" si="2"/>
        <v>0</v>
      </c>
      <c r="T28" s="354"/>
      <c r="U28" s="339" t="s">
        <v>136</v>
      </c>
      <c r="V28" s="345" t="str">
        <f t="shared" si="3"/>
        <v>ja</v>
      </c>
      <c r="W28" s="346">
        <f t="shared" si="7"/>
        <v>0.6583</v>
      </c>
      <c r="X28" s="347">
        <f t="shared" si="8"/>
        <v>0</v>
      </c>
      <c r="Y28" s="347" t="str">
        <f t="shared" si="9"/>
        <v/>
      </c>
    </row>
    <row r="29" spans="1:25" x14ac:dyDescent="0.25">
      <c r="A29" s="332" t="str">
        <f>IF(B29&lt;&gt;"&lt;Selecteer&gt;",MAX($A$4:A28)+1,"")</f>
        <v/>
      </c>
      <c r="B29" s="350" t="s">
        <v>35</v>
      </c>
      <c r="C29" s="334"/>
      <c r="D29" s="335"/>
      <c r="E29" s="351"/>
      <c r="F29" s="337"/>
      <c r="G29" s="337"/>
      <c r="H29" s="339">
        <f t="shared" si="4"/>
        <v>0</v>
      </c>
      <c r="I29" s="352">
        <f t="shared" si="5"/>
        <v>0</v>
      </c>
      <c r="J29" s="353">
        <f t="shared" si="0"/>
        <v>0</v>
      </c>
      <c r="K29" s="354"/>
      <c r="L29" s="342"/>
      <c r="M29" s="338"/>
      <c r="N29" s="355"/>
      <c r="O29" s="338"/>
      <c r="P29" s="338"/>
      <c r="Q29" s="339">
        <f t="shared" si="6"/>
        <v>0</v>
      </c>
      <c r="R29" s="352">
        <f t="shared" si="1"/>
        <v>0</v>
      </c>
      <c r="S29" s="353">
        <f t="shared" si="2"/>
        <v>0</v>
      </c>
      <c r="T29" s="354"/>
      <c r="U29" s="339" t="s">
        <v>136</v>
      </c>
      <c r="V29" s="345" t="str">
        <f t="shared" si="3"/>
        <v>ja</v>
      </c>
      <c r="W29" s="346">
        <f t="shared" si="7"/>
        <v>0.6583</v>
      </c>
      <c r="X29" s="347">
        <f t="shared" si="8"/>
        <v>0</v>
      </c>
      <c r="Y29" s="347" t="str">
        <f t="shared" si="9"/>
        <v/>
      </c>
    </row>
    <row r="30" spans="1:25" x14ac:dyDescent="0.25">
      <c r="A30" s="332" t="str">
        <f>IF(B30&lt;&gt;"&lt;Selecteer&gt;",MAX($A$4:A29)+1,"")</f>
        <v/>
      </c>
      <c r="B30" s="350" t="s">
        <v>35</v>
      </c>
      <c r="C30" s="334"/>
      <c r="D30" s="335"/>
      <c r="E30" s="351"/>
      <c r="F30" s="337"/>
      <c r="G30" s="337"/>
      <c r="H30" s="339">
        <f t="shared" si="4"/>
        <v>0</v>
      </c>
      <c r="I30" s="352">
        <f t="shared" si="5"/>
        <v>0</v>
      </c>
      <c r="J30" s="353">
        <f t="shared" si="0"/>
        <v>0</v>
      </c>
      <c r="K30" s="354"/>
      <c r="L30" s="342"/>
      <c r="M30" s="338"/>
      <c r="N30" s="355"/>
      <c r="O30" s="338"/>
      <c r="P30" s="338"/>
      <c r="Q30" s="339">
        <f t="shared" si="6"/>
        <v>0</v>
      </c>
      <c r="R30" s="352">
        <f t="shared" si="1"/>
        <v>0</v>
      </c>
      <c r="S30" s="353">
        <f t="shared" si="2"/>
        <v>0</v>
      </c>
      <c r="T30" s="354"/>
      <c r="U30" s="339" t="s">
        <v>136</v>
      </c>
      <c r="V30" s="345" t="str">
        <f t="shared" si="3"/>
        <v>ja</v>
      </c>
      <c r="W30" s="346">
        <f t="shared" si="7"/>
        <v>0.6583</v>
      </c>
      <c r="X30" s="347">
        <f t="shared" si="8"/>
        <v>0</v>
      </c>
      <c r="Y30" s="347" t="str">
        <f t="shared" si="9"/>
        <v/>
      </c>
    </row>
    <row r="31" spans="1:25" x14ac:dyDescent="0.25">
      <c r="A31" s="332" t="str">
        <f>IF(B31&lt;&gt;"&lt;Selecteer&gt;",MAX($A$4:A30)+1,"")</f>
        <v/>
      </c>
      <c r="B31" s="350" t="s">
        <v>35</v>
      </c>
      <c r="C31" s="334"/>
      <c r="D31" s="335"/>
      <c r="E31" s="351"/>
      <c r="F31" s="337"/>
      <c r="G31" s="337"/>
      <c r="H31" s="339">
        <f t="shared" si="4"/>
        <v>0</v>
      </c>
      <c r="I31" s="352">
        <f t="shared" si="5"/>
        <v>0</v>
      </c>
      <c r="J31" s="353">
        <f t="shared" si="0"/>
        <v>0</v>
      </c>
      <c r="K31" s="354"/>
      <c r="L31" s="342"/>
      <c r="M31" s="338"/>
      <c r="N31" s="355"/>
      <c r="O31" s="338"/>
      <c r="P31" s="338"/>
      <c r="Q31" s="339">
        <f t="shared" si="6"/>
        <v>0</v>
      </c>
      <c r="R31" s="352">
        <f t="shared" si="1"/>
        <v>0</v>
      </c>
      <c r="S31" s="353">
        <f t="shared" si="2"/>
        <v>0</v>
      </c>
      <c r="T31" s="354"/>
      <c r="U31" s="339" t="s">
        <v>136</v>
      </c>
      <c r="V31" s="345" t="str">
        <f t="shared" si="3"/>
        <v>ja</v>
      </c>
      <c r="W31" s="346">
        <f t="shared" si="7"/>
        <v>0.6583</v>
      </c>
      <c r="X31" s="347">
        <f t="shared" si="8"/>
        <v>0</v>
      </c>
      <c r="Y31" s="347" t="str">
        <f t="shared" si="9"/>
        <v/>
      </c>
    </row>
    <row r="32" spans="1:25" x14ac:dyDescent="0.25">
      <c r="A32" s="332" t="str">
        <f>IF(B32&lt;&gt;"&lt;Selecteer&gt;",MAX($A$4:A31)+1,"")</f>
        <v/>
      </c>
      <c r="B32" s="350" t="s">
        <v>35</v>
      </c>
      <c r="C32" s="334"/>
      <c r="D32" s="335"/>
      <c r="E32" s="351"/>
      <c r="F32" s="337"/>
      <c r="G32" s="337"/>
      <c r="H32" s="339">
        <f t="shared" si="4"/>
        <v>0</v>
      </c>
      <c r="I32" s="352">
        <f t="shared" si="5"/>
        <v>0</v>
      </c>
      <c r="J32" s="353">
        <f t="shared" si="0"/>
        <v>0</v>
      </c>
      <c r="K32" s="354"/>
      <c r="L32" s="342"/>
      <c r="M32" s="338"/>
      <c r="N32" s="355"/>
      <c r="O32" s="338"/>
      <c r="P32" s="338"/>
      <c r="Q32" s="339">
        <f t="shared" si="6"/>
        <v>0</v>
      </c>
      <c r="R32" s="352">
        <f t="shared" si="1"/>
        <v>0</v>
      </c>
      <c r="S32" s="353">
        <f t="shared" si="2"/>
        <v>0</v>
      </c>
      <c r="T32" s="354"/>
      <c r="U32" s="339" t="s">
        <v>136</v>
      </c>
      <c r="V32" s="345" t="str">
        <f t="shared" si="3"/>
        <v>ja</v>
      </c>
      <c r="W32" s="346">
        <f t="shared" si="7"/>
        <v>0.6583</v>
      </c>
      <c r="X32" s="347">
        <f t="shared" si="8"/>
        <v>0</v>
      </c>
      <c r="Y32" s="347" t="str">
        <f t="shared" si="9"/>
        <v/>
      </c>
    </row>
    <row r="33" spans="1:25" x14ac:dyDescent="0.25">
      <c r="A33" s="332" t="str">
        <f>IF(B33&lt;&gt;"&lt;Selecteer&gt;",MAX($A$4:A32)+1,"")</f>
        <v/>
      </c>
      <c r="B33" s="350" t="s">
        <v>35</v>
      </c>
      <c r="C33" s="334"/>
      <c r="D33" s="335"/>
      <c r="E33" s="351"/>
      <c r="F33" s="337"/>
      <c r="G33" s="337"/>
      <c r="H33" s="339">
        <f t="shared" si="4"/>
        <v>0</v>
      </c>
      <c r="I33" s="352">
        <f t="shared" si="5"/>
        <v>0</v>
      </c>
      <c r="J33" s="353">
        <f t="shared" si="0"/>
        <v>0</v>
      </c>
      <c r="K33" s="354"/>
      <c r="L33" s="342"/>
      <c r="M33" s="338"/>
      <c r="N33" s="355"/>
      <c r="O33" s="338"/>
      <c r="P33" s="338"/>
      <c r="Q33" s="339">
        <f t="shared" si="6"/>
        <v>0</v>
      </c>
      <c r="R33" s="352">
        <f t="shared" si="1"/>
        <v>0</v>
      </c>
      <c r="S33" s="353">
        <f t="shared" si="2"/>
        <v>0</v>
      </c>
      <c r="T33" s="354"/>
      <c r="U33" s="339" t="s">
        <v>136</v>
      </c>
      <c r="V33" s="345" t="str">
        <f t="shared" si="3"/>
        <v>ja</v>
      </c>
      <c r="W33" s="346">
        <f t="shared" si="7"/>
        <v>0.6583</v>
      </c>
      <c r="X33" s="347">
        <f t="shared" si="8"/>
        <v>0</v>
      </c>
      <c r="Y33" s="347" t="str">
        <f t="shared" si="9"/>
        <v/>
      </c>
    </row>
    <row r="34" spans="1:25" x14ac:dyDescent="0.25">
      <c r="A34" s="332" t="str">
        <f>IF(B34&lt;&gt;"&lt;Selecteer&gt;",MAX($A$4:A33)+1,"")</f>
        <v/>
      </c>
      <c r="B34" s="350" t="s">
        <v>35</v>
      </c>
      <c r="C34" s="334"/>
      <c r="D34" s="335"/>
      <c r="E34" s="351"/>
      <c r="F34" s="337"/>
      <c r="G34" s="337"/>
      <c r="H34" s="339">
        <f t="shared" si="4"/>
        <v>0</v>
      </c>
      <c r="I34" s="352">
        <f t="shared" si="5"/>
        <v>0</v>
      </c>
      <c r="J34" s="353">
        <f t="shared" si="0"/>
        <v>0</v>
      </c>
      <c r="K34" s="354"/>
      <c r="L34" s="342"/>
      <c r="M34" s="338"/>
      <c r="N34" s="355"/>
      <c r="O34" s="338"/>
      <c r="P34" s="338"/>
      <c r="Q34" s="339">
        <f t="shared" si="6"/>
        <v>0</v>
      </c>
      <c r="R34" s="352">
        <f t="shared" si="1"/>
        <v>0</v>
      </c>
      <c r="S34" s="353">
        <f t="shared" si="2"/>
        <v>0</v>
      </c>
      <c r="T34" s="354"/>
      <c r="U34" s="339" t="s">
        <v>136</v>
      </c>
      <c r="V34" s="345" t="str">
        <f t="shared" si="3"/>
        <v>ja</v>
      </c>
      <c r="W34" s="346">
        <f t="shared" si="7"/>
        <v>0.6583</v>
      </c>
      <c r="X34" s="347">
        <f t="shared" si="8"/>
        <v>0</v>
      </c>
      <c r="Y34" s="347" t="str">
        <f t="shared" si="9"/>
        <v/>
      </c>
    </row>
    <row r="35" spans="1:25" x14ac:dyDescent="0.25">
      <c r="A35" s="332" t="str">
        <f>IF(B35&lt;&gt;"&lt;Selecteer&gt;",MAX($A$4:A34)+1,"")</f>
        <v/>
      </c>
      <c r="B35" s="350" t="s">
        <v>35</v>
      </c>
      <c r="C35" s="334"/>
      <c r="D35" s="335"/>
      <c r="E35" s="351"/>
      <c r="F35" s="337"/>
      <c r="G35" s="337"/>
      <c r="H35" s="339">
        <f t="shared" si="4"/>
        <v>0</v>
      </c>
      <c r="I35" s="352">
        <f t="shared" si="5"/>
        <v>0</v>
      </c>
      <c r="J35" s="353">
        <f t="shared" si="0"/>
        <v>0</v>
      </c>
      <c r="K35" s="354"/>
      <c r="L35" s="342"/>
      <c r="M35" s="338"/>
      <c r="N35" s="355"/>
      <c r="O35" s="338"/>
      <c r="P35" s="338"/>
      <c r="Q35" s="339">
        <f t="shared" si="6"/>
        <v>0</v>
      </c>
      <c r="R35" s="352">
        <f t="shared" si="1"/>
        <v>0</v>
      </c>
      <c r="S35" s="353">
        <f t="shared" si="2"/>
        <v>0</v>
      </c>
      <c r="T35" s="354"/>
      <c r="U35" s="339" t="s">
        <v>136</v>
      </c>
      <c r="V35" s="345" t="str">
        <f t="shared" si="3"/>
        <v>ja</v>
      </c>
      <c r="W35" s="346">
        <f t="shared" si="7"/>
        <v>0.6583</v>
      </c>
      <c r="X35" s="347">
        <f t="shared" si="8"/>
        <v>0</v>
      </c>
      <c r="Y35" s="347" t="str">
        <f t="shared" si="9"/>
        <v/>
      </c>
    </row>
    <row r="36" spans="1:25" x14ac:dyDescent="0.25">
      <c r="A36" s="332" t="str">
        <f>IF(B36&lt;&gt;"&lt;Selecteer&gt;",MAX($A$4:A35)+1,"")</f>
        <v/>
      </c>
      <c r="B36" s="350" t="s">
        <v>35</v>
      </c>
      <c r="C36" s="334"/>
      <c r="D36" s="335"/>
      <c r="E36" s="351"/>
      <c r="F36" s="337"/>
      <c r="G36" s="337"/>
      <c r="H36" s="339">
        <f t="shared" si="4"/>
        <v>0</v>
      </c>
      <c r="I36" s="352">
        <f t="shared" si="5"/>
        <v>0</v>
      </c>
      <c r="J36" s="353">
        <f t="shared" si="0"/>
        <v>0</v>
      </c>
      <c r="K36" s="354"/>
      <c r="L36" s="342"/>
      <c r="M36" s="338"/>
      <c r="N36" s="355"/>
      <c r="O36" s="338"/>
      <c r="P36" s="338"/>
      <c r="Q36" s="339">
        <f t="shared" si="6"/>
        <v>0</v>
      </c>
      <c r="R36" s="352">
        <f t="shared" si="1"/>
        <v>0</v>
      </c>
      <c r="S36" s="353">
        <f t="shared" si="2"/>
        <v>0</v>
      </c>
      <c r="T36" s="354"/>
      <c r="U36" s="339" t="s">
        <v>136</v>
      </c>
      <c r="V36" s="345" t="str">
        <f t="shared" si="3"/>
        <v>ja</v>
      </c>
      <c r="W36" s="346">
        <f t="shared" si="7"/>
        <v>0.6583</v>
      </c>
      <c r="X36" s="347">
        <f t="shared" si="8"/>
        <v>0</v>
      </c>
      <c r="Y36" s="347" t="str">
        <f t="shared" si="9"/>
        <v/>
      </c>
    </row>
    <row r="37" spans="1:25" x14ac:dyDescent="0.25">
      <c r="A37" s="332" t="str">
        <f>IF(B37&lt;&gt;"&lt;Selecteer&gt;",MAX($A$4:A36)+1,"")</f>
        <v/>
      </c>
      <c r="B37" s="350" t="s">
        <v>35</v>
      </c>
      <c r="C37" s="334"/>
      <c r="D37" s="335"/>
      <c r="E37" s="351"/>
      <c r="F37" s="337"/>
      <c r="G37" s="337"/>
      <c r="H37" s="339">
        <f t="shared" si="4"/>
        <v>0</v>
      </c>
      <c r="I37" s="352">
        <f t="shared" si="5"/>
        <v>0</v>
      </c>
      <c r="J37" s="353">
        <f t="shared" ref="J37:J54" si="10">IF($B37="nee",IFERROR(ROUND(H37*(1+$W37)/I37,2),0),0)</f>
        <v>0</v>
      </c>
      <c r="K37" s="354"/>
      <c r="L37" s="342"/>
      <c r="M37" s="338"/>
      <c r="N37" s="355"/>
      <c r="O37" s="338"/>
      <c r="P37" s="338"/>
      <c r="Q37" s="339">
        <f t="shared" si="6"/>
        <v>0</v>
      </c>
      <c r="R37" s="352">
        <f t="shared" ref="R37:R54" si="11">1720*N37/40</f>
        <v>0</v>
      </c>
      <c r="S37" s="353">
        <f t="shared" ref="S37:S54" si="12">IF($B37="nee",IFERROR(ROUND(Q37*(1+$W37)/R37,2),0),0)</f>
        <v>0</v>
      </c>
      <c r="T37" s="354"/>
      <c r="U37" s="339" t="s">
        <v>136</v>
      </c>
      <c r="V37" s="345" t="str">
        <f t="shared" ref="V37:V54" si="13">IF(Methode_Keuze&lt;&gt;"",IF($C$2="Vereenvoudigde kostenoptie voor overige kosten","nee","ja"),"ja")</f>
        <v>ja</v>
      </c>
      <c r="W37" s="346">
        <f t="shared" si="7"/>
        <v>0.6583</v>
      </c>
      <c r="X37" s="347">
        <f t="shared" si="8"/>
        <v>0</v>
      </c>
      <c r="Y37" s="347" t="str">
        <f t="shared" si="9"/>
        <v/>
      </c>
    </row>
    <row r="38" spans="1:25" x14ac:dyDescent="0.25">
      <c r="A38" s="332" t="str">
        <f>IF(B38&lt;&gt;"&lt;Selecteer&gt;",MAX($A$4:A37)+1,"")</f>
        <v/>
      </c>
      <c r="B38" s="350" t="s">
        <v>35</v>
      </c>
      <c r="C38" s="334"/>
      <c r="D38" s="335"/>
      <c r="E38" s="351"/>
      <c r="F38" s="337"/>
      <c r="G38" s="337"/>
      <c r="H38" s="339">
        <f t="shared" si="4"/>
        <v>0</v>
      </c>
      <c r="I38" s="352">
        <f t="shared" si="5"/>
        <v>0</v>
      </c>
      <c r="J38" s="353">
        <f t="shared" si="10"/>
        <v>0</v>
      </c>
      <c r="K38" s="354"/>
      <c r="L38" s="342"/>
      <c r="M38" s="338"/>
      <c r="N38" s="355"/>
      <c r="O38" s="338"/>
      <c r="P38" s="338"/>
      <c r="Q38" s="339">
        <f t="shared" si="6"/>
        <v>0</v>
      </c>
      <c r="R38" s="352">
        <f t="shared" si="11"/>
        <v>0</v>
      </c>
      <c r="S38" s="353">
        <f t="shared" si="12"/>
        <v>0</v>
      </c>
      <c r="T38" s="354"/>
      <c r="U38" s="339" t="s">
        <v>136</v>
      </c>
      <c r="V38" s="345" t="str">
        <f t="shared" si="13"/>
        <v>ja</v>
      </c>
      <c r="W38" s="346">
        <f t="shared" si="7"/>
        <v>0.6583</v>
      </c>
      <c r="X38" s="347">
        <f t="shared" si="8"/>
        <v>0</v>
      </c>
      <c r="Y38" s="347" t="str">
        <f t="shared" si="9"/>
        <v/>
      </c>
    </row>
    <row r="39" spans="1:25" x14ac:dyDescent="0.25">
      <c r="A39" s="332" t="str">
        <f>IF(B39&lt;&gt;"&lt;Selecteer&gt;",MAX($A$4:A38)+1,"")</f>
        <v/>
      </c>
      <c r="B39" s="350" t="s">
        <v>35</v>
      </c>
      <c r="C39" s="334"/>
      <c r="D39" s="335"/>
      <c r="E39" s="351"/>
      <c r="F39" s="337"/>
      <c r="G39" s="337"/>
      <c r="H39" s="339">
        <f t="shared" si="4"/>
        <v>0</v>
      </c>
      <c r="I39" s="352">
        <f t="shared" si="5"/>
        <v>0</v>
      </c>
      <c r="J39" s="353">
        <f t="shared" si="10"/>
        <v>0</v>
      </c>
      <c r="K39" s="354"/>
      <c r="L39" s="342"/>
      <c r="M39" s="338"/>
      <c r="N39" s="355"/>
      <c r="O39" s="338"/>
      <c r="P39" s="338"/>
      <c r="Q39" s="339">
        <f t="shared" si="6"/>
        <v>0</v>
      </c>
      <c r="R39" s="352">
        <f t="shared" si="11"/>
        <v>0</v>
      </c>
      <c r="S39" s="353">
        <f t="shared" si="12"/>
        <v>0</v>
      </c>
      <c r="T39" s="354"/>
      <c r="U39" s="339" t="s">
        <v>136</v>
      </c>
      <c r="V39" s="345" t="str">
        <f t="shared" si="13"/>
        <v>ja</v>
      </c>
      <c r="W39" s="346">
        <f t="shared" si="7"/>
        <v>0.6583</v>
      </c>
      <c r="X39" s="347">
        <f t="shared" si="8"/>
        <v>0</v>
      </c>
      <c r="Y39" s="347" t="str">
        <f t="shared" si="9"/>
        <v/>
      </c>
    </row>
    <row r="40" spans="1:25" x14ac:dyDescent="0.25">
      <c r="A40" s="332" t="str">
        <f>IF(B40&lt;&gt;"&lt;Selecteer&gt;",MAX($A$4:A39)+1,"")</f>
        <v/>
      </c>
      <c r="B40" s="350" t="s">
        <v>35</v>
      </c>
      <c r="C40" s="334"/>
      <c r="D40" s="335"/>
      <c r="E40" s="351"/>
      <c r="F40" s="337"/>
      <c r="G40" s="337"/>
      <c r="H40" s="339">
        <f t="shared" si="4"/>
        <v>0</v>
      </c>
      <c r="I40" s="352">
        <f t="shared" si="5"/>
        <v>0</v>
      </c>
      <c r="J40" s="353">
        <f t="shared" si="10"/>
        <v>0</v>
      </c>
      <c r="K40" s="354"/>
      <c r="L40" s="342"/>
      <c r="M40" s="338"/>
      <c r="N40" s="355"/>
      <c r="O40" s="338"/>
      <c r="P40" s="338"/>
      <c r="Q40" s="339">
        <f t="shared" si="6"/>
        <v>0</v>
      </c>
      <c r="R40" s="352">
        <f t="shared" si="11"/>
        <v>0</v>
      </c>
      <c r="S40" s="353">
        <f t="shared" si="12"/>
        <v>0</v>
      </c>
      <c r="T40" s="354"/>
      <c r="U40" s="339" t="s">
        <v>136</v>
      </c>
      <c r="V40" s="345" t="str">
        <f t="shared" si="13"/>
        <v>ja</v>
      </c>
      <c r="W40" s="346">
        <f t="shared" si="7"/>
        <v>0.6583</v>
      </c>
      <c r="X40" s="347">
        <f t="shared" si="8"/>
        <v>0</v>
      </c>
      <c r="Y40" s="347" t="str">
        <f t="shared" si="9"/>
        <v/>
      </c>
    </row>
    <row r="41" spans="1:25" x14ac:dyDescent="0.25">
      <c r="A41" s="332" t="str">
        <f>IF(B41&lt;&gt;"&lt;Selecteer&gt;",MAX($A$4:A40)+1,"")</f>
        <v/>
      </c>
      <c r="B41" s="350" t="s">
        <v>35</v>
      </c>
      <c r="C41" s="334"/>
      <c r="D41" s="335"/>
      <c r="E41" s="351"/>
      <c r="F41" s="337"/>
      <c r="G41" s="337"/>
      <c r="H41" s="339">
        <f t="shared" si="4"/>
        <v>0</v>
      </c>
      <c r="I41" s="352">
        <f t="shared" si="5"/>
        <v>0</v>
      </c>
      <c r="J41" s="353">
        <f t="shared" si="10"/>
        <v>0</v>
      </c>
      <c r="K41" s="354"/>
      <c r="L41" s="342"/>
      <c r="M41" s="338"/>
      <c r="N41" s="355"/>
      <c r="O41" s="338"/>
      <c r="P41" s="338"/>
      <c r="Q41" s="339">
        <f t="shared" si="6"/>
        <v>0</v>
      </c>
      <c r="R41" s="352">
        <f t="shared" si="11"/>
        <v>0</v>
      </c>
      <c r="S41" s="353">
        <f t="shared" si="12"/>
        <v>0</v>
      </c>
      <c r="T41" s="354"/>
      <c r="U41" s="339" t="s">
        <v>136</v>
      </c>
      <c r="V41" s="345" t="str">
        <f t="shared" si="13"/>
        <v>ja</v>
      </c>
      <c r="W41" s="346">
        <f t="shared" si="7"/>
        <v>0.6583</v>
      </c>
      <c r="X41" s="347">
        <f t="shared" si="8"/>
        <v>0</v>
      </c>
      <c r="Y41" s="347" t="str">
        <f t="shared" si="9"/>
        <v/>
      </c>
    </row>
    <row r="42" spans="1:25" x14ac:dyDescent="0.25">
      <c r="A42" s="332" t="str">
        <f>IF(B42&lt;&gt;"&lt;Selecteer&gt;",MAX($A$4:A41)+1,"")</f>
        <v/>
      </c>
      <c r="B42" s="350" t="s">
        <v>35</v>
      </c>
      <c r="C42" s="334"/>
      <c r="D42" s="335"/>
      <c r="E42" s="351"/>
      <c r="F42" s="337"/>
      <c r="G42" s="337"/>
      <c r="H42" s="339">
        <f t="shared" si="4"/>
        <v>0</v>
      </c>
      <c r="I42" s="352">
        <f t="shared" si="5"/>
        <v>0</v>
      </c>
      <c r="J42" s="353">
        <f t="shared" si="10"/>
        <v>0</v>
      </c>
      <c r="K42" s="354"/>
      <c r="L42" s="342"/>
      <c r="M42" s="338"/>
      <c r="N42" s="355"/>
      <c r="O42" s="338"/>
      <c r="P42" s="338"/>
      <c r="Q42" s="339">
        <f t="shared" si="6"/>
        <v>0</v>
      </c>
      <c r="R42" s="352">
        <f t="shared" si="11"/>
        <v>0</v>
      </c>
      <c r="S42" s="353">
        <f t="shared" si="12"/>
        <v>0</v>
      </c>
      <c r="T42" s="354"/>
      <c r="U42" s="339" t="s">
        <v>136</v>
      </c>
      <c r="V42" s="345" t="str">
        <f t="shared" si="13"/>
        <v>ja</v>
      </c>
      <c r="W42" s="346">
        <f t="shared" si="7"/>
        <v>0.6583</v>
      </c>
      <c r="X42" s="347">
        <f t="shared" si="8"/>
        <v>0</v>
      </c>
      <c r="Y42" s="347" t="str">
        <f t="shared" si="9"/>
        <v/>
      </c>
    </row>
    <row r="43" spans="1:25" x14ac:dyDescent="0.25">
      <c r="A43" s="332" t="str">
        <f>IF(B43&lt;&gt;"&lt;Selecteer&gt;",MAX($A$4:A42)+1,"")</f>
        <v/>
      </c>
      <c r="B43" s="350" t="s">
        <v>35</v>
      </c>
      <c r="C43" s="334"/>
      <c r="D43" s="335"/>
      <c r="E43" s="351"/>
      <c r="F43" s="337"/>
      <c r="G43" s="337"/>
      <c r="H43" s="339">
        <f t="shared" si="4"/>
        <v>0</v>
      </c>
      <c r="I43" s="352">
        <f t="shared" si="5"/>
        <v>0</v>
      </c>
      <c r="J43" s="353">
        <f t="shared" si="10"/>
        <v>0</v>
      </c>
      <c r="K43" s="354"/>
      <c r="L43" s="342"/>
      <c r="M43" s="338"/>
      <c r="N43" s="355"/>
      <c r="O43" s="338"/>
      <c r="P43" s="338"/>
      <c r="Q43" s="339">
        <f t="shared" si="6"/>
        <v>0</v>
      </c>
      <c r="R43" s="352">
        <f t="shared" si="11"/>
        <v>0</v>
      </c>
      <c r="S43" s="353">
        <f t="shared" si="12"/>
        <v>0</v>
      </c>
      <c r="T43" s="354"/>
      <c r="U43" s="339" t="s">
        <v>136</v>
      </c>
      <c r="V43" s="345" t="str">
        <f t="shared" si="13"/>
        <v>ja</v>
      </c>
      <c r="W43" s="346">
        <f t="shared" si="7"/>
        <v>0.6583</v>
      </c>
      <c r="X43" s="347">
        <f t="shared" si="8"/>
        <v>0</v>
      </c>
      <c r="Y43" s="347" t="str">
        <f t="shared" si="9"/>
        <v/>
      </c>
    </row>
    <row r="44" spans="1:25" x14ac:dyDescent="0.25">
      <c r="A44" s="332" t="str">
        <f>IF(B44&lt;&gt;"&lt;Selecteer&gt;",MAX($A$4:A43)+1,"")</f>
        <v/>
      </c>
      <c r="B44" s="350" t="s">
        <v>35</v>
      </c>
      <c r="C44" s="334"/>
      <c r="D44" s="335"/>
      <c r="E44" s="351"/>
      <c r="F44" s="337"/>
      <c r="G44" s="337"/>
      <c r="H44" s="339">
        <f t="shared" si="4"/>
        <v>0</v>
      </c>
      <c r="I44" s="352">
        <f t="shared" si="5"/>
        <v>0</v>
      </c>
      <c r="J44" s="353">
        <f t="shared" si="10"/>
        <v>0</v>
      </c>
      <c r="K44" s="354"/>
      <c r="L44" s="342"/>
      <c r="M44" s="338"/>
      <c r="N44" s="355"/>
      <c r="O44" s="338"/>
      <c r="P44" s="338"/>
      <c r="Q44" s="339">
        <f t="shared" si="6"/>
        <v>0</v>
      </c>
      <c r="R44" s="352">
        <f t="shared" si="11"/>
        <v>0</v>
      </c>
      <c r="S44" s="353">
        <f t="shared" si="12"/>
        <v>0</v>
      </c>
      <c r="T44" s="354"/>
      <c r="U44" s="339" t="s">
        <v>136</v>
      </c>
      <c r="V44" s="345" t="str">
        <f t="shared" si="13"/>
        <v>ja</v>
      </c>
      <c r="W44" s="346">
        <f t="shared" si="7"/>
        <v>0.6583</v>
      </c>
      <c r="X44" s="347">
        <f t="shared" si="8"/>
        <v>0</v>
      </c>
      <c r="Y44" s="347" t="str">
        <f t="shared" si="9"/>
        <v/>
      </c>
    </row>
    <row r="45" spans="1:25" x14ac:dyDescent="0.25">
      <c r="A45" s="332" t="str">
        <f>IF(B45&lt;&gt;"&lt;Selecteer&gt;",MAX($A$4:A44)+1,"")</f>
        <v/>
      </c>
      <c r="B45" s="350" t="s">
        <v>35</v>
      </c>
      <c r="C45" s="334"/>
      <c r="D45" s="335"/>
      <c r="E45" s="351"/>
      <c r="F45" s="337"/>
      <c r="G45" s="337"/>
      <c r="H45" s="339">
        <f t="shared" si="4"/>
        <v>0</v>
      </c>
      <c r="I45" s="352">
        <f t="shared" si="5"/>
        <v>0</v>
      </c>
      <c r="J45" s="353">
        <f t="shared" si="10"/>
        <v>0</v>
      </c>
      <c r="K45" s="354"/>
      <c r="L45" s="342"/>
      <c r="M45" s="338"/>
      <c r="N45" s="355"/>
      <c r="O45" s="338"/>
      <c r="P45" s="338"/>
      <c r="Q45" s="339">
        <f t="shared" si="6"/>
        <v>0</v>
      </c>
      <c r="R45" s="352">
        <f t="shared" si="11"/>
        <v>0</v>
      </c>
      <c r="S45" s="353">
        <f t="shared" si="12"/>
        <v>0</v>
      </c>
      <c r="T45" s="354"/>
      <c r="U45" s="339" t="s">
        <v>136</v>
      </c>
      <c r="V45" s="345" t="str">
        <f t="shared" si="13"/>
        <v>ja</v>
      </c>
      <c r="W45" s="346">
        <f t="shared" si="7"/>
        <v>0.6583</v>
      </c>
      <c r="X45" s="347">
        <f t="shared" si="8"/>
        <v>0</v>
      </c>
      <c r="Y45" s="347" t="str">
        <f t="shared" si="9"/>
        <v/>
      </c>
    </row>
    <row r="46" spans="1:25" x14ac:dyDescent="0.25">
      <c r="A46" s="332" t="str">
        <f>IF(B46&lt;&gt;"&lt;Selecteer&gt;",MAX($A$4:A45)+1,"")</f>
        <v/>
      </c>
      <c r="B46" s="350" t="s">
        <v>35</v>
      </c>
      <c r="C46" s="334"/>
      <c r="D46" s="335"/>
      <c r="E46" s="351"/>
      <c r="F46" s="337"/>
      <c r="G46" s="337"/>
      <c r="H46" s="339">
        <f t="shared" si="4"/>
        <v>0</v>
      </c>
      <c r="I46" s="352">
        <f t="shared" si="5"/>
        <v>0</v>
      </c>
      <c r="J46" s="353">
        <f t="shared" si="10"/>
        <v>0</v>
      </c>
      <c r="K46" s="354"/>
      <c r="L46" s="342"/>
      <c r="M46" s="338"/>
      <c r="N46" s="355"/>
      <c r="O46" s="338"/>
      <c r="P46" s="338"/>
      <c r="Q46" s="339">
        <f t="shared" si="6"/>
        <v>0</v>
      </c>
      <c r="R46" s="352">
        <f t="shared" si="11"/>
        <v>0</v>
      </c>
      <c r="S46" s="353">
        <f t="shared" si="12"/>
        <v>0</v>
      </c>
      <c r="T46" s="354"/>
      <c r="U46" s="339" t="s">
        <v>136</v>
      </c>
      <c r="V46" s="345" t="str">
        <f t="shared" si="13"/>
        <v>ja</v>
      </c>
      <c r="W46" s="346">
        <f t="shared" si="7"/>
        <v>0.6583</v>
      </c>
      <c r="X46" s="347">
        <f t="shared" si="8"/>
        <v>0</v>
      </c>
      <c r="Y46" s="347" t="str">
        <f t="shared" si="9"/>
        <v/>
      </c>
    </row>
    <row r="47" spans="1:25" x14ac:dyDescent="0.25">
      <c r="A47" s="332" t="str">
        <f>IF(B47&lt;&gt;"&lt;Selecteer&gt;",MAX($A$4:A46)+1,"")</f>
        <v/>
      </c>
      <c r="B47" s="350" t="s">
        <v>35</v>
      </c>
      <c r="C47" s="334"/>
      <c r="D47" s="335"/>
      <c r="E47" s="351"/>
      <c r="F47" s="337"/>
      <c r="G47" s="337"/>
      <c r="H47" s="339">
        <f t="shared" si="4"/>
        <v>0</v>
      </c>
      <c r="I47" s="352">
        <f t="shared" si="5"/>
        <v>0</v>
      </c>
      <c r="J47" s="353">
        <f t="shared" si="10"/>
        <v>0</v>
      </c>
      <c r="K47" s="354"/>
      <c r="L47" s="342"/>
      <c r="M47" s="338"/>
      <c r="N47" s="355"/>
      <c r="O47" s="338"/>
      <c r="P47" s="338"/>
      <c r="Q47" s="339">
        <f t="shared" si="6"/>
        <v>0</v>
      </c>
      <c r="R47" s="352">
        <f t="shared" si="11"/>
        <v>0</v>
      </c>
      <c r="S47" s="353">
        <f t="shared" si="12"/>
        <v>0</v>
      </c>
      <c r="T47" s="354"/>
      <c r="U47" s="339" t="s">
        <v>136</v>
      </c>
      <c r="V47" s="345" t="str">
        <f t="shared" si="13"/>
        <v>ja</v>
      </c>
      <c r="W47" s="346">
        <f t="shared" si="7"/>
        <v>0.6583</v>
      </c>
      <c r="X47" s="347">
        <f t="shared" si="8"/>
        <v>0</v>
      </c>
      <c r="Y47" s="347" t="str">
        <f t="shared" si="9"/>
        <v/>
      </c>
    </row>
    <row r="48" spans="1:25" x14ac:dyDescent="0.25">
      <c r="A48" s="332" t="str">
        <f>IF(B48&lt;&gt;"&lt;Selecteer&gt;",MAX($A$4:A47)+1,"")</f>
        <v/>
      </c>
      <c r="B48" s="350" t="s">
        <v>35</v>
      </c>
      <c r="C48" s="334"/>
      <c r="D48" s="335"/>
      <c r="E48" s="351"/>
      <c r="F48" s="337"/>
      <c r="G48" s="337"/>
      <c r="H48" s="339">
        <f t="shared" si="4"/>
        <v>0</v>
      </c>
      <c r="I48" s="352">
        <f t="shared" si="5"/>
        <v>0</v>
      </c>
      <c r="J48" s="353">
        <f t="shared" si="10"/>
        <v>0</v>
      </c>
      <c r="K48" s="354"/>
      <c r="L48" s="342"/>
      <c r="M48" s="338"/>
      <c r="N48" s="355"/>
      <c r="O48" s="338"/>
      <c r="P48" s="338"/>
      <c r="Q48" s="339">
        <f t="shared" si="6"/>
        <v>0</v>
      </c>
      <c r="R48" s="352">
        <f t="shared" si="11"/>
        <v>0</v>
      </c>
      <c r="S48" s="353">
        <f t="shared" si="12"/>
        <v>0</v>
      </c>
      <c r="T48" s="354"/>
      <c r="U48" s="339" t="s">
        <v>136</v>
      </c>
      <c r="V48" s="345" t="str">
        <f t="shared" si="13"/>
        <v>ja</v>
      </c>
      <c r="W48" s="346">
        <f t="shared" si="7"/>
        <v>0.6583</v>
      </c>
      <c r="X48" s="347">
        <f t="shared" si="8"/>
        <v>0</v>
      </c>
      <c r="Y48" s="347" t="str">
        <f t="shared" si="9"/>
        <v/>
      </c>
    </row>
    <row r="49" spans="1:25" x14ac:dyDescent="0.25">
      <c r="A49" s="332" t="str">
        <f>IF(B49&lt;&gt;"&lt;Selecteer&gt;",MAX($A$4:A48)+1,"")</f>
        <v/>
      </c>
      <c r="B49" s="350" t="s">
        <v>35</v>
      </c>
      <c r="C49" s="334"/>
      <c r="D49" s="335"/>
      <c r="E49" s="351"/>
      <c r="F49" s="337"/>
      <c r="G49" s="337"/>
      <c r="H49" s="339">
        <f t="shared" si="4"/>
        <v>0</v>
      </c>
      <c r="I49" s="352">
        <f t="shared" si="5"/>
        <v>0</v>
      </c>
      <c r="J49" s="353">
        <f t="shared" si="10"/>
        <v>0</v>
      </c>
      <c r="K49" s="354"/>
      <c r="L49" s="342"/>
      <c r="M49" s="338"/>
      <c r="N49" s="355"/>
      <c r="O49" s="338"/>
      <c r="P49" s="338"/>
      <c r="Q49" s="339">
        <f t="shared" si="6"/>
        <v>0</v>
      </c>
      <c r="R49" s="352">
        <f t="shared" si="11"/>
        <v>0</v>
      </c>
      <c r="S49" s="353">
        <f t="shared" si="12"/>
        <v>0</v>
      </c>
      <c r="T49" s="354"/>
      <c r="U49" s="339" t="s">
        <v>136</v>
      </c>
      <c r="V49" s="345" t="str">
        <f t="shared" si="13"/>
        <v>ja</v>
      </c>
      <c r="W49" s="346">
        <f t="shared" si="7"/>
        <v>0.6583</v>
      </c>
      <c r="X49" s="347">
        <f t="shared" si="8"/>
        <v>0</v>
      </c>
      <c r="Y49" s="347" t="str">
        <f t="shared" si="9"/>
        <v/>
      </c>
    </row>
    <row r="50" spans="1:25" x14ac:dyDescent="0.25">
      <c r="A50" s="332" t="str">
        <f>IF(B50&lt;&gt;"&lt;Selecteer&gt;",MAX($A$4:A49)+1,"")</f>
        <v/>
      </c>
      <c r="B50" s="350" t="s">
        <v>35</v>
      </c>
      <c r="C50" s="334"/>
      <c r="D50" s="335"/>
      <c r="E50" s="351"/>
      <c r="F50" s="337"/>
      <c r="G50" s="337"/>
      <c r="H50" s="339">
        <f t="shared" si="4"/>
        <v>0</v>
      </c>
      <c r="I50" s="352">
        <f t="shared" si="5"/>
        <v>0</v>
      </c>
      <c r="J50" s="353">
        <f t="shared" si="10"/>
        <v>0</v>
      </c>
      <c r="K50" s="354"/>
      <c r="L50" s="342"/>
      <c r="M50" s="338"/>
      <c r="N50" s="355"/>
      <c r="O50" s="338"/>
      <c r="P50" s="338"/>
      <c r="Q50" s="339">
        <f t="shared" si="6"/>
        <v>0</v>
      </c>
      <c r="R50" s="352">
        <f t="shared" si="11"/>
        <v>0</v>
      </c>
      <c r="S50" s="353">
        <f t="shared" si="12"/>
        <v>0</v>
      </c>
      <c r="T50" s="354"/>
      <c r="U50" s="339" t="s">
        <v>136</v>
      </c>
      <c r="V50" s="345" t="str">
        <f t="shared" si="13"/>
        <v>ja</v>
      </c>
      <c r="W50" s="346">
        <f t="shared" si="7"/>
        <v>0.6583</v>
      </c>
      <c r="X50" s="347">
        <f t="shared" si="8"/>
        <v>0</v>
      </c>
      <c r="Y50" s="347" t="str">
        <f t="shared" si="9"/>
        <v/>
      </c>
    </row>
    <row r="51" spans="1:25" x14ac:dyDescent="0.25">
      <c r="A51" s="332" t="str">
        <f>IF(B51&lt;&gt;"&lt;Selecteer&gt;",MAX($A$4:A50)+1,"")</f>
        <v/>
      </c>
      <c r="B51" s="350" t="s">
        <v>35</v>
      </c>
      <c r="C51" s="334"/>
      <c r="D51" s="335"/>
      <c r="E51" s="351"/>
      <c r="F51" s="337"/>
      <c r="G51" s="337"/>
      <c r="H51" s="339">
        <f t="shared" si="4"/>
        <v>0</v>
      </c>
      <c r="I51" s="352">
        <f t="shared" si="5"/>
        <v>0</v>
      </c>
      <c r="J51" s="353">
        <f t="shared" si="10"/>
        <v>0</v>
      </c>
      <c r="K51" s="354"/>
      <c r="L51" s="342"/>
      <c r="M51" s="338"/>
      <c r="N51" s="355"/>
      <c r="O51" s="338"/>
      <c r="P51" s="338"/>
      <c r="Q51" s="339">
        <f t="shared" si="6"/>
        <v>0</v>
      </c>
      <c r="R51" s="352">
        <f t="shared" si="11"/>
        <v>0</v>
      </c>
      <c r="S51" s="353">
        <f t="shared" si="12"/>
        <v>0</v>
      </c>
      <c r="T51" s="354"/>
      <c r="U51" s="339" t="s">
        <v>136</v>
      </c>
      <c r="V51" s="345" t="str">
        <f t="shared" si="13"/>
        <v>ja</v>
      </c>
      <c r="W51" s="346">
        <f t="shared" si="7"/>
        <v>0.6583</v>
      </c>
      <c r="X51" s="347">
        <f t="shared" si="8"/>
        <v>0</v>
      </c>
      <c r="Y51" s="347" t="str">
        <f t="shared" si="9"/>
        <v/>
      </c>
    </row>
    <row r="52" spans="1:25" x14ac:dyDescent="0.25">
      <c r="A52" s="332" t="str">
        <f>IF(B52&lt;&gt;"&lt;Selecteer&gt;",MAX($A$4:A51)+1,"")</f>
        <v/>
      </c>
      <c r="B52" s="350" t="s">
        <v>35</v>
      </c>
      <c r="C52" s="334"/>
      <c r="D52" s="335"/>
      <c r="E52" s="351"/>
      <c r="F52" s="337"/>
      <c r="G52" s="337"/>
      <c r="H52" s="339">
        <f t="shared" si="4"/>
        <v>0</v>
      </c>
      <c r="I52" s="352">
        <f t="shared" si="5"/>
        <v>0</v>
      </c>
      <c r="J52" s="353">
        <f t="shared" si="10"/>
        <v>0</v>
      </c>
      <c r="K52" s="354"/>
      <c r="L52" s="342"/>
      <c r="M52" s="338"/>
      <c r="N52" s="355"/>
      <c r="O52" s="338"/>
      <c r="P52" s="338"/>
      <c r="Q52" s="339">
        <f t="shared" si="6"/>
        <v>0</v>
      </c>
      <c r="R52" s="352">
        <f t="shared" si="11"/>
        <v>0</v>
      </c>
      <c r="S52" s="353">
        <f t="shared" si="12"/>
        <v>0</v>
      </c>
      <c r="T52" s="354"/>
      <c r="U52" s="339" t="s">
        <v>136</v>
      </c>
      <c r="V52" s="345" t="str">
        <f t="shared" si="13"/>
        <v>ja</v>
      </c>
      <c r="W52" s="346">
        <f t="shared" si="7"/>
        <v>0.6583</v>
      </c>
      <c r="X52" s="347">
        <f t="shared" si="8"/>
        <v>0</v>
      </c>
      <c r="Y52" s="347" t="str">
        <f t="shared" si="9"/>
        <v/>
      </c>
    </row>
    <row r="53" spans="1:25" x14ac:dyDescent="0.25">
      <c r="A53" s="332" t="str">
        <f>IF(B53&lt;&gt;"&lt;Selecteer&gt;",MAX($A$4:A52)+1,"")</f>
        <v/>
      </c>
      <c r="B53" s="350" t="s">
        <v>35</v>
      </c>
      <c r="C53" s="334"/>
      <c r="D53" s="335"/>
      <c r="E53" s="351"/>
      <c r="F53" s="337"/>
      <c r="G53" s="337"/>
      <c r="H53" s="339">
        <f t="shared" si="4"/>
        <v>0</v>
      </c>
      <c r="I53" s="352">
        <f t="shared" si="5"/>
        <v>0</v>
      </c>
      <c r="J53" s="353">
        <f t="shared" si="10"/>
        <v>0</v>
      </c>
      <c r="K53" s="354"/>
      <c r="L53" s="342"/>
      <c r="M53" s="338"/>
      <c r="N53" s="355"/>
      <c r="O53" s="338"/>
      <c r="P53" s="338"/>
      <c r="Q53" s="339">
        <f t="shared" si="6"/>
        <v>0</v>
      </c>
      <c r="R53" s="352">
        <f t="shared" si="11"/>
        <v>0</v>
      </c>
      <c r="S53" s="353">
        <f t="shared" si="12"/>
        <v>0</v>
      </c>
      <c r="T53" s="354"/>
      <c r="U53" s="339" t="s">
        <v>136</v>
      </c>
      <c r="V53" s="345" t="str">
        <f t="shared" si="13"/>
        <v>ja</v>
      </c>
      <c r="W53" s="346">
        <f t="shared" si="7"/>
        <v>0.6583</v>
      </c>
      <c r="X53" s="347">
        <f t="shared" si="8"/>
        <v>0</v>
      </c>
      <c r="Y53" s="347" t="str">
        <f t="shared" si="9"/>
        <v/>
      </c>
    </row>
    <row r="54" spans="1:25" x14ac:dyDescent="0.25">
      <c r="A54" s="332" t="str">
        <f>IF(B54&lt;&gt;"&lt;Selecteer&gt;",MAX($A$4:A53)+1,"")</f>
        <v/>
      </c>
      <c r="B54" s="350" t="s">
        <v>35</v>
      </c>
      <c r="C54" s="334"/>
      <c r="D54" s="335"/>
      <c r="E54" s="351"/>
      <c r="F54" s="337"/>
      <c r="G54" s="337"/>
      <c r="H54" s="339">
        <f t="shared" si="4"/>
        <v>0</v>
      </c>
      <c r="I54" s="352">
        <f t="shared" si="5"/>
        <v>0</v>
      </c>
      <c r="J54" s="353">
        <f t="shared" si="10"/>
        <v>0</v>
      </c>
      <c r="K54" s="354"/>
      <c r="L54" s="342"/>
      <c r="M54" s="338"/>
      <c r="N54" s="355"/>
      <c r="O54" s="338"/>
      <c r="P54" s="338"/>
      <c r="Q54" s="339">
        <f t="shared" si="6"/>
        <v>0</v>
      </c>
      <c r="R54" s="352">
        <f t="shared" si="11"/>
        <v>0</v>
      </c>
      <c r="S54" s="353">
        <f t="shared" si="12"/>
        <v>0</v>
      </c>
      <c r="T54" s="354"/>
      <c r="U54" s="339" t="s">
        <v>136</v>
      </c>
      <c r="V54" s="345" t="str">
        <f t="shared" si="13"/>
        <v>ja</v>
      </c>
      <c r="W54" s="346">
        <f t="shared" si="7"/>
        <v>0.6583</v>
      </c>
      <c r="X54" s="347">
        <f t="shared" si="8"/>
        <v>0</v>
      </c>
      <c r="Y54" s="347" t="str">
        <f t="shared" si="9"/>
        <v/>
      </c>
    </row>
    <row r="55" spans="1:25" ht="15" customHeight="1" x14ac:dyDescent="0.25">
      <c r="U55" s="179"/>
    </row>
    <row r="57" spans="1:25" ht="15" customHeight="1" x14ac:dyDescent="0.25">
      <c r="W57" s="129"/>
    </row>
  </sheetData>
  <sheetProtection algorithmName="SHA-512" hashValue="KqjAWpl7NIP6KntUHWFJlu7LXQeKfZ03PivvmzkdU3xS6KWJlQ3Kee8x96N4hpQgbabzbLj9Zgogl4pz7WqZMw==" saltValue="SaubK2Ybr0ljvTKWQ8E+Fw=="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154</v>
      </c>
      <c r="B1" s="71" t="s">
        <v>90</v>
      </c>
      <c r="C1" s="69" t="s">
        <v>58</v>
      </c>
      <c r="D1" s="69" t="s">
        <v>2</v>
      </c>
      <c r="E1" s="69" t="s">
        <v>152</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110</v>
      </c>
      <c r="J1" s="71" t="s">
        <v>111</v>
      </c>
      <c r="K1" s="71" t="s">
        <v>107</v>
      </c>
      <c r="L1" s="71" t="s">
        <v>108</v>
      </c>
      <c r="M1" s="71" t="s">
        <v>109</v>
      </c>
      <c r="N1" s="71" t="s">
        <v>42</v>
      </c>
      <c r="O1" s="70" t="s">
        <v>113</v>
      </c>
      <c r="P1" s="70" t="s">
        <v>91</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114</v>
      </c>
      <c r="T1" s="70" t="s">
        <v>92</v>
      </c>
      <c r="U1" s="70" t="s">
        <v>115</v>
      </c>
      <c r="V1" s="70" t="s">
        <v>106</v>
      </c>
      <c r="W1" s="142" t="s">
        <v>207</v>
      </c>
      <c r="X1" s="142" t="s">
        <v>208</v>
      </c>
      <c r="Y1" s="142" t="s">
        <v>210</v>
      </c>
      <c r="Z1" s="142" t="s">
        <v>61</v>
      </c>
      <c r="AA1" s="142" t="s">
        <v>226</v>
      </c>
    </row>
    <row r="2" spans="1:27" x14ac:dyDescent="0.25">
      <c r="A2" s="320"/>
      <c r="B2" s="321" t="str">
        <f>IF(A2&lt;&gt;"",_xlfn.MAXIFS($B$1:B1,$A$1:A1,A2)+1,"")</f>
        <v/>
      </c>
      <c r="C2" s="299"/>
      <c r="D2" s="299"/>
      <c r="E2" s="299"/>
      <c r="F2" s="299"/>
      <c r="G2" s="330"/>
      <c r="H2" s="328"/>
      <c r="I2" s="329"/>
      <c r="J2" s="329"/>
      <c r="K2" s="322"/>
      <c r="L2" s="322"/>
      <c r="M2" s="323" t="str">
        <f>IFERROR(VLOOKUP(H2,Lijsten!$H$1:$I$100,2,0),"")</f>
        <v/>
      </c>
      <c r="N2" s="323" t="str">
        <f ca="1">IFERROR(IF(VLOOKUP(F2,Kostentypen!$A$3:$E$21,3,0)=0,"",IF(OR(F2="Arbeidskosten",F2="Vergoeding"),VLOOKUP(G2,Tb_KostenTypen[],2,0),VLOOKUP(F2,Kostentypen!$A$3:$E$20,3,0))),"")</f>
        <v/>
      </c>
      <c r="O2" s="324"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4"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3"/>
      <c r="R2" s="363"/>
      <c r="S2" s="325"/>
      <c r="T2" s="325"/>
      <c r="U2" s="317" t="str" cm="1">
        <f t="array" aca="1" ref="U2" ca="1">IFERROR(IF(AA2&lt;&gt;"ja",_xlfn.IFNA(_xlfn.IFS(AND(O2&lt;&gt;"",F2&lt;&gt;"",RIGHT($N2,6)="tarief",F2="Vergoeding"),SUM(O2)*FLOOR(SUM(Q2),0.0001),AND(O2&lt;&gt;"",F2&lt;&gt;"",RIGHT($N2,6)="tarief"),SUM(O2)*FLOOR(SUM(Q2),0.01),S2&gt;0,IF(F2&lt;&gt;"",FLOOR(SUM(S2),0.01),"")),""),""),"")</f>
        <v/>
      </c>
      <c r="V2" s="317" t="str" cm="1">
        <f t="array" aca="1" ref="V2" ca="1">IFERROR(IF(AA2&lt;&gt;"ja",_xlfn.IFNA(_xlfn.IFS(AND(P2&lt;&gt;"",R2&lt;&gt;"",RIGHT($N2,6)="tarief",F2="Vergoeding"),SUM(P2)*FLOOR(SUM(R2),0.0001),AND(P2&lt;&gt;"",R2&lt;&gt;"",RIGHT($N2,6)="tarief"),P2*FLOOR(R2,0.01),T2&gt;0,FLOOR(SUM(T2),0.01)),""),""),"")</f>
        <v/>
      </c>
      <c r="W2" s="317" t="str" cm="1">
        <f t="array" aca="1" ref="W2" ca="1">IFERROR(_xlfn.IFS(OR(F2="",LEFT(Methode_Keuze,4)="Geen",Methode_Keuze=""),"",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17" t="str" cm="1">
        <f t="array" aca="1" ref="X2" ca="1">IFERROR(_xlfn.IFS(OR(F2="",LEFT(Methode_Keuze,4)="Geen",Methode_Keuze=""),"",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26"/>
      <c r="Z2" s="319"/>
      <c r="AA2" s="32" t="str" cm="1">
        <f t="array" ref="AA2">IFERROR(IF(INDEX(SubsidieTabel!$AD$1:$AG$12,MATCH($F2,SubsidieTabel!$AD$1:$AD$12,0),IFERROR(MATCH(Methode_Keuze,SubsidieTabel!$AD$1:$AG$1,0),2))&lt;&gt;1=TRUE,"ja",""),"")</f>
        <v/>
      </c>
    </row>
    <row r="3" spans="1:27" x14ac:dyDescent="0.25">
      <c r="A3" s="320"/>
      <c r="B3" s="321" t="str">
        <f>IF(A3&lt;&gt;"",_xlfn.MAXIFS($B$1:B2,$A$1:A2,A3)+1,"")</f>
        <v/>
      </c>
      <c r="C3" s="299"/>
      <c r="D3" s="299" t="s">
        <v>196</v>
      </c>
      <c r="E3" s="299"/>
      <c r="F3" s="299"/>
      <c r="G3" s="330"/>
      <c r="H3" s="328"/>
      <c r="I3" s="329"/>
      <c r="J3" s="329"/>
      <c r="K3" s="322"/>
      <c r="L3" s="322"/>
      <c r="M3" s="323" t="str">
        <f>IFERROR(VLOOKUP(H3,Lijsten!$H$1:$I$100,2,0),"")</f>
        <v/>
      </c>
      <c r="N3" s="323" t="str">
        <f ca="1">IFERROR(IF(VLOOKUP(F3,Kostentypen!$A$3:$E$21,3,0)=0,"",IF(OR(F3="Arbeidskosten",F3="Vergoeding"),VLOOKUP(G3,Tb_KostenTypen[],2,0),VLOOKUP(F3,Kostentypen!$A$3:$E$20,3,0))),"")</f>
        <v/>
      </c>
      <c r="O3" s="324"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4"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3"/>
      <c r="R3" s="363"/>
      <c r="S3" s="325"/>
      <c r="T3" s="325"/>
      <c r="U3" s="317" t="str" cm="1">
        <f t="array" aca="1" ref="U3" ca="1">IFERROR(IF(AA3&lt;&gt;"ja",_xlfn.IFNA(_xlfn.IFS(AND(O3&lt;&gt;"",F3&lt;&gt;"",RIGHT($N3,6)="tarief",F3="Vergoeding"),SUM(O3)*FLOOR(SUM(Q3),0.0001),AND(O3&lt;&gt;"",F3&lt;&gt;"",RIGHT($N3,6)="tarief"),SUM(O3)*FLOOR(SUM(Q3),0.01),S3&gt;0,IF(F3&lt;&gt;"",FLOOR(SUM(S3),0.01),"")),""),""),"")</f>
        <v/>
      </c>
      <c r="V3" s="317" t="str" cm="1">
        <f t="array" aca="1" ref="V3" ca="1">IFERROR(IF(AA3&lt;&gt;"ja",_xlfn.IFNA(_xlfn.IFS(AND(P3&lt;&gt;"",R3&lt;&gt;"",RIGHT($N3,6)="tarief",F3="Vergoeding"),SUM(P3)*FLOOR(SUM(R3),0.0001),AND(P3&lt;&gt;"",R3&lt;&gt;"",RIGHT($N3,6)="tarief"),P3*FLOOR(R3,0.01),T3&gt;0,FLOOR(SUM(T3),0.01)),""),""),"")</f>
        <v/>
      </c>
      <c r="W3" s="317" t="str" cm="1">
        <f t="array" aca="1" ref="W3" ca="1">IFERROR(_xlfn.IFS(OR(F3="",LEFT(Methode_Keuze,4)="Geen",Methode_Keuze=""),"",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17" t="str" cm="1">
        <f t="array" aca="1" ref="X3" ca="1">IFERROR(_xlfn.IFS(OR(F3="",LEFT(Methode_Keuze,4)="Geen",Methode_Keuze=""),"",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26"/>
      <c r="Z3" s="319"/>
      <c r="AA3" s="32" t="str" cm="1">
        <f t="array" ref="AA3">IFERROR(IF(INDEX(SubsidieTabel!$AD$1:$AG$12,MATCH($F3,SubsidieTabel!$AD$1:$AD$12,0),IFERROR(MATCH(Methode_Keuze,SubsidieTabel!$AD$1:$AG$1,0),2))&lt;&gt;1=TRUE,"ja",""),"")</f>
        <v/>
      </c>
    </row>
    <row r="4" spans="1:27" x14ac:dyDescent="0.25">
      <c r="A4" s="320"/>
      <c r="B4" s="321" t="str">
        <f>IF(A4&lt;&gt;"",_xlfn.MAXIFS($B$1:B3,$A$1:A3,A4)+1,"")</f>
        <v/>
      </c>
      <c r="C4" s="299"/>
      <c r="D4" s="299"/>
      <c r="E4" s="299"/>
      <c r="F4" s="299"/>
      <c r="G4" s="330"/>
      <c r="H4" s="328"/>
      <c r="I4" s="329"/>
      <c r="J4" s="329"/>
      <c r="K4" s="322"/>
      <c r="L4" s="322"/>
      <c r="M4" s="323" t="str">
        <f>IFERROR(VLOOKUP(H4,Lijsten!$H$1:$I$100,2,0),"")</f>
        <v/>
      </c>
      <c r="N4" s="323" t="str">
        <f ca="1">IFERROR(IF(VLOOKUP(F4,Kostentypen!$A$3:$E$21,3,0)=0,"",IF(OR(F4="Arbeidskosten",F4="Vergoeding"),VLOOKUP(G4,Tb_KostenTypen[],2,0),VLOOKUP(F4,Kostentypen!$A$3:$E$20,3,0))),"")</f>
        <v/>
      </c>
      <c r="O4" s="324"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4"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3"/>
      <c r="R4" s="363"/>
      <c r="S4" s="325"/>
      <c r="T4" s="325"/>
      <c r="U4" s="317" t="str" cm="1">
        <f t="array" aca="1" ref="U4" ca="1">IFERROR(IF(AA4&lt;&gt;"ja",_xlfn.IFNA(_xlfn.IFS(AND(O4&lt;&gt;"",F4&lt;&gt;"",RIGHT($N4,6)="tarief",F4="Vergoeding"),SUM(O4)*FLOOR(SUM(Q4),0.0001),AND(O4&lt;&gt;"",F4&lt;&gt;"",RIGHT($N4,6)="tarief"),SUM(O4)*FLOOR(SUM(Q4),0.01),S4&gt;0,IF(F4&lt;&gt;"",FLOOR(SUM(S4),0.01),"")),""),""),"")</f>
        <v/>
      </c>
      <c r="V4" s="317" t="str" cm="1">
        <f t="array" aca="1" ref="V4" ca="1">IFERROR(IF(AA4&lt;&gt;"ja",_xlfn.IFNA(_xlfn.IFS(AND(P4&lt;&gt;"",R4&lt;&gt;"",RIGHT($N4,6)="tarief",F4="Vergoeding"),SUM(P4)*FLOOR(SUM(R4),0.0001),AND(P4&lt;&gt;"",R4&lt;&gt;"",RIGHT($N4,6)="tarief"),P4*FLOOR(R4,0.01),T4&gt;0,FLOOR(SUM(T4),0.01)),""),""),"")</f>
        <v/>
      </c>
      <c r="W4" s="317" t="str" cm="1">
        <f t="array" aca="1" ref="W4" ca="1">IFERROR(_xlfn.IFS(OR(F4="",LEFT(Methode_Keuze,4)="Geen",Methode_Keuze=""),"",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17" t="str" cm="1">
        <f t="array" aca="1" ref="X4" ca="1">IFERROR(_xlfn.IFS(OR(F4="",LEFT(Methode_Keuze,4)="Geen",Methode_Keuze=""),"",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26"/>
      <c r="Z4" s="319"/>
      <c r="AA4" s="32" t="str" cm="1">
        <f t="array" ref="AA4">IFERROR(IF(INDEX(SubsidieTabel!$AD$1:$AG$12,MATCH($F4,SubsidieTabel!$AD$1:$AD$12,0),IFERROR(MATCH(Methode_Keuze,SubsidieTabel!$AD$1:$AG$1,0),2))&lt;&gt;1=TRUE,"ja",""),"")</f>
        <v/>
      </c>
    </row>
    <row r="5" spans="1:27" x14ac:dyDescent="0.25">
      <c r="A5" s="320"/>
      <c r="B5" s="321" t="str">
        <f>IF(A5&lt;&gt;"",_xlfn.MAXIFS($B$1:B4,$A$1:A4,A5)+1,"")</f>
        <v/>
      </c>
      <c r="C5" s="299"/>
      <c r="D5" s="299"/>
      <c r="E5" s="299"/>
      <c r="F5" s="299"/>
      <c r="G5" s="330"/>
      <c r="H5" s="328"/>
      <c r="I5" s="329"/>
      <c r="J5" s="329"/>
      <c r="K5" s="322"/>
      <c r="L5" s="322"/>
      <c r="M5" s="323" t="str">
        <f>IFERROR(VLOOKUP(H5,Lijsten!$H$1:$I$100,2,0),"")</f>
        <v/>
      </c>
      <c r="N5" s="323" t="str">
        <f ca="1">IFERROR(IF(VLOOKUP(F5,Kostentypen!$A$3:$E$21,3,0)=0,"",IF(OR(F5="Arbeidskosten",F5="Vergoeding"),VLOOKUP(G5,Tb_KostenTypen[],2,0),VLOOKUP(F5,Kostentypen!$A$3:$E$20,3,0))),"")</f>
        <v/>
      </c>
      <c r="O5" s="324"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4"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3"/>
      <c r="R5" s="363"/>
      <c r="S5" s="325"/>
      <c r="T5" s="325"/>
      <c r="U5" s="317" t="str" cm="1">
        <f t="array" aca="1" ref="U5" ca="1">IFERROR(IF(AA5&lt;&gt;"ja",_xlfn.IFNA(_xlfn.IFS(AND(O5&lt;&gt;"",F5&lt;&gt;"",RIGHT($N5,6)="tarief",F5="Vergoeding"),SUM(O5)*FLOOR(SUM(Q5),0.0001),AND(O5&lt;&gt;"",F5&lt;&gt;"",RIGHT($N5,6)="tarief"),SUM(O5)*FLOOR(SUM(Q5),0.01),S5&gt;0,IF(F5&lt;&gt;"",FLOOR(SUM(S5),0.01),"")),""),""),"")</f>
        <v/>
      </c>
      <c r="V5" s="317" t="str" cm="1">
        <f t="array" aca="1" ref="V5" ca="1">IFERROR(IF(AA5&lt;&gt;"ja",_xlfn.IFNA(_xlfn.IFS(AND(P5&lt;&gt;"",R5&lt;&gt;"",RIGHT($N5,6)="tarief",F5="Vergoeding"),SUM(P5)*FLOOR(SUM(R5),0.0001),AND(P5&lt;&gt;"",R5&lt;&gt;"",RIGHT($N5,6)="tarief"),P5*FLOOR(R5,0.01),T5&gt;0,FLOOR(SUM(T5),0.01)),""),""),"")</f>
        <v/>
      </c>
      <c r="W5" s="317" t="str" cm="1">
        <f t="array" aca="1" ref="W5" ca="1">IFERROR(_xlfn.IFS(OR(F5="",LEFT(Methode_Keuze,4)="Geen",Methode_Keuze=""),"",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17" t="str" cm="1">
        <f t="array" aca="1" ref="X5" ca="1">IFERROR(_xlfn.IFS(OR(F5="",LEFT(Methode_Keuze,4)="Geen",Methode_Keuze=""),"",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26"/>
      <c r="Z5" s="319"/>
      <c r="AA5" s="32" t="str" cm="1">
        <f t="array" ref="AA5">IFERROR(IF(INDEX(SubsidieTabel!$AD$1:$AG$12,MATCH($F5,SubsidieTabel!$AD$1:$AD$12,0),IFERROR(MATCH(Methode_Keuze,SubsidieTabel!$AD$1:$AG$1,0),2))&lt;&gt;1=TRUE,"ja",""),"")</f>
        <v/>
      </c>
    </row>
    <row r="6" spans="1:27" x14ac:dyDescent="0.25">
      <c r="A6" s="320"/>
      <c r="B6" s="321" t="str">
        <f>IF(A6&lt;&gt;"",_xlfn.MAXIFS($B$1:B5,$A$1:A5,A6)+1,"")</f>
        <v/>
      </c>
      <c r="C6" s="299"/>
      <c r="D6" s="299"/>
      <c r="E6" s="299"/>
      <c r="F6" s="299"/>
      <c r="G6" s="330"/>
      <c r="H6" s="328"/>
      <c r="I6" s="329"/>
      <c r="J6" s="329"/>
      <c r="K6" s="322"/>
      <c r="L6" s="322"/>
      <c r="M6" s="323" t="str">
        <f>IFERROR(VLOOKUP(H6,Lijsten!$H$1:$I$100,2,0),"")</f>
        <v/>
      </c>
      <c r="N6" s="323" t="str">
        <f ca="1">IFERROR(IF(VLOOKUP(F6,Kostentypen!$A$3:$E$21,3,0)=0,"",IF(OR(F6="Arbeidskosten",F6="Vergoeding"),VLOOKUP(G6,Tb_KostenTypen[],2,0),VLOOKUP(F6,Kostentypen!$A$3:$E$20,3,0))),"")</f>
        <v/>
      </c>
      <c r="O6" s="324"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4"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3"/>
      <c r="R6" s="363"/>
      <c r="S6" s="325"/>
      <c r="T6" s="325"/>
      <c r="U6" s="317" t="str" cm="1">
        <f t="array" aca="1" ref="U6" ca="1">IFERROR(IF(AA6&lt;&gt;"ja",_xlfn.IFNA(_xlfn.IFS(AND(O6&lt;&gt;"",F6&lt;&gt;"",RIGHT($N6,6)="tarief",F6="Vergoeding"),SUM(O6)*FLOOR(SUM(Q6),0.0001),AND(O6&lt;&gt;"",F6&lt;&gt;"",RIGHT($N6,6)="tarief"),SUM(O6)*FLOOR(SUM(Q6),0.01),S6&gt;0,IF(F6&lt;&gt;"",FLOOR(SUM(S6),0.01),"")),""),""),"")</f>
        <v/>
      </c>
      <c r="V6" s="317" t="str" cm="1">
        <f t="array" aca="1" ref="V6" ca="1">IFERROR(IF(AA6&lt;&gt;"ja",_xlfn.IFNA(_xlfn.IFS(AND(P6&lt;&gt;"",R6&lt;&gt;"",RIGHT($N6,6)="tarief",F6="Vergoeding"),SUM(P6)*FLOOR(SUM(R6),0.0001),AND(P6&lt;&gt;"",R6&lt;&gt;"",RIGHT($N6,6)="tarief"),P6*FLOOR(R6,0.01),T6&gt;0,FLOOR(SUM(T6),0.01)),""),""),"")</f>
        <v/>
      </c>
      <c r="W6" s="317" t="str" cm="1">
        <f t="array" aca="1" ref="W6" ca="1">IFERROR(_xlfn.IFS(OR(F6="",LEFT(Methode_Keuze,4)="Geen",Methode_Keuze=""),"",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17" t="str" cm="1">
        <f t="array" aca="1" ref="X6" ca="1">IFERROR(_xlfn.IFS(OR(F6="",LEFT(Methode_Keuze,4)="Geen",Methode_Keuze=""),"",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26"/>
      <c r="Z6" s="319"/>
      <c r="AA6" s="32" t="str" cm="1">
        <f t="array" ref="AA6">IFERROR(IF(INDEX(SubsidieTabel!$AD$1:$AG$12,MATCH($F6,SubsidieTabel!$AD$1:$AD$12,0),IFERROR(MATCH(Methode_Keuze,SubsidieTabel!$AD$1:$AG$1,0),2))&lt;&gt;1=TRUE,"ja",""),"")</f>
        <v/>
      </c>
    </row>
    <row r="7" spans="1:27" x14ac:dyDescent="0.25">
      <c r="A7" s="320"/>
      <c r="B7" s="321" t="str">
        <f>IF(A7&lt;&gt;"",_xlfn.MAXIFS($B$1:B6,$A$1:A6,A7)+1,"")</f>
        <v/>
      </c>
      <c r="C7" s="299"/>
      <c r="D7" s="299"/>
      <c r="E7" s="299"/>
      <c r="F7" s="299"/>
      <c r="G7" s="330"/>
      <c r="H7" s="328"/>
      <c r="I7" s="329"/>
      <c r="J7" s="329"/>
      <c r="K7" s="322"/>
      <c r="L7" s="322"/>
      <c r="M7" s="323" t="str">
        <f>IFERROR(VLOOKUP(H7,Lijsten!$H$1:$I$100,2,0),"")</f>
        <v/>
      </c>
      <c r="N7" s="323" t="str">
        <f ca="1">IFERROR(IF(VLOOKUP(F7,Kostentypen!$A$3:$E$21,3,0)=0,"",IF(OR(F7="Arbeidskosten",F7="Vergoeding"),VLOOKUP(G7,Tb_KostenTypen[],2,0),VLOOKUP(F7,Kostentypen!$A$3:$E$20,3,0))),"")</f>
        <v/>
      </c>
      <c r="O7" s="324"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4"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3"/>
      <c r="R7" s="363"/>
      <c r="S7" s="325"/>
      <c r="T7" s="325"/>
      <c r="U7" s="317" t="str" cm="1">
        <f t="array" aca="1" ref="U7" ca="1">IFERROR(IF(AA7&lt;&gt;"ja",_xlfn.IFNA(_xlfn.IFS(AND(O7&lt;&gt;"",F7&lt;&gt;"",RIGHT($N7,6)="tarief",F7="Vergoeding"),SUM(O7)*FLOOR(SUM(Q7),0.0001),AND(O7&lt;&gt;"",F7&lt;&gt;"",RIGHT($N7,6)="tarief"),SUM(O7)*FLOOR(SUM(Q7),0.01),S7&gt;0,IF(F7&lt;&gt;"",FLOOR(SUM(S7),0.01),"")),""),""),"")</f>
        <v/>
      </c>
      <c r="V7" s="317" t="str" cm="1">
        <f t="array" aca="1" ref="V7" ca="1">IFERROR(IF(AA7&lt;&gt;"ja",_xlfn.IFNA(_xlfn.IFS(AND(P7&lt;&gt;"",R7&lt;&gt;"",RIGHT($N7,6)="tarief",F7="Vergoeding"),SUM(P7)*FLOOR(SUM(R7),0.0001),AND(P7&lt;&gt;"",R7&lt;&gt;"",RIGHT($N7,6)="tarief"),P7*FLOOR(R7,0.01),T7&gt;0,FLOOR(SUM(T7),0.01)),""),""),"")</f>
        <v/>
      </c>
      <c r="W7" s="317" t="str" cm="1">
        <f t="array" aca="1" ref="W7" ca="1">IFERROR(_xlfn.IFS(OR(F7="",LEFT(Methode_Keuze,4)="Geen",Methode_Keuze=""),"",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17" t="str" cm="1">
        <f t="array" aca="1" ref="X7" ca="1">IFERROR(_xlfn.IFS(OR(F7="",LEFT(Methode_Keuze,4)="Geen",Methode_Keuze=""),"",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26"/>
      <c r="Z7" s="319"/>
      <c r="AA7" s="32" t="str" cm="1">
        <f t="array" ref="AA7">IFERROR(IF(INDEX(SubsidieTabel!$AD$1:$AG$12,MATCH($F7,SubsidieTabel!$AD$1:$AD$12,0),IFERROR(MATCH(Methode_Keuze,SubsidieTabel!$AD$1:$AG$1,0),2))&lt;&gt;1=TRUE,"ja",""),"")</f>
        <v/>
      </c>
    </row>
    <row r="8" spans="1:27" x14ac:dyDescent="0.25">
      <c r="A8" s="320"/>
      <c r="B8" s="321" t="str">
        <f>IF(A8&lt;&gt;"",_xlfn.MAXIFS($B$1:B7,$A$1:A7,A8)+1,"")</f>
        <v/>
      </c>
      <c r="C8" s="299"/>
      <c r="D8" s="299"/>
      <c r="E8" s="299"/>
      <c r="F8" s="299"/>
      <c r="G8" s="330"/>
      <c r="H8" s="328"/>
      <c r="I8" s="329"/>
      <c r="J8" s="329"/>
      <c r="K8" s="322"/>
      <c r="L8" s="322"/>
      <c r="M8" s="323" t="str">
        <f>IFERROR(VLOOKUP(H8,Lijsten!$H$1:$I$100,2,0),"")</f>
        <v/>
      </c>
      <c r="N8" s="323" t="str">
        <f ca="1">IFERROR(IF(VLOOKUP(F8,Kostentypen!$A$3:$E$21,3,0)=0,"",IF(OR(F8="Arbeidskosten",F8="Vergoeding"),VLOOKUP(G8,Tb_KostenTypen[],2,0),VLOOKUP(F8,Kostentypen!$A$3:$E$20,3,0))),"")</f>
        <v/>
      </c>
      <c r="O8" s="324"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4"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3"/>
      <c r="R8" s="363"/>
      <c r="S8" s="325"/>
      <c r="T8" s="325"/>
      <c r="U8" s="317" t="str" cm="1">
        <f t="array" aca="1" ref="U8" ca="1">IFERROR(IF(AA8&lt;&gt;"ja",_xlfn.IFNA(_xlfn.IFS(AND(O8&lt;&gt;"",F8&lt;&gt;"",RIGHT($N8,6)="tarief",F8="Vergoeding"),SUM(O8)*FLOOR(SUM(Q8),0.0001),AND(O8&lt;&gt;"",F8&lt;&gt;"",RIGHT($N8,6)="tarief"),SUM(O8)*FLOOR(SUM(Q8),0.01),S8&gt;0,IF(F8&lt;&gt;"",FLOOR(SUM(S8),0.01),"")),""),""),"")</f>
        <v/>
      </c>
      <c r="V8" s="317" t="str" cm="1">
        <f t="array" aca="1" ref="V8" ca="1">IFERROR(IF(AA8&lt;&gt;"ja",_xlfn.IFNA(_xlfn.IFS(AND(P8&lt;&gt;"",R8&lt;&gt;"",RIGHT($N8,6)="tarief",F8="Vergoeding"),SUM(P8)*FLOOR(SUM(R8),0.0001),AND(P8&lt;&gt;"",R8&lt;&gt;"",RIGHT($N8,6)="tarief"),P8*FLOOR(R8,0.01),T8&gt;0,FLOOR(SUM(T8),0.01)),""),""),"")</f>
        <v/>
      </c>
      <c r="W8" s="317" t="str" cm="1">
        <f t="array" aca="1" ref="W8" ca="1">IFERROR(_xlfn.IFS(OR(F8="",LEFT(Methode_Keuze,4)="Geen",Methode_Keuze=""),"",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17" t="str" cm="1">
        <f t="array" aca="1" ref="X8" ca="1">IFERROR(_xlfn.IFS(OR(F8="",LEFT(Methode_Keuze,4)="Geen",Methode_Keuze=""),"",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26"/>
      <c r="Z8" s="319"/>
      <c r="AA8" s="32" t="str" cm="1">
        <f t="array" ref="AA8">IFERROR(IF(INDEX(SubsidieTabel!$AD$1:$AG$12,MATCH($F8,SubsidieTabel!$AD$1:$AD$12,0),IFERROR(MATCH(Methode_Keuze,SubsidieTabel!$AD$1:$AG$1,0),2))&lt;&gt;1=TRUE,"ja",""),"")</f>
        <v/>
      </c>
    </row>
    <row r="9" spans="1:27" x14ac:dyDescent="0.25">
      <c r="A9" s="320"/>
      <c r="B9" s="321" t="str">
        <f>IF(A9&lt;&gt;"",_xlfn.MAXIFS($B$1:B8,$A$1:A8,A9)+1,"")</f>
        <v/>
      </c>
      <c r="C9" s="299"/>
      <c r="D9" s="299"/>
      <c r="E9" s="299"/>
      <c r="F9" s="299"/>
      <c r="G9" s="330"/>
      <c r="H9" s="328"/>
      <c r="I9" s="329"/>
      <c r="J9" s="329"/>
      <c r="K9" s="322"/>
      <c r="L9" s="322"/>
      <c r="M9" s="323" t="str">
        <f>IFERROR(VLOOKUP(H9,Lijsten!$H$1:$I$100,2,0),"")</f>
        <v/>
      </c>
      <c r="N9" s="323" t="str">
        <f ca="1">IFERROR(IF(VLOOKUP(F9,Kostentypen!$A$3:$E$21,3,0)=0,"",IF(OR(F9="Arbeidskosten",F9="Vergoeding"),VLOOKUP(G9,Tb_KostenTypen[],2,0),VLOOKUP(F9,Kostentypen!$A$3:$E$20,3,0))),"")</f>
        <v/>
      </c>
      <c r="O9" s="324"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4"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3"/>
      <c r="R9" s="363"/>
      <c r="S9" s="325"/>
      <c r="T9" s="325"/>
      <c r="U9" s="317" t="str" cm="1">
        <f t="array" aca="1" ref="U9" ca="1">IFERROR(IF(AA9&lt;&gt;"ja",_xlfn.IFNA(_xlfn.IFS(AND(O9&lt;&gt;"",F9&lt;&gt;"",RIGHT($N9,6)="tarief",F9="Vergoeding"),SUM(O9)*FLOOR(SUM(Q9),0.0001),AND(O9&lt;&gt;"",F9&lt;&gt;"",RIGHT($N9,6)="tarief"),SUM(O9)*FLOOR(SUM(Q9),0.01),S9&gt;0,IF(F9&lt;&gt;"",FLOOR(SUM(S9),0.01),"")),""),""),"")</f>
        <v/>
      </c>
      <c r="V9" s="317" t="str" cm="1">
        <f t="array" aca="1" ref="V9" ca="1">IFERROR(IF(AA9&lt;&gt;"ja",_xlfn.IFNA(_xlfn.IFS(AND(P9&lt;&gt;"",R9&lt;&gt;"",RIGHT($N9,6)="tarief",F9="Vergoeding"),SUM(P9)*FLOOR(SUM(R9),0.0001),AND(P9&lt;&gt;"",R9&lt;&gt;"",RIGHT($N9,6)="tarief"),P9*FLOOR(R9,0.01),T9&gt;0,FLOOR(SUM(T9),0.01)),""),""),"")</f>
        <v/>
      </c>
      <c r="W9" s="317" t="str" cm="1">
        <f t="array" aca="1" ref="W9" ca="1">IFERROR(_xlfn.IFS(OR(F9="",LEFT(Methode_Keuze,4)="Geen",Methode_Keuze=""),"",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17" t="str" cm="1">
        <f t="array" aca="1" ref="X9" ca="1">IFERROR(_xlfn.IFS(OR(F9="",LEFT(Methode_Keuze,4)="Geen",Methode_Keuze=""),"",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26"/>
      <c r="Z9" s="319"/>
      <c r="AA9" s="32" t="str" cm="1">
        <f t="array" ref="AA9">IFERROR(IF(INDEX(SubsidieTabel!$AD$1:$AG$12,MATCH($F9,SubsidieTabel!$AD$1:$AD$12,0),IFERROR(MATCH(Methode_Keuze,SubsidieTabel!$AD$1:$AG$1,0),2))&lt;&gt;1=TRUE,"ja",""),"")</f>
        <v/>
      </c>
    </row>
    <row r="10" spans="1:27" x14ac:dyDescent="0.25">
      <c r="A10" s="320"/>
      <c r="B10" s="321" t="str">
        <f>IF(A10&lt;&gt;"",_xlfn.MAXIFS($B$1:B9,$A$1:A9,A10)+1,"")</f>
        <v/>
      </c>
      <c r="C10" s="299"/>
      <c r="D10" s="299"/>
      <c r="E10" s="299"/>
      <c r="F10" s="299"/>
      <c r="G10" s="330"/>
      <c r="H10" s="328"/>
      <c r="I10" s="329"/>
      <c r="J10" s="329"/>
      <c r="K10" s="322"/>
      <c r="L10" s="322"/>
      <c r="M10" s="323" t="str">
        <f>IFERROR(VLOOKUP(H10,Lijsten!$H$1:$I$100,2,0),"")</f>
        <v/>
      </c>
      <c r="N10" s="323" t="str">
        <f ca="1">IFERROR(IF(VLOOKUP(F10,Kostentypen!$A$3:$E$21,3,0)=0,"",IF(OR(F10="Arbeidskosten",F10="Vergoeding"),VLOOKUP(G10,Tb_KostenTypen[],2,0),VLOOKUP(F10,Kostentypen!$A$3:$E$20,3,0))),"")</f>
        <v/>
      </c>
      <c r="O10" s="324"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4"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3"/>
      <c r="R10" s="363"/>
      <c r="S10" s="325"/>
      <c r="T10" s="325"/>
      <c r="U10" s="317" t="str" cm="1">
        <f t="array" aca="1" ref="U10" ca="1">IFERROR(IF(AA10&lt;&gt;"ja",_xlfn.IFNA(_xlfn.IFS(AND(O10&lt;&gt;"",F10&lt;&gt;"",RIGHT($N10,6)="tarief",F10="Vergoeding"),SUM(O10)*FLOOR(SUM(Q10),0.0001),AND(O10&lt;&gt;"",F10&lt;&gt;"",RIGHT($N10,6)="tarief"),SUM(O10)*FLOOR(SUM(Q10),0.01),S10&gt;0,IF(F10&lt;&gt;"",FLOOR(SUM(S10),0.01),"")),""),""),"")</f>
        <v/>
      </c>
      <c r="V10" s="317" t="str" cm="1">
        <f t="array" aca="1" ref="V10" ca="1">IFERROR(IF(AA10&lt;&gt;"ja",_xlfn.IFNA(_xlfn.IFS(AND(P10&lt;&gt;"",R10&lt;&gt;"",RIGHT($N10,6)="tarief",F10="Vergoeding"),SUM(P10)*FLOOR(SUM(R10),0.0001),AND(P10&lt;&gt;"",R10&lt;&gt;"",RIGHT($N10,6)="tarief"),P10*FLOOR(R10,0.01),T10&gt;0,FLOOR(SUM(T10),0.01)),""),""),"")</f>
        <v/>
      </c>
      <c r="W10" s="317" t="str" cm="1">
        <f t="array" aca="1" ref="W10" ca="1">IFERROR(_xlfn.IFS(OR(F10="",LEFT(Methode_Keuze,4)="Geen",Methode_Keuze=""),"",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17" t="str" cm="1">
        <f t="array" aca="1" ref="X10" ca="1">IFERROR(_xlfn.IFS(OR(F10="",LEFT(Methode_Keuze,4)="Geen",Methode_Keuze=""),"",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26"/>
      <c r="Z10" s="319"/>
      <c r="AA10" s="32" t="str" cm="1">
        <f t="array" ref="AA10">IFERROR(IF(INDEX(SubsidieTabel!$AD$1:$AG$12,MATCH($F10,SubsidieTabel!$AD$1:$AD$12,0),IFERROR(MATCH(Methode_Keuze,SubsidieTabel!$AD$1:$AG$1,0),2))&lt;&gt;1=TRUE,"ja",""),"")</f>
        <v/>
      </c>
    </row>
    <row r="11" spans="1:27" x14ac:dyDescent="0.25">
      <c r="A11" s="320"/>
      <c r="B11" s="321" t="str">
        <f>IF(A11&lt;&gt;"",_xlfn.MAXIFS($B$1:B10,$A$1:A10,A11)+1,"")</f>
        <v/>
      </c>
      <c r="C11" s="299"/>
      <c r="D11" s="299"/>
      <c r="E11" s="299"/>
      <c r="F11" s="299"/>
      <c r="G11" s="330"/>
      <c r="H11" s="328"/>
      <c r="I11" s="329"/>
      <c r="J11" s="329"/>
      <c r="K11" s="322"/>
      <c r="L11" s="322"/>
      <c r="M11" s="323" t="str">
        <f>IFERROR(VLOOKUP(H11,Lijsten!$H$1:$I$100,2,0),"")</f>
        <v/>
      </c>
      <c r="N11" s="323" t="str">
        <f ca="1">IFERROR(IF(VLOOKUP(F11,Kostentypen!$A$3:$E$21,3,0)=0,"",IF(OR(F11="Arbeidskosten",F11="Vergoeding"),VLOOKUP(G11,Tb_KostenTypen[],2,0),VLOOKUP(F11,Kostentypen!$A$3:$E$20,3,0))),"")</f>
        <v/>
      </c>
      <c r="O11" s="324"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4"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3"/>
      <c r="R11" s="363"/>
      <c r="S11" s="325"/>
      <c r="T11" s="325"/>
      <c r="U11" s="317" t="str" cm="1">
        <f t="array" aca="1" ref="U11" ca="1">IFERROR(IF(AA11&lt;&gt;"ja",_xlfn.IFNA(_xlfn.IFS(AND(O11&lt;&gt;"",F11&lt;&gt;"",RIGHT($N11,6)="tarief",F11="Vergoeding"),SUM(O11)*FLOOR(SUM(Q11),0.0001),AND(O11&lt;&gt;"",F11&lt;&gt;"",RIGHT($N11,6)="tarief"),SUM(O11)*FLOOR(SUM(Q11),0.01),S11&gt;0,IF(F11&lt;&gt;"",FLOOR(SUM(S11),0.01),"")),""),""),"")</f>
        <v/>
      </c>
      <c r="V11" s="317" t="str" cm="1">
        <f t="array" aca="1" ref="V11" ca="1">IFERROR(IF(AA11&lt;&gt;"ja",_xlfn.IFNA(_xlfn.IFS(AND(P11&lt;&gt;"",R11&lt;&gt;"",RIGHT($N11,6)="tarief",F11="Vergoeding"),SUM(P11)*FLOOR(SUM(R11),0.0001),AND(P11&lt;&gt;"",R11&lt;&gt;"",RIGHT($N11,6)="tarief"),P11*FLOOR(R11,0.01),T11&gt;0,FLOOR(SUM(T11),0.01)),""),""),"")</f>
        <v/>
      </c>
      <c r="W11" s="317" t="str" cm="1">
        <f t="array" aca="1" ref="W11" ca="1">IFERROR(_xlfn.IFS(OR(F11="",LEFT(Methode_Keuze,4)="Geen",Methode_Keuze=""),"",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17" t="str" cm="1">
        <f t="array" aca="1" ref="X11" ca="1">IFERROR(_xlfn.IFS(OR(F11="",LEFT(Methode_Keuze,4)="Geen",Methode_Keuze=""),"",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26"/>
      <c r="Z11" s="319"/>
      <c r="AA11" s="32" t="str" cm="1">
        <f t="array" ref="AA11">IFERROR(IF(INDEX(SubsidieTabel!$AD$1:$AG$12,MATCH($F11,SubsidieTabel!$AD$1:$AD$12,0),IFERROR(MATCH(Methode_Keuze,SubsidieTabel!$AD$1:$AG$1,0),2))&lt;&gt;1=TRUE,"ja",""),"")</f>
        <v/>
      </c>
    </row>
    <row r="12" spans="1:27" x14ac:dyDescent="0.25">
      <c r="A12" s="320"/>
      <c r="B12" s="321" t="str">
        <f>IF(A12&lt;&gt;"",_xlfn.MAXIFS($B$1:B11,$A$1:A11,A12)+1,"")</f>
        <v/>
      </c>
      <c r="C12" s="299"/>
      <c r="D12" s="299"/>
      <c r="E12" s="299"/>
      <c r="F12" s="299"/>
      <c r="G12" s="330"/>
      <c r="H12" s="328"/>
      <c r="I12" s="329"/>
      <c r="J12" s="329"/>
      <c r="K12" s="322"/>
      <c r="L12" s="322"/>
      <c r="M12" s="323" t="str">
        <f>IFERROR(VLOOKUP(H12,Lijsten!$H$1:$I$100,2,0),"")</f>
        <v/>
      </c>
      <c r="N12" s="323" t="str">
        <f ca="1">IFERROR(IF(VLOOKUP(F12,Kostentypen!$A$3:$E$21,3,0)=0,"",IF(OR(F12="Arbeidskosten",F12="Vergoeding"),VLOOKUP(G12,Tb_KostenTypen[],2,0),VLOOKUP(F12,Kostentypen!$A$3:$E$20,3,0))),"")</f>
        <v/>
      </c>
      <c r="O12" s="324"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4"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3"/>
      <c r="R12" s="363"/>
      <c r="S12" s="325"/>
      <c r="T12" s="325"/>
      <c r="U12" s="317" t="str" cm="1">
        <f t="array" aca="1" ref="U12" ca="1">IFERROR(IF(AA12&lt;&gt;"ja",_xlfn.IFNA(_xlfn.IFS(AND(O12&lt;&gt;"",F12&lt;&gt;"",RIGHT($N12,6)="tarief",F12="Vergoeding"),SUM(O12)*FLOOR(SUM(Q12),0.0001),AND(O12&lt;&gt;"",F12&lt;&gt;"",RIGHT($N12,6)="tarief"),SUM(O12)*FLOOR(SUM(Q12),0.01),S12&gt;0,IF(F12&lt;&gt;"",FLOOR(SUM(S12),0.01),"")),""),""),"")</f>
        <v/>
      </c>
      <c r="V12" s="317" t="str" cm="1">
        <f t="array" aca="1" ref="V12" ca="1">IFERROR(IF(AA12&lt;&gt;"ja",_xlfn.IFNA(_xlfn.IFS(AND(P12&lt;&gt;"",R12&lt;&gt;"",RIGHT($N12,6)="tarief",F12="Vergoeding"),SUM(P12)*FLOOR(SUM(R12),0.0001),AND(P12&lt;&gt;"",R12&lt;&gt;"",RIGHT($N12,6)="tarief"),P12*FLOOR(R12,0.01),T12&gt;0,FLOOR(SUM(T12),0.01)),""),""),"")</f>
        <v/>
      </c>
      <c r="W12" s="317" t="str" cm="1">
        <f t="array" aca="1" ref="W12" ca="1">IFERROR(_xlfn.IFS(OR(F12="",LEFT(Methode_Keuze,4)="Geen",Methode_Keuze=""),"",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17" t="str" cm="1">
        <f t="array" aca="1" ref="X12" ca="1">IFERROR(_xlfn.IFS(OR(F12="",LEFT(Methode_Keuze,4)="Geen",Methode_Keuze=""),"",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26"/>
      <c r="Z12" s="319"/>
      <c r="AA12" s="32" t="str" cm="1">
        <f t="array" ref="AA12">IFERROR(IF(INDEX(SubsidieTabel!$AD$1:$AG$12,MATCH($F12,SubsidieTabel!$AD$1:$AD$12,0),IFERROR(MATCH(Methode_Keuze,SubsidieTabel!$AD$1:$AG$1,0),2))&lt;&gt;1=TRUE,"ja",""),"")</f>
        <v/>
      </c>
    </row>
    <row r="13" spans="1:27" x14ac:dyDescent="0.25">
      <c r="A13" s="320"/>
      <c r="B13" s="321" t="str">
        <f>IF(A13&lt;&gt;"",_xlfn.MAXIFS($B$1:B12,$A$1:A12,A13)+1,"")</f>
        <v/>
      </c>
      <c r="C13" s="299"/>
      <c r="D13" s="299"/>
      <c r="E13" s="299"/>
      <c r="F13" s="299"/>
      <c r="G13" s="330"/>
      <c r="H13" s="328"/>
      <c r="I13" s="329"/>
      <c r="J13" s="329"/>
      <c r="K13" s="322"/>
      <c r="L13" s="322"/>
      <c r="M13" s="323" t="str">
        <f>IFERROR(VLOOKUP(H13,Lijsten!$H$1:$I$100,2,0),"")</f>
        <v/>
      </c>
      <c r="N13" s="323" t="str">
        <f ca="1">IFERROR(IF(VLOOKUP(F13,Kostentypen!$A$3:$E$21,3,0)=0,"",IF(OR(F13="Arbeidskosten",F13="Vergoeding"),VLOOKUP(G13,Tb_KostenTypen[],2,0),VLOOKUP(F13,Kostentypen!$A$3:$E$20,3,0))),"")</f>
        <v/>
      </c>
      <c r="O13" s="324"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4"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3"/>
      <c r="R13" s="363"/>
      <c r="S13" s="325"/>
      <c r="T13" s="325"/>
      <c r="U13" s="317" t="str" cm="1">
        <f t="array" aca="1" ref="U13" ca="1">IFERROR(IF(AA13&lt;&gt;"ja",_xlfn.IFNA(_xlfn.IFS(AND(O13&lt;&gt;"",F13&lt;&gt;"",RIGHT($N13,6)="tarief",F13="Vergoeding"),SUM(O13)*FLOOR(SUM(Q13),0.0001),AND(O13&lt;&gt;"",F13&lt;&gt;"",RIGHT($N13,6)="tarief"),SUM(O13)*FLOOR(SUM(Q13),0.01),S13&gt;0,IF(F13&lt;&gt;"",FLOOR(SUM(S13),0.01),"")),""),""),"")</f>
        <v/>
      </c>
      <c r="V13" s="317" t="str" cm="1">
        <f t="array" aca="1" ref="V13" ca="1">IFERROR(IF(AA13&lt;&gt;"ja",_xlfn.IFNA(_xlfn.IFS(AND(P13&lt;&gt;"",R13&lt;&gt;"",RIGHT($N13,6)="tarief",F13="Vergoeding"),SUM(P13)*FLOOR(SUM(R13),0.0001),AND(P13&lt;&gt;"",R13&lt;&gt;"",RIGHT($N13,6)="tarief"),P13*FLOOR(R13,0.01),T13&gt;0,FLOOR(SUM(T13),0.01)),""),""),"")</f>
        <v/>
      </c>
      <c r="W13" s="317" t="str" cm="1">
        <f t="array" aca="1" ref="W13" ca="1">IFERROR(_xlfn.IFS(OR(F13="",LEFT(Methode_Keuze,4)="Geen",Methode_Keuze=""),"",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17" t="str" cm="1">
        <f t="array" aca="1" ref="X13" ca="1">IFERROR(_xlfn.IFS(OR(F13="",LEFT(Methode_Keuze,4)="Geen",Methode_Keuze=""),"",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26"/>
      <c r="Z13" s="319"/>
      <c r="AA13" s="32" t="str" cm="1">
        <f t="array" ref="AA13">IFERROR(IF(INDEX(SubsidieTabel!$AD$1:$AG$12,MATCH($F13,SubsidieTabel!$AD$1:$AD$12,0),IFERROR(MATCH(Methode_Keuze,SubsidieTabel!$AD$1:$AG$1,0),2))&lt;&gt;1=TRUE,"ja",""),"")</f>
        <v/>
      </c>
    </row>
    <row r="14" spans="1:27" x14ac:dyDescent="0.25">
      <c r="A14" s="320"/>
      <c r="B14" s="321" t="str">
        <f>IF(A14&lt;&gt;"",_xlfn.MAXIFS($B$1:B13,$A$1:A13,A14)+1,"")</f>
        <v/>
      </c>
      <c r="C14" s="299"/>
      <c r="D14" s="299"/>
      <c r="E14" s="299"/>
      <c r="F14" s="299"/>
      <c r="G14" s="330"/>
      <c r="H14" s="328"/>
      <c r="I14" s="329"/>
      <c r="J14" s="329"/>
      <c r="K14" s="322"/>
      <c r="L14" s="322"/>
      <c r="M14" s="323" t="str">
        <f>IFERROR(VLOOKUP(H14,Lijsten!$H$1:$I$100,2,0),"")</f>
        <v/>
      </c>
      <c r="N14" s="323" t="str">
        <f ca="1">IFERROR(IF(VLOOKUP(F14,Kostentypen!$A$3:$E$21,3,0)=0,"",IF(OR(F14="Arbeidskosten",F14="Vergoeding"),VLOOKUP(G14,Tb_KostenTypen[],2,0),VLOOKUP(F14,Kostentypen!$A$3:$E$20,3,0))),"")</f>
        <v/>
      </c>
      <c r="O14" s="324"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4"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3"/>
      <c r="R14" s="363"/>
      <c r="S14" s="325"/>
      <c r="T14" s="325"/>
      <c r="U14" s="317" t="str" cm="1">
        <f t="array" aca="1" ref="U14" ca="1">IFERROR(IF(AA14&lt;&gt;"ja",_xlfn.IFNA(_xlfn.IFS(AND(O14&lt;&gt;"",F14&lt;&gt;"",RIGHT($N14,6)="tarief",F14="Vergoeding"),SUM(O14)*FLOOR(SUM(Q14),0.0001),AND(O14&lt;&gt;"",F14&lt;&gt;"",RIGHT($N14,6)="tarief"),SUM(O14)*FLOOR(SUM(Q14),0.01),S14&gt;0,IF(F14&lt;&gt;"",FLOOR(SUM(S14),0.01),"")),""),""),"")</f>
        <v/>
      </c>
      <c r="V14" s="317" t="str" cm="1">
        <f t="array" aca="1" ref="V14" ca="1">IFERROR(IF(AA14&lt;&gt;"ja",_xlfn.IFNA(_xlfn.IFS(AND(P14&lt;&gt;"",R14&lt;&gt;"",RIGHT($N14,6)="tarief",F14="Vergoeding"),SUM(P14)*FLOOR(SUM(R14),0.0001),AND(P14&lt;&gt;"",R14&lt;&gt;"",RIGHT($N14,6)="tarief"),P14*FLOOR(R14,0.01),T14&gt;0,FLOOR(SUM(T14),0.01)),""),""),"")</f>
        <v/>
      </c>
      <c r="W14" s="317" t="str" cm="1">
        <f t="array" aca="1" ref="W14" ca="1">IFERROR(_xlfn.IFS(OR(F14="",LEFT(Methode_Keuze,4)="Geen",Methode_Keuze=""),"",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17" t="str" cm="1">
        <f t="array" aca="1" ref="X14" ca="1">IFERROR(_xlfn.IFS(OR(F14="",LEFT(Methode_Keuze,4)="Geen",Methode_Keuze=""),"",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26"/>
      <c r="Z14" s="319"/>
      <c r="AA14" s="32" t="str" cm="1">
        <f t="array" ref="AA14">IFERROR(IF(INDEX(SubsidieTabel!$AD$1:$AG$12,MATCH($F14,SubsidieTabel!$AD$1:$AD$12,0),IFERROR(MATCH(Methode_Keuze,SubsidieTabel!$AD$1:$AG$1,0),2))&lt;&gt;1=TRUE,"ja",""),"")</f>
        <v/>
      </c>
    </row>
    <row r="15" spans="1:27" x14ac:dyDescent="0.25">
      <c r="A15" s="320"/>
      <c r="B15" s="321" t="str">
        <f>IF(A15&lt;&gt;"",_xlfn.MAXIFS($B$1:B14,$A$1:A14,A15)+1,"")</f>
        <v/>
      </c>
      <c r="C15" s="299"/>
      <c r="D15" s="299"/>
      <c r="E15" s="299"/>
      <c r="F15" s="299"/>
      <c r="G15" s="330"/>
      <c r="H15" s="328"/>
      <c r="I15" s="329"/>
      <c r="J15" s="329"/>
      <c r="K15" s="322"/>
      <c r="L15" s="322"/>
      <c r="M15" s="323" t="str">
        <f>IFERROR(VLOOKUP(H15,Lijsten!$H$1:$I$100,2,0),"")</f>
        <v/>
      </c>
      <c r="N15" s="323" t="str">
        <f ca="1">IFERROR(IF(VLOOKUP(F15,Kostentypen!$A$3:$E$21,3,0)=0,"",IF(OR(F15="Arbeidskosten",F15="Vergoeding"),VLOOKUP(G15,Tb_KostenTypen[],2,0),VLOOKUP(F15,Kostentypen!$A$3:$E$20,3,0))),"")</f>
        <v/>
      </c>
      <c r="O15" s="324"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4"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3"/>
      <c r="R15" s="363"/>
      <c r="S15" s="325"/>
      <c r="T15" s="325"/>
      <c r="U15" s="317" t="str" cm="1">
        <f t="array" aca="1" ref="U15" ca="1">IFERROR(IF(AA15&lt;&gt;"ja",_xlfn.IFNA(_xlfn.IFS(AND(O15&lt;&gt;"",F15&lt;&gt;"",RIGHT($N15,6)="tarief",F15="Vergoeding"),SUM(O15)*FLOOR(SUM(Q15),0.0001),AND(O15&lt;&gt;"",F15&lt;&gt;"",RIGHT($N15,6)="tarief"),SUM(O15)*FLOOR(SUM(Q15),0.01),S15&gt;0,IF(F15&lt;&gt;"",FLOOR(SUM(S15),0.01),"")),""),""),"")</f>
        <v/>
      </c>
      <c r="V15" s="317" t="str" cm="1">
        <f t="array" aca="1" ref="V15" ca="1">IFERROR(IF(AA15&lt;&gt;"ja",_xlfn.IFNA(_xlfn.IFS(AND(P15&lt;&gt;"",R15&lt;&gt;"",RIGHT($N15,6)="tarief",F15="Vergoeding"),SUM(P15)*FLOOR(SUM(R15),0.0001),AND(P15&lt;&gt;"",R15&lt;&gt;"",RIGHT($N15,6)="tarief"),P15*FLOOR(R15,0.01),T15&gt;0,FLOOR(SUM(T15),0.01)),""),""),"")</f>
        <v/>
      </c>
      <c r="W15" s="317" t="str" cm="1">
        <f t="array" aca="1" ref="W15" ca="1">IFERROR(_xlfn.IFS(OR(F15="",LEFT(Methode_Keuze,4)="Geen",Methode_Keuze=""),"",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17" t="str" cm="1">
        <f t="array" aca="1" ref="X15" ca="1">IFERROR(_xlfn.IFS(OR(F15="",LEFT(Methode_Keuze,4)="Geen",Methode_Keuze=""),"",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26"/>
      <c r="Z15" s="319"/>
      <c r="AA15" s="32" t="str" cm="1">
        <f t="array" ref="AA15">IFERROR(IF(INDEX(SubsidieTabel!$AD$1:$AG$12,MATCH($F15,SubsidieTabel!$AD$1:$AD$12,0),IFERROR(MATCH(Methode_Keuze,SubsidieTabel!$AD$1:$AG$1,0),2))&lt;&gt;1=TRUE,"ja",""),"")</f>
        <v/>
      </c>
    </row>
    <row r="16" spans="1:27" x14ac:dyDescent="0.25">
      <c r="A16" s="320"/>
      <c r="B16" s="321" t="str">
        <f>IF(A16&lt;&gt;"",_xlfn.MAXIFS($B$1:B15,$A$1:A15,A16)+1,"")</f>
        <v/>
      </c>
      <c r="C16" s="299"/>
      <c r="D16" s="299"/>
      <c r="E16" s="299"/>
      <c r="F16" s="299"/>
      <c r="G16" s="330"/>
      <c r="H16" s="328"/>
      <c r="I16" s="329"/>
      <c r="J16" s="329"/>
      <c r="K16" s="322"/>
      <c r="L16" s="322"/>
      <c r="M16" s="323" t="str">
        <f>IFERROR(VLOOKUP(H16,Lijsten!$H$1:$I$100,2,0),"")</f>
        <v/>
      </c>
      <c r="N16" s="323" t="str">
        <f ca="1">IFERROR(IF(VLOOKUP(F16,Kostentypen!$A$3:$E$21,3,0)=0,"",IF(OR(F16="Arbeidskosten",F16="Vergoeding"),VLOOKUP(G16,Tb_KostenTypen[],2,0),VLOOKUP(F16,Kostentypen!$A$3:$E$20,3,0))),"")</f>
        <v/>
      </c>
      <c r="O16" s="324"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4"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3"/>
      <c r="R16" s="363"/>
      <c r="S16" s="325"/>
      <c r="T16" s="325"/>
      <c r="U16" s="317" t="str" cm="1">
        <f t="array" aca="1" ref="U16" ca="1">IFERROR(IF(AA16&lt;&gt;"ja",_xlfn.IFNA(_xlfn.IFS(AND(O16&lt;&gt;"",F16&lt;&gt;"",RIGHT($N16,6)="tarief",F16="Vergoeding"),SUM(O16)*FLOOR(SUM(Q16),0.0001),AND(O16&lt;&gt;"",F16&lt;&gt;"",RIGHT($N16,6)="tarief"),SUM(O16)*FLOOR(SUM(Q16),0.01),S16&gt;0,IF(F16&lt;&gt;"",FLOOR(SUM(S16),0.01),"")),""),""),"")</f>
        <v/>
      </c>
      <c r="V16" s="317" t="str" cm="1">
        <f t="array" aca="1" ref="V16" ca="1">IFERROR(IF(AA16&lt;&gt;"ja",_xlfn.IFNA(_xlfn.IFS(AND(P16&lt;&gt;"",R16&lt;&gt;"",RIGHT($N16,6)="tarief",F16="Vergoeding"),SUM(P16)*FLOOR(SUM(R16),0.0001),AND(P16&lt;&gt;"",R16&lt;&gt;"",RIGHT($N16,6)="tarief"),P16*FLOOR(R16,0.01),T16&gt;0,FLOOR(SUM(T16),0.01)),""),""),"")</f>
        <v/>
      </c>
      <c r="W16" s="317" t="str" cm="1">
        <f t="array" aca="1" ref="W16" ca="1">IFERROR(_xlfn.IFS(OR(F16="",LEFT(Methode_Keuze,4)="Geen",Methode_Keuze=""),"",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17" t="str" cm="1">
        <f t="array" aca="1" ref="X16" ca="1">IFERROR(_xlfn.IFS(OR(F16="",LEFT(Methode_Keuze,4)="Geen",Methode_Keuze=""),"",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26"/>
      <c r="Z16" s="319"/>
      <c r="AA16" s="32" t="str" cm="1">
        <f t="array" ref="AA16">IFERROR(IF(INDEX(SubsidieTabel!$AD$1:$AG$12,MATCH($F16,SubsidieTabel!$AD$1:$AD$12,0),IFERROR(MATCH(Methode_Keuze,SubsidieTabel!$AD$1:$AG$1,0),2))&lt;&gt;1=TRUE,"ja",""),"")</f>
        <v/>
      </c>
    </row>
    <row r="17" spans="1:27" x14ac:dyDescent="0.25">
      <c r="A17" s="320"/>
      <c r="B17" s="321" t="str">
        <f>IF(A17&lt;&gt;"",_xlfn.MAXIFS($B$1:B16,$A$1:A16,A17)+1,"")</f>
        <v/>
      </c>
      <c r="C17" s="299"/>
      <c r="D17" s="299"/>
      <c r="E17" s="299"/>
      <c r="F17" s="299"/>
      <c r="G17" s="330"/>
      <c r="H17" s="328"/>
      <c r="I17" s="329"/>
      <c r="J17" s="329"/>
      <c r="K17" s="322"/>
      <c r="L17" s="322"/>
      <c r="M17" s="323" t="str">
        <f>IFERROR(VLOOKUP(H17,Lijsten!$H$1:$I$100,2,0),"")</f>
        <v/>
      </c>
      <c r="N17" s="323" t="str">
        <f ca="1">IFERROR(IF(VLOOKUP(F17,Kostentypen!$A$3:$E$21,3,0)=0,"",IF(OR(F17="Arbeidskosten",F17="Vergoeding"),VLOOKUP(G17,Tb_KostenTypen[],2,0),VLOOKUP(F17,Kostentypen!$A$3:$E$20,3,0))),"")</f>
        <v/>
      </c>
      <c r="O17" s="324"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4"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3"/>
      <c r="R17" s="363"/>
      <c r="S17" s="325"/>
      <c r="T17" s="325"/>
      <c r="U17" s="317" t="str" cm="1">
        <f t="array" aca="1" ref="U17" ca="1">IFERROR(IF(AA17&lt;&gt;"ja",_xlfn.IFNA(_xlfn.IFS(AND(O17&lt;&gt;"",F17&lt;&gt;"",RIGHT($N17,6)="tarief",F17="Vergoeding"),SUM(O17)*FLOOR(SUM(Q17),0.0001),AND(O17&lt;&gt;"",F17&lt;&gt;"",RIGHT($N17,6)="tarief"),SUM(O17)*FLOOR(SUM(Q17),0.01),S17&gt;0,IF(F17&lt;&gt;"",FLOOR(SUM(S17),0.01),"")),""),""),"")</f>
        <v/>
      </c>
      <c r="V17" s="317" t="str" cm="1">
        <f t="array" aca="1" ref="V17" ca="1">IFERROR(IF(AA17&lt;&gt;"ja",_xlfn.IFNA(_xlfn.IFS(AND(P17&lt;&gt;"",R17&lt;&gt;"",RIGHT($N17,6)="tarief",F17="Vergoeding"),SUM(P17)*FLOOR(SUM(R17),0.0001),AND(P17&lt;&gt;"",R17&lt;&gt;"",RIGHT($N17,6)="tarief"),P17*FLOOR(R17,0.01),T17&gt;0,FLOOR(SUM(T17),0.01)),""),""),"")</f>
        <v/>
      </c>
      <c r="W17" s="317" t="str" cm="1">
        <f t="array" aca="1" ref="W17" ca="1">IFERROR(_xlfn.IFS(OR(F17="",LEFT(Methode_Keuze,4)="Geen",Methode_Keuze=""),"",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17" t="str" cm="1">
        <f t="array" aca="1" ref="X17" ca="1">IFERROR(_xlfn.IFS(OR(F17="",LEFT(Methode_Keuze,4)="Geen",Methode_Keuze=""),"",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26"/>
      <c r="Z17" s="319"/>
      <c r="AA17" s="32" t="str" cm="1">
        <f t="array" ref="AA17">IFERROR(IF(INDEX(SubsidieTabel!$AD$1:$AG$12,MATCH($F17,SubsidieTabel!$AD$1:$AD$12,0),IFERROR(MATCH(Methode_Keuze,SubsidieTabel!$AD$1:$AG$1,0),2))&lt;&gt;1=TRUE,"ja",""),"")</f>
        <v/>
      </c>
    </row>
    <row r="18" spans="1:27" x14ac:dyDescent="0.25">
      <c r="A18" s="320"/>
      <c r="B18" s="321" t="str">
        <f>IF(A18&lt;&gt;"",_xlfn.MAXIFS($B$1:B17,$A$1:A17,A18)+1,"")</f>
        <v/>
      </c>
      <c r="C18" s="299"/>
      <c r="D18" s="299"/>
      <c r="E18" s="299"/>
      <c r="F18" s="299"/>
      <c r="G18" s="330"/>
      <c r="H18" s="328"/>
      <c r="I18" s="329"/>
      <c r="J18" s="329"/>
      <c r="K18" s="322"/>
      <c r="L18" s="322"/>
      <c r="M18" s="323" t="str">
        <f>IFERROR(VLOOKUP(H18,Lijsten!$H$1:$I$100,2,0),"")</f>
        <v/>
      </c>
      <c r="N18" s="323" t="str">
        <f ca="1">IFERROR(IF(VLOOKUP(F18,Kostentypen!$A$3:$E$21,3,0)=0,"",IF(OR(F18="Arbeidskosten",F18="Vergoeding"),VLOOKUP(G18,Tb_KostenTypen[],2,0),VLOOKUP(F18,Kostentypen!$A$3:$E$20,3,0))),"")</f>
        <v/>
      </c>
      <c r="O18" s="324"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4"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3"/>
      <c r="R18" s="363"/>
      <c r="S18" s="325"/>
      <c r="T18" s="325"/>
      <c r="U18" s="317" t="str" cm="1">
        <f t="array" aca="1" ref="U18" ca="1">IFERROR(IF(AA18&lt;&gt;"ja",_xlfn.IFNA(_xlfn.IFS(AND(O18&lt;&gt;"",F18&lt;&gt;"",RIGHT($N18,6)="tarief",F18="Vergoeding"),SUM(O18)*FLOOR(SUM(Q18),0.0001),AND(O18&lt;&gt;"",F18&lt;&gt;"",RIGHT($N18,6)="tarief"),SUM(O18)*FLOOR(SUM(Q18),0.01),S18&gt;0,IF(F18&lt;&gt;"",FLOOR(SUM(S18),0.01),"")),""),""),"")</f>
        <v/>
      </c>
      <c r="V18" s="317" t="str" cm="1">
        <f t="array" aca="1" ref="V18" ca="1">IFERROR(IF(AA18&lt;&gt;"ja",_xlfn.IFNA(_xlfn.IFS(AND(P18&lt;&gt;"",R18&lt;&gt;"",RIGHT($N18,6)="tarief",F18="Vergoeding"),SUM(P18)*FLOOR(SUM(R18),0.0001),AND(P18&lt;&gt;"",R18&lt;&gt;"",RIGHT($N18,6)="tarief"),P18*FLOOR(R18,0.01),T18&gt;0,FLOOR(SUM(T18),0.01)),""),""),"")</f>
        <v/>
      </c>
      <c r="W18" s="317" t="str" cm="1">
        <f t="array" aca="1" ref="W18" ca="1">IFERROR(_xlfn.IFS(OR(F18="",LEFT(Methode_Keuze,4)="Geen",Methode_Keuze=""),"",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17" t="str" cm="1">
        <f t="array" aca="1" ref="X18" ca="1">IFERROR(_xlfn.IFS(OR(F18="",LEFT(Methode_Keuze,4)="Geen",Methode_Keuze=""),"",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26"/>
      <c r="Z18" s="319"/>
      <c r="AA18" s="32" t="str" cm="1">
        <f t="array" ref="AA18">IFERROR(IF(INDEX(SubsidieTabel!$AD$1:$AG$12,MATCH($F18,SubsidieTabel!$AD$1:$AD$12,0),IFERROR(MATCH(Methode_Keuze,SubsidieTabel!$AD$1:$AG$1,0),2))&lt;&gt;1=TRUE,"ja",""),"")</f>
        <v/>
      </c>
    </row>
    <row r="19" spans="1:27" x14ac:dyDescent="0.25">
      <c r="A19" s="320"/>
      <c r="B19" s="321" t="str">
        <f>IF(A19&lt;&gt;"",_xlfn.MAXIFS($B$1:B18,$A$1:A18,A19)+1,"")</f>
        <v/>
      </c>
      <c r="C19" s="299"/>
      <c r="D19" s="299"/>
      <c r="E19" s="299"/>
      <c r="F19" s="299"/>
      <c r="G19" s="330"/>
      <c r="H19" s="328"/>
      <c r="I19" s="329"/>
      <c r="J19" s="329"/>
      <c r="K19" s="322"/>
      <c r="L19" s="322"/>
      <c r="M19" s="323" t="str">
        <f>IFERROR(VLOOKUP(H19,Lijsten!$H$1:$I$100,2,0),"")</f>
        <v/>
      </c>
      <c r="N19" s="323" t="str">
        <f ca="1">IFERROR(IF(VLOOKUP(F19,Kostentypen!$A$3:$E$21,3,0)=0,"",IF(OR(F19="Arbeidskosten",F19="Vergoeding"),VLOOKUP(G19,Tb_KostenTypen[],2,0),VLOOKUP(F19,Kostentypen!$A$3:$E$20,3,0))),"")</f>
        <v/>
      </c>
      <c r="O19" s="324"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4"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3"/>
      <c r="R19" s="363"/>
      <c r="S19" s="325"/>
      <c r="T19" s="325"/>
      <c r="U19" s="317" t="str" cm="1">
        <f t="array" aca="1" ref="U19" ca="1">IFERROR(IF(AA19&lt;&gt;"ja",_xlfn.IFNA(_xlfn.IFS(AND(O19&lt;&gt;"",F19&lt;&gt;"",RIGHT($N19,6)="tarief",F19="Vergoeding"),SUM(O19)*FLOOR(SUM(Q19),0.0001),AND(O19&lt;&gt;"",F19&lt;&gt;"",RIGHT($N19,6)="tarief"),SUM(O19)*FLOOR(SUM(Q19),0.01),S19&gt;0,IF(F19&lt;&gt;"",FLOOR(SUM(S19),0.01),"")),""),""),"")</f>
        <v/>
      </c>
      <c r="V19" s="317" t="str" cm="1">
        <f t="array" aca="1" ref="V19" ca="1">IFERROR(IF(AA19&lt;&gt;"ja",_xlfn.IFNA(_xlfn.IFS(AND(P19&lt;&gt;"",R19&lt;&gt;"",RIGHT($N19,6)="tarief",F19="Vergoeding"),SUM(P19)*FLOOR(SUM(R19),0.0001),AND(P19&lt;&gt;"",R19&lt;&gt;"",RIGHT($N19,6)="tarief"),P19*FLOOR(R19,0.01),T19&gt;0,FLOOR(SUM(T19),0.01)),""),""),"")</f>
        <v/>
      </c>
      <c r="W19" s="317" t="str" cm="1">
        <f t="array" aca="1" ref="W19" ca="1">IFERROR(_xlfn.IFS(OR(F19="",LEFT(Methode_Keuze,4)="Geen",Methode_Keuze=""),"",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17" t="str" cm="1">
        <f t="array" aca="1" ref="X19" ca="1">IFERROR(_xlfn.IFS(OR(F19="",LEFT(Methode_Keuze,4)="Geen",Methode_Keuze=""),"",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26"/>
      <c r="Z19" s="319"/>
      <c r="AA19" s="32" t="str" cm="1">
        <f t="array" ref="AA19">IFERROR(IF(INDEX(SubsidieTabel!$AD$1:$AG$12,MATCH($F19,SubsidieTabel!$AD$1:$AD$12,0),IFERROR(MATCH(Methode_Keuze,SubsidieTabel!$AD$1:$AG$1,0),2))&lt;&gt;1=TRUE,"ja",""),"")</f>
        <v/>
      </c>
    </row>
    <row r="20" spans="1:27" x14ac:dyDescent="0.25">
      <c r="A20" s="320"/>
      <c r="B20" s="321" t="str">
        <f>IF(A20&lt;&gt;"",_xlfn.MAXIFS($B$1:B19,$A$1:A19,A20)+1,"")</f>
        <v/>
      </c>
      <c r="C20" s="299"/>
      <c r="D20" s="299"/>
      <c r="E20" s="299"/>
      <c r="F20" s="299"/>
      <c r="G20" s="330"/>
      <c r="H20" s="328"/>
      <c r="I20" s="329"/>
      <c r="J20" s="329"/>
      <c r="K20" s="322"/>
      <c r="L20" s="322"/>
      <c r="M20" s="323" t="str">
        <f>IFERROR(VLOOKUP(H20,Lijsten!$H$1:$I$100,2,0),"")</f>
        <v/>
      </c>
      <c r="N20" s="323" t="str">
        <f ca="1">IFERROR(IF(VLOOKUP(F20,Kostentypen!$A$3:$E$21,3,0)=0,"",IF(OR(F20="Arbeidskosten",F20="Vergoeding"),VLOOKUP(G20,Tb_KostenTypen[],2,0),VLOOKUP(F20,Kostentypen!$A$3:$E$20,3,0))),"")</f>
        <v/>
      </c>
      <c r="O20" s="324"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4"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3"/>
      <c r="R20" s="363"/>
      <c r="S20" s="325"/>
      <c r="T20" s="325"/>
      <c r="U20" s="317" t="str" cm="1">
        <f t="array" aca="1" ref="U20" ca="1">IFERROR(IF(AA20&lt;&gt;"ja",_xlfn.IFNA(_xlfn.IFS(AND(O20&lt;&gt;"",F20&lt;&gt;"",RIGHT($N20,6)="tarief",F20="Vergoeding"),SUM(O20)*FLOOR(SUM(Q20),0.0001),AND(O20&lt;&gt;"",F20&lt;&gt;"",RIGHT($N20,6)="tarief"),SUM(O20)*FLOOR(SUM(Q20),0.01),S20&gt;0,IF(F20&lt;&gt;"",FLOOR(SUM(S20),0.01),"")),""),""),"")</f>
        <v/>
      </c>
      <c r="V20" s="317" t="str" cm="1">
        <f t="array" aca="1" ref="V20" ca="1">IFERROR(IF(AA20&lt;&gt;"ja",_xlfn.IFNA(_xlfn.IFS(AND(P20&lt;&gt;"",R20&lt;&gt;"",RIGHT($N20,6)="tarief",F20="Vergoeding"),SUM(P20)*FLOOR(SUM(R20),0.0001),AND(P20&lt;&gt;"",R20&lt;&gt;"",RIGHT($N20,6)="tarief"),P20*FLOOR(R20,0.01),T20&gt;0,FLOOR(SUM(T20),0.01)),""),""),"")</f>
        <v/>
      </c>
      <c r="W20" s="317" t="str" cm="1">
        <f t="array" aca="1" ref="W20" ca="1">IFERROR(_xlfn.IFS(OR(F20="",LEFT(Methode_Keuze,4)="Geen",Methode_Keuze=""),"",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17" t="str" cm="1">
        <f t="array" aca="1" ref="X20" ca="1">IFERROR(_xlfn.IFS(OR(F20="",LEFT(Methode_Keuze,4)="Geen",Methode_Keuze=""),"",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26"/>
      <c r="Z20" s="319"/>
      <c r="AA20" s="32" t="str" cm="1">
        <f t="array" ref="AA20">IFERROR(IF(INDEX(SubsidieTabel!$AD$1:$AG$12,MATCH($F20,SubsidieTabel!$AD$1:$AD$12,0),IFERROR(MATCH(Methode_Keuze,SubsidieTabel!$AD$1:$AG$1,0),2))&lt;&gt;1=TRUE,"ja",""),"")</f>
        <v/>
      </c>
    </row>
    <row r="21" spans="1:27" x14ac:dyDescent="0.25">
      <c r="A21" s="320"/>
      <c r="B21" s="321" t="str">
        <f>IF(A21&lt;&gt;"",_xlfn.MAXIFS($B$1:B20,$A$1:A20,A21)+1,"")</f>
        <v/>
      </c>
      <c r="C21" s="299"/>
      <c r="D21" s="299"/>
      <c r="E21" s="299"/>
      <c r="F21" s="299"/>
      <c r="G21" s="330"/>
      <c r="H21" s="328"/>
      <c r="I21" s="329"/>
      <c r="J21" s="329"/>
      <c r="K21" s="322"/>
      <c r="L21" s="322"/>
      <c r="M21" s="323" t="str">
        <f>IFERROR(VLOOKUP(H21,Lijsten!$H$1:$I$100,2,0),"")</f>
        <v/>
      </c>
      <c r="N21" s="323" t="str">
        <f ca="1">IFERROR(IF(VLOOKUP(F21,Kostentypen!$A$3:$E$21,3,0)=0,"",IF(OR(F21="Arbeidskosten",F21="Vergoeding"),VLOOKUP(G21,Tb_KostenTypen[],2,0),VLOOKUP(F21,Kostentypen!$A$3:$E$20,3,0))),"")</f>
        <v/>
      </c>
      <c r="O21" s="324"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4"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3"/>
      <c r="R21" s="363"/>
      <c r="S21" s="325"/>
      <c r="T21" s="325"/>
      <c r="U21" s="317" t="str" cm="1">
        <f t="array" aca="1" ref="U21" ca="1">IFERROR(IF(AA21&lt;&gt;"ja",_xlfn.IFNA(_xlfn.IFS(AND(O21&lt;&gt;"",F21&lt;&gt;"",RIGHT($N21,6)="tarief",F21="Vergoeding"),SUM(O21)*FLOOR(SUM(Q21),0.0001),AND(O21&lt;&gt;"",F21&lt;&gt;"",RIGHT($N21,6)="tarief"),SUM(O21)*FLOOR(SUM(Q21),0.01),S21&gt;0,IF(F21&lt;&gt;"",FLOOR(SUM(S21),0.01),"")),""),""),"")</f>
        <v/>
      </c>
      <c r="V21" s="317" t="str" cm="1">
        <f t="array" aca="1" ref="V21" ca="1">IFERROR(IF(AA21&lt;&gt;"ja",_xlfn.IFNA(_xlfn.IFS(AND(P21&lt;&gt;"",R21&lt;&gt;"",RIGHT($N21,6)="tarief",F21="Vergoeding"),SUM(P21)*FLOOR(SUM(R21),0.0001),AND(P21&lt;&gt;"",R21&lt;&gt;"",RIGHT($N21,6)="tarief"),P21*FLOOR(R21,0.01),T21&gt;0,FLOOR(SUM(T21),0.01)),""),""),"")</f>
        <v/>
      </c>
      <c r="W21" s="317" t="str" cm="1">
        <f t="array" aca="1" ref="W21" ca="1">IFERROR(_xlfn.IFS(OR(F21="",LEFT(Methode_Keuze,4)="Geen",Methode_Keuze=""),"",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17" t="str" cm="1">
        <f t="array" aca="1" ref="X21" ca="1">IFERROR(_xlfn.IFS(OR(F21="",LEFT(Methode_Keuze,4)="Geen",Methode_Keuze=""),"",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26"/>
      <c r="Z21" s="319"/>
      <c r="AA21" s="32" t="str" cm="1">
        <f t="array" ref="AA21">IFERROR(IF(INDEX(SubsidieTabel!$AD$1:$AG$12,MATCH($F21,SubsidieTabel!$AD$1:$AD$12,0),IFERROR(MATCH(Methode_Keuze,SubsidieTabel!$AD$1:$AG$1,0),2))&lt;&gt;1=TRUE,"ja",""),"")</f>
        <v/>
      </c>
    </row>
    <row r="22" spans="1:27" x14ac:dyDescent="0.25">
      <c r="A22" s="320"/>
      <c r="B22" s="321" t="str">
        <f>IF(A22&lt;&gt;"",_xlfn.MAXIFS($B$1:B21,$A$1:A21,A22)+1,"")</f>
        <v/>
      </c>
      <c r="C22" s="299"/>
      <c r="D22" s="299"/>
      <c r="E22" s="299"/>
      <c r="F22" s="299"/>
      <c r="G22" s="330"/>
      <c r="H22" s="328"/>
      <c r="I22" s="329"/>
      <c r="J22" s="329"/>
      <c r="K22" s="322"/>
      <c r="L22" s="322"/>
      <c r="M22" s="323" t="str">
        <f>IFERROR(VLOOKUP(H22,Lijsten!$H$1:$I$100,2,0),"")</f>
        <v/>
      </c>
      <c r="N22" s="323" t="str">
        <f ca="1">IFERROR(IF(VLOOKUP(F22,Kostentypen!$A$3:$E$21,3,0)=0,"",IF(OR(F22="Arbeidskosten",F22="Vergoeding"),VLOOKUP(G22,Tb_KostenTypen[],2,0),VLOOKUP(F22,Kostentypen!$A$3:$E$20,3,0))),"")</f>
        <v/>
      </c>
      <c r="O22" s="324"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4"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3"/>
      <c r="R22" s="363"/>
      <c r="S22" s="325"/>
      <c r="T22" s="325"/>
      <c r="U22" s="317" t="str" cm="1">
        <f t="array" aca="1" ref="U22" ca="1">IFERROR(IF(AA22&lt;&gt;"ja",_xlfn.IFNA(_xlfn.IFS(AND(O22&lt;&gt;"",F22&lt;&gt;"",RIGHT($N22,6)="tarief",F22="Vergoeding"),SUM(O22)*FLOOR(SUM(Q22),0.0001),AND(O22&lt;&gt;"",F22&lt;&gt;"",RIGHT($N22,6)="tarief"),SUM(O22)*FLOOR(SUM(Q22),0.01),S22&gt;0,IF(F22&lt;&gt;"",FLOOR(SUM(S22),0.01),"")),""),""),"")</f>
        <v/>
      </c>
      <c r="V22" s="317" t="str" cm="1">
        <f t="array" aca="1" ref="V22" ca="1">IFERROR(IF(AA22&lt;&gt;"ja",_xlfn.IFNA(_xlfn.IFS(AND(P22&lt;&gt;"",R22&lt;&gt;"",RIGHT($N22,6)="tarief",F22="Vergoeding"),SUM(P22)*FLOOR(SUM(R22),0.0001),AND(P22&lt;&gt;"",R22&lt;&gt;"",RIGHT($N22,6)="tarief"),P22*FLOOR(R22,0.01),T22&gt;0,FLOOR(SUM(T22),0.01)),""),""),"")</f>
        <v/>
      </c>
      <c r="W22" s="317" t="str" cm="1">
        <f t="array" aca="1" ref="W22" ca="1">IFERROR(_xlfn.IFS(OR(F22="",LEFT(Methode_Keuze,4)="Geen",Methode_Keuze=""),"",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17" t="str" cm="1">
        <f t="array" aca="1" ref="X22" ca="1">IFERROR(_xlfn.IFS(OR(F22="",LEFT(Methode_Keuze,4)="Geen",Methode_Keuze=""),"",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26"/>
      <c r="Z22" s="319"/>
      <c r="AA22" s="32" t="str" cm="1">
        <f t="array" ref="AA22">IFERROR(IF(INDEX(SubsidieTabel!$AD$1:$AG$12,MATCH($F22,SubsidieTabel!$AD$1:$AD$12,0),IFERROR(MATCH(Methode_Keuze,SubsidieTabel!$AD$1:$AG$1,0),2))&lt;&gt;1=TRUE,"ja",""),"")</f>
        <v/>
      </c>
    </row>
    <row r="23" spans="1:27" x14ac:dyDescent="0.25">
      <c r="A23" s="320"/>
      <c r="B23" s="321" t="str">
        <f>IF(A23&lt;&gt;"",_xlfn.MAXIFS($B$1:B22,$A$1:A22,A23)+1,"")</f>
        <v/>
      </c>
      <c r="C23" s="299"/>
      <c r="D23" s="299"/>
      <c r="E23" s="299"/>
      <c r="F23" s="299"/>
      <c r="G23" s="330"/>
      <c r="H23" s="328"/>
      <c r="I23" s="329"/>
      <c r="J23" s="329"/>
      <c r="K23" s="322"/>
      <c r="L23" s="322"/>
      <c r="M23" s="323" t="str">
        <f>IFERROR(VLOOKUP(H23,Lijsten!$H$1:$I$100,2,0),"")</f>
        <v/>
      </c>
      <c r="N23" s="323" t="str">
        <f ca="1">IFERROR(IF(VLOOKUP(F23,Kostentypen!$A$3:$E$21,3,0)=0,"",IF(OR(F23="Arbeidskosten",F23="Vergoeding"),VLOOKUP(G23,Tb_KostenTypen[],2,0),VLOOKUP(F23,Kostentypen!$A$3:$E$20,3,0))),"")</f>
        <v/>
      </c>
      <c r="O23" s="324"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4"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3"/>
      <c r="R23" s="363"/>
      <c r="S23" s="325"/>
      <c r="T23" s="325"/>
      <c r="U23" s="317" t="str" cm="1">
        <f t="array" aca="1" ref="U23" ca="1">IFERROR(IF(AA23&lt;&gt;"ja",_xlfn.IFNA(_xlfn.IFS(AND(O23&lt;&gt;"",F23&lt;&gt;"",RIGHT($N23,6)="tarief",F23="Vergoeding"),SUM(O23)*FLOOR(SUM(Q23),0.0001),AND(O23&lt;&gt;"",F23&lt;&gt;"",RIGHT($N23,6)="tarief"),SUM(O23)*FLOOR(SUM(Q23),0.01),S23&gt;0,IF(F23&lt;&gt;"",FLOOR(SUM(S23),0.01),"")),""),""),"")</f>
        <v/>
      </c>
      <c r="V23" s="317" t="str" cm="1">
        <f t="array" aca="1" ref="V23" ca="1">IFERROR(IF(AA23&lt;&gt;"ja",_xlfn.IFNA(_xlfn.IFS(AND(P23&lt;&gt;"",R23&lt;&gt;"",RIGHT($N23,6)="tarief",F23="Vergoeding"),SUM(P23)*FLOOR(SUM(R23),0.0001),AND(P23&lt;&gt;"",R23&lt;&gt;"",RIGHT($N23,6)="tarief"),P23*FLOOR(R23,0.01),T23&gt;0,FLOOR(SUM(T23),0.01)),""),""),"")</f>
        <v/>
      </c>
      <c r="W23" s="317" t="str" cm="1">
        <f t="array" aca="1" ref="W23" ca="1">IFERROR(_xlfn.IFS(OR(F23="",LEFT(Methode_Keuze,4)="Geen",Methode_Keuze=""),"",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17" t="str" cm="1">
        <f t="array" aca="1" ref="X23" ca="1">IFERROR(_xlfn.IFS(OR(F23="",LEFT(Methode_Keuze,4)="Geen",Methode_Keuze=""),"",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26"/>
      <c r="Z23" s="319"/>
      <c r="AA23" s="32" t="str" cm="1">
        <f t="array" ref="AA23">IFERROR(IF(INDEX(SubsidieTabel!$AD$1:$AG$12,MATCH($F23,SubsidieTabel!$AD$1:$AD$12,0),IFERROR(MATCH(Methode_Keuze,SubsidieTabel!$AD$1:$AG$1,0),2))&lt;&gt;1=TRUE,"ja",""),"")</f>
        <v/>
      </c>
    </row>
    <row r="24" spans="1:27" x14ac:dyDescent="0.25">
      <c r="A24" s="320"/>
      <c r="B24" s="321" t="str">
        <f>IF(A24&lt;&gt;"",_xlfn.MAXIFS($B$1:B23,$A$1:A23,A24)+1,"")</f>
        <v/>
      </c>
      <c r="C24" s="299"/>
      <c r="D24" s="299"/>
      <c r="E24" s="299"/>
      <c r="F24" s="299"/>
      <c r="G24" s="330"/>
      <c r="H24" s="328"/>
      <c r="I24" s="329"/>
      <c r="J24" s="329"/>
      <c r="K24" s="322"/>
      <c r="L24" s="322"/>
      <c r="M24" s="323" t="str">
        <f>IFERROR(VLOOKUP(H24,Lijsten!$H$1:$I$100,2,0),"")</f>
        <v/>
      </c>
      <c r="N24" s="323" t="str">
        <f ca="1">IFERROR(IF(VLOOKUP(F24,Kostentypen!$A$3:$E$21,3,0)=0,"",IF(OR(F24="Arbeidskosten",F24="Vergoeding"),VLOOKUP(G24,Tb_KostenTypen[],2,0),VLOOKUP(F24,Kostentypen!$A$3:$E$20,3,0))),"")</f>
        <v/>
      </c>
      <c r="O24" s="324"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4"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3"/>
      <c r="R24" s="363"/>
      <c r="S24" s="325"/>
      <c r="T24" s="325"/>
      <c r="U24" s="317" t="str" cm="1">
        <f t="array" aca="1" ref="U24" ca="1">IFERROR(IF(AA24&lt;&gt;"ja",_xlfn.IFNA(_xlfn.IFS(AND(O24&lt;&gt;"",F24&lt;&gt;"",RIGHT($N24,6)="tarief",F24="Vergoeding"),SUM(O24)*FLOOR(SUM(Q24),0.0001),AND(O24&lt;&gt;"",F24&lt;&gt;"",RIGHT($N24,6)="tarief"),SUM(O24)*FLOOR(SUM(Q24),0.01),S24&gt;0,IF(F24&lt;&gt;"",FLOOR(SUM(S24),0.01),"")),""),""),"")</f>
        <v/>
      </c>
      <c r="V24" s="317" t="str" cm="1">
        <f t="array" aca="1" ref="V24" ca="1">IFERROR(IF(AA24&lt;&gt;"ja",_xlfn.IFNA(_xlfn.IFS(AND(P24&lt;&gt;"",R24&lt;&gt;"",RIGHT($N24,6)="tarief",F24="Vergoeding"),SUM(P24)*FLOOR(SUM(R24),0.0001),AND(P24&lt;&gt;"",R24&lt;&gt;"",RIGHT($N24,6)="tarief"),P24*FLOOR(R24,0.01),T24&gt;0,FLOOR(SUM(T24),0.01)),""),""),"")</f>
        <v/>
      </c>
      <c r="W24" s="317" t="str" cm="1">
        <f t="array" aca="1" ref="W24" ca="1">IFERROR(_xlfn.IFS(OR(F24="",LEFT(Methode_Keuze,4)="Geen",Methode_Keuze=""),"",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17" t="str" cm="1">
        <f t="array" aca="1" ref="X24" ca="1">IFERROR(_xlfn.IFS(OR(F24="",LEFT(Methode_Keuze,4)="Geen",Methode_Keuze=""),"",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26"/>
      <c r="Z24" s="319"/>
      <c r="AA24" s="32" t="str" cm="1">
        <f t="array" ref="AA24">IFERROR(IF(INDEX(SubsidieTabel!$AD$1:$AG$12,MATCH($F24,SubsidieTabel!$AD$1:$AD$12,0),IFERROR(MATCH(Methode_Keuze,SubsidieTabel!$AD$1:$AG$1,0),2))&lt;&gt;1=TRUE,"ja",""),"")</f>
        <v/>
      </c>
    </row>
    <row r="25" spans="1:27" x14ac:dyDescent="0.25">
      <c r="A25" s="320"/>
      <c r="B25" s="321" t="str">
        <f>IF(A25&lt;&gt;"",_xlfn.MAXIFS($B$1:B24,$A$1:A24,A25)+1,"")</f>
        <v/>
      </c>
      <c r="C25" s="299"/>
      <c r="D25" s="299"/>
      <c r="E25" s="299"/>
      <c r="F25" s="299"/>
      <c r="G25" s="330"/>
      <c r="H25" s="328"/>
      <c r="I25" s="329"/>
      <c r="J25" s="329"/>
      <c r="K25" s="322"/>
      <c r="L25" s="322"/>
      <c r="M25" s="323" t="str">
        <f>IFERROR(VLOOKUP(H25,Lijsten!$H$1:$I$100,2,0),"")</f>
        <v/>
      </c>
      <c r="N25" s="323" t="str">
        <f ca="1">IFERROR(IF(VLOOKUP(F25,Kostentypen!$A$3:$E$21,3,0)=0,"",IF(OR(F25="Arbeidskosten",F25="Vergoeding"),VLOOKUP(G25,Tb_KostenTypen[],2,0),VLOOKUP(F25,Kostentypen!$A$3:$E$20,3,0))),"")</f>
        <v/>
      </c>
      <c r="O25" s="324"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4"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3"/>
      <c r="R25" s="363"/>
      <c r="S25" s="325"/>
      <c r="T25" s="325"/>
      <c r="U25" s="317" t="str" cm="1">
        <f t="array" aca="1" ref="U25" ca="1">IFERROR(IF(AA25&lt;&gt;"ja",_xlfn.IFNA(_xlfn.IFS(AND(O25&lt;&gt;"",F25&lt;&gt;"",RIGHT($N25,6)="tarief",F25="Vergoeding"),SUM(O25)*FLOOR(SUM(Q25),0.0001),AND(O25&lt;&gt;"",F25&lt;&gt;"",RIGHT($N25,6)="tarief"),SUM(O25)*FLOOR(SUM(Q25),0.01),S25&gt;0,IF(F25&lt;&gt;"",FLOOR(SUM(S25),0.01),"")),""),""),"")</f>
        <v/>
      </c>
      <c r="V25" s="317" t="str" cm="1">
        <f t="array" aca="1" ref="V25" ca="1">IFERROR(IF(AA25&lt;&gt;"ja",_xlfn.IFNA(_xlfn.IFS(AND(P25&lt;&gt;"",R25&lt;&gt;"",RIGHT($N25,6)="tarief",F25="Vergoeding"),SUM(P25)*FLOOR(SUM(R25),0.0001),AND(P25&lt;&gt;"",R25&lt;&gt;"",RIGHT($N25,6)="tarief"),P25*FLOOR(R25,0.01),T25&gt;0,FLOOR(SUM(T25),0.01)),""),""),"")</f>
        <v/>
      </c>
      <c r="W25" s="317" t="str" cm="1">
        <f t="array" aca="1" ref="W25" ca="1">IFERROR(_xlfn.IFS(OR(F25="",LEFT(Methode_Keuze,4)="Geen",Methode_Keuze=""),"",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17" t="str" cm="1">
        <f t="array" aca="1" ref="X25" ca="1">IFERROR(_xlfn.IFS(OR(F25="",LEFT(Methode_Keuze,4)="Geen",Methode_Keuze=""),"",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26"/>
      <c r="Z25" s="319"/>
      <c r="AA25" s="32" t="str" cm="1">
        <f t="array" ref="AA25">IFERROR(IF(INDEX(SubsidieTabel!$AD$1:$AG$12,MATCH($F25,SubsidieTabel!$AD$1:$AD$12,0),IFERROR(MATCH(Methode_Keuze,SubsidieTabel!$AD$1:$AG$1,0),2))&lt;&gt;1=TRUE,"ja",""),"")</f>
        <v/>
      </c>
    </row>
    <row r="26" spans="1:27" x14ac:dyDescent="0.25">
      <c r="A26" s="320"/>
      <c r="B26" s="321" t="str">
        <f>IF(A26&lt;&gt;"",_xlfn.MAXIFS($B$1:B25,$A$1:A25,A26)+1,"")</f>
        <v/>
      </c>
      <c r="C26" s="299"/>
      <c r="D26" s="299"/>
      <c r="E26" s="299"/>
      <c r="F26" s="299"/>
      <c r="G26" s="330"/>
      <c r="H26" s="328"/>
      <c r="I26" s="329"/>
      <c r="J26" s="329"/>
      <c r="K26" s="322"/>
      <c r="L26" s="322"/>
      <c r="M26" s="323" t="str">
        <f>IFERROR(VLOOKUP(H26,Lijsten!$H$1:$I$100,2,0),"")</f>
        <v/>
      </c>
      <c r="N26" s="323" t="str">
        <f ca="1">IFERROR(IF(VLOOKUP(F26,Kostentypen!$A$3:$E$21,3,0)=0,"",IF(OR(F26="Arbeidskosten",F26="Vergoeding"),VLOOKUP(G26,Tb_KostenTypen[],2,0),VLOOKUP(F26,Kostentypen!$A$3:$E$20,3,0))),"")</f>
        <v/>
      </c>
      <c r="O26" s="324"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4"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3"/>
      <c r="R26" s="363"/>
      <c r="S26" s="325"/>
      <c r="T26" s="325"/>
      <c r="U26" s="317" t="str" cm="1">
        <f t="array" aca="1" ref="U26" ca="1">IFERROR(IF(AA26&lt;&gt;"ja",_xlfn.IFNA(_xlfn.IFS(AND(O26&lt;&gt;"",F26&lt;&gt;"",RIGHT($N26,6)="tarief",F26="Vergoeding"),SUM(O26)*FLOOR(SUM(Q26),0.0001),AND(O26&lt;&gt;"",F26&lt;&gt;"",RIGHT($N26,6)="tarief"),SUM(O26)*FLOOR(SUM(Q26),0.01),S26&gt;0,IF(F26&lt;&gt;"",FLOOR(SUM(S26),0.01),"")),""),""),"")</f>
        <v/>
      </c>
      <c r="V26" s="317" t="str" cm="1">
        <f t="array" aca="1" ref="V26" ca="1">IFERROR(IF(AA26&lt;&gt;"ja",_xlfn.IFNA(_xlfn.IFS(AND(P26&lt;&gt;"",R26&lt;&gt;"",RIGHT($N26,6)="tarief",F26="Vergoeding"),SUM(P26)*FLOOR(SUM(R26),0.0001),AND(P26&lt;&gt;"",R26&lt;&gt;"",RIGHT($N26,6)="tarief"),P26*FLOOR(R26,0.01),T26&gt;0,FLOOR(SUM(T26),0.01)),""),""),"")</f>
        <v/>
      </c>
      <c r="W26" s="317" t="str" cm="1">
        <f t="array" aca="1" ref="W26" ca="1">IFERROR(_xlfn.IFS(OR(F26="",LEFT(Methode_Keuze,4)="Geen",Methode_Keuze=""),"",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17" t="str" cm="1">
        <f t="array" aca="1" ref="X26" ca="1">IFERROR(_xlfn.IFS(OR(F26="",LEFT(Methode_Keuze,4)="Geen",Methode_Keuze=""),"",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26"/>
      <c r="Z26" s="319"/>
      <c r="AA26" s="32" t="str" cm="1">
        <f t="array" ref="AA26">IFERROR(IF(INDEX(SubsidieTabel!$AD$1:$AG$12,MATCH($F26,SubsidieTabel!$AD$1:$AD$12,0),IFERROR(MATCH(Methode_Keuze,SubsidieTabel!$AD$1:$AG$1,0),2))&lt;&gt;1=TRUE,"ja",""),"")</f>
        <v/>
      </c>
    </row>
    <row r="27" spans="1:27" x14ac:dyDescent="0.25">
      <c r="A27" s="320"/>
      <c r="B27" s="321" t="str">
        <f>IF(A27&lt;&gt;"",_xlfn.MAXIFS($B$1:B26,$A$1:A26,A27)+1,"")</f>
        <v/>
      </c>
      <c r="C27" s="299"/>
      <c r="D27" s="299"/>
      <c r="E27" s="299"/>
      <c r="F27" s="299"/>
      <c r="G27" s="330"/>
      <c r="H27" s="328"/>
      <c r="I27" s="329"/>
      <c r="J27" s="329"/>
      <c r="K27" s="322"/>
      <c r="L27" s="322"/>
      <c r="M27" s="323" t="str">
        <f>IFERROR(VLOOKUP(H27,Lijsten!$H$1:$I$100,2,0),"")</f>
        <v/>
      </c>
      <c r="N27" s="323" t="str">
        <f ca="1">IFERROR(IF(VLOOKUP(F27,Kostentypen!$A$3:$E$21,3,0)=0,"",IF(OR(F27="Arbeidskosten",F27="Vergoeding"),VLOOKUP(G27,Tb_KostenTypen[],2,0),VLOOKUP(F27,Kostentypen!$A$3:$E$20,3,0))),"")</f>
        <v/>
      </c>
      <c r="O27" s="324"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4"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3"/>
      <c r="R27" s="363"/>
      <c r="S27" s="325"/>
      <c r="T27" s="325"/>
      <c r="U27" s="317" t="str" cm="1">
        <f t="array" aca="1" ref="U27" ca="1">IFERROR(IF(AA27&lt;&gt;"ja",_xlfn.IFNA(_xlfn.IFS(AND(O27&lt;&gt;"",F27&lt;&gt;"",RIGHT($N27,6)="tarief",F27="Vergoeding"),SUM(O27)*FLOOR(SUM(Q27),0.0001),AND(O27&lt;&gt;"",F27&lt;&gt;"",RIGHT($N27,6)="tarief"),SUM(O27)*FLOOR(SUM(Q27),0.01),S27&gt;0,IF(F27&lt;&gt;"",FLOOR(SUM(S27),0.01),"")),""),""),"")</f>
        <v/>
      </c>
      <c r="V27" s="317" t="str" cm="1">
        <f t="array" aca="1" ref="V27" ca="1">IFERROR(IF(AA27&lt;&gt;"ja",_xlfn.IFNA(_xlfn.IFS(AND(P27&lt;&gt;"",R27&lt;&gt;"",RIGHT($N27,6)="tarief",F27="Vergoeding"),SUM(P27)*FLOOR(SUM(R27),0.0001),AND(P27&lt;&gt;"",R27&lt;&gt;"",RIGHT($N27,6)="tarief"),P27*FLOOR(R27,0.01),T27&gt;0,FLOOR(SUM(T27),0.01)),""),""),"")</f>
        <v/>
      </c>
      <c r="W27" s="317" t="str" cm="1">
        <f t="array" aca="1" ref="W27" ca="1">IFERROR(_xlfn.IFS(OR(F27="",LEFT(Methode_Keuze,4)="Geen",Methode_Keuze=""),"",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17" t="str" cm="1">
        <f t="array" aca="1" ref="X27" ca="1">IFERROR(_xlfn.IFS(OR(F27="",LEFT(Methode_Keuze,4)="Geen",Methode_Keuze=""),"",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26"/>
      <c r="Z27" s="319"/>
      <c r="AA27" s="32" t="str" cm="1">
        <f t="array" ref="AA27">IFERROR(IF(INDEX(SubsidieTabel!$AD$1:$AG$12,MATCH($F27,SubsidieTabel!$AD$1:$AD$12,0),IFERROR(MATCH(Methode_Keuze,SubsidieTabel!$AD$1:$AG$1,0),2))&lt;&gt;1=TRUE,"ja",""),"")</f>
        <v/>
      </c>
    </row>
    <row r="28" spans="1:27" x14ac:dyDescent="0.25">
      <c r="A28" s="320"/>
      <c r="B28" s="321" t="str">
        <f>IF(A28&lt;&gt;"",_xlfn.MAXIFS($B$1:B27,$A$1:A27,A28)+1,"")</f>
        <v/>
      </c>
      <c r="C28" s="299"/>
      <c r="D28" s="299"/>
      <c r="E28" s="299"/>
      <c r="F28" s="299"/>
      <c r="G28" s="330"/>
      <c r="H28" s="328"/>
      <c r="I28" s="329"/>
      <c r="J28" s="329"/>
      <c r="K28" s="322"/>
      <c r="L28" s="322"/>
      <c r="M28" s="323" t="str">
        <f>IFERROR(VLOOKUP(H28,Lijsten!$H$1:$I$100,2,0),"")</f>
        <v/>
      </c>
      <c r="N28" s="323" t="str">
        <f ca="1">IFERROR(IF(VLOOKUP(F28,Kostentypen!$A$3:$E$21,3,0)=0,"",IF(OR(F28="Arbeidskosten",F28="Vergoeding"),VLOOKUP(G28,Tb_KostenTypen[],2,0),VLOOKUP(F28,Kostentypen!$A$3:$E$20,3,0))),"")</f>
        <v/>
      </c>
      <c r="O28" s="324"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4"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3"/>
      <c r="R28" s="363"/>
      <c r="S28" s="325"/>
      <c r="T28" s="325"/>
      <c r="U28" s="317" t="str" cm="1">
        <f t="array" aca="1" ref="U28" ca="1">IFERROR(IF(AA28&lt;&gt;"ja",_xlfn.IFNA(_xlfn.IFS(AND(O28&lt;&gt;"",F28&lt;&gt;"",RIGHT($N28,6)="tarief",F28="Vergoeding"),SUM(O28)*FLOOR(SUM(Q28),0.0001),AND(O28&lt;&gt;"",F28&lt;&gt;"",RIGHT($N28,6)="tarief"),SUM(O28)*FLOOR(SUM(Q28),0.01),S28&gt;0,IF(F28&lt;&gt;"",FLOOR(SUM(S28),0.01),"")),""),""),"")</f>
        <v/>
      </c>
      <c r="V28" s="317" t="str" cm="1">
        <f t="array" aca="1" ref="V28" ca="1">IFERROR(IF(AA28&lt;&gt;"ja",_xlfn.IFNA(_xlfn.IFS(AND(P28&lt;&gt;"",R28&lt;&gt;"",RIGHT($N28,6)="tarief",F28="Vergoeding"),SUM(P28)*FLOOR(SUM(R28),0.0001),AND(P28&lt;&gt;"",R28&lt;&gt;"",RIGHT($N28,6)="tarief"),P28*FLOOR(R28,0.01),T28&gt;0,FLOOR(SUM(T28),0.01)),""),""),"")</f>
        <v/>
      </c>
      <c r="W28" s="317" t="str" cm="1">
        <f t="array" aca="1" ref="W28" ca="1">IFERROR(_xlfn.IFS(OR(F28="",LEFT(Methode_Keuze,4)="Geen",Methode_Keuze=""),"",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17" t="str" cm="1">
        <f t="array" aca="1" ref="X28" ca="1">IFERROR(_xlfn.IFS(OR(F28="",LEFT(Methode_Keuze,4)="Geen",Methode_Keuze=""),"",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26"/>
      <c r="Z28" s="319"/>
      <c r="AA28" s="32" t="str" cm="1">
        <f t="array" ref="AA28">IFERROR(IF(INDEX(SubsidieTabel!$AD$1:$AG$12,MATCH($F28,SubsidieTabel!$AD$1:$AD$12,0),IFERROR(MATCH(Methode_Keuze,SubsidieTabel!$AD$1:$AG$1,0),2))&lt;&gt;1=TRUE,"ja",""),"")</f>
        <v/>
      </c>
    </row>
    <row r="29" spans="1:27" x14ac:dyDescent="0.25">
      <c r="A29" s="320"/>
      <c r="B29" s="321" t="str">
        <f>IF(A29&lt;&gt;"",_xlfn.MAXIFS($B$1:B28,$A$1:A28,A29)+1,"")</f>
        <v/>
      </c>
      <c r="C29" s="299"/>
      <c r="D29" s="299"/>
      <c r="E29" s="299"/>
      <c r="F29" s="299"/>
      <c r="G29" s="330"/>
      <c r="H29" s="328"/>
      <c r="I29" s="329"/>
      <c r="J29" s="329"/>
      <c r="K29" s="322"/>
      <c r="L29" s="322"/>
      <c r="M29" s="323" t="str">
        <f>IFERROR(VLOOKUP(H29,Lijsten!$H$1:$I$100,2,0),"")</f>
        <v/>
      </c>
      <c r="N29" s="323" t="str">
        <f ca="1">IFERROR(IF(VLOOKUP(F29,Kostentypen!$A$3:$E$21,3,0)=0,"",IF(OR(F29="Arbeidskosten",F29="Vergoeding"),VLOOKUP(G29,Tb_KostenTypen[],2,0),VLOOKUP(F29,Kostentypen!$A$3:$E$20,3,0))),"")</f>
        <v/>
      </c>
      <c r="O29" s="324"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4"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3"/>
      <c r="R29" s="363"/>
      <c r="S29" s="325"/>
      <c r="T29" s="325"/>
      <c r="U29" s="317" t="str" cm="1">
        <f t="array" aca="1" ref="U29" ca="1">IFERROR(IF(AA29&lt;&gt;"ja",_xlfn.IFNA(_xlfn.IFS(AND(O29&lt;&gt;"",F29&lt;&gt;"",RIGHT($N29,6)="tarief",F29="Vergoeding"),SUM(O29)*FLOOR(SUM(Q29),0.0001),AND(O29&lt;&gt;"",F29&lt;&gt;"",RIGHT($N29,6)="tarief"),SUM(O29)*FLOOR(SUM(Q29),0.01),S29&gt;0,IF(F29&lt;&gt;"",FLOOR(SUM(S29),0.01),"")),""),""),"")</f>
        <v/>
      </c>
      <c r="V29" s="317" t="str" cm="1">
        <f t="array" aca="1" ref="V29" ca="1">IFERROR(IF(AA29&lt;&gt;"ja",_xlfn.IFNA(_xlfn.IFS(AND(P29&lt;&gt;"",R29&lt;&gt;"",RIGHT($N29,6)="tarief",F29="Vergoeding"),SUM(P29)*FLOOR(SUM(R29),0.0001),AND(P29&lt;&gt;"",R29&lt;&gt;"",RIGHT($N29,6)="tarief"),P29*FLOOR(R29,0.01),T29&gt;0,FLOOR(SUM(T29),0.01)),""),""),"")</f>
        <v/>
      </c>
      <c r="W29" s="317" t="str" cm="1">
        <f t="array" aca="1" ref="W29" ca="1">IFERROR(_xlfn.IFS(OR(F29="",LEFT(Methode_Keuze,4)="Geen",Methode_Keuze=""),"",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17" t="str" cm="1">
        <f t="array" aca="1" ref="X29" ca="1">IFERROR(_xlfn.IFS(OR(F29="",LEFT(Methode_Keuze,4)="Geen",Methode_Keuze=""),"",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26"/>
      <c r="Z29" s="319"/>
      <c r="AA29" s="32" t="str" cm="1">
        <f t="array" ref="AA29">IFERROR(IF(INDEX(SubsidieTabel!$AD$1:$AG$12,MATCH($F29,SubsidieTabel!$AD$1:$AD$12,0),IFERROR(MATCH(Methode_Keuze,SubsidieTabel!$AD$1:$AG$1,0),2))&lt;&gt;1=TRUE,"ja",""),"")</f>
        <v/>
      </c>
    </row>
    <row r="30" spans="1:27" x14ac:dyDescent="0.25">
      <c r="A30" s="320"/>
      <c r="B30" s="321" t="str">
        <f>IF(A30&lt;&gt;"",_xlfn.MAXIFS($B$1:B29,$A$1:A29,A30)+1,"")</f>
        <v/>
      </c>
      <c r="C30" s="299"/>
      <c r="D30" s="299"/>
      <c r="E30" s="299"/>
      <c r="F30" s="299"/>
      <c r="G30" s="330"/>
      <c r="H30" s="328"/>
      <c r="I30" s="329"/>
      <c r="J30" s="329"/>
      <c r="K30" s="322"/>
      <c r="L30" s="322"/>
      <c r="M30" s="323" t="str">
        <f>IFERROR(VLOOKUP(H30,Lijsten!$H$1:$I$100,2,0),"")</f>
        <v/>
      </c>
      <c r="N30" s="323" t="str">
        <f ca="1">IFERROR(IF(VLOOKUP(F30,Kostentypen!$A$3:$E$21,3,0)=0,"",IF(OR(F30="Arbeidskosten",F30="Vergoeding"),VLOOKUP(G30,Tb_KostenTypen[],2,0),VLOOKUP(F30,Kostentypen!$A$3:$E$20,3,0))),"")</f>
        <v/>
      </c>
      <c r="O30" s="324"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4"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3"/>
      <c r="R30" s="363"/>
      <c r="S30" s="325"/>
      <c r="T30" s="325"/>
      <c r="U30" s="317" t="str" cm="1">
        <f t="array" aca="1" ref="U30" ca="1">IFERROR(IF(AA30&lt;&gt;"ja",_xlfn.IFNA(_xlfn.IFS(AND(O30&lt;&gt;"",F30&lt;&gt;"",RIGHT($N30,6)="tarief",F30="Vergoeding"),SUM(O30)*FLOOR(SUM(Q30),0.0001),AND(O30&lt;&gt;"",F30&lt;&gt;"",RIGHT($N30,6)="tarief"),SUM(O30)*FLOOR(SUM(Q30),0.01),S30&gt;0,IF(F30&lt;&gt;"",FLOOR(SUM(S30),0.01),"")),""),""),"")</f>
        <v/>
      </c>
      <c r="V30" s="317" t="str" cm="1">
        <f t="array" aca="1" ref="V30" ca="1">IFERROR(IF(AA30&lt;&gt;"ja",_xlfn.IFNA(_xlfn.IFS(AND(P30&lt;&gt;"",R30&lt;&gt;"",RIGHT($N30,6)="tarief",F30="Vergoeding"),SUM(P30)*FLOOR(SUM(R30),0.0001),AND(P30&lt;&gt;"",R30&lt;&gt;"",RIGHT($N30,6)="tarief"),P30*FLOOR(R30,0.01),T30&gt;0,FLOOR(SUM(T30),0.01)),""),""),"")</f>
        <v/>
      </c>
      <c r="W30" s="317" t="str" cm="1">
        <f t="array" aca="1" ref="W30" ca="1">IFERROR(_xlfn.IFS(OR(F30="",LEFT(Methode_Keuze,4)="Geen",Methode_Keuze=""),"",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17" t="str" cm="1">
        <f t="array" aca="1" ref="X30" ca="1">IFERROR(_xlfn.IFS(OR(F30="",LEFT(Methode_Keuze,4)="Geen",Methode_Keuze=""),"",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26"/>
      <c r="Z30" s="319"/>
      <c r="AA30" s="32" t="str" cm="1">
        <f t="array" ref="AA30">IFERROR(IF(INDEX(SubsidieTabel!$AD$1:$AG$12,MATCH($F30,SubsidieTabel!$AD$1:$AD$12,0),IFERROR(MATCH(Methode_Keuze,SubsidieTabel!$AD$1:$AG$1,0),2))&lt;&gt;1=TRUE,"ja",""),"")</f>
        <v/>
      </c>
    </row>
    <row r="31" spans="1:27" x14ac:dyDescent="0.25">
      <c r="A31" s="320"/>
      <c r="B31" s="321" t="str">
        <f>IF(A31&lt;&gt;"",_xlfn.MAXIFS($B$1:B30,$A$1:A30,A31)+1,"")</f>
        <v/>
      </c>
      <c r="C31" s="299"/>
      <c r="D31" s="299"/>
      <c r="E31" s="299"/>
      <c r="F31" s="299"/>
      <c r="G31" s="330"/>
      <c r="H31" s="328"/>
      <c r="I31" s="329"/>
      <c r="J31" s="329"/>
      <c r="K31" s="322"/>
      <c r="L31" s="322"/>
      <c r="M31" s="323" t="str">
        <f>IFERROR(VLOOKUP(H31,Lijsten!$H$1:$I$100,2,0),"")</f>
        <v/>
      </c>
      <c r="N31" s="323" t="str">
        <f ca="1">IFERROR(IF(VLOOKUP(F31,Kostentypen!$A$3:$E$21,3,0)=0,"",IF(OR(F31="Arbeidskosten",F31="Vergoeding"),VLOOKUP(G31,Tb_KostenTypen[],2,0),VLOOKUP(F31,Kostentypen!$A$3:$E$20,3,0))),"")</f>
        <v/>
      </c>
      <c r="O31" s="324"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4"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3"/>
      <c r="R31" s="363"/>
      <c r="S31" s="325"/>
      <c r="T31" s="325"/>
      <c r="U31" s="317" t="str" cm="1">
        <f t="array" aca="1" ref="U31" ca="1">IFERROR(IF(AA31&lt;&gt;"ja",_xlfn.IFNA(_xlfn.IFS(AND(O31&lt;&gt;"",F31&lt;&gt;"",RIGHT($N31,6)="tarief",F31="Vergoeding"),SUM(O31)*FLOOR(SUM(Q31),0.0001),AND(O31&lt;&gt;"",F31&lt;&gt;"",RIGHT($N31,6)="tarief"),SUM(O31)*FLOOR(SUM(Q31),0.01),S31&gt;0,IF(F31&lt;&gt;"",FLOOR(SUM(S31),0.01),"")),""),""),"")</f>
        <v/>
      </c>
      <c r="V31" s="317" t="str" cm="1">
        <f t="array" aca="1" ref="V31" ca="1">IFERROR(IF(AA31&lt;&gt;"ja",_xlfn.IFNA(_xlfn.IFS(AND(P31&lt;&gt;"",R31&lt;&gt;"",RIGHT($N31,6)="tarief",F31="Vergoeding"),SUM(P31)*FLOOR(SUM(R31),0.0001),AND(P31&lt;&gt;"",R31&lt;&gt;"",RIGHT($N31,6)="tarief"),P31*FLOOR(R31,0.01),T31&gt;0,FLOOR(SUM(T31),0.01)),""),""),"")</f>
        <v/>
      </c>
      <c r="W31" s="317" t="str" cm="1">
        <f t="array" aca="1" ref="W31" ca="1">IFERROR(_xlfn.IFS(OR(F31="",LEFT(Methode_Keuze,4)="Geen",Methode_Keuze=""),"",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17" t="str" cm="1">
        <f t="array" aca="1" ref="X31" ca="1">IFERROR(_xlfn.IFS(OR(F31="",LEFT(Methode_Keuze,4)="Geen",Methode_Keuze=""),"",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26"/>
      <c r="Z31" s="319"/>
      <c r="AA31" s="32" t="str" cm="1">
        <f t="array" ref="AA31">IFERROR(IF(INDEX(SubsidieTabel!$AD$1:$AG$12,MATCH($F31,SubsidieTabel!$AD$1:$AD$12,0),IFERROR(MATCH(Methode_Keuze,SubsidieTabel!$AD$1:$AG$1,0),2))&lt;&gt;1=TRUE,"ja",""),"")</f>
        <v/>
      </c>
    </row>
    <row r="32" spans="1:27" x14ac:dyDescent="0.25">
      <c r="A32" s="320"/>
      <c r="B32" s="321" t="str">
        <f>IF(A32&lt;&gt;"",_xlfn.MAXIFS($B$1:B31,$A$1:A31,A32)+1,"")</f>
        <v/>
      </c>
      <c r="C32" s="299"/>
      <c r="D32" s="299"/>
      <c r="E32" s="299"/>
      <c r="F32" s="299"/>
      <c r="G32" s="330"/>
      <c r="H32" s="328"/>
      <c r="I32" s="329"/>
      <c r="J32" s="329"/>
      <c r="K32" s="322"/>
      <c r="L32" s="322"/>
      <c r="M32" s="323" t="str">
        <f>IFERROR(VLOOKUP(H32,Lijsten!$H$1:$I$100,2,0),"")</f>
        <v/>
      </c>
      <c r="N32" s="323" t="str">
        <f ca="1">IFERROR(IF(VLOOKUP(F32,Kostentypen!$A$3:$E$21,3,0)=0,"",IF(OR(F32="Arbeidskosten",F32="Vergoeding"),VLOOKUP(G32,Tb_KostenTypen[],2,0),VLOOKUP(F32,Kostentypen!$A$3:$E$20,3,0))),"")</f>
        <v/>
      </c>
      <c r="O32" s="324"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4"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3"/>
      <c r="R32" s="363"/>
      <c r="S32" s="325"/>
      <c r="T32" s="325"/>
      <c r="U32" s="317" t="str" cm="1">
        <f t="array" aca="1" ref="U32" ca="1">IFERROR(IF(AA32&lt;&gt;"ja",_xlfn.IFNA(_xlfn.IFS(AND(O32&lt;&gt;"",F32&lt;&gt;"",RIGHT($N32,6)="tarief",F32="Vergoeding"),SUM(O32)*FLOOR(SUM(Q32),0.0001),AND(O32&lt;&gt;"",F32&lt;&gt;"",RIGHT($N32,6)="tarief"),SUM(O32)*FLOOR(SUM(Q32),0.01),S32&gt;0,IF(F32&lt;&gt;"",FLOOR(SUM(S32),0.01),"")),""),""),"")</f>
        <v/>
      </c>
      <c r="V32" s="317" t="str" cm="1">
        <f t="array" aca="1" ref="V32" ca="1">IFERROR(IF(AA32&lt;&gt;"ja",_xlfn.IFNA(_xlfn.IFS(AND(P32&lt;&gt;"",R32&lt;&gt;"",RIGHT($N32,6)="tarief",F32="Vergoeding"),SUM(P32)*FLOOR(SUM(R32),0.0001),AND(P32&lt;&gt;"",R32&lt;&gt;"",RIGHT($N32,6)="tarief"),P32*FLOOR(R32,0.01),T32&gt;0,FLOOR(SUM(T32),0.01)),""),""),"")</f>
        <v/>
      </c>
      <c r="W32" s="317" t="str" cm="1">
        <f t="array" aca="1" ref="W32" ca="1">IFERROR(_xlfn.IFS(OR(F32="",LEFT(Methode_Keuze,4)="Geen",Methode_Keuze=""),"",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17" t="str" cm="1">
        <f t="array" aca="1" ref="X32" ca="1">IFERROR(_xlfn.IFS(OR(F32="",LEFT(Methode_Keuze,4)="Geen",Methode_Keuze=""),"",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26"/>
      <c r="Z32" s="319"/>
      <c r="AA32" s="32" t="str" cm="1">
        <f t="array" ref="AA32">IFERROR(IF(INDEX(SubsidieTabel!$AD$1:$AG$12,MATCH($F32,SubsidieTabel!$AD$1:$AD$12,0),IFERROR(MATCH(Methode_Keuze,SubsidieTabel!$AD$1:$AG$1,0),2))&lt;&gt;1=TRUE,"ja",""),"")</f>
        <v/>
      </c>
    </row>
    <row r="33" spans="1:27" x14ac:dyDescent="0.25">
      <c r="A33" s="320"/>
      <c r="B33" s="321" t="str">
        <f>IF(A33&lt;&gt;"",_xlfn.MAXIFS($B$1:B32,$A$1:A32,A33)+1,"")</f>
        <v/>
      </c>
      <c r="C33" s="299"/>
      <c r="D33" s="299"/>
      <c r="E33" s="299"/>
      <c r="F33" s="299"/>
      <c r="G33" s="330"/>
      <c r="H33" s="328"/>
      <c r="I33" s="329"/>
      <c r="J33" s="329"/>
      <c r="K33" s="322"/>
      <c r="L33" s="322"/>
      <c r="M33" s="323" t="str">
        <f>IFERROR(VLOOKUP(H33,Lijsten!$H$1:$I$100,2,0),"")</f>
        <v/>
      </c>
      <c r="N33" s="323" t="str">
        <f ca="1">IFERROR(IF(VLOOKUP(F33,Kostentypen!$A$3:$E$21,3,0)=0,"",IF(OR(F33="Arbeidskosten",F33="Vergoeding"),VLOOKUP(G33,Tb_KostenTypen[],2,0),VLOOKUP(F33,Kostentypen!$A$3:$E$20,3,0))),"")</f>
        <v/>
      </c>
      <c r="O33" s="324"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4"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3"/>
      <c r="R33" s="363"/>
      <c r="S33" s="325"/>
      <c r="T33" s="325"/>
      <c r="U33" s="317" t="str" cm="1">
        <f t="array" aca="1" ref="U33" ca="1">IFERROR(IF(AA33&lt;&gt;"ja",_xlfn.IFNA(_xlfn.IFS(AND(O33&lt;&gt;"",F33&lt;&gt;"",RIGHT($N33,6)="tarief",F33="Vergoeding"),SUM(O33)*FLOOR(SUM(Q33),0.0001),AND(O33&lt;&gt;"",F33&lt;&gt;"",RIGHT($N33,6)="tarief"),SUM(O33)*FLOOR(SUM(Q33),0.01),S33&gt;0,IF(F33&lt;&gt;"",FLOOR(SUM(S33),0.01),"")),""),""),"")</f>
        <v/>
      </c>
      <c r="V33" s="317" t="str" cm="1">
        <f t="array" aca="1" ref="V33" ca="1">IFERROR(IF(AA33&lt;&gt;"ja",_xlfn.IFNA(_xlfn.IFS(AND(P33&lt;&gt;"",R33&lt;&gt;"",RIGHT($N33,6)="tarief",F33="Vergoeding"),SUM(P33)*FLOOR(SUM(R33),0.0001),AND(P33&lt;&gt;"",R33&lt;&gt;"",RIGHT($N33,6)="tarief"),P33*FLOOR(R33,0.01),T33&gt;0,FLOOR(SUM(T33),0.01)),""),""),"")</f>
        <v/>
      </c>
      <c r="W33" s="317" t="str" cm="1">
        <f t="array" aca="1" ref="W33" ca="1">IFERROR(_xlfn.IFS(OR(F33="",LEFT(Methode_Keuze,4)="Geen",Methode_Keuze=""),"",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17" t="str" cm="1">
        <f t="array" aca="1" ref="X33" ca="1">IFERROR(_xlfn.IFS(OR(F33="",LEFT(Methode_Keuze,4)="Geen",Methode_Keuze=""),"",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26"/>
      <c r="Z33" s="319"/>
      <c r="AA33" s="32" t="str" cm="1">
        <f t="array" ref="AA33">IFERROR(IF(INDEX(SubsidieTabel!$AD$1:$AG$12,MATCH($F33,SubsidieTabel!$AD$1:$AD$12,0),IFERROR(MATCH(Methode_Keuze,SubsidieTabel!$AD$1:$AG$1,0),2))&lt;&gt;1=TRUE,"ja",""),"")</f>
        <v/>
      </c>
    </row>
    <row r="34" spans="1:27" x14ac:dyDescent="0.25">
      <c r="A34" s="320"/>
      <c r="B34" s="321" t="str">
        <f>IF(A34&lt;&gt;"",_xlfn.MAXIFS($B$1:B33,$A$1:A33,A34)+1,"")</f>
        <v/>
      </c>
      <c r="C34" s="299"/>
      <c r="D34" s="299"/>
      <c r="E34" s="299"/>
      <c r="F34" s="299"/>
      <c r="G34" s="330"/>
      <c r="H34" s="328"/>
      <c r="I34" s="329"/>
      <c r="J34" s="329"/>
      <c r="K34" s="322"/>
      <c r="L34" s="322"/>
      <c r="M34" s="323" t="str">
        <f>IFERROR(VLOOKUP(H34,Lijsten!$H$1:$I$100,2,0),"")</f>
        <v/>
      </c>
      <c r="N34" s="323" t="str">
        <f ca="1">IFERROR(IF(VLOOKUP(F34,Kostentypen!$A$3:$E$21,3,0)=0,"",IF(OR(F34="Arbeidskosten",F34="Vergoeding"),VLOOKUP(G34,Tb_KostenTypen[],2,0),VLOOKUP(F34,Kostentypen!$A$3:$E$20,3,0))),"")</f>
        <v/>
      </c>
      <c r="O34" s="324"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4"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3"/>
      <c r="R34" s="363"/>
      <c r="S34" s="325"/>
      <c r="T34" s="325"/>
      <c r="U34" s="317" t="str" cm="1">
        <f t="array" aca="1" ref="U34" ca="1">IFERROR(IF(AA34&lt;&gt;"ja",_xlfn.IFNA(_xlfn.IFS(AND(O34&lt;&gt;"",F34&lt;&gt;"",RIGHT($N34,6)="tarief",F34="Vergoeding"),SUM(O34)*FLOOR(SUM(Q34),0.0001),AND(O34&lt;&gt;"",F34&lt;&gt;"",RIGHT($N34,6)="tarief"),SUM(O34)*FLOOR(SUM(Q34),0.01),S34&gt;0,IF(F34&lt;&gt;"",FLOOR(SUM(S34),0.01),"")),""),""),"")</f>
        <v/>
      </c>
      <c r="V34" s="317" t="str" cm="1">
        <f t="array" aca="1" ref="V34" ca="1">IFERROR(IF(AA34&lt;&gt;"ja",_xlfn.IFNA(_xlfn.IFS(AND(P34&lt;&gt;"",R34&lt;&gt;"",RIGHT($N34,6)="tarief",F34="Vergoeding"),SUM(P34)*FLOOR(SUM(R34),0.0001),AND(P34&lt;&gt;"",R34&lt;&gt;"",RIGHT($N34,6)="tarief"),P34*FLOOR(R34,0.01),T34&gt;0,FLOOR(SUM(T34),0.01)),""),""),"")</f>
        <v/>
      </c>
      <c r="W34" s="317" t="str" cm="1">
        <f t="array" aca="1" ref="W34" ca="1">IFERROR(_xlfn.IFS(OR(F34="",LEFT(Methode_Keuze,4)="Geen",Methode_Keuze=""),"",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17" t="str" cm="1">
        <f t="array" aca="1" ref="X34" ca="1">IFERROR(_xlfn.IFS(OR(F34="",LEFT(Methode_Keuze,4)="Geen",Methode_Keuze=""),"",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26"/>
      <c r="Z34" s="319"/>
      <c r="AA34" s="32" t="str" cm="1">
        <f t="array" ref="AA34">IFERROR(IF(INDEX(SubsidieTabel!$AD$1:$AG$12,MATCH($F34,SubsidieTabel!$AD$1:$AD$12,0),IFERROR(MATCH(Methode_Keuze,SubsidieTabel!$AD$1:$AG$1,0),2))&lt;&gt;1=TRUE,"ja",""),"")</f>
        <v/>
      </c>
    </row>
    <row r="35" spans="1:27" x14ac:dyDescent="0.25">
      <c r="A35" s="320"/>
      <c r="B35" s="321" t="str">
        <f>IF(A35&lt;&gt;"",_xlfn.MAXIFS($B$1:B34,$A$1:A34,A35)+1,"")</f>
        <v/>
      </c>
      <c r="C35" s="299"/>
      <c r="D35" s="299"/>
      <c r="E35" s="299"/>
      <c r="F35" s="299"/>
      <c r="G35" s="330"/>
      <c r="H35" s="328"/>
      <c r="I35" s="329"/>
      <c r="J35" s="329"/>
      <c r="K35" s="322"/>
      <c r="L35" s="322"/>
      <c r="M35" s="323" t="str">
        <f>IFERROR(VLOOKUP(H35,Lijsten!$H$1:$I$100,2,0),"")</f>
        <v/>
      </c>
      <c r="N35" s="323" t="str">
        <f ca="1">IFERROR(IF(VLOOKUP(F35,Kostentypen!$A$3:$E$21,3,0)=0,"",IF(OR(F35="Arbeidskosten",F35="Vergoeding"),VLOOKUP(G35,Tb_KostenTypen[],2,0),VLOOKUP(F35,Kostentypen!$A$3:$E$20,3,0))),"")</f>
        <v/>
      </c>
      <c r="O35" s="324"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4"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3"/>
      <c r="R35" s="363"/>
      <c r="S35" s="325"/>
      <c r="T35" s="325"/>
      <c r="U35" s="317" t="str" cm="1">
        <f t="array" aca="1" ref="U35" ca="1">IFERROR(IF(AA35&lt;&gt;"ja",_xlfn.IFNA(_xlfn.IFS(AND(O35&lt;&gt;"",F35&lt;&gt;"",RIGHT($N35,6)="tarief",F35="Vergoeding"),SUM(O35)*FLOOR(SUM(Q35),0.0001),AND(O35&lt;&gt;"",F35&lt;&gt;"",RIGHT($N35,6)="tarief"),SUM(O35)*FLOOR(SUM(Q35),0.01),S35&gt;0,IF(F35&lt;&gt;"",FLOOR(SUM(S35),0.01),"")),""),""),"")</f>
        <v/>
      </c>
      <c r="V35" s="317" t="str" cm="1">
        <f t="array" aca="1" ref="V35" ca="1">IFERROR(IF(AA35&lt;&gt;"ja",_xlfn.IFNA(_xlfn.IFS(AND(P35&lt;&gt;"",R35&lt;&gt;"",RIGHT($N35,6)="tarief",F35="Vergoeding"),SUM(P35)*FLOOR(SUM(R35),0.0001),AND(P35&lt;&gt;"",R35&lt;&gt;"",RIGHT($N35,6)="tarief"),P35*FLOOR(R35,0.01),T35&gt;0,FLOOR(SUM(T35),0.01)),""),""),"")</f>
        <v/>
      </c>
      <c r="W35" s="317" t="str" cm="1">
        <f t="array" aca="1" ref="W35" ca="1">IFERROR(_xlfn.IFS(OR(F35="",LEFT(Methode_Keuze,4)="Geen",Methode_Keuze=""),"",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17" t="str" cm="1">
        <f t="array" aca="1" ref="X35" ca="1">IFERROR(_xlfn.IFS(OR(F35="",LEFT(Methode_Keuze,4)="Geen",Methode_Keuze=""),"",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26"/>
      <c r="Z35" s="319"/>
      <c r="AA35" s="32" t="str" cm="1">
        <f t="array" ref="AA35">IFERROR(IF(INDEX(SubsidieTabel!$AD$1:$AG$12,MATCH($F35,SubsidieTabel!$AD$1:$AD$12,0),IFERROR(MATCH(Methode_Keuze,SubsidieTabel!$AD$1:$AG$1,0),2))&lt;&gt;1=TRUE,"ja",""),"")</f>
        <v/>
      </c>
    </row>
    <row r="36" spans="1:27" x14ac:dyDescent="0.25">
      <c r="A36" s="320"/>
      <c r="B36" s="321" t="str">
        <f>IF(A36&lt;&gt;"",_xlfn.MAXIFS($B$1:B35,$A$1:A35,A36)+1,"")</f>
        <v/>
      </c>
      <c r="C36" s="299"/>
      <c r="D36" s="299"/>
      <c r="E36" s="299"/>
      <c r="F36" s="299"/>
      <c r="G36" s="330"/>
      <c r="H36" s="328"/>
      <c r="I36" s="329"/>
      <c r="J36" s="329"/>
      <c r="K36" s="322"/>
      <c r="L36" s="322"/>
      <c r="M36" s="323" t="str">
        <f>IFERROR(VLOOKUP(H36,Lijsten!$H$1:$I$100,2,0),"")</f>
        <v/>
      </c>
      <c r="N36" s="323" t="str">
        <f ca="1">IFERROR(IF(VLOOKUP(F36,Kostentypen!$A$3:$E$21,3,0)=0,"",IF(OR(F36="Arbeidskosten",F36="Vergoeding"),VLOOKUP(G36,Tb_KostenTypen[],2,0),VLOOKUP(F36,Kostentypen!$A$3:$E$20,3,0))),"")</f>
        <v/>
      </c>
      <c r="O36" s="324"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4"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3"/>
      <c r="R36" s="363"/>
      <c r="S36" s="325"/>
      <c r="T36" s="325"/>
      <c r="U36" s="317" t="str" cm="1">
        <f t="array" aca="1" ref="U36" ca="1">IFERROR(IF(AA36&lt;&gt;"ja",_xlfn.IFNA(_xlfn.IFS(AND(O36&lt;&gt;"",F36&lt;&gt;"",RIGHT($N36,6)="tarief",F36="Vergoeding"),SUM(O36)*FLOOR(SUM(Q36),0.0001),AND(O36&lt;&gt;"",F36&lt;&gt;"",RIGHT($N36,6)="tarief"),SUM(O36)*FLOOR(SUM(Q36),0.01),S36&gt;0,IF(F36&lt;&gt;"",FLOOR(SUM(S36),0.01),"")),""),""),"")</f>
        <v/>
      </c>
      <c r="V36" s="317" t="str" cm="1">
        <f t="array" aca="1" ref="V36" ca="1">IFERROR(IF(AA36&lt;&gt;"ja",_xlfn.IFNA(_xlfn.IFS(AND(P36&lt;&gt;"",R36&lt;&gt;"",RIGHT($N36,6)="tarief",F36="Vergoeding"),SUM(P36)*FLOOR(SUM(R36),0.0001),AND(P36&lt;&gt;"",R36&lt;&gt;"",RIGHT($N36,6)="tarief"),P36*FLOOR(R36,0.01),T36&gt;0,FLOOR(SUM(T36),0.01)),""),""),"")</f>
        <v/>
      </c>
      <c r="W36" s="317" t="str" cm="1">
        <f t="array" aca="1" ref="W36" ca="1">IFERROR(_xlfn.IFS(OR(F36="",LEFT(Methode_Keuze,4)="Geen",Methode_Keuze=""),"",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17" t="str" cm="1">
        <f t="array" aca="1" ref="X36" ca="1">IFERROR(_xlfn.IFS(OR(F36="",LEFT(Methode_Keuze,4)="Geen",Methode_Keuze=""),"",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26"/>
      <c r="Z36" s="319"/>
      <c r="AA36" s="32" t="str" cm="1">
        <f t="array" ref="AA36">IFERROR(IF(INDEX(SubsidieTabel!$AD$1:$AG$12,MATCH($F36,SubsidieTabel!$AD$1:$AD$12,0),IFERROR(MATCH(Methode_Keuze,SubsidieTabel!$AD$1:$AG$1,0),2))&lt;&gt;1=TRUE,"ja",""),"")</f>
        <v/>
      </c>
    </row>
    <row r="37" spans="1:27" x14ac:dyDescent="0.25">
      <c r="A37" s="320"/>
      <c r="B37" s="321" t="str">
        <f>IF(A37&lt;&gt;"",_xlfn.MAXIFS($B$1:B36,$A$1:A36,A37)+1,"")</f>
        <v/>
      </c>
      <c r="C37" s="299"/>
      <c r="D37" s="299"/>
      <c r="E37" s="299"/>
      <c r="F37" s="299"/>
      <c r="G37" s="330"/>
      <c r="H37" s="328"/>
      <c r="I37" s="329"/>
      <c r="J37" s="329"/>
      <c r="K37" s="322"/>
      <c r="L37" s="322"/>
      <c r="M37" s="323" t="str">
        <f>IFERROR(VLOOKUP(H37,Lijsten!$H$1:$I$100,2,0),"")</f>
        <v/>
      </c>
      <c r="N37" s="323" t="str">
        <f ca="1">IFERROR(IF(VLOOKUP(F37,Kostentypen!$A$3:$E$21,3,0)=0,"",IF(OR(F37="Arbeidskosten",F37="Vergoeding"),VLOOKUP(G37,Tb_KostenTypen[],2,0),VLOOKUP(F37,Kostentypen!$A$3:$E$20,3,0))),"")</f>
        <v/>
      </c>
      <c r="O37" s="324"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4"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3"/>
      <c r="R37" s="363"/>
      <c r="S37" s="325"/>
      <c r="T37" s="325"/>
      <c r="U37" s="317" t="str" cm="1">
        <f t="array" aca="1" ref="U37" ca="1">IFERROR(IF(AA37&lt;&gt;"ja",_xlfn.IFNA(_xlfn.IFS(AND(O37&lt;&gt;"",F37&lt;&gt;"",RIGHT($N37,6)="tarief",F37="Vergoeding"),SUM(O37)*FLOOR(SUM(Q37),0.0001),AND(O37&lt;&gt;"",F37&lt;&gt;"",RIGHT($N37,6)="tarief"),SUM(O37)*FLOOR(SUM(Q37),0.01),S37&gt;0,IF(F37&lt;&gt;"",FLOOR(SUM(S37),0.01),"")),""),""),"")</f>
        <v/>
      </c>
      <c r="V37" s="317" t="str" cm="1">
        <f t="array" aca="1" ref="V37" ca="1">IFERROR(IF(AA37&lt;&gt;"ja",_xlfn.IFNA(_xlfn.IFS(AND(P37&lt;&gt;"",R37&lt;&gt;"",RIGHT($N37,6)="tarief",F37="Vergoeding"),SUM(P37)*FLOOR(SUM(R37),0.0001),AND(P37&lt;&gt;"",R37&lt;&gt;"",RIGHT($N37,6)="tarief"),P37*FLOOR(R37,0.01),T37&gt;0,FLOOR(SUM(T37),0.01)),""),""),"")</f>
        <v/>
      </c>
      <c r="W37" s="317" t="str" cm="1">
        <f t="array" aca="1" ref="W37" ca="1">IFERROR(_xlfn.IFS(OR(F37="",LEFT(Methode_Keuze,4)="Geen",Methode_Keuze=""),"",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17" t="str" cm="1">
        <f t="array" aca="1" ref="X37" ca="1">IFERROR(_xlfn.IFS(OR(F37="",LEFT(Methode_Keuze,4)="Geen",Methode_Keuze=""),"",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26"/>
      <c r="Z37" s="319"/>
      <c r="AA37" s="32" t="str" cm="1">
        <f t="array" ref="AA37">IFERROR(IF(INDEX(SubsidieTabel!$AD$1:$AG$12,MATCH($F37,SubsidieTabel!$AD$1:$AD$12,0),IFERROR(MATCH(Methode_Keuze,SubsidieTabel!$AD$1:$AG$1,0),2))&lt;&gt;1=TRUE,"ja",""),"")</f>
        <v/>
      </c>
    </row>
    <row r="38" spans="1:27" x14ac:dyDescent="0.25">
      <c r="A38" s="320"/>
      <c r="B38" s="321" t="str">
        <f>IF(A38&lt;&gt;"",_xlfn.MAXIFS($B$1:B37,$A$1:A37,A38)+1,"")</f>
        <v/>
      </c>
      <c r="C38" s="299"/>
      <c r="D38" s="299"/>
      <c r="E38" s="299"/>
      <c r="F38" s="299"/>
      <c r="G38" s="330"/>
      <c r="H38" s="328"/>
      <c r="I38" s="329"/>
      <c r="J38" s="329"/>
      <c r="K38" s="322"/>
      <c r="L38" s="322"/>
      <c r="M38" s="323" t="str">
        <f>IFERROR(VLOOKUP(H38,Lijsten!$H$1:$I$100,2,0),"")</f>
        <v/>
      </c>
      <c r="N38" s="323" t="str">
        <f ca="1">IFERROR(IF(VLOOKUP(F38,Kostentypen!$A$3:$E$21,3,0)=0,"",IF(OR(F38="Arbeidskosten",F38="Vergoeding"),VLOOKUP(G38,Tb_KostenTypen[],2,0),VLOOKUP(F38,Kostentypen!$A$3:$E$20,3,0))),"")</f>
        <v/>
      </c>
      <c r="O38" s="324"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4"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3"/>
      <c r="R38" s="363"/>
      <c r="S38" s="325"/>
      <c r="T38" s="325"/>
      <c r="U38" s="317" t="str" cm="1">
        <f t="array" aca="1" ref="U38" ca="1">IFERROR(IF(AA38&lt;&gt;"ja",_xlfn.IFNA(_xlfn.IFS(AND(O38&lt;&gt;"",F38&lt;&gt;"",RIGHT($N38,6)="tarief",F38="Vergoeding"),SUM(O38)*FLOOR(SUM(Q38),0.0001),AND(O38&lt;&gt;"",F38&lt;&gt;"",RIGHT($N38,6)="tarief"),SUM(O38)*FLOOR(SUM(Q38),0.01),S38&gt;0,IF(F38&lt;&gt;"",FLOOR(SUM(S38),0.01),"")),""),""),"")</f>
        <v/>
      </c>
      <c r="V38" s="317" t="str" cm="1">
        <f t="array" aca="1" ref="V38" ca="1">IFERROR(IF(AA38&lt;&gt;"ja",_xlfn.IFNA(_xlfn.IFS(AND(P38&lt;&gt;"",R38&lt;&gt;"",RIGHT($N38,6)="tarief",F38="Vergoeding"),SUM(P38)*FLOOR(SUM(R38),0.0001),AND(P38&lt;&gt;"",R38&lt;&gt;"",RIGHT($N38,6)="tarief"),P38*FLOOR(R38,0.01),T38&gt;0,FLOOR(SUM(T38),0.01)),""),""),"")</f>
        <v/>
      </c>
      <c r="W38" s="317" t="str" cm="1">
        <f t="array" aca="1" ref="W38" ca="1">IFERROR(_xlfn.IFS(OR(F38="",LEFT(Methode_Keuze,4)="Geen",Methode_Keuze=""),"",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17" t="str" cm="1">
        <f t="array" aca="1" ref="X38" ca="1">IFERROR(_xlfn.IFS(OR(F38="",LEFT(Methode_Keuze,4)="Geen",Methode_Keuze=""),"",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26"/>
      <c r="Z38" s="319"/>
      <c r="AA38" s="32" t="str" cm="1">
        <f t="array" ref="AA38">IFERROR(IF(INDEX(SubsidieTabel!$AD$1:$AG$12,MATCH($F38,SubsidieTabel!$AD$1:$AD$12,0),IFERROR(MATCH(Methode_Keuze,SubsidieTabel!$AD$1:$AG$1,0),2))&lt;&gt;1=TRUE,"ja",""),"")</f>
        <v/>
      </c>
    </row>
    <row r="39" spans="1:27" x14ac:dyDescent="0.25">
      <c r="A39" s="320"/>
      <c r="B39" s="321" t="str">
        <f>IF(A39&lt;&gt;"",_xlfn.MAXIFS($B$1:B38,$A$1:A38,A39)+1,"")</f>
        <v/>
      </c>
      <c r="C39" s="299"/>
      <c r="D39" s="299"/>
      <c r="E39" s="299"/>
      <c r="F39" s="299"/>
      <c r="G39" s="330"/>
      <c r="H39" s="328"/>
      <c r="I39" s="329"/>
      <c r="J39" s="329"/>
      <c r="K39" s="322"/>
      <c r="L39" s="322"/>
      <c r="M39" s="323" t="str">
        <f>IFERROR(VLOOKUP(H39,Lijsten!$H$1:$I$100,2,0),"")</f>
        <v/>
      </c>
      <c r="N39" s="323" t="str">
        <f ca="1">IFERROR(IF(VLOOKUP(F39,Kostentypen!$A$3:$E$21,3,0)=0,"",IF(OR(F39="Arbeidskosten",F39="Vergoeding"),VLOOKUP(G39,Tb_KostenTypen[],2,0),VLOOKUP(F39,Kostentypen!$A$3:$E$20,3,0))),"")</f>
        <v/>
      </c>
      <c r="O39" s="324"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4"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3"/>
      <c r="R39" s="363"/>
      <c r="S39" s="325"/>
      <c r="T39" s="325"/>
      <c r="U39" s="317" t="str" cm="1">
        <f t="array" aca="1" ref="U39" ca="1">IFERROR(IF(AA39&lt;&gt;"ja",_xlfn.IFNA(_xlfn.IFS(AND(O39&lt;&gt;"",F39&lt;&gt;"",RIGHT($N39,6)="tarief",F39="Vergoeding"),SUM(O39)*FLOOR(SUM(Q39),0.0001),AND(O39&lt;&gt;"",F39&lt;&gt;"",RIGHT($N39,6)="tarief"),SUM(O39)*FLOOR(SUM(Q39),0.01),S39&gt;0,IF(F39&lt;&gt;"",FLOOR(SUM(S39),0.01),"")),""),""),"")</f>
        <v/>
      </c>
      <c r="V39" s="317" t="str" cm="1">
        <f t="array" aca="1" ref="V39" ca="1">IFERROR(IF(AA39&lt;&gt;"ja",_xlfn.IFNA(_xlfn.IFS(AND(P39&lt;&gt;"",R39&lt;&gt;"",RIGHT($N39,6)="tarief",F39="Vergoeding"),SUM(P39)*FLOOR(SUM(R39),0.0001),AND(P39&lt;&gt;"",R39&lt;&gt;"",RIGHT($N39,6)="tarief"),P39*FLOOR(R39,0.01),T39&gt;0,FLOOR(SUM(T39),0.01)),""),""),"")</f>
        <v/>
      </c>
      <c r="W39" s="317" t="str" cm="1">
        <f t="array" aca="1" ref="W39" ca="1">IFERROR(_xlfn.IFS(OR(F39="",LEFT(Methode_Keuze,4)="Geen",Methode_Keuze=""),"",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17" t="str" cm="1">
        <f t="array" aca="1" ref="X39" ca="1">IFERROR(_xlfn.IFS(OR(F39="",LEFT(Methode_Keuze,4)="Geen",Methode_Keuze=""),"",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26"/>
      <c r="Z39" s="319"/>
      <c r="AA39" s="32" t="str" cm="1">
        <f t="array" ref="AA39">IFERROR(IF(INDEX(SubsidieTabel!$AD$1:$AG$12,MATCH($F39,SubsidieTabel!$AD$1:$AD$12,0),IFERROR(MATCH(Methode_Keuze,SubsidieTabel!$AD$1:$AG$1,0),2))&lt;&gt;1=TRUE,"ja",""),"")</f>
        <v/>
      </c>
    </row>
    <row r="40" spans="1:27" x14ac:dyDescent="0.25">
      <c r="A40" s="320"/>
      <c r="B40" s="321" t="str">
        <f>IF(A40&lt;&gt;"",_xlfn.MAXIFS($B$1:B39,$A$1:A39,A40)+1,"")</f>
        <v/>
      </c>
      <c r="C40" s="299"/>
      <c r="D40" s="299"/>
      <c r="E40" s="299"/>
      <c r="F40" s="299"/>
      <c r="G40" s="330"/>
      <c r="H40" s="328"/>
      <c r="I40" s="329"/>
      <c r="J40" s="329"/>
      <c r="K40" s="322"/>
      <c r="L40" s="322"/>
      <c r="M40" s="323" t="str">
        <f>IFERROR(VLOOKUP(H40,Lijsten!$H$1:$I$100,2,0),"")</f>
        <v/>
      </c>
      <c r="N40" s="323" t="str">
        <f ca="1">IFERROR(IF(VLOOKUP(F40,Kostentypen!$A$3:$E$21,3,0)=0,"",IF(OR(F40="Arbeidskosten",F40="Vergoeding"),VLOOKUP(G40,Tb_KostenTypen[],2,0),VLOOKUP(F40,Kostentypen!$A$3:$E$20,3,0))),"")</f>
        <v/>
      </c>
      <c r="O40" s="324"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4"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3"/>
      <c r="R40" s="363"/>
      <c r="S40" s="325"/>
      <c r="T40" s="325"/>
      <c r="U40" s="317" t="str" cm="1">
        <f t="array" aca="1" ref="U40" ca="1">IFERROR(IF(AA40&lt;&gt;"ja",_xlfn.IFNA(_xlfn.IFS(AND(O40&lt;&gt;"",F40&lt;&gt;"",RIGHT($N40,6)="tarief",F40="Vergoeding"),SUM(O40)*FLOOR(SUM(Q40),0.0001),AND(O40&lt;&gt;"",F40&lt;&gt;"",RIGHT($N40,6)="tarief"),SUM(O40)*FLOOR(SUM(Q40),0.01),S40&gt;0,IF(F40&lt;&gt;"",FLOOR(SUM(S40),0.01),"")),""),""),"")</f>
        <v/>
      </c>
      <c r="V40" s="317" t="str" cm="1">
        <f t="array" aca="1" ref="V40" ca="1">IFERROR(IF(AA40&lt;&gt;"ja",_xlfn.IFNA(_xlfn.IFS(AND(P40&lt;&gt;"",R40&lt;&gt;"",RIGHT($N40,6)="tarief",F40="Vergoeding"),SUM(P40)*FLOOR(SUM(R40),0.0001),AND(P40&lt;&gt;"",R40&lt;&gt;"",RIGHT($N40,6)="tarief"),P40*FLOOR(R40,0.01),T40&gt;0,FLOOR(SUM(T40),0.01)),""),""),"")</f>
        <v/>
      </c>
      <c r="W40" s="317" t="str" cm="1">
        <f t="array" aca="1" ref="W40" ca="1">IFERROR(_xlfn.IFS(OR(F40="",LEFT(Methode_Keuze,4)="Geen",Methode_Keuze=""),"",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17" t="str" cm="1">
        <f t="array" aca="1" ref="X40" ca="1">IFERROR(_xlfn.IFS(OR(F40="",LEFT(Methode_Keuze,4)="Geen",Methode_Keuze=""),"",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26"/>
      <c r="Z40" s="319"/>
      <c r="AA40" s="32" t="str" cm="1">
        <f t="array" ref="AA40">IFERROR(IF(INDEX(SubsidieTabel!$AD$1:$AG$12,MATCH($F40,SubsidieTabel!$AD$1:$AD$12,0),IFERROR(MATCH(Methode_Keuze,SubsidieTabel!$AD$1:$AG$1,0),2))&lt;&gt;1=TRUE,"ja",""),"")</f>
        <v/>
      </c>
    </row>
    <row r="41" spans="1:27" x14ac:dyDescent="0.25">
      <c r="A41" s="320"/>
      <c r="B41" s="321" t="str">
        <f>IF(A41&lt;&gt;"",_xlfn.MAXIFS($B$1:B40,$A$1:A40,A41)+1,"")</f>
        <v/>
      </c>
      <c r="C41" s="299"/>
      <c r="D41" s="299"/>
      <c r="E41" s="299"/>
      <c r="F41" s="299"/>
      <c r="G41" s="330"/>
      <c r="H41" s="328"/>
      <c r="I41" s="329"/>
      <c r="J41" s="329"/>
      <c r="K41" s="322"/>
      <c r="L41" s="322"/>
      <c r="M41" s="323" t="str">
        <f>IFERROR(VLOOKUP(H41,Lijsten!$H$1:$I$100,2,0),"")</f>
        <v/>
      </c>
      <c r="N41" s="323" t="str">
        <f ca="1">IFERROR(IF(VLOOKUP(F41,Kostentypen!$A$3:$E$21,3,0)=0,"",IF(OR(F41="Arbeidskosten",F41="Vergoeding"),VLOOKUP(G41,Tb_KostenTypen[],2,0),VLOOKUP(F41,Kostentypen!$A$3:$E$20,3,0))),"")</f>
        <v/>
      </c>
      <c r="O41" s="324"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4"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3"/>
      <c r="R41" s="363"/>
      <c r="S41" s="325"/>
      <c r="T41" s="325"/>
      <c r="U41" s="317" t="str" cm="1">
        <f t="array" aca="1" ref="U41" ca="1">IFERROR(IF(AA41&lt;&gt;"ja",_xlfn.IFNA(_xlfn.IFS(AND(O41&lt;&gt;"",F41&lt;&gt;"",RIGHT($N41,6)="tarief",F41="Vergoeding"),SUM(O41)*FLOOR(SUM(Q41),0.0001),AND(O41&lt;&gt;"",F41&lt;&gt;"",RIGHT($N41,6)="tarief"),SUM(O41)*FLOOR(SUM(Q41),0.01),S41&gt;0,IF(F41&lt;&gt;"",FLOOR(SUM(S41),0.01),"")),""),""),"")</f>
        <v/>
      </c>
      <c r="V41" s="317" t="str" cm="1">
        <f t="array" aca="1" ref="V41" ca="1">IFERROR(IF(AA41&lt;&gt;"ja",_xlfn.IFNA(_xlfn.IFS(AND(P41&lt;&gt;"",R41&lt;&gt;"",RIGHT($N41,6)="tarief",F41="Vergoeding"),SUM(P41)*FLOOR(SUM(R41),0.0001),AND(P41&lt;&gt;"",R41&lt;&gt;"",RIGHT($N41,6)="tarief"),P41*FLOOR(R41,0.01),T41&gt;0,FLOOR(SUM(T41),0.01)),""),""),"")</f>
        <v/>
      </c>
      <c r="W41" s="317" t="str" cm="1">
        <f t="array" aca="1" ref="W41" ca="1">IFERROR(_xlfn.IFS(OR(F41="",LEFT(Methode_Keuze,4)="Geen",Methode_Keuze=""),"",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17" t="str" cm="1">
        <f t="array" aca="1" ref="X41" ca="1">IFERROR(_xlfn.IFS(OR(F41="",LEFT(Methode_Keuze,4)="Geen",Methode_Keuze=""),"",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26"/>
      <c r="Z41" s="319"/>
      <c r="AA41" s="32" t="str" cm="1">
        <f t="array" ref="AA41">IFERROR(IF(INDEX(SubsidieTabel!$AD$1:$AG$12,MATCH($F41,SubsidieTabel!$AD$1:$AD$12,0),IFERROR(MATCH(Methode_Keuze,SubsidieTabel!$AD$1:$AG$1,0),2))&lt;&gt;1=TRUE,"ja",""),"")</f>
        <v/>
      </c>
    </row>
    <row r="42" spans="1:27" x14ac:dyDescent="0.25">
      <c r="A42" s="320"/>
      <c r="B42" s="321" t="str">
        <f>IF(A42&lt;&gt;"",_xlfn.MAXIFS($B$1:B41,$A$1:A41,A42)+1,"")</f>
        <v/>
      </c>
      <c r="C42" s="299"/>
      <c r="D42" s="299"/>
      <c r="E42" s="299"/>
      <c r="F42" s="299"/>
      <c r="G42" s="330"/>
      <c r="H42" s="328"/>
      <c r="I42" s="329"/>
      <c r="J42" s="329"/>
      <c r="K42" s="322"/>
      <c r="L42" s="322"/>
      <c r="M42" s="323" t="str">
        <f>IFERROR(VLOOKUP(H42,Lijsten!$H$1:$I$100,2,0),"")</f>
        <v/>
      </c>
      <c r="N42" s="323" t="str">
        <f ca="1">IFERROR(IF(VLOOKUP(F42,Kostentypen!$A$3:$E$21,3,0)=0,"",IF(OR(F42="Arbeidskosten",F42="Vergoeding"),VLOOKUP(G42,Tb_KostenTypen[],2,0),VLOOKUP(F42,Kostentypen!$A$3:$E$20,3,0))),"")</f>
        <v/>
      </c>
      <c r="O42" s="324"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4"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3"/>
      <c r="R42" s="363"/>
      <c r="S42" s="325"/>
      <c r="T42" s="325"/>
      <c r="U42" s="317" t="str" cm="1">
        <f t="array" aca="1" ref="U42" ca="1">IFERROR(IF(AA42&lt;&gt;"ja",_xlfn.IFNA(_xlfn.IFS(AND(O42&lt;&gt;"",F42&lt;&gt;"",RIGHT($N42,6)="tarief",F42="Vergoeding"),SUM(O42)*FLOOR(SUM(Q42),0.0001),AND(O42&lt;&gt;"",F42&lt;&gt;"",RIGHT($N42,6)="tarief"),SUM(O42)*FLOOR(SUM(Q42),0.01),S42&gt;0,IF(F42&lt;&gt;"",FLOOR(SUM(S42),0.01),"")),""),""),"")</f>
        <v/>
      </c>
      <c r="V42" s="317" t="str" cm="1">
        <f t="array" aca="1" ref="V42" ca="1">IFERROR(IF(AA42&lt;&gt;"ja",_xlfn.IFNA(_xlfn.IFS(AND(P42&lt;&gt;"",R42&lt;&gt;"",RIGHT($N42,6)="tarief",F42="Vergoeding"),SUM(P42)*FLOOR(SUM(R42),0.0001),AND(P42&lt;&gt;"",R42&lt;&gt;"",RIGHT($N42,6)="tarief"),P42*FLOOR(R42,0.01),T42&gt;0,FLOOR(SUM(T42),0.01)),""),""),"")</f>
        <v/>
      </c>
      <c r="W42" s="317" t="str" cm="1">
        <f t="array" aca="1" ref="W42" ca="1">IFERROR(_xlfn.IFS(OR(F42="",LEFT(Methode_Keuze,4)="Geen",Methode_Keuze=""),"",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17" t="str" cm="1">
        <f t="array" aca="1" ref="X42" ca="1">IFERROR(_xlfn.IFS(OR(F42="",LEFT(Methode_Keuze,4)="Geen",Methode_Keuze=""),"",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26"/>
      <c r="Z42" s="319"/>
      <c r="AA42" s="32" t="str" cm="1">
        <f t="array" ref="AA42">IFERROR(IF(INDEX(SubsidieTabel!$AD$1:$AG$12,MATCH($F42,SubsidieTabel!$AD$1:$AD$12,0),IFERROR(MATCH(Methode_Keuze,SubsidieTabel!$AD$1:$AG$1,0),2))&lt;&gt;1=TRUE,"ja",""),"")</f>
        <v/>
      </c>
    </row>
    <row r="43" spans="1:27" x14ac:dyDescent="0.25">
      <c r="A43" s="320"/>
      <c r="B43" s="321" t="str">
        <f>IF(A43&lt;&gt;"",_xlfn.MAXIFS($B$1:B42,$A$1:A42,A43)+1,"")</f>
        <v/>
      </c>
      <c r="C43" s="299"/>
      <c r="D43" s="299"/>
      <c r="E43" s="299"/>
      <c r="F43" s="299"/>
      <c r="G43" s="330"/>
      <c r="H43" s="328"/>
      <c r="I43" s="329"/>
      <c r="J43" s="329"/>
      <c r="K43" s="322"/>
      <c r="L43" s="322"/>
      <c r="M43" s="323" t="str">
        <f>IFERROR(VLOOKUP(H43,Lijsten!$H$1:$I$100,2,0),"")</f>
        <v/>
      </c>
      <c r="N43" s="323" t="str">
        <f ca="1">IFERROR(IF(VLOOKUP(F43,Kostentypen!$A$3:$E$21,3,0)=0,"",IF(OR(F43="Arbeidskosten",F43="Vergoeding"),VLOOKUP(G43,Tb_KostenTypen[],2,0),VLOOKUP(F43,Kostentypen!$A$3:$E$20,3,0))),"")</f>
        <v/>
      </c>
      <c r="O43" s="324"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4"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3"/>
      <c r="R43" s="363"/>
      <c r="S43" s="325"/>
      <c r="T43" s="325"/>
      <c r="U43" s="317" t="str" cm="1">
        <f t="array" aca="1" ref="U43" ca="1">IFERROR(IF(AA43&lt;&gt;"ja",_xlfn.IFNA(_xlfn.IFS(AND(O43&lt;&gt;"",F43&lt;&gt;"",RIGHT($N43,6)="tarief",F43="Vergoeding"),SUM(O43)*FLOOR(SUM(Q43),0.0001),AND(O43&lt;&gt;"",F43&lt;&gt;"",RIGHT($N43,6)="tarief"),SUM(O43)*FLOOR(SUM(Q43),0.01),S43&gt;0,IF(F43&lt;&gt;"",FLOOR(SUM(S43),0.01),"")),""),""),"")</f>
        <v/>
      </c>
      <c r="V43" s="317" t="str" cm="1">
        <f t="array" aca="1" ref="V43" ca="1">IFERROR(IF(AA43&lt;&gt;"ja",_xlfn.IFNA(_xlfn.IFS(AND(P43&lt;&gt;"",R43&lt;&gt;"",RIGHT($N43,6)="tarief",F43="Vergoeding"),SUM(P43)*FLOOR(SUM(R43),0.0001),AND(P43&lt;&gt;"",R43&lt;&gt;"",RIGHT($N43,6)="tarief"),P43*FLOOR(R43,0.01),T43&gt;0,FLOOR(SUM(T43),0.01)),""),""),"")</f>
        <v/>
      </c>
      <c r="W43" s="317" t="str" cm="1">
        <f t="array" aca="1" ref="W43" ca="1">IFERROR(_xlfn.IFS(OR(F43="",LEFT(Methode_Keuze,4)="Geen",Methode_Keuze=""),"",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17" t="str" cm="1">
        <f t="array" aca="1" ref="X43" ca="1">IFERROR(_xlfn.IFS(OR(F43="",LEFT(Methode_Keuze,4)="Geen",Methode_Keuze=""),"",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26"/>
      <c r="Z43" s="319"/>
      <c r="AA43" s="32" t="str" cm="1">
        <f t="array" ref="AA43">IFERROR(IF(INDEX(SubsidieTabel!$AD$1:$AG$12,MATCH($F43,SubsidieTabel!$AD$1:$AD$12,0),IFERROR(MATCH(Methode_Keuze,SubsidieTabel!$AD$1:$AG$1,0),2))&lt;&gt;1=TRUE,"ja",""),"")</f>
        <v/>
      </c>
    </row>
    <row r="44" spans="1:27" x14ac:dyDescent="0.25">
      <c r="A44" s="320"/>
      <c r="B44" s="321" t="str">
        <f>IF(A44&lt;&gt;"",_xlfn.MAXIFS($B$1:B43,$A$1:A43,A44)+1,"")</f>
        <v/>
      </c>
      <c r="C44" s="299"/>
      <c r="D44" s="299"/>
      <c r="E44" s="299"/>
      <c r="F44" s="299"/>
      <c r="G44" s="330"/>
      <c r="H44" s="328"/>
      <c r="I44" s="329"/>
      <c r="J44" s="329"/>
      <c r="K44" s="322"/>
      <c r="L44" s="322"/>
      <c r="M44" s="323" t="str">
        <f>IFERROR(VLOOKUP(H44,Lijsten!$H$1:$I$100,2,0),"")</f>
        <v/>
      </c>
      <c r="N44" s="323" t="str">
        <f ca="1">IFERROR(IF(VLOOKUP(F44,Kostentypen!$A$3:$E$21,3,0)=0,"",IF(OR(F44="Arbeidskosten",F44="Vergoeding"),VLOOKUP(G44,Tb_KostenTypen[],2,0),VLOOKUP(F44,Kostentypen!$A$3:$E$20,3,0))),"")</f>
        <v/>
      </c>
      <c r="O44" s="324"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4"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3"/>
      <c r="R44" s="363"/>
      <c r="S44" s="325"/>
      <c r="T44" s="325"/>
      <c r="U44" s="317" t="str" cm="1">
        <f t="array" aca="1" ref="U44" ca="1">IFERROR(IF(AA44&lt;&gt;"ja",_xlfn.IFNA(_xlfn.IFS(AND(O44&lt;&gt;"",F44&lt;&gt;"",RIGHT($N44,6)="tarief",F44="Vergoeding"),SUM(O44)*FLOOR(SUM(Q44),0.0001),AND(O44&lt;&gt;"",F44&lt;&gt;"",RIGHT($N44,6)="tarief"),SUM(O44)*FLOOR(SUM(Q44),0.01),S44&gt;0,IF(F44&lt;&gt;"",FLOOR(SUM(S44),0.01),"")),""),""),"")</f>
        <v/>
      </c>
      <c r="V44" s="317" t="str" cm="1">
        <f t="array" aca="1" ref="V44" ca="1">IFERROR(IF(AA44&lt;&gt;"ja",_xlfn.IFNA(_xlfn.IFS(AND(P44&lt;&gt;"",R44&lt;&gt;"",RIGHT($N44,6)="tarief",F44="Vergoeding"),SUM(P44)*FLOOR(SUM(R44),0.0001),AND(P44&lt;&gt;"",R44&lt;&gt;"",RIGHT($N44,6)="tarief"),P44*FLOOR(R44,0.01),T44&gt;0,FLOOR(SUM(T44),0.01)),""),""),"")</f>
        <v/>
      </c>
      <c r="W44" s="317" t="str" cm="1">
        <f t="array" aca="1" ref="W44" ca="1">IFERROR(_xlfn.IFS(OR(F44="",LEFT(Methode_Keuze,4)="Geen",Methode_Keuze=""),"",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17" t="str" cm="1">
        <f t="array" aca="1" ref="X44" ca="1">IFERROR(_xlfn.IFS(OR(F44="",LEFT(Methode_Keuze,4)="Geen",Methode_Keuze=""),"",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26"/>
      <c r="Z44" s="319"/>
      <c r="AA44" s="32" t="str" cm="1">
        <f t="array" ref="AA44">IFERROR(IF(INDEX(SubsidieTabel!$AD$1:$AG$12,MATCH($F44,SubsidieTabel!$AD$1:$AD$12,0),IFERROR(MATCH(Methode_Keuze,SubsidieTabel!$AD$1:$AG$1,0),2))&lt;&gt;1=TRUE,"ja",""),"")</f>
        <v/>
      </c>
    </row>
    <row r="45" spans="1:27" x14ac:dyDescent="0.25">
      <c r="A45" s="320"/>
      <c r="B45" s="321" t="str">
        <f>IF(A45&lt;&gt;"",_xlfn.MAXIFS($B$1:B44,$A$1:A44,A45)+1,"")</f>
        <v/>
      </c>
      <c r="C45" s="299"/>
      <c r="D45" s="299"/>
      <c r="E45" s="299"/>
      <c r="F45" s="299"/>
      <c r="G45" s="330"/>
      <c r="H45" s="328"/>
      <c r="I45" s="329"/>
      <c r="J45" s="329"/>
      <c r="K45" s="322"/>
      <c r="L45" s="322"/>
      <c r="M45" s="323" t="str">
        <f>IFERROR(VLOOKUP(H45,Lijsten!$H$1:$I$100,2,0),"")</f>
        <v/>
      </c>
      <c r="N45" s="323" t="str">
        <f ca="1">IFERROR(IF(VLOOKUP(F45,Kostentypen!$A$3:$E$21,3,0)=0,"",IF(OR(F45="Arbeidskosten",F45="Vergoeding"),VLOOKUP(G45,Tb_KostenTypen[],2,0),VLOOKUP(F45,Kostentypen!$A$3:$E$20,3,0))),"")</f>
        <v/>
      </c>
      <c r="O45" s="324"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4"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3"/>
      <c r="R45" s="363"/>
      <c r="S45" s="325"/>
      <c r="T45" s="325"/>
      <c r="U45" s="317" t="str" cm="1">
        <f t="array" aca="1" ref="U45" ca="1">IFERROR(IF(AA45&lt;&gt;"ja",_xlfn.IFNA(_xlfn.IFS(AND(O45&lt;&gt;"",F45&lt;&gt;"",RIGHT($N45,6)="tarief",F45="Vergoeding"),SUM(O45)*FLOOR(SUM(Q45),0.0001),AND(O45&lt;&gt;"",F45&lt;&gt;"",RIGHT($N45,6)="tarief"),SUM(O45)*FLOOR(SUM(Q45),0.01),S45&gt;0,IF(F45&lt;&gt;"",FLOOR(SUM(S45),0.01),"")),""),""),"")</f>
        <v/>
      </c>
      <c r="V45" s="317" t="str" cm="1">
        <f t="array" aca="1" ref="V45" ca="1">IFERROR(IF(AA45&lt;&gt;"ja",_xlfn.IFNA(_xlfn.IFS(AND(P45&lt;&gt;"",R45&lt;&gt;"",RIGHT($N45,6)="tarief",F45="Vergoeding"),SUM(P45)*FLOOR(SUM(R45),0.0001),AND(P45&lt;&gt;"",R45&lt;&gt;"",RIGHT($N45,6)="tarief"),P45*FLOOR(R45,0.01),T45&gt;0,FLOOR(SUM(T45),0.01)),""),""),"")</f>
        <v/>
      </c>
      <c r="W45" s="317" t="str" cm="1">
        <f t="array" aca="1" ref="W45" ca="1">IFERROR(_xlfn.IFS(OR(F45="",LEFT(Methode_Keuze,4)="Geen",Methode_Keuze=""),"",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17" t="str" cm="1">
        <f t="array" aca="1" ref="X45" ca="1">IFERROR(_xlfn.IFS(OR(F45="",LEFT(Methode_Keuze,4)="Geen",Methode_Keuze=""),"",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26"/>
      <c r="Z45" s="319"/>
      <c r="AA45" s="32" t="str" cm="1">
        <f t="array" ref="AA45">IFERROR(IF(INDEX(SubsidieTabel!$AD$1:$AG$12,MATCH($F45,SubsidieTabel!$AD$1:$AD$12,0),IFERROR(MATCH(Methode_Keuze,SubsidieTabel!$AD$1:$AG$1,0),2))&lt;&gt;1=TRUE,"ja",""),"")</f>
        <v/>
      </c>
    </row>
    <row r="46" spans="1:27" x14ac:dyDescent="0.25">
      <c r="A46" s="320"/>
      <c r="B46" s="321" t="str">
        <f>IF(A46&lt;&gt;"",_xlfn.MAXIFS($B$1:B45,$A$1:A45,A46)+1,"")</f>
        <v/>
      </c>
      <c r="C46" s="299"/>
      <c r="D46" s="299"/>
      <c r="E46" s="299"/>
      <c r="F46" s="299"/>
      <c r="G46" s="330"/>
      <c r="H46" s="328"/>
      <c r="I46" s="329"/>
      <c r="J46" s="329"/>
      <c r="K46" s="322"/>
      <c r="L46" s="322"/>
      <c r="M46" s="323" t="str">
        <f>IFERROR(VLOOKUP(H46,Lijsten!$H$1:$I$100,2,0),"")</f>
        <v/>
      </c>
      <c r="N46" s="323" t="str">
        <f ca="1">IFERROR(IF(VLOOKUP(F46,Kostentypen!$A$3:$E$21,3,0)=0,"",IF(OR(F46="Arbeidskosten",F46="Vergoeding"),VLOOKUP(G46,Tb_KostenTypen[],2,0),VLOOKUP(F46,Kostentypen!$A$3:$E$20,3,0))),"")</f>
        <v/>
      </c>
      <c r="O46" s="324"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4"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3"/>
      <c r="R46" s="363"/>
      <c r="S46" s="325"/>
      <c r="T46" s="325"/>
      <c r="U46" s="317" t="str" cm="1">
        <f t="array" aca="1" ref="U46" ca="1">IFERROR(IF(AA46&lt;&gt;"ja",_xlfn.IFNA(_xlfn.IFS(AND(O46&lt;&gt;"",F46&lt;&gt;"",RIGHT($N46,6)="tarief",F46="Vergoeding"),SUM(O46)*FLOOR(SUM(Q46),0.0001),AND(O46&lt;&gt;"",F46&lt;&gt;"",RIGHT($N46,6)="tarief"),SUM(O46)*FLOOR(SUM(Q46),0.01),S46&gt;0,IF(F46&lt;&gt;"",FLOOR(SUM(S46),0.01),"")),""),""),"")</f>
        <v/>
      </c>
      <c r="V46" s="317" t="str" cm="1">
        <f t="array" aca="1" ref="V46" ca="1">IFERROR(IF(AA46&lt;&gt;"ja",_xlfn.IFNA(_xlfn.IFS(AND(P46&lt;&gt;"",R46&lt;&gt;"",RIGHT($N46,6)="tarief",F46="Vergoeding"),SUM(P46)*FLOOR(SUM(R46),0.0001),AND(P46&lt;&gt;"",R46&lt;&gt;"",RIGHT($N46,6)="tarief"),P46*FLOOR(R46,0.01),T46&gt;0,FLOOR(SUM(T46),0.01)),""),""),"")</f>
        <v/>
      </c>
      <c r="W46" s="317" t="str" cm="1">
        <f t="array" aca="1" ref="W46" ca="1">IFERROR(_xlfn.IFS(OR(F46="",LEFT(Methode_Keuze,4)="Geen",Methode_Keuze=""),"",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17" t="str" cm="1">
        <f t="array" aca="1" ref="X46" ca="1">IFERROR(_xlfn.IFS(OR(F46="",LEFT(Methode_Keuze,4)="Geen",Methode_Keuze=""),"",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26"/>
      <c r="Z46" s="319"/>
      <c r="AA46" s="32" t="str" cm="1">
        <f t="array" ref="AA46">IFERROR(IF(INDEX(SubsidieTabel!$AD$1:$AG$12,MATCH($F46,SubsidieTabel!$AD$1:$AD$12,0),IFERROR(MATCH(Methode_Keuze,SubsidieTabel!$AD$1:$AG$1,0),2))&lt;&gt;1=TRUE,"ja",""),"")</f>
        <v/>
      </c>
    </row>
    <row r="47" spans="1:27" x14ac:dyDescent="0.25">
      <c r="A47" s="320"/>
      <c r="B47" s="321" t="str">
        <f>IF(A47&lt;&gt;"",_xlfn.MAXIFS($B$1:B46,$A$1:A46,A47)+1,"")</f>
        <v/>
      </c>
      <c r="C47" s="299"/>
      <c r="D47" s="299"/>
      <c r="E47" s="299"/>
      <c r="F47" s="299"/>
      <c r="G47" s="330"/>
      <c r="H47" s="328"/>
      <c r="I47" s="329"/>
      <c r="J47" s="329"/>
      <c r="K47" s="322"/>
      <c r="L47" s="322"/>
      <c r="M47" s="323" t="str">
        <f>IFERROR(VLOOKUP(H47,Lijsten!$H$1:$I$100,2,0),"")</f>
        <v/>
      </c>
      <c r="N47" s="323" t="str">
        <f ca="1">IFERROR(IF(VLOOKUP(F47,Kostentypen!$A$3:$E$21,3,0)=0,"",IF(OR(F47="Arbeidskosten",F47="Vergoeding"),VLOOKUP(G47,Tb_KostenTypen[],2,0),VLOOKUP(F47,Kostentypen!$A$3:$E$20,3,0))),"")</f>
        <v/>
      </c>
      <c r="O47" s="324"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4"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3"/>
      <c r="R47" s="363"/>
      <c r="S47" s="325"/>
      <c r="T47" s="325"/>
      <c r="U47" s="317" t="str" cm="1">
        <f t="array" aca="1" ref="U47" ca="1">IFERROR(IF(AA47&lt;&gt;"ja",_xlfn.IFNA(_xlfn.IFS(AND(O47&lt;&gt;"",F47&lt;&gt;"",RIGHT($N47,6)="tarief",F47="Vergoeding"),SUM(O47)*FLOOR(SUM(Q47),0.0001),AND(O47&lt;&gt;"",F47&lt;&gt;"",RIGHT($N47,6)="tarief"),SUM(O47)*FLOOR(SUM(Q47),0.01),S47&gt;0,IF(F47&lt;&gt;"",FLOOR(SUM(S47),0.01),"")),""),""),"")</f>
        <v/>
      </c>
      <c r="V47" s="317" t="str" cm="1">
        <f t="array" aca="1" ref="V47" ca="1">IFERROR(IF(AA47&lt;&gt;"ja",_xlfn.IFNA(_xlfn.IFS(AND(P47&lt;&gt;"",R47&lt;&gt;"",RIGHT($N47,6)="tarief",F47="Vergoeding"),SUM(P47)*FLOOR(SUM(R47),0.0001),AND(P47&lt;&gt;"",R47&lt;&gt;"",RIGHT($N47,6)="tarief"),P47*FLOOR(R47,0.01),T47&gt;0,FLOOR(SUM(T47),0.01)),""),""),"")</f>
        <v/>
      </c>
      <c r="W47" s="317" t="str" cm="1">
        <f t="array" aca="1" ref="W47" ca="1">IFERROR(_xlfn.IFS(OR(F47="",LEFT(Methode_Keuze,4)="Geen",Methode_Keuze=""),"",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17" t="str" cm="1">
        <f t="array" aca="1" ref="X47" ca="1">IFERROR(_xlfn.IFS(OR(F47="",LEFT(Methode_Keuze,4)="Geen",Methode_Keuze=""),"",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26"/>
      <c r="Z47" s="319"/>
      <c r="AA47" s="32" t="str" cm="1">
        <f t="array" ref="AA47">IFERROR(IF(INDEX(SubsidieTabel!$AD$1:$AG$12,MATCH($F47,SubsidieTabel!$AD$1:$AD$12,0),IFERROR(MATCH(Methode_Keuze,SubsidieTabel!$AD$1:$AG$1,0),2))&lt;&gt;1=TRUE,"ja",""),"")</f>
        <v/>
      </c>
    </row>
    <row r="48" spans="1:27" x14ac:dyDescent="0.25">
      <c r="A48" s="320"/>
      <c r="B48" s="321" t="str">
        <f>IF(A48&lt;&gt;"",_xlfn.MAXIFS($B$1:B47,$A$1:A47,A48)+1,"")</f>
        <v/>
      </c>
      <c r="C48" s="299"/>
      <c r="D48" s="299"/>
      <c r="E48" s="299"/>
      <c r="F48" s="299"/>
      <c r="G48" s="330"/>
      <c r="H48" s="328"/>
      <c r="I48" s="329"/>
      <c r="J48" s="329"/>
      <c r="K48" s="322"/>
      <c r="L48" s="322"/>
      <c r="M48" s="323" t="str">
        <f>IFERROR(VLOOKUP(H48,Lijsten!$H$1:$I$100,2,0),"")</f>
        <v/>
      </c>
      <c r="N48" s="323" t="str">
        <f ca="1">IFERROR(IF(VLOOKUP(F48,Kostentypen!$A$3:$E$21,3,0)=0,"",IF(OR(F48="Arbeidskosten",F48="Vergoeding"),VLOOKUP(G48,Tb_KostenTypen[],2,0),VLOOKUP(F48,Kostentypen!$A$3:$E$20,3,0))),"")</f>
        <v/>
      </c>
      <c r="O48" s="324"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4"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3"/>
      <c r="R48" s="363"/>
      <c r="S48" s="325"/>
      <c r="T48" s="325"/>
      <c r="U48" s="317" t="str" cm="1">
        <f t="array" aca="1" ref="U48" ca="1">IFERROR(IF(AA48&lt;&gt;"ja",_xlfn.IFNA(_xlfn.IFS(AND(O48&lt;&gt;"",F48&lt;&gt;"",RIGHT($N48,6)="tarief",F48="Vergoeding"),SUM(O48)*FLOOR(SUM(Q48),0.0001),AND(O48&lt;&gt;"",F48&lt;&gt;"",RIGHT($N48,6)="tarief"),SUM(O48)*FLOOR(SUM(Q48),0.01),S48&gt;0,IF(F48&lt;&gt;"",FLOOR(SUM(S48),0.01),"")),""),""),"")</f>
        <v/>
      </c>
      <c r="V48" s="317" t="str" cm="1">
        <f t="array" aca="1" ref="V48" ca="1">IFERROR(IF(AA48&lt;&gt;"ja",_xlfn.IFNA(_xlfn.IFS(AND(P48&lt;&gt;"",R48&lt;&gt;"",RIGHT($N48,6)="tarief",F48="Vergoeding"),SUM(P48)*FLOOR(SUM(R48),0.0001),AND(P48&lt;&gt;"",R48&lt;&gt;"",RIGHT($N48,6)="tarief"),P48*FLOOR(R48,0.01),T48&gt;0,FLOOR(SUM(T48),0.01)),""),""),"")</f>
        <v/>
      </c>
      <c r="W48" s="317" t="str" cm="1">
        <f t="array" aca="1" ref="W48" ca="1">IFERROR(_xlfn.IFS(OR(F48="",LEFT(Methode_Keuze,4)="Geen",Methode_Keuze=""),"",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17" t="str" cm="1">
        <f t="array" aca="1" ref="X48" ca="1">IFERROR(_xlfn.IFS(OR(F48="",LEFT(Methode_Keuze,4)="Geen",Methode_Keuze=""),"",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26"/>
      <c r="Z48" s="319"/>
      <c r="AA48" s="32" t="str" cm="1">
        <f t="array" ref="AA48">IFERROR(IF(INDEX(SubsidieTabel!$AD$1:$AG$12,MATCH($F48,SubsidieTabel!$AD$1:$AD$12,0),IFERROR(MATCH(Methode_Keuze,SubsidieTabel!$AD$1:$AG$1,0),2))&lt;&gt;1=TRUE,"ja",""),"")</f>
        <v/>
      </c>
    </row>
    <row r="49" spans="1:27" x14ac:dyDescent="0.25">
      <c r="A49" s="320"/>
      <c r="B49" s="321" t="str">
        <f>IF(A49&lt;&gt;"",_xlfn.MAXIFS($B$1:B48,$A$1:A48,A49)+1,"")</f>
        <v/>
      </c>
      <c r="C49" s="299"/>
      <c r="D49" s="299"/>
      <c r="E49" s="299"/>
      <c r="F49" s="299"/>
      <c r="G49" s="330"/>
      <c r="H49" s="328"/>
      <c r="I49" s="329"/>
      <c r="J49" s="329"/>
      <c r="K49" s="322"/>
      <c r="L49" s="322"/>
      <c r="M49" s="323" t="str">
        <f>IFERROR(VLOOKUP(H49,Lijsten!$H$1:$I$100,2,0),"")</f>
        <v/>
      </c>
      <c r="N49" s="323" t="str">
        <f ca="1">IFERROR(IF(VLOOKUP(F49,Kostentypen!$A$3:$E$21,3,0)=0,"",IF(OR(F49="Arbeidskosten",F49="Vergoeding"),VLOOKUP(G49,Tb_KostenTypen[],2,0),VLOOKUP(F49,Kostentypen!$A$3:$E$20,3,0))),"")</f>
        <v/>
      </c>
      <c r="O49" s="324"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4"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3"/>
      <c r="R49" s="363"/>
      <c r="S49" s="325"/>
      <c r="T49" s="325"/>
      <c r="U49" s="317" t="str" cm="1">
        <f t="array" aca="1" ref="U49" ca="1">IFERROR(IF(AA49&lt;&gt;"ja",_xlfn.IFNA(_xlfn.IFS(AND(O49&lt;&gt;"",F49&lt;&gt;"",RIGHT($N49,6)="tarief",F49="Vergoeding"),SUM(O49)*FLOOR(SUM(Q49),0.0001),AND(O49&lt;&gt;"",F49&lt;&gt;"",RIGHT($N49,6)="tarief"),SUM(O49)*FLOOR(SUM(Q49),0.01),S49&gt;0,IF(F49&lt;&gt;"",FLOOR(SUM(S49),0.01),"")),""),""),"")</f>
        <v/>
      </c>
      <c r="V49" s="317" t="str" cm="1">
        <f t="array" aca="1" ref="V49" ca="1">IFERROR(IF(AA49&lt;&gt;"ja",_xlfn.IFNA(_xlfn.IFS(AND(P49&lt;&gt;"",R49&lt;&gt;"",RIGHT($N49,6)="tarief",F49="Vergoeding"),SUM(P49)*FLOOR(SUM(R49),0.0001),AND(P49&lt;&gt;"",R49&lt;&gt;"",RIGHT($N49,6)="tarief"),P49*FLOOR(R49,0.01),T49&gt;0,FLOOR(SUM(T49),0.01)),""),""),"")</f>
        <v/>
      </c>
      <c r="W49" s="317" t="str" cm="1">
        <f t="array" aca="1" ref="W49" ca="1">IFERROR(_xlfn.IFS(OR(F49="",LEFT(Methode_Keuze,4)="Geen",Methode_Keuze=""),"",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17" t="str" cm="1">
        <f t="array" aca="1" ref="X49" ca="1">IFERROR(_xlfn.IFS(OR(F49="",LEFT(Methode_Keuze,4)="Geen",Methode_Keuze=""),"",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26"/>
      <c r="Z49" s="319"/>
      <c r="AA49" s="32" t="str" cm="1">
        <f t="array" ref="AA49">IFERROR(IF(INDEX(SubsidieTabel!$AD$1:$AG$12,MATCH($F49,SubsidieTabel!$AD$1:$AD$12,0),IFERROR(MATCH(Methode_Keuze,SubsidieTabel!$AD$1:$AG$1,0),2))&lt;&gt;1=TRUE,"ja",""),"")</f>
        <v/>
      </c>
    </row>
    <row r="50" spans="1:27" x14ac:dyDescent="0.25">
      <c r="A50" s="320"/>
      <c r="B50" s="321" t="str">
        <f>IF(A50&lt;&gt;"",_xlfn.MAXIFS($B$1:B49,$A$1:A49,A50)+1,"")</f>
        <v/>
      </c>
      <c r="C50" s="299"/>
      <c r="D50" s="299"/>
      <c r="E50" s="299"/>
      <c r="F50" s="299"/>
      <c r="G50" s="330"/>
      <c r="H50" s="328"/>
      <c r="I50" s="329"/>
      <c r="J50" s="329"/>
      <c r="K50" s="322"/>
      <c r="L50" s="322"/>
      <c r="M50" s="323" t="str">
        <f>IFERROR(VLOOKUP(H50,Lijsten!$H$1:$I$100,2,0),"")</f>
        <v/>
      </c>
      <c r="N50" s="323" t="str">
        <f ca="1">IFERROR(IF(VLOOKUP(F50,Kostentypen!$A$3:$E$21,3,0)=0,"",IF(OR(F50="Arbeidskosten",F50="Vergoeding"),VLOOKUP(G50,Tb_KostenTypen[],2,0),VLOOKUP(F50,Kostentypen!$A$3:$E$20,3,0))),"")</f>
        <v/>
      </c>
      <c r="O50" s="324"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4"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3"/>
      <c r="R50" s="363"/>
      <c r="S50" s="325"/>
      <c r="T50" s="325"/>
      <c r="U50" s="317" t="str" cm="1">
        <f t="array" aca="1" ref="U50" ca="1">IFERROR(IF(AA50&lt;&gt;"ja",_xlfn.IFNA(_xlfn.IFS(AND(O50&lt;&gt;"",F50&lt;&gt;"",RIGHT($N50,6)="tarief",F50="Vergoeding"),SUM(O50)*FLOOR(SUM(Q50),0.0001),AND(O50&lt;&gt;"",F50&lt;&gt;"",RIGHT($N50,6)="tarief"),SUM(O50)*FLOOR(SUM(Q50),0.01),S50&gt;0,IF(F50&lt;&gt;"",FLOOR(SUM(S50),0.01),"")),""),""),"")</f>
        <v/>
      </c>
      <c r="V50" s="317" t="str" cm="1">
        <f t="array" aca="1" ref="V50" ca="1">IFERROR(IF(AA50&lt;&gt;"ja",_xlfn.IFNA(_xlfn.IFS(AND(P50&lt;&gt;"",R50&lt;&gt;"",RIGHT($N50,6)="tarief",F50="Vergoeding"),SUM(P50)*FLOOR(SUM(R50),0.0001),AND(P50&lt;&gt;"",R50&lt;&gt;"",RIGHT($N50,6)="tarief"),P50*FLOOR(R50,0.01),T50&gt;0,FLOOR(SUM(T50),0.01)),""),""),"")</f>
        <v/>
      </c>
      <c r="W50" s="317" t="str" cm="1">
        <f t="array" aca="1" ref="W50" ca="1">IFERROR(_xlfn.IFS(OR(F50="",LEFT(Methode_Keuze,4)="Geen",Methode_Keuze=""),"",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17" t="str" cm="1">
        <f t="array" aca="1" ref="X50" ca="1">IFERROR(_xlfn.IFS(OR(F50="",LEFT(Methode_Keuze,4)="Geen",Methode_Keuze=""),"",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26"/>
      <c r="Z50" s="319"/>
      <c r="AA50" s="32" t="str" cm="1">
        <f t="array" ref="AA50">IFERROR(IF(INDEX(SubsidieTabel!$AD$1:$AG$12,MATCH($F50,SubsidieTabel!$AD$1:$AD$12,0),IFERROR(MATCH(Methode_Keuze,SubsidieTabel!$AD$1:$AG$1,0),2))&lt;&gt;1=TRUE,"ja",""),"")</f>
        <v/>
      </c>
    </row>
    <row r="51" spans="1:27" x14ac:dyDescent="0.25">
      <c r="A51" s="320"/>
      <c r="B51" s="321" t="str">
        <f>IF(A51&lt;&gt;"",_xlfn.MAXIFS($B$1:B50,$A$1:A50,A51)+1,"")</f>
        <v/>
      </c>
      <c r="C51" s="299"/>
      <c r="D51" s="299"/>
      <c r="E51" s="299"/>
      <c r="F51" s="299"/>
      <c r="G51" s="330"/>
      <c r="H51" s="328"/>
      <c r="I51" s="329"/>
      <c r="J51" s="329"/>
      <c r="K51" s="322"/>
      <c r="L51" s="322"/>
      <c r="M51" s="323" t="str">
        <f>IFERROR(VLOOKUP(H51,Lijsten!$H$1:$I$100,2,0),"")</f>
        <v/>
      </c>
      <c r="N51" s="323" t="str">
        <f ca="1">IFERROR(IF(VLOOKUP(F51,Kostentypen!$A$3:$E$21,3,0)=0,"",IF(OR(F51="Arbeidskosten",F51="Vergoeding"),VLOOKUP(G51,Tb_KostenTypen[],2,0),VLOOKUP(F51,Kostentypen!$A$3:$E$20,3,0))),"")</f>
        <v/>
      </c>
      <c r="O51" s="324"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4"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3"/>
      <c r="R51" s="363"/>
      <c r="S51" s="325"/>
      <c r="T51" s="325"/>
      <c r="U51" s="317" t="str" cm="1">
        <f t="array" aca="1" ref="U51" ca="1">IFERROR(IF(AA51&lt;&gt;"ja",_xlfn.IFNA(_xlfn.IFS(AND(O51&lt;&gt;"",F51&lt;&gt;"",RIGHT($N51,6)="tarief",F51="Vergoeding"),SUM(O51)*FLOOR(SUM(Q51),0.0001),AND(O51&lt;&gt;"",F51&lt;&gt;"",RIGHT($N51,6)="tarief"),SUM(O51)*FLOOR(SUM(Q51),0.01),S51&gt;0,IF(F51&lt;&gt;"",FLOOR(SUM(S51),0.01),"")),""),""),"")</f>
        <v/>
      </c>
      <c r="V51" s="317" t="str" cm="1">
        <f t="array" aca="1" ref="V51" ca="1">IFERROR(IF(AA51&lt;&gt;"ja",_xlfn.IFNA(_xlfn.IFS(AND(P51&lt;&gt;"",R51&lt;&gt;"",RIGHT($N51,6)="tarief",F51="Vergoeding"),SUM(P51)*FLOOR(SUM(R51),0.0001),AND(P51&lt;&gt;"",R51&lt;&gt;"",RIGHT($N51,6)="tarief"),P51*FLOOR(R51,0.01),T51&gt;0,FLOOR(SUM(T51),0.01)),""),""),"")</f>
        <v/>
      </c>
      <c r="W51" s="317" t="str" cm="1">
        <f t="array" aca="1" ref="W51" ca="1">IFERROR(_xlfn.IFS(OR(F51="",LEFT(Methode_Keuze,4)="Geen",Methode_Keuze=""),"",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17" t="str" cm="1">
        <f t="array" aca="1" ref="X51" ca="1">IFERROR(_xlfn.IFS(OR(F51="",LEFT(Methode_Keuze,4)="Geen",Methode_Keuze=""),"",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26"/>
      <c r="Z51" s="319"/>
      <c r="AA51" s="32" t="str" cm="1">
        <f t="array" ref="AA51">IFERROR(IF(INDEX(SubsidieTabel!$AD$1:$AG$12,MATCH($F51,SubsidieTabel!$AD$1:$AD$12,0),IFERROR(MATCH(Methode_Keuze,SubsidieTabel!$AD$1:$AG$1,0),2))&lt;&gt;1=TRUE,"ja",""),"")</f>
        <v/>
      </c>
    </row>
    <row r="52" spans="1:27" x14ac:dyDescent="0.25">
      <c r="A52" s="320"/>
      <c r="B52" s="321" t="str">
        <f>IF(A52&lt;&gt;"",_xlfn.MAXIFS($B$1:B51,$A$1:A51,A52)+1,"")</f>
        <v/>
      </c>
      <c r="C52" s="299"/>
      <c r="D52" s="299"/>
      <c r="E52" s="299"/>
      <c r="F52" s="299"/>
      <c r="G52" s="330"/>
      <c r="H52" s="328"/>
      <c r="I52" s="329"/>
      <c r="J52" s="329"/>
      <c r="K52" s="322"/>
      <c r="L52" s="322"/>
      <c r="M52" s="323" t="str">
        <f>IFERROR(VLOOKUP(H52,Lijsten!$H$1:$I$100,2,0),"")</f>
        <v/>
      </c>
      <c r="N52" s="323" t="str">
        <f ca="1">IFERROR(IF(VLOOKUP(F52,Kostentypen!$A$3:$E$21,3,0)=0,"",IF(OR(F52="Arbeidskosten",F52="Vergoeding"),VLOOKUP(G52,Tb_KostenTypen[],2,0),VLOOKUP(F52,Kostentypen!$A$3:$E$20,3,0))),"")</f>
        <v/>
      </c>
      <c r="O52" s="324"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4"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3"/>
      <c r="R52" s="363"/>
      <c r="S52" s="325"/>
      <c r="T52" s="325"/>
      <c r="U52" s="317" t="str" cm="1">
        <f t="array" aca="1" ref="U52" ca="1">IFERROR(IF(AA52&lt;&gt;"ja",_xlfn.IFNA(_xlfn.IFS(AND(O52&lt;&gt;"",F52&lt;&gt;"",RIGHT($N52,6)="tarief",F52="Vergoeding"),SUM(O52)*FLOOR(SUM(Q52),0.0001),AND(O52&lt;&gt;"",F52&lt;&gt;"",RIGHT($N52,6)="tarief"),SUM(O52)*FLOOR(SUM(Q52),0.01),S52&gt;0,IF(F52&lt;&gt;"",FLOOR(SUM(S52),0.01),"")),""),""),"")</f>
        <v/>
      </c>
      <c r="V52" s="317" t="str" cm="1">
        <f t="array" aca="1" ref="V52" ca="1">IFERROR(IF(AA52&lt;&gt;"ja",_xlfn.IFNA(_xlfn.IFS(AND(P52&lt;&gt;"",R52&lt;&gt;"",RIGHT($N52,6)="tarief",F52="Vergoeding"),SUM(P52)*FLOOR(SUM(R52),0.0001),AND(P52&lt;&gt;"",R52&lt;&gt;"",RIGHT($N52,6)="tarief"),P52*FLOOR(R52,0.01),T52&gt;0,FLOOR(SUM(T52),0.01)),""),""),"")</f>
        <v/>
      </c>
      <c r="W52" s="317" t="str" cm="1">
        <f t="array" aca="1" ref="W52" ca="1">IFERROR(_xlfn.IFS(OR(F52="",LEFT(Methode_Keuze,4)="Geen",Methode_Keuze=""),"",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17" t="str" cm="1">
        <f t="array" aca="1" ref="X52" ca="1">IFERROR(_xlfn.IFS(OR(F52="",LEFT(Methode_Keuze,4)="Geen",Methode_Keuze=""),"",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26"/>
      <c r="Z52" s="319"/>
      <c r="AA52" s="32" t="str" cm="1">
        <f t="array" ref="AA52">IFERROR(IF(INDEX(SubsidieTabel!$AD$1:$AG$12,MATCH($F52,SubsidieTabel!$AD$1:$AD$12,0),IFERROR(MATCH(Methode_Keuze,SubsidieTabel!$AD$1:$AG$1,0),2))&lt;&gt;1=TRUE,"ja",""),"")</f>
        <v/>
      </c>
    </row>
    <row r="53" spans="1:27" x14ac:dyDescent="0.25">
      <c r="A53" s="320"/>
      <c r="B53" s="321" t="str">
        <f>IF(A53&lt;&gt;"",_xlfn.MAXIFS($B$1:B52,$A$1:A52,A53)+1,"")</f>
        <v/>
      </c>
      <c r="C53" s="299"/>
      <c r="D53" s="299"/>
      <c r="E53" s="299"/>
      <c r="F53" s="299"/>
      <c r="G53" s="330"/>
      <c r="H53" s="328"/>
      <c r="I53" s="329"/>
      <c r="J53" s="329"/>
      <c r="K53" s="322"/>
      <c r="L53" s="322"/>
      <c r="M53" s="323" t="str">
        <f>IFERROR(VLOOKUP(H53,Lijsten!$H$1:$I$100,2,0),"")</f>
        <v/>
      </c>
      <c r="N53" s="323" t="str">
        <f ca="1">IFERROR(IF(VLOOKUP(F53,Kostentypen!$A$3:$E$21,3,0)=0,"",IF(OR(F53="Arbeidskosten",F53="Vergoeding"),VLOOKUP(G53,Tb_KostenTypen[],2,0),VLOOKUP(F53,Kostentypen!$A$3:$E$20,3,0))),"")</f>
        <v/>
      </c>
      <c r="O53" s="324"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4"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3"/>
      <c r="R53" s="363"/>
      <c r="S53" s="325"/>
      <c r="T53" s="325"/>
      <c r="U53" s="317" t="str" cm="1">
        <f t="array" aca="1" ref="U53" ca="1">IFERROR(IF(AA53&lt;&gt;"ja",_xlfn.IFNA(_xlfn.IFS(AND(O53&lt;&gt;"",F53&lt;&gt;"",RIGHT($N53,6)="tarief",F53="Vergoeding"),SUM(O53)*FLOOR(SUM(Q53),0.0001),AND(O53&lt;&gt;"",F53&lt;&gt;"",RIGHT($N53,6)="tarief"),SUM(O53)*FLOOR(SUM(Q53),0.01),S53&gt;0,IF(F53&lt;&gt;"",FLOOR(SUM(S53),0.01),"")),""),""),"")</f>
        <v/>
      </c>
      <c r="V53" s="317" t="str" cm="1">
        <f t="array" aca="1" ref="V53" ca="1">IFERROR(IF(AA53&lt;&gt;"ja",_xlfn.IFNA(_xlfn.IFS(AND(P53&lt;&gt;"",R53&lt;&gt;"",RIGHT($N53,6)="tarief",F53="Vergoeding"),SUM(P53)*FLOOR(SUM(R53),0.0001),AND(P53&lt;&gt;"",R53&lt;&gt;"",RIGHT($N53,6)="tarief"),P53*FLOOR(R53,0.01),T53&gt;0,FLOOR(SUM(T53),0.01)),""),""),"")</f>
        <v/>
      </c>
      <c r="W53" s="317" t="str" cm="1">
        <f t="array" aca="1" ref="W53" ca="1">IFERROR(_xlfn.IFS(OR(F53="",LEFT(Methode_Keuze,4)="Geen",Methode_Keuze=""),"",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17" t="str" cm="1">
        <f t="array" aca="1" ref="X53" ca="1">IFERROR(_xlfn.IFS(OR(F53="",LEFT(Methode_Keuze,4)="Geen",Methode_Keuze=""),"",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26"/>
      <c r="Z53" s="319"/>
      <c r="AA53" s="32" t="str" cm="1">
        <f t="array" ref="AA53">IFERROR(IF(INDEX(SubsidieTabel!$AD$1:$AG$12,MATCH($F53,SubsidieTabel!$AD$1:$AD$12,0),IFERROR(MATCH(Methode_Keuze,SubsidieTabel!$AD$1:$AG$1,0),2))&lt;&gt;1=TRUE,"ja",""),"")</f>
        <v/>
      </c>
    </row>
    <row r="54" spans="1:27" x14ac:dyDescent="0.25">
      <c r="A54" s="320"/>
      <c r="B54" s="321" t="str">
        <f>IF(A54&lt;&gt;"",_xlfn.MAXIFS($B$1:B53,$A$1:A53,A54)+1,"")</f>
        <v/>
      </c>
      <c r="C54" s="299"/>
      <c r="D54" s="299"/>
      <c r="E54" s="299"/>
      <c r="F54" s="299"/>
      <c r="G54" s="330"/>
      <c r="H54" s="328"/>
      <c r="I54" s="329"/>
      <c r="J54" s="329"/>
      <c r="K54" s="322"/>
      <c r="L54" s="322"/>
      <c r="M54" s="323" t="str">
        <f>IFERROR(VLOOKUP(H54,Lijsten!$H$1:$I$100,2,0),"")</f>
        <v/>
      </c>
      <c r="N54" s="323" t="str">
        <f ca="1">IFERROR(IF(VLOOKUP(F54,Kostentypen!$A$3:$E$21,3,0)=0,"",IF(OR(F54="Arbeidskosten",F54="Vergoeding"),VLOOKUP(G54,Tb_KostenTypen[],2,0),VLOOKUP(F54,Kostentypen!$A$3:$E$20,3,0))),"")</f>
        <v/>
      </c>
      <c r="O54" s="324"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4"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3"/>
      <c r="R54" s="363"/>
      <c r="S54" s="325"/>
      <c r="T54" s="325"/>
      <c r="U54" s="317" t="str" cm="1">
        <f t="array" aca="1" ref="U54" ca="1">IFERROR(IF(AA54&lt;&gt;"ja",_xlfn.IFNA(_xlfn.IFS(AND(O54&lt;&gt;"",F54&lt;&gt;"",RIGHT($N54,6)="tarief",F54="Vergoeding"),SUM(O54)*FLOOR(SUM(Q54),0.0001),AND(O54&lt;&gt;"",F54&lt;&gt;"",RIGHT($N54,6)="tarief"),SUM(O54)*FLOOR(SUM(Q54),0.01),S54&gt;0,IF(F54&lt;&gt;"",FLOOR(SUM(S54),0.01),"")),""),""),"")</f>
        <v/>
      </c>
      <c r="V54" s="317" t="str" cm="1">
        <f t="array" aca="1" ref="V54" ca="1">IFERROR(IF(AA54&lt;&gt;"ja",_xlfn.IFNA(_xlfn.IFS(AND(P54&lt;&gt;"",R54&lt;&gt;"",RIGHT($N54,6)="tarief",F54="Vergoeding"),SUM(P54)*FLOOR(SUM(R54),0.0001),AND(P54&lt;&gt;"",R54&lt;&gt;"",RIGHT($N54,6)="tarief"),P54*FLOOR(R54,0.01),T54&gt;0,FLOOR(SUM(T54),0.01)),""),""),"")</f>
        <v/>
      </c>
      <c r="W54" s="317" t="str" cm="1">
        <f t="array" aca="1" ref="W54" ca="1">IFERROR(_xlfn.IFS(OR(F54="",LEFT(Methode_Keuze,4)="Geen",Methode_Keuze=""),"",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17" t="str" cm="1">
        <f t="array" aca="1" ref="X54" ca="1">IFERROR(_xlfn.IFS(OR(F54="",LEFT(Methode_Keuze,4)="Geen",Methode_Keuze=""),"",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26"/>
      <c r="Z54" s="319"/>
      <c r="AA54" s="32" t="str" cm="1">
        <f t="array" ref="AA54">IFERROR(IF(INDEX(SubsidieTabel!$AD$1:$AG$12,MATCH($F54,SubsidieTabel!$AD$1:$AD$12,0),IFERROR(MATCH(Methode_Keuze,SubsidieTabel!$AD$1:$AG$1,0),2))&lt;&gt;1=TRUE,"ja",""),"")</f>
        <v/>
      </c>
    </row>
    <row r="55" spans="1:27" x14ac:dyDescent="0.25">
      <c r="A55" s="320"/>
      <c r="B55" s="321" t="str">
        <f>IF(A55&lt;&gt;"",_xlfn.MAXIFS($B$1:B54,$A$1:A54,A55)+1,"")</f>
        <v/>
      </c>
      <c r="C55" s="299"/>
      <c r="D55" s="299"/>
      <c r="E55" s="299"/>
      <c r="F55" s="299"/>
      <c r="G55" s="330"/>
      <c r="H55" s="328"/>
      <c r="I55" s="329"/>
      <c r="J55" s="329"/>
      <c r="K55" s="322"/>
      <c r="L55" s="322"/>
      <c r="M55" s="323" t="str">
        <f>IFERROR(VLOOKUP(H55,Lijsten!$H$1:$I$100,2,0),"")</f>
        <v/>
      </c>
      <c r="N55" s="323" t="str">
        <f ca="1">IFERROR(IF(VLOOKUP(F55,Kostentypen!$A$3:$E$21,3,0)=0,"",IF(OR(F55="Arbeidskosten",F55="Vergoeding"),VLOOKUP(G55,Tb_KostenTypen[],2,0),VLOOKUP(F55,Kostentypen!$A$3:$E$20,3,0))),"")</f>
        <v/>
      </c>
      <c r="O55" s="324"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4"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3"/>
      <c r="R55" s="363"/>
      <c r="S55" s="325"/>
      <c r="T55" s="325"/>
      <c r="U55" s="317" t="str" cm="1">
        <f t="array" aca="1" ref="U55" ca="1">IFERROR(IF(AA55&lt;&gt;"ja",_xlfn.IFNA(_xlfn.IFS(AND(O55&lt;&gt;"",F55&lt;&gt;"",RIGHT($N55,6)="tarief",F55="Vergoeding"),SUM(O55)*FLOOR(SUM(Q55),0.0001),AND(O55&lt;&gt;"",F55&lt;&gt;"",RIGHT($N55,6)="tarief"),SUM(O55)*FLOOR(SUM(Q55),0.01),S55&gt;0,IF(F55&lt;&gt;"",FLOOR(SUM(S55),0.01),"")),""),""),"")</f>
        <v/>
      </c>
      <c r="V55" s="317" t="str" cm="1">
        <f t="array" aca="1" ref="V55" ca="1">IFERROR(IF(AA55&lt;&gt;"ja",_xlfn.IFNA(_xlfn.IFS(AND(P55&lt;&gt;"",R55&lt;&gt;"",RIGHT($N55,6)="tarief",F55="Vergoeding"),SUM(P55)*FLOOR(SUM(R55),0.0001),AND(P55&lt;&gt;"",R55&lt;&gt;"",RIGHT($N55,6)="tarief"),P55*FLOOR(R55,0.01),T55&gt;0,FLOOR(SUM(T55),0.01)),""),""),"")</f>
        <v/>
      </c>
      <c r="W55" s="317" t="str" cm="1">
        <f t="array" aca="1" ref="W55" ca="1">IFERROR(_xlfn.IFS(OR(F55="",LEFT(Methode_Keuze,4)="Geen",Methode_Keuze=""),"",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17" t="str" cm="1">
        <f t="array" aca="1" ref="X55" ca="1">IFERROR(_xlfn.IFS(OR(F55="",LEFT(Methode_Keuze,4)="Geen",Methode_Keuze=""),"",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26"/>
      <c r="Z55" s="319"/>
      <c r="AA55" s="32" t="str" cm="1">
        <f t="array" ref="AA55">IFERROR(IF(INDEX(SubsidieTabel!$AD$1:$AG$12,MATCH($F55,SubsidieTabel!$AD$1:$AD$12,0),IFERROR(MATCH(Methode_Keuze,SubsidieTabel!$AD$1:$AG$1,0),2))&lt;&gt;1=TRUE,"ja",""),"")</f>
        <v/>
      </c>
    </row>
    <row r="56" spans="1:27" x14ac:dyDescent="0.25">
      <c r="A56" s="320"/>
      <c r="B56" s="321" t="str">
        <f>IF(A56&lt;&gt;"",_xlfn.MAXIFS($B$1:B55,$A$1:A55,A56)+1,"")</f>
        <v/>
      </c>
      <c r="C56" s="299"/>
      <c r="D56" s="299"/>
      <c r="E56" s="299"/>
      <c r="F56" s="299"/>
      <c r="G56" s="330"/>
      <c r="H56" s="328"/>
      <c r="I56" s="329"/>
      <c r="J56" s="329"/>
      <c r="K56" s="322"/>
      <c r="L56" s="322"/>
      <c r="M56" s="323" t="str">
        <f>IFERROR(VLOOKUP(H56,Lijsten!$H$1:$I$100,2,0),"")</f>
        <v/>
      </c>
      <c r="N56" s="323" t="str">
        <f ca="1">IFERROR(IF(VLOOKUP(F56,Kostentypen!$A$3:$E$21,3,0)=0,"",IF(OR(F56="Arbeidskosten",F56="Vergoeding"),VLOOKUP(G56,Tb_KostenTypen[],2,0),VLOOKUP(F56,Kostentypen!$A$3:$E$20,3,0))),"")</f>
        <v/>
      </c>
      <c r="O56" s="324"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4"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3"/>
      <c r="R56" s="363"/>
      <c r="S56" s="325"/>
      <c r="T56" s="325"/>
      <c r="U56" s="317" t="str" cm="1">
        <f t="array" aca="1" ref="U56" ca="1">IFERROR(IF(AA56&lt;&gt;"ja",_xlfn.IFNA(_xlfn.IFS(AND(O56&lt;&gt;"",F56&lt;&gt;"",RIGHT($N56,6)="tarief",F56="Vergoeding"),SUM(O56)*FLOOR(SUM(Q56),0.0001),AND(O56&lt;&gt;"",F56&lt;&gt;"",RIGHT($N56,6)="tarief"),SUM(O56)*FLOOR(SUM(Q56),0.01),S56&gt;0,IF(F56&lt;&gt;"",FLOOR(SUM(S56),0.01),"")),""),""),"")</f>
        <v/>
      </c>
      <c r="V56" s="317" t="str" cm="1">
        <f t="array" aca="1" ref="V56" ca="1">IFERROR(IF(AA56&lt;&gt;"ja",_xlfn.IFNA(_xlfn.IFS(AND(P56&lt;&gt;"",R56&lt;&gt;"",RIGHT($N56,6)="tarief",F56="Vergoeding"),SUM(P56)*FLOOR(SUM(R56),0.0001),AND(P56&lt;&gt;"",R56&lt;&gt;"",RIGHT($N56,6)="tarief"),P56*FLOOR(R56,0.01),T56&gt;0,FLOOR(SUM(T56),0.01)),""),""),"")</f>
        <v/>
      </c>
      <c r="W56" s="317" t="str" cm="1">
        <f t="array" aca="1" ref="W56" ca="1">IFERROR(_xlfn.IFS(OR(F56="",LEFT(Methode_Keuze,4)="Geen",Methode_Keuze=""),"",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17" t="str" cm="1">
        <f t="array" aca="1" ref="X56" ca="1">IFERROR(_xlfn.IFS(OR(F56="",LEFT(Methode_Keuze,4)="Geen",Methode_Keuze=""),"",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26"/>
      <c r="Z56" s="319"/>
      <c r="AA56" s="32" t="str" cm="1">
        <f t="array" ref="AA56">IFERROR(IF(INDEX(SubsidieTabel!$AD$1:$AG$12,MATCH($F56,SubsidieTabel!$AD$1:$AD$12,0),IFERROR(MATCH(Methode_Keuze,SubsidieTabel!$AD$1:$AG$1,0),2))&lt;&gt;1=TRUE,"ja",""),"")</f>
        <v/>
      </c>
    </row>
    <row r="57" spans="1:27" x14ac:dyDescent="0.25">
      <c r="A57" s="320"/>
      <c r="B57" s="321" t="str">
        <f>IF(A57&lt;&gt;"",_xlfn.MAXIFS($B$1:B56,$A$1:A56,A57)+1,"")</f>
        <v/>
      </c>
      <c r="C57" s="299"/>
      <c r="D57" s="299"/>
      <c r="E57" s="299"/>
      <c r="F57" s="299"/>
      <c r="G57" s="330"/>
      <c r="H57" s="328"/>
      <c r="I57" s="329"/>
      <c r="J57" s="329"/>
      <c r="K57" s="322"/>
      <c r="L57" s="322"/>
      <c r="M57" s="323" t="str">
        <f>IFERROR(VLOOKUP(H57,Lijsten!$H$1:$I$100,2,0),"")</f>
        <v/>
      </c>
      <c r="N57" s="323" t="str">
        <f ca="1">IFERROR(IF(VLOOKUP(F57,Kostentypen!$A$3:$E$21,3,0)=0,"",IF(OR(F57="Arbeidskosten",F57="Vergoeding"),VLOOKUP(G57,Tb_KostenTypen[],2,0),VLOOKUP(F57,Kostentypen!$A$3:$E$20,3,0))),"")</f>
        <v/>
      </c>
      <c r="O57" s="324"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4"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3"/>
      <c r="R57" s="363"/>
      <c r="S57" s="325"/>
      <c r="T57" s="325"/>
      <c r="U57" s="317" t="str" cm="1">
        <f t="array" aca="1" ref="U57" ca="1">IFERROR(IF(AA57&lt;&gt;"ja",_xlfn.IFNA(_xlfn.IFS(AND(O57&lt;&gt;"",F57&lt;&gt;"",RIGHT($N57,6)="tarief",F57="Vergoeding"),SUM(O57)*FLOOR(SUM(Q57),0.0001),AND(O57&lt;&gt;"",F57&lt;&gt;"",RIGHT($N57,6)="tarief"),SUM(O57)*FLOOR(SUM(Q57),0.01),S57&gt;0,IF(F57&lt;&gt;"",FLOOR(SUM(S57),0.01),"")),""),""),"")</f>
        <v/>
      </c>
      <c r="V57" s="317" t="str" cm="1">
        <f t="array" aca="1" ref="V57" ca="1">IFERROR(IF(AA57&lt;&gt;"ja",_xlfn.IFNA(_xlfn.IFS(AND(P57&lt;&gt;"",R57&lt;&gt;"",RIGHT($N57,6)="tarief",F57="Vergoeding"),SUM(P57)*FLOOR(SUM(R57),0.0001),AND(P57&lt;&gt;"",R57&lt;&gt;"",RIGHT($N57,6)="tarief"),P57*FLOOR(R57,0.01),T57&gt;0,FLOOR(SUM(T57),0.01)),""),""),"")</f>
        <v/>
      </c>
      <c r="W57" s="317" t="str" cm="1">
        <f t="array" aca="1" ref="W57" ca="1">IFERROR(_xlfn.IFS(OR(F57="",LEFT(Methode_Keuze,4)="Geen",Methode_Keuze=""),"",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17" t="str" cm="1">
        <f t="array" aca="1" ref="X57" ca="1">IFERROR(_xlfn.IFS(OR(F57="",LEFT(Methode_Keuze,4)="Geen",Methode_Keuze=""),"",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26"/>
      <c r="Z57" s="319"/>
      <c r="AA57" s="32" t="str" cm="1">
        <f t="array" ref="AA57">IFERROR(IF(INDEX(SubsidieTabel!$AD$1:$AG$12,MATCH($F57,SubsidieTabel!$AD$1:$AD$12,0),IFERROR(MATCH(Methode_Keuze,SubsidieTabel!$AD$1:$AG$1,0),2))&lt;&gt;1=TRUE,"ja",""),"")</f>
        <v/>
      </c>
    </row>
    <row r="58" spans="1:27" x14ac:dyDescent="0.25">
      <c r="A58" s="320"/>
      <c r="B58" s="321" t="str">
        <f>IF(A58&lt;&gt;"",_xlfn.MAXIFS($B$1:B57,$A$1:A57,A58)+1,"")</f>
        <v/>
      </c>
      <c r="C58" s="299"/>
      <c r="D58" s="299"/>
      <c r="E58" s="299"/>
      <c r="F58" s="299"/>
      <c r="G58" s="330"/>
      <c r="H58" s="328"/>
      <c r="I58" s="329"/>
      <c r="J58" s="329"/>
      <c r="K58" s="322"/>
      <c r="L58" s="322"/>
      <c r="M58" s="323" t="str">
        <f>IFERROR(VLOOKUP(H58,Lijsten!$H$1:$I$100,2,0),"")</f>
        <v/>
      </c>
      <c r="N58" s="323" t="str">
        <f ca="1">IFERROR(IF(VLOOKUP(F58,Kostentypen!$A$3:$E$21,3,0)=0,"",IF(OR(F58="Arbeidskosten",F58="Vergoeding"),VLOOKUP(G58,Tb_KostenTypen[],2,0),VLOOKUP(F58,Kostentypen!$A$3:$E$20,3,0))),"")</f>
        <v/>
      </c>
      <c r="O58" s="324"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4"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3"/>
      <c r="R58" s="363"/>
      <c r="S58" s="325"/>
      <c r="T58" s="325"/>
      <c r="U58" s="317" t="str" cm="1">
        <f t="array" aca="1" ref="U58" ca="1">IFERROR(IF(AA58&lt;&gt;"ja",_xlfn.IFNA(_xlfn.IFS(AND(O58&lt;&gt;"",F58&lt;&gt;"",RIGHT($N58,6)="tarief",F58="Vergoeding"),SUM(O58)*FLOOR(SUM(Q58),0.0001),AND(O58&lt;&gt;"",F58&lt;&gt;"",RIGHT($N58,6)="tarief"),SUM(O58)*FLOOR(SUM(Q58),0.01),S58&gt;0,IF(F58&lt;&gt;"",FLOOR(SUM(S58),0.01),"")),""),""),"")</f>
        <v/>
      </c>
      <c r="V58" s="317" t="str" cm="1">
        <f t="array" aca="1" ref="V58" ca="1">IFERROR(IF(AA58&lt;&gt;"ja",_xlfn.IFNA(_xlfn.IFS(AND(P58&lt;&gt;"",R58&lt;&gt;"",RIGHT($N58,6)="tarief",F58="Vergoeding"),SUM(P58)*FLOOR(SUM(R58),0.0001),AND(P58&lt;&gt;"",R58&lt;&gt;"",RIGHT($N58,6)="tarief"),P58*FLOOR(R58,0.01),T58&gt;0,FLOOR(SUM(T58),0.01)),""),""),"")</f>
        <v/>
      </c>
      <c r="W58" s="317" t="str" cm="1">
        <f t="array" aca="1" ref="W58" ca="1">IFERROR(_xlfn.IFS(OR(F58="",LEFT(Methode_Keuze,4)="Geen",Methode_Keuze=""),"",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17" t="str" cm="1">
        <f t="array" aca="1" ref="X58" ca="1">IFERROR(_xlfn.IFS(OR(F58="",LEFT(Methode_Keuze,4)="Geen",Methode_Keuze=""),"",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26"/>
      <c r="Z58" s="319"/>
      <c r="AA58" s="32" t="str" cm="1">
        <f t="array" ref="AA58">IFERROR(IF(INDEX(SubsidieTabel!$AD$1:$AG$12,MATCH($F58,SubsidieTabel!$AD$1:$AD$12,0),IFERROR(MATCH(Methode_Keuze,SubsidieTabel!$AD$1:$AG$1,0),2))&lt;&gt;1=TRUE,"ja",""),"")</f>
        <v/>
      </c>
    </row>
    <row r="59" spans="1:27" x14ac:dyDescent="0.25">
      <c r="A59" s="320"/>
      <c r="B59" s="321" t="str">
        <f>IF(A59&lt;&gt;"",_xlfn.MAXIFS($B$1:B58,$A$1:A58,A59)+1,"")</f>
        <v/>
      </c>
      <c r="C59" s="299"/>
      <c r="D59" s="299"/>
      <c r="E59" s="299"/>
      <c r="F59" s="299"/>
      <c r="G59" s="330"/>
      <c r="H59" s="328"/>
      <c r="I59" s="329"/>
      <c r="J59" s="329"/>
      <c r="K59" s="322"/>
      <c r="L59" s="322"/>
      <c r="M59" s="323" t="str">
        <f>IFERROR(VLOOKUP(H59,Lijsten!$H$1:$I$100,2,0),"")</f>
        <v/>
      </c>
      <c r="N59" s="323" t="str">
        <f ca="1">IFERROR(IF(VLOOKUP(F59,Kostentypen!$A$3:$E$21,3,0)=0,"",IF(OR(F59="Arbeidskosten",F59="Vergoeding"),VLOOKUP(G59,Tb_KostenTypen[],2,0),VLOOKUP(F59,Kostentypen!$A$3:$E$20,3,0))),"")</f>
        <v/>
      </c>
      <c r="O59" s="324"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4"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3"/>
      <c r="R59" s="363"/>
      <c r="S59" s="325"/>
      <c r="T59" s="325"/>
      <c r="U59" s="317" t="str" cm="1">
        <f t="array" aca="1" ref="U59" ca="1">IFERROR(IF(AA59&lt;&gt;"ja",_xlfn.IFNA(_xlfn.IFS(AND(O59&lt;&gt;"",F59&lt;&gt;"",RIGHT($N59,6)="tarief",F59="Vergoeding"),SUM(O59)*FLOOR(SUM(Q59),0.0001),AND(O59&lt;&gt;"",F59&lt;&gt;"",RIGHT($N59,6)="tarief"),SUM(O59)*FLOOR(SUM(Q59),0.01),S59&gt;0,IF(F59&lt;&gt;"",FLOOR(SUM(S59),0.01),"")),""),""),"")</f>
        <v/>
      </c>
      <c r="V59" s="317" t="str" cm="1">
        <f t="array" aca="1" ref="V59" ca="1">IFERROR(IF(AA59&lt;&gt;"ja",_xlfn.IFNA(_xlfn.IFS(AND(P59&lt;&gt;"",R59&lt;&gt;"",RIGHT($N59,6)="tarief",F59="Vergoeding"),SUM(P59)*FLOOR(SUM(R59),0.0001),AND(P59&lt;&gt;"",R59&lt;&gt;"",RIGHT($N59,6)="tarief"),P59*FLOOR(R59,0.01),T59&gt;0,FLOOR(SUM(T59),0.01)),""),""),"")</f>
        <v/>
      </c>
      <c r="W59" s="317" t="str" cm="1">
        <f t="array" aca="1" ref="W59" ca="1">IFERROR(_xlfn.IFS(OR(F59="",LEFT(Methode_Keuze,4)="Geen",Methode_Keuze=""),"",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17" t="str" cm="1">
        <f t="array" aca="1" ref="X59" ca="1">IFERROR(_xlfn.IFS(OR(F59="",LEFT(Methode_Keuze,4)="Geen",Methode_Keuze=""),"",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26"/>
      <c r="Z59" s="319"/>
      <c r="AA59" s="32" t="str" cm="1">
        <f t="array" ref="AA59">IFERROR(IF(INDEX(SubsidieTabel!$AD$1:$AG$12,MATCH($F59,SubsidieTabel!$AD$1:$AD$12,0),IFERROR(MATCH(Methode_Keuze,SubsidieTabel!$AD$1:$AG$1,0),2))&lt;&gt;1=TRUE,"ja",""),"")</f>
        <v/>
      </c>
    </row>
    <row r="60" spans="1:27" x14ac:dyDescent="0.25">
      <c r="A60" s="320"/>
      <c r="B60" s="321" t="str">
        <f>IF(A60&lt;&gt;"",_xlfn.MAXIFS($B$1:B59,$A$1:A59,A60)+1,"")</f>
        <v/>
      </c>
      <c r="C60" s="299"/>
      <c r="D60" s="299"/>
      <c r="E60" s="299"/>
      <c r="F60" s="299"/>
      <c r="G60" s="330"/>
      <c r="H60" s="328"/>
      <c r="I60" s="329"/>
      <c r="J60" s="329"/>
      <c r="K60" s="322"/>
      <c r="L60" s="322"/>
      <c r="M60" s="323" t="str">
        <f>IFERROR(VLOOKUP(H60,Lijsten!$H$1:$I$100,2,0),"")</f>
        <v/>
      </c>
      <c r="N60" s="323" t="str">
        <f ca="1">IFERROR(IF(VLOOKUP(F60,Kostentypen!$A$3:$E$21,3,0)=0,"",IF(OR(F60="Arbeidskosten",F60="Vergoeding"),VLOOKUP(G60,Tb_KostenTypen[],2,0),VLOOKUP(F60,Kostentypen!$A$3:$E$20,3,0))),"")</f>
        <v/>
      </c>
      <c r="O60" s="324"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4"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3"/>
      <c r="R60" s="363"/>
      <c r="S60" s="325"/>
      <c r="T60" s="325"/>
      <c r="U60" s="317" t="str" cm="1">
        <f t="array" aca="1" ref="U60" ca="1">IFERROR(IF(AA60&lt;&gt;"ja",_xlfn.IFNA(_xlfn.IFS(AND(O60&lt;&gt;"",F60&lt;&gt;"",RIGHT($N60,6)="tarief",F60="Vergoeding"),SUM(O60)*FLOOR(SUM(Q60),0.0001),AND(O60&lt;&gt;"",F60&lt;&gt;"",RIGHT($N60,6)="tarief"),SUM(O60)*FLOOR(SUM(Q60),0.01),S60&gt;0,IF(F60&lt;&gt;"",FLOOR(SUM(S60),0.01),"")),""),""),"")</f>
        <v/>
      </c>
      <c r="V60" s="317" t="str" cm="1">
        <f t="array" aca="1" ref="V60" ca="1">IFERROR(IF(AA60&lt;&gt;"ja",_xlfn.IFNA(_xlfn.IFS(AND(P60&lt;&gt;"",R60&lt;&gt;"",RIGHT($N60,6)="tarief",F60="Vergoeding"),SUM(P60)*FLOOR(SUM(R60),0.0001),AND(P60&lt;&gt;"",R60&lt;&gt;"",RIGHT($N60,6)="tarief"),P60*FLOOR(R60,0.01),T60&gt;0,FLOOR(SUM(T60),0.01)),""),""),"")</f>
        <v/>
      </c>
      <c r="W60" s="317" t="str" cm="1">
        <f t="array" aca="1" ref="W60" ca="1">IFERROR(_xlfn.IFS(OR(F60="",LEFT(Methode_Keuze,4)="Geen",Methode_Keuze=""),"",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17" t="str" cm="1">
        <f t="array" aca="1" ref="X60" ca="1">IFERROR(_xlfn.IFS(OR(F60="",LEFT(Methode_Keuze,4)="Geen",Methode_Keuze=""),"",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26"/>
      <c r="Z60" s="319"/>
      <c r="AA60" s="32" t="str" cm="1">
        <f t="array" ref="AA60">IFERROR(IF(INDEX(SubsidieTabel!$AD$1:$AG$12,MATCH($F60,SubsidieTabel!$AD$1:$AD$12,0),IFERROR(MATCH(Methode_Keuze,SubsidieTabel!$AD$1:$AG$1,0),2))&lt;&gt;1=TRUE,"ja",""),"")</f>
        <v/>
      </c>
    </row>
    <row r="61" spans="1:27" x14ac:dyDescent="0.25">
      <c r="A61" s="320"/>
      <c r="B61" s="321" t="str">
        <f>IF(A61&lt;&gt;"",_xlfn.MAXIFS($B$1:B60,$A$1:A60,A61)+1,"")</f>
        <v/>
      </c>
      <c r="C61" s="299"/>
      <c r="D61" s="299"/>
      <c r="E61" s="299"/>
      <c r="F61" s="299"/>
      <c r="G61" s="330"/>
      <c r="H61" s="328"/>
      <c r="I61" s="329"/>
      <c r="J61" s="329"/>
      <c r="K61" s="322"/>
      <c r="L61" s="322"/>
      <c r="M61" s="323" t="str">
        <f>IFERROR(VLOOKUP(H61,Lijsten!$H$1:$I$100,2,0),"")</f>
        <v/>
      </c>
      <c r="N61" s="323" t="str">
        <f ca="1">IFERROR(IF(VLOOKUP(F61,Kostentypen!$A$3:$E$21,3,0)=0,"",IF(OR(F61="Arbeidskosten",F61="Vergoeding"),VLOOKUP(G61,Tb_KostenTypen[],2,0),VLOOKUP(F61,Kostentypen!$A$3:$E$20,3,0))),"")</f>
        <v/>
      </c>
      <c r="O61" s="324"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4"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3"/>
      <c r="R61" s="363"/>
      <c r="S61" s="325"/>
      <c r="T61" s="325"/>
      <c r="U61" s="317" t="str" cm="1">
        <f t="array" aca="1" ref="U61" ca="1">IFERROR(IF(AA61&lt;&gt;"ja",_xlfn.IFNA(_xlfn.IFS(AND(O61&lt;&gt;"",F61&lt;&gt;"",RIGHT($N61,6)="tarief",F61="Vergoeding"),SUM(O61)*FLOOR(SUM(Q61),0.0001),AND(O61&lt;&gt;"",F61&lt;&gt;"",RIGHT($N61,6)="tarief"),SUM(O61)*FLOOR(SUM(Q61),0.01),S61&gt;0,IF(F61&lt;&gt;"",FLOOR(SUM(S61),0.01),"")),""),""),"")</f>
        <v/>
      </c>
      <c r="V61" s="317" t="str" cm="1">
        <f t="array" aca="1" ref="V61" ca="1">IFERROR(IF(AA61&lt;&gt;"ja",_xlfn.IFNA(_xlfn.IFS(AND(P61&lt;&gt;"",R61&lt;&gt;"",RIGHT($N61,6)="tarief",F61="Vergoeding"),SUM(P61)*FLOOR(SUM(R61),0.0001),AND(P61&lt;&gt;"",R61&lt;&gt;"",RIGHT($N61,6)="tarief"),P61*FLOOR(R61,0.01),T61&gt;0,FLOOR(SUM(T61),0.01)),""),""),"")</f>
        <v/>
      </c>
      <c r="W61" s="317" t="str" cm="1">
        <f t="array" aca="1" ref="W61" ca="1">IFERROR(_xlfn.IFS(OR(F61="",LEFT(Methode_Keuze,4)="Geen",Methode_Keuze=""),"",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17" t="str" cm="1">
        <f t="array" aca="1" ref="X61" ca="1">IFERROR(_xlfn.IFS(OR(F61="",LEFT(Methode_Keuze,4)="Geen",Methode_Keuze=""),"",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26"/>
      <c r="Z61" s="319"/>
      <c r="AA61" s="32" t="str" cm="1">
        <f t="array" ref="AA61">IFERROR(IF(INDEX(SubsidieTabel!$AD$1:$AG$12,MATCH($F61,SubsidieTabel!$AD$1:$AD$12,0),IFERROR(MATCH(Methode_Keuze,SubsidieTabel!$AD$1:$AG$1,0),2))&lt;&gt;1=TRUE,"ja",""),"")</f>
        <v/>
      </c>
    </row>
    <row r="62" spans="1:27" x14ac:dyDescent="0.25">
      <c r="A62" s="320"/>
      <c r="B62" s="321" t="str">
        <f>IF(A62&lt;&gt;"",_xlfn.MAXIFS($B$1:B61,$A$1:A61,A62)+1,"")</f>
        <v/>
      </c>
      <c r="C62" s="299"/>
      <c r="D62" s="299"/>
      <c r="E62" s="299"/>
      <c r="F62" s="299"/>
      <c r="G62" s="330"/>
      <c r="H62" s="328"/>
      <c r="I62" s="329"/>
      <c r="J62" s="329"/>
      <c r="K62" s="322"/>
      <c r="L62" s="322"/>
      <c r="M62" s="323" t="str">
        <f>IFERROR(VLOOKUP(H62,Lijsten!$H$1:$I$100,2,0),"")</f>
        <v/>
      </c>
      <c r="N62" s="323" t="str">
        <f ca="1">IFERROR(IF(VLOOKUP(F62,Kostentypen!$A$3:$E$21,3,0)=0,"",IF(OR(F62="Arbeidskosten",F62="Vergoeding"),VLOOKUP(G62,Tb_KostenTypen[],2,0),VLOOKUP(F62,Kostentypen!$A$3:$E$20,3,0))),"")</f>
        <v/>
      </c>
      <c r="O62" s="324"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4"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3"/>
      <c r="R62" s="363"/>
      <c r="S62" s="325"/>
      <c r="T62" s="325"/>
      <c r="U62" s="317" t="str" cm="1">
        <f t="array" aca="1" ref="U62" ca="1">IFERROR(IF(AA62&lt;&gt;"ja",_xlfn.IFNA(_xlfn.IFS(AND(O62&lt;&gt;"",F62&lt;&gt;"",RIGHT($N62,6)="tarief",F62="Vergoeding"),SUM(O62)*FLOOR(SUM(Q62),0.0001),AND(O62&lt;&gt;"",F62&lt;&gt;"",RIGHT($N62,6)="tarief"),SUM(O62)*FLOOR(SUM(Q62),0.01),S62&gt;0,IF(F62&lt;&gt;"",FLOOR(SUM(S62),0.01),"")),""),""),"")</f>
        <v/>
      </c>
      <c r="V62" s="317" t="str" cm="1">
        <f t="array" aca="1" ref="V62" ca="1">IFERROR(IF(AA62&lt;&gt;"ja",_xlfn.IFNA(_xlfn.IFS(AND(P62&lt;&gt;"",R62&lt;&gt;"",RIGHT($N62,6)="tarief",F62="Vergoeding"),SUM(P62)*FLOOR(SUM(R62),0.0001),AND(P62&lt;&gt;"",R62&lt;&gt;"",RIGHT($N62,6)="tarief"),P62*FLOOR(R62,0.01),T62&gt;0,FLOOR(SUM(T62),0.01)),""),""),"")</f>
        <v/>
      </c>
      <c r="W62" s="317" t="str" cm="1">
        <f t="array" aca="1" ref="W62" ca="1">IFERROR(_xlfn.IFS(OR(F62="",LEFT(Methode_Keuze,4)="Geen",Methode_Keuze=""),"",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17" t="str" cm="1">
        <f t="array" aca="1" ref="X62" ca="1">IFERROR(_xlfn.IFS(OR(F62="",LEFT(Methode_Keuze,4)="Geen",Methode_Keuze=""),"",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26"/>
      <c r="Z62" s="319"/>
      <c r="AA62" s="32" t="str" cm="1">
        <f t="array" ref="AA62">IFERROR(IF(INDEX(SubsidieTabel!$AD$1:$AG$12,MATCH($F62,SubsidieTabel!$AD$1:$AD$12,0),IFERROR(MATCH(Methode_Keuze,SubsidieTabel!$AD$1:$AG$1,0),2))&lt;&gt;1=TRUE,"ja",""),"")</f>
        <v/>
      </c>
    </row>
    <row r="63" spans="1:27" x14ac:dyDescent="0.25">
      <c r="A63" s="320"/>
      <c r="B63" s="321" t="str">
        <f>IF(A63&lt;&gt;"",_xlfn.MAXIFS($B$1:B62,$A$1:A62,A63)+1,"")</f>
        <v/>
      </c>
      <c r="C63" s="299"/>
      <c r="D63" s="299"/>
      <c r="E63" s="299"/>
      <c r="F63" s="299"/>
      <c r="G63" s="330"/>
      <c r="H63" s="328"/>
      <c r="I63" s="329"/>
      <c r="J63" s="329"/>
      <c r="K63" s="322"/>
      <c r="L63" s="322"/>
      <c r="M63" s="323" t="str">
        <f>IFERROR(VLOOKUP(H63,Lijsten!$H$1:$I$100,2,0),"")</f>
        <v/>
      </c>
      <c r="N63" s="323" t="str">
        <f ca="1">IFERROR(IF(VLOOKUP(F63,Kostentypen!$A$3:$E$21,3,0)=0,"",IF(OR(F63="Arbeidskosten",F63="Vergoeding"),VLOOKUP(G63,Tb_KostenTypen[],2,0),VLOOKUP(F63,Kostentypen!$A$3:$E$20,3,0))),"")</f>
        <v/>
      </c>
      <c r="O63" s="324"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4"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3"/>
      <c r="R63" s="363"/>
      <c r="S63" s="325"/>
      <c r="T63" s="325"/>
      <c r="U63" s="317" t="str" cm="1">
        <f t="array" aca="1" ref="U63" ca="1">IFERROR(IF(AA63&lt;&gt;"ja",_xlfn.IFNA(_xlfn.IFS(AND(O63&lt;&gt;"",F63&lt;&gt;"",RIGHT($N63,6)="tarief",F63="Vergoeding"),SUM(O63)*FLOOR(SUM(Q63),0.0001),AND(O63&lt;&gt;"",F63&lt;&gt;"",RIGHT($N63,6)="tarief"),SUM(O63)*FLOOR(SUM(Q63),0.01),S63&gt;0,IF(F63&lt;&gt;"",FLOOR(SUM(S63),0.01),"")),""),""),"")</f>
        <v/>
      </c>
      <c r="V63" s="317" t="str" cm="1">
        <f t="array" aca="1" ref="V63" ca="1">IFERROR(IF(AA63&lt;&gt;"ja",_xlfn.IFNA(_xlfn.IFS(AND(P63&lt;&gt;"",R63&lt;&gt;"",RIGHT($N63,6)="tarief",F63="Vergoeding"),SUM(P63)*FLOOR(SUM(R63),0.0001),AND(P63&lt;&gt;"",R63&lt;&gt;"",RIGHT($N63,6)="tarief"),P63*FLOOR(R63,0.01),T63&gt;0,FLOOR(SUM(T63),0.01)),""),""),"")</f>
        <v/>
      </c>
      <c r="W63" s="317" t="str" cm="1">
        <f t="array" aca="1" ref="W63" ca="1">IFERROR(_xlfn.IFS(OR(F63="",LEFT(Methode_Keuze,4)="Geen",Methode_Keuze=""),"",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17" t="str" cm="1">
        <f t="array" aca="1" ref="X63" ca="1">IFERROR(_xlfn.IFS(OR(F63="",LEFT(Methode_Keuze,4)="Geen",Methode_Keuze=""),"",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26"/>
      <c r="Z63" s="319"/>
      <c r="AA63" s="32" t="str" cm="1">
        <f t="array" ref="AA63">IFERROR(IF(INDEX(SubsidieTabel!$AD$1:$AG$12,MATCH($F63,SubsidieTabel!$AD$1:$AD$12,0),IFERROR(MATCH(Methode_Keuze,SubsidieTabel!$AD$1:$AG$1,0),2))&lt;&gt;1=TRUE,"ja",""),"")</f>
        <v/>
      </c>
    </row>
    <row r="64" spans="1:27" x14ac:dyDescent="0.25">
      <c r="A64" s="320"/>
      <c r="B64" s="321" t="str">
        <f>IF(A64&lt;&gt;"",_xlfn.MAXIFS($B$1:B63,$A$1:A63,A64)+1,"")</f>
        <v/>
      </c>
      <c r="C64" s="299"/>
      <c r="D64" s="299"/>
      <c r="E64" s="299"/>
      <c r="F64" s="299"/>
      <c r="G64" s="330"/>
      <c r="H64" s="328"/>
      <c r="I64" s="329"/>
      <c r="J64" s="329"/>
      <c r="K64" s="322"/>
      <c r="L64" s="322"/>
      <c r="M64" s="323" t="str">
        <f>IFERROR(VLOOKUP(H64,Lijsten!$H$1:$I$100,2,0),"")</f>
        <v/>
      </c>
      <c r="N64" s="323" t="str">
        <f ca="1">IFERROR(IF(VLOOKUP(F64,Kostentypen!$A$3:$E$21,3,0)=0,"",IF(OR(F64="Arbeidskosten",F64="Vergoeding"),VLOOKUP(G64,Tb_KostenTypen[],2,0),VLOOKUP(F64,Kostentypen!$A$3:$E$20,3,0))),"")</f>
        <v/>
      </c>
      <c r="O64" s="324"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4"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3"/>
      <c r="R64" s="363"/>
      <c r="S64" s="325"/>
      <c r="T64" s="325"/>
      <c r="U64" s="317" t="str" cm="1">
        <f t="array" aca="1" ref="U64" ca="1">IFERROR(IF(AA64&lt;&gt;"ja",_xlfn.IFNA(_xlfn.IFS(AND(O64&lt;&gt;"",F64&lt;&gt;"",RIGHT($N64,6)="tarief",F64="Vergoeding"),SUM(O64)*FLOOR(SUM(Q64),0.0001),AND(O64&lt;&gt;"",F64&lt;&gt;"",RIGHT($N64,6)="tarief"),SUM(O64)*FLOOR(SUM(Q64),0.01),S64&gt;0,IF(F64&lt;&gt;"",FLOOR(SUM(S64),0.01),"")),""),""),"")</f>
        <v/>
      </c>
      <c r="V64" s="317" t="str" cm="1">
        <f t="array" aca="1" ref="V64" ca="1">IFERROR(IF(AA64&lt;&gt;"ja",_xlfn.IFNA(_xlfn.IFS(AND(P64&lt;&gt;"",R64&lt;&gt;"",RIGHT($N64,6)="tarief",F64="Vergoeding"),SUM(P64)*FLOOR(SUM(R64),0.0001),AND(P64&lt;&gt;"",R64&lt;&gt;"",RIGHT($N64,6)="tarief"),P64*FLOOR(R64,0.01),T64&gt;0,FLOOR(SUM(T64),0.01)),""),""),"")</f>
        <v/>
      </c>
      <c r="W64" s="317" t="str" cm="1">
        <f t="array" aca="1" ref="W64" ca="1">IFERROR(_xlfn.IFS(OR(F64="",LEFT(Methode_Keuze,4)="Geen",Methode_Keuze=""),"",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17" t="str" cm="1">
        <f t="array" aca="1" ref="X64" ca="1">IFERROR(_xlfn.IFS(OR(F64="",LEFT(Methode_Keuze,4)="Geen",Methode_Keuze=""),"",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26"/>
      <c r="Z64" s="319"/>
      <c r="AA64" s="32" t="str" cm="1">
        <f t="array" ref="AA64">IFERROR(IF(INDEX(SubsidieTabel!$AD$1:$AG$12,MATCH($F64,SubsidieTabel!$AD$1:$AD$12,0),IFERROR(MATCH(Methode_Keuze,SubsidieTabel!$AD$1:$AG$1,0),2))&lt;&gt;1=TRUE,"ja",""),"")</f>
        <v/>
      </c>
    </row>
    <row r="65" spans="1:27" x14ac:dyDescent="0.25">
      <c r="A65" s="320"/>
      <c r="B65" s="321" t="str">
        <f>IF(A65&lt;&gt;"",_xlfn.MAXIFS($B$1:B64,$A$1:A64,A65)+1,"")</f>
        <v/>
      </c>
      <c r="C65" s="299"/>
      <c r="D65" s="299"/>
      <c r="E65" s="299"/>
      <c r="F65" s="299"/>
      <c r="G65" s="330"/>
      <c r="H65" s="328"/>
      <c r="I65" s="329"/>
      <c r="J65" s="329"/>
      <c r="K65" s="322"/>
      <c r="L65" s="322"/>
      <c r="M65" s="323" t="str">
        <f>IFERROR(VLOOKUP(H65,Lijsten!$H$1:$I$100,2,0),"")</f>
        <v/>
      </c>
      <c r="N65" s="323" t="str">
        <f ca="1">IFERROR(IF(VLOOKUP(F65,Kostentypen!$A$3:$E$21,3,0)=0,"",IF(OR(F65="Arbeidskosten",F65="Vergoeding"),VLOOKUP(G65,Tb_KostenTypen[],2,0),VLOOKUP(F65,Kostentypen!$A$3:$E$20,3,0))),"")</f>
        <v/>
      </c>
      <c r="O65" s="324"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4"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3"/>
      <c r="R65" s="363"/>
      <c r="S65" s="325"/>
      <c r="T65" s="325"/>
      <c r="U65" s="317" t="str" cm="1">
        <f t="array" aca="1" ref="U65" ca="1">IFERROR(IF(AA65&lt;&gt;"ja",_xlfn.IFNA(_xlfn.IFS(AND(O65&lt;&gt;"",F65&lt;&gt;"",RIGHT($N65,6)="tarief",F65="Vergoeding"),SUM(O65)*FLOOR(SUM(Q65),0.0001),AND(O65&lt;&gt;"",F65&lt;&gt;"",RIGHT($N65,6)="tarief"),SUM(O65)*FLOOR(SUM(Q65),0.01),S65&gt;0,IF(F65&lt;&gt;"",FLOOR(SUM(S65),0.01),"")),""),""),"")</f>
        <v/>
      </c>
      <c r="V65" s="317" t="str" cm="1">
        <f t="array" aca="1" ref="V65" ca="1">IFERROR(IF(AA65&lt;&gt;"ja",_xlfn.IFNA(_xlfn.IFS(AND(P65&lt;&gt;"",R65&lt;&gt;"",RIGHT($N65,6)="tarief",F65="Vergoeding"),SUM(P65)*FLOOR(SUM(R65),0.0001),AND(P65&lt;&gt;"",R65&lt;&gt;"",RIGHT($N65,6)="tarief"),P65*FLOOR(R65,0.01),T65&gt;0,FLOOR(SUM(T65),0.01)),""),""),"")</f>
        <v/>
      </c>
      <c r="W65" s="317" t="str" cm="1">
        <f t="array" aca="1" ref="W65" ca="1">IFERROR(_xlfn.IFS(OR(F65="",LEFT(Methode_Keuze,4)="Geen",Methode_Keuze=""),"",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17" t="str" cm="1">
        <f t="array" aca="1" ref="X65" ca="1">IFERROR(_xlfn.IFS(OR(F65="",LEFT(Methode_Keuze,4)="Geen",Methode_Keuze=""),"",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26"/>
      <c r="Z65" s="319"/>
      <c r="AA65" s="32" t="str" cm="1">
        <f t="array" ref="AA65">IFERROR(IF(INDEX(SubsidieTabel!$AD$1:$AG$12,MATCH($F65,SubsidieTabel!$AD$1:$AD$12,0),IFERROR(MATCH(Methode_Keuze,SubsidieTabel!$AD$1:$AG$1,0),2))&lt;&gt;1=TRUE,"ja",""),"")</f>
        <v/>
      </c>
    </row>
    <row r="66" spans="1:27" x14ac:dyDescent="0.25">
      <c r="A66" s="320"/>
      <c r="B66" s="321" t="str">
        <f>IF(A66&lt;&gt;"",_xlfn.MAXIFS($B$1:B65,$A$1:A65,A66)+1,"")</f>
        <v/>
      </c>
      <c r="C66" s="299"/>
      <c r="D66" s="299"/>
      <c r="E66" s="299"/>
      <c r="F66" s="299"/>
      <c r="G66" s="330"/>
      <c r="H66" s="328"/>
      <c r="I66" s="329"/>
      <c r="J66" s="329"/>
      <c r="K66" s="322"/>
      <c r="L66" s="322"/>
      <c r="M66" s="323" t="str">
        <f>IFERROR(VLOOKUP(H66,Lijsten!$H$1:$I$100,2,0),"")</f>
        <v/>
      </c>
      <c r="N66" s="323" t="str">
        <f ca="1">IFERROR(IF(VLOOKUP(F66,Kostentypen!$A$3:$E$21,3,0)=0,"",IF(OR(F66="Arbeidskosten",F66="Vergoeding"),VLOOKUP(G66,Tb_KostenTypen[],2,0),VLOOKUP(F66,Kostentypen!$A$3:$E$20,3,0))),"")</f>
        <v/>
      </c>
      <c r="O66" s="324"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4"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3"/>
      <c r="R66" s="363"/>
      <c r="S66" s="325"/>
      <c r="T66" s="325"/>
      <c r="U66" s="317" t="str" cm="1">
        <f t="array" aca="1" ref="U66" ca="1">IFERROR(IF(AA66&lt;&gt;"ja",_xlfn.IFNA(_xlfn.IFS(AND(O66&lt;&gt;"",F66&lt;&gt;"",RIGHT($N66,6)="tarief",F66="Vergoeding"),SUM(O66)*FLOOR(SUM(Q66),0.0001),AND(O66&lt;&gt;"",F66&lt;&gt;"",RIGHT($N66,6)="tarief"),SUM(O66)*FLOOR(SUM(Q66),0.01),S66&gt;0,IF(F66&lt;&gt;"",FLOOR(SUM(S66),0.01),"")),""),""),"")</f>
        <v/>
      </c>
      <c r="V66" s="317" t="str" cm="1">
        <f t="array" aca="1" ref="V66" ca="1">IFERROR(IF(AA66&lt;&gt;"ja",_xlfn.IFNA(_xlfn.IFS(AND(P66&lt;&gt;"",R66&lt;&gt;"",RIGHT($N66,6)="tarief",F66="Vergoeding"),SUM(P66)*FLOOR(SUM(R66),0.0001),AND(P66&lt;&gt;"",R66&lt;&gt;"",RIGHT($N66,6)="tarief"),P66*FLOOR(R66,0.01),T66&gt;0,FLOOR(SUM(T66),0.01)),""),""),"")</f>
        <v/>
      </c>
      <c r="W66" s="317" t="str" cm="1">
        <f t="array" aca="1" ref="W66" ca="1">IFERROR(_xlfn.IFS(OR(F66="",LEFT(Methode_Keuze,4)="Geen",Methode_Keuze=""),"",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17" t="str" cm="1">
        <f t="array" aca="1" ref="X66" ca="1">IFERROR(_xlfn.IFS(OR(F66="",LEFT(Methode_Keuze,4)="Geen",Methode_Keuze=""),"",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26"/>
      <c r="Z66" s="319"/>
      <c r="AA66" s="32" t="str" cm="1">
        <f t="array" ref="AA66">IFERROR(IF(INDEX(SubsidieTabel!$AD$1:$AG$12,MATCH($F66,SubsidieTabel!$AD$1:$AD$12,0),IFERROR(MATCH(Methode_Keuze,SubsidieTabel!$AD$1:$AG$1,0),2))&lt;&gt;1=TRUE,"ja",""),"")</f>
        <v/>
      </c>
    </row>
    <row r="67" spans="1:27" x14ac:dyDescent="0.25">
      <c r="A67" s="320"/>
      <c r="B67" s="321" t="str">
        <f>IF(A67&lt;&gt;"",_xlfn.MAXIFS($B$1:B66,$A$1:A66,A67)+1,"")</f>
        <v/>
      </c>
      <c r="C67" s="299"/>
      <c r="D67" s="299"/>
      <c r="E67" s="299"/>
      <c r="F67" s="299"/>
      <c r="G67" s="330"/>
      <c r="H67" s="328"/>
      <c r="I67" s="329"/>
      <c r="J67" s="329"/>
      <c r="K67" s="322"/>
      <c r="L67" s="322"/>
      <c r="M67" s="323" t="str">
        <f>IFERROR(VLOOKUP(H67,Lijsten!$H$1:$I$100,2,0),"")</f>
        <v/>
      </c>
      <c r="N67" s="323" t="str">
        <f ca="1">IFERROR(IF(VLOOKUP(F67,Kostentypen!$A$3:$E$21,3,0)=0,"",IF(OR(F67="Arbeidskosten",F67="Vergoeding"),VLOOKUP(G67,Tb_KostenTypen[],2,0),VLOOKUP(F67,Kostentypen!$A$3:$E$20,3,0))),"")</f>
        <v/>
      </c>
      <c r="O67" s="324"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4"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3"/>
      <c r="R67" s="363"/>
      <c r="S67" s="325"/>
      <c r="T67" s="325"/>
      <c r="U67" s="317" t="str" cm="1">
        <f t="array" aca="1" ref="U67" ca="1">IFERROR(IF(AA67&lt;&gt;"ja",_xlfn.IFNA(_xlfn.IFS(AND(O67&lt;&gt;"",F67&lt;&gt;"",RIGHT($N67,6)="tarief",F67="Vergoeding"),SUM(O67)*FLOOR(SUM(Q67),0.0001),AND(O67&lt;&gt;"",F67&lt;&gt;"",RIGHT($N67,6)="tarief"),SUM(O67)*FLOOR(SUM(Q67),0.01),S67&gt;0,IF(F67&lt;&gt;"",FLOOR(SUM(S67),0.01),"")),""),""),"")</f>
        <v/>
      </c>
      <c r="V67" s="317" t="str" cm="1">
        <f t="array" aca="1" ref="V67" ca="1">IFERROR(IF(AA67&lt;&gt;"ja",_xlfn.IFNA(_xlfn.IFS(AND(P67&lt;&gt;"",R67&lt;&gt;"",RIGHT($N67,6)="tarief",F67="Vergoeding"),SUM(P67)*FLOOR(SUM(R67),0.0001),AND(P67&lt;&gt;"",R67&lt;&gt;"",RIGHT($N67,6)="tarief"),P67*FLOOR(R67,0.01),T67&gt;0,FLOOR(SUM(T67),0.01)),""),""),"")</f>
        <v/>
      </c>
      <c r="W67" s="317" t="str" cm="1">
        <f t="array" aca="1" ref="W67" ca="1">IFERROR(_xlfn.IFS(OR(F67="",LEFT(Methode_Keuze,4)="Geen",Methode_Keuze=""),"",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17" t="str" cm="1">
        <f t="array" aca="1" ref="X67" ca="1">IFERROR(_xlfn.IFS(OR(F67="",LEFT(Methode_Keuze,4)="Geen",Methode_Keuze=""),"",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26"/>
      <c r="Z67" s="319"/>
      <c r="AA67" s="32" t="str" cm="1">
        <f t="array" ref="AA67">IFERROR(IF(INDEX(SubsidieTabel!$AD$1:$AG$12,MATCH($F67,SubsidieTabel!$AD$1:$AD$12,0),IFERROR(MATCH(Methode_Keuze,SubsidieTabel!$AD$1:$AG$1,0),2))&lt;&gt;1=TRUE,"ja",""),"")</f>
        <v/>
      </c>
    </row>
    <row r="68" spans="1:27" x14ac:dyDescent="0.25">
      <c r="A68" s="320"/>
      <c r="B68" s="321" t="str">
        <f>IF(A68&lt;&gt;"",_xlfn.MAXIFS($B$1:B67,$A$1:A67,A68)+1,"")</f>
        <v/>
      </c>
      <c r="C68" s="299"/>
      <c r="D68" s="299"/>
      <c r="E68" s="299"/>
      <c r="F68" s="299"/>
      <c r="G68" s="330"/>
      <c r="H68" s="328"/>
      <c r="I68" s="329"/>
      <c r="J68" s="329"/>
      <c r="K68" s="322"/>
      <c r="L68" s="322"/>
      <c r="M68" s="323" t="str">
        <f>IFERROR(VLOOKUP(H68,Lijsten!$H$1:$I$100,2,0),"")</f>
        <v/>
      </c>
      <c r="N68" s="323" t="str">
        <f ca="1">IFERROR(IF(VLOOKUP(F68,Kostentypen!$A$3:$E$21,3,0)=0,"",IF(OR(F68="Arbeidskosten",F68="Vergoeding"),VLOOKUP(G68,Tb_KostenTypen[],2,0),VLOOKUP(F68,Kostentypen!$A$3:$E$20,3,0))),"")</f>
        <v/>
      </c>
      <c r="O68" s="324"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4"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3"/>
      <c r="R68" s="363"/>
      <c r="S68" s="325"/>
      <c r="T68" s="325"/>
      <c r="U68" s="317" t="str" cm="1">
        <f t="array" aca="1" ref="U68" ca="1">IFERROR(IF(AA68&lt;&gt;"ja",_xlfn.IFNA(_xlfn.IFS(AND(O68&lt;&gt;"",F68&lt;&gt;"",RIGHT($N68,6)="tarief",F68="Vergoeding"),SUM(O68)*FLOOR(SUM(Q68),0.0001),AND(O68&lt;&gt;"",F68&lt;&gt;"",RIGHT($N68,6)="tarief"),SUM(O68)*FLOOR(SUM(Q68),0.01),S68&gt;0,IF(F68&lt;&gt;"",FLOOR(SUM(S68),0.01),"")),""),""),"")</f>
        <v/>
      </c>
      <c r="V68" s="317" t="str" cm="1">
        <f t="array" aca="1" ref="V68" ca="1">IFERROR(IF(AA68&lt;&gt;"ja",_xlfn.IFNA(_xlfn.IFS(AND(P68&lt;&gt;"",R68&lt;&gt;"",RIGHT($N68,6)="tarief",F68="Vergoeding"),SUM(P68)*FLOOR(SUM(R68),0.0001),AND(P68&lt;&gt;"",R68&lt;&gt;"",RIGHT($N68,6)="tarief"),P68*FLOOR(R68,0.01),T68&gt;0,FLOOR(SUM(T68),0.01)),""),""),"")</f>
        <v/>
      </c>
      <c r="W68" s="317" t="str" cm="1">
        <f t="array" aca="1" ref="W68" ca="1">IFERROR(_xlfn.IFS(OR(F68="",LEFT(Methode_Keuze,4)="Geen",Methode_Keuze=""),"",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17" t="str" cm="1">
        <f t="array" aca="1" ref="X68" ca="1">IFERROR(_xlfn.IFS(OR(F68="",LEFT(Methode_Keuze,4)="Geen",Methode_Keuze=""),"",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26"/>
      <c r="Z68" s="319"/>
      <c r="AA68" s="32" t="str" cm="1">
        <f t="array" ref="AA68">IFERROR(IF(INDEX(SubsidieTabel!$AD$1:$AG$12,MATCH($F68,SubsidieTabel!$AD$1:$AD$12,0),IFERROR(MATCH(Methode_Keuze,SubsidieTabel!$AD$1:$AG$1,0),2))&lt;&gt;1=TRUE,"ja",""),"")</f>
        <v/>
      </c>
    </row>
    <row r="69" spans="1:27" x14ac:dyDescent="0.25">
      <c r="A69" s="320"/>
      <c r="B69" s="321" t="str">
        <f>IF(A69&lt;&gt;"",_xlfn.MAXIFS($B$1:B68,$A$1:A68,A69)+1,"")</f>
        <v/>
      </c>
      <c r="C69" s="299"/>
      <c r="D69" s="299"/>
      <c r="E69" s="299"/>
      <c r="F69" s="299"/>
      <c r="G69" s="330"/>
      <c r="H69" s="328"/>
      <c r="I69" s="329"/>
      <c r="J69" s="329"/>
      <c r="K69" s="322"/>
      <c r="L69" s="322"/>
      <c r="M69" s="323" t="str">
        <f>IFERROR(VLOOKUP(H69,Lijsten!$H$1:$I$100,2,0),"")</f>
        <v/>
      </c>
      <c r="N69" s="323" t="str">
        <f ca="1">IFERROR(IF(VLOOKUP(F69,Kostentypen!$A$3:$E$21,3,0)=0,"",IF(OR(F69="Arbeidskosten",F69="Vergoeding"),VLOOKUP(G69,Tb_KostenTypen[],2,0),VLOOKUP(F69,Kostentypen!$A$3:$E$20,3,0))),"")</f>
        <v/>
      </c>
      <c r="O69" s="324"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4"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3"/>
      <c r="R69" s="363"/>
      <c r="S69" s="325"/>
      <c r="T69" s="325"/>
      <c r="U69" s="317" t="str" cm="1">
        <f t="array" aca="1" ref="U69" ca="1">IFERROR(IF(AA69&lt;&gt;"ja",_xlfn.IFNA(_xlfn.IFS(AND(O69&lt;&gt;"",F69&lt;&gt;"",RIGHT($N69,6)="tarief",F69="Vergoeding"),SUM(O69)*FLOOR(SUM(Q69),0.0001),AND(O69&lt;&gt;"",F69&lt;&gt;"",RIGHT($N69,6)="tarief"),SUM(O69)*FLOOR(SUM(Q69),0.01),S69&gt;0,IF(F69&lt;&gt;"",FLOOR(SUM(S69),0.01),"")),""),""),"")</f>
        <v/>
      </c>
      <c r="V69" s="317" t="str" cm="1">
        <f t="array" aca="1" ref="V69" ca="1">IFERROR(IF(AA69&lt;&gt;"ja",_xlfn.IFNA(_xlfn.IFS(AND(P69&lt;&gt;"",R69&lt;&gt;"",RIGHT($N69,6)="tarief",F69="Vergoeding"),SUM(P69)*FLOOR(SUM(R69),0.0001),AND(P69&lt;&gt;"",R69&lt;&gt;"",RIGHT($N69,6)="tarief"),P69*FLOOR(R69,0.01),T69&gt;0,FLOOR(SUM(T69),0.01)),""),""),"")</f>
        <v/>
      </c>
      <c r="W69" s="317" t="str" cm="1">
        <f t="array" aca="1" ref="W69" ca="1">IFERROR(_xlfn.IFS(OR(F69="",LEFT(Methode_Keuze,4)="Geen",Methode_Keuze=""),"",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17" t="str" cm="1">
        <f t="array" aca="1" ref="X69" ca="1">IFERROR(_xlfn.IFS(OR(F69="",LEFT(Methode_Keuze,4)="Geen",Methode_Keuze=""),"",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26"/>
      <c r="Z69" s="319"/>
      <c r="AA69" s="32" t="str" cm="1">
        <f t="array" ref="AA69">IFERROR(IF(INDEX(SubsidieTabel!$AD$1:$AG$12,MATCH($F69,SubsidieTabel!$AD$1:$AD$12,0),IFERROR(MATCH(Methode_Keuze,SubsidieTabel!$AD$1:$AG$1,0),2))&lt;&gt;1=TRUE,"ja",""),"")</f>
        <v/>
      </c>
    </row>
    <row r="70" spans="1:27" x14ac:dyDescent="0.25">
      <c r="A70" s="320"/>
      <c r="B70" s="321" t="str">
        <f>IF(A70&lt;&gt;"",_xlfn.MAXIFS($B$1:B69,$A$1:A69,A70)+1,"")</f>
        <v/>
      </c>
      <c r="C70" s="299"/>
      <c r="D70" s="299"/>
      <c r="E70" s="299"/>
      <c r="F70" s="299"/>
      <c r="G70" s="330"/>
      <c r="H70" s="328"/>
      <c r="I70" s="329"/>
      <c r="J70" s="329"/>
      <c r="K70" s="322"/>
      <c r="L70" s="322"/>
      <c r="M70" s="323" t="str">
        <f>IFERROR(VLOOKUP(H70,Lijsten!$H$1:$I$100,2,0),"")</f>
        <v/>
      </c>
      <c r="N70" s="323" t="str">
        <f ca="1">IFERROR(IF(VLOOKUP(F70,Kostentypen!$A$3:$E$21,3,0)=0,"",IF(OR(F70="Arbeidskosten",F70="Vergoeding"),VLOOKUP(G70,Tb_KostenTypen[],2,0),VLOOKUP(F70,Kostentypen!$A$3:$E$20,3,0))),"")</f>
        <v/>
      </c>
      <c r="O70" s="324"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4"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3"/>
      <c r="R70" s="363"/>
      <c r="S70" s="325"/>
      <c r="T70" s="325"/>
      <c r="U70" s="317" t="str" cm="1">
        <f t="array" aca="1" ref="U70" ca="1">IFERROR(IF(AA70&lt;&gt;"ja",_xlfn.IFNA(_xlfn.IFS(AND(O70&lt;&gt;"",F70&lt;&gt;"",RIGHT($N70,6)="tarief",F70="Vergoeding"),SUM(O70)*FLOOR(SUM(Q70),0.0001),AND(O70&lt;&gt;"",F70&lt;&gt;"",RIGHT($N70,6)="tarief"),SUM(O70)*FLOOR(SUM(Q70),0.01),S70&gt;0,IF(F70&lt;&gt;"",FLOOR(SUM(S70),0.01),"")),""),""),"")</f>
        <v/>
      </c>
      <c r="V70" s="317" t="str" cm="1">
        <f t="array" aca="1" ref="V70" ca="1">IFERROR(IF(AA70&lt;&gt;"ja",_xlfn.IFNA(_xlfn.IFS(AND(P70&lt;&gt;"",R70&lt;&gt;"",RIGHT($N70,6)="tarief",F70="Vergoeding"),SUM(P70)*FLOOR(SUM(R70),0.0001),AND(P70&lt;&gt;"",R70&lt;&gt;"",RIGHT($N70,6)="tarief"),P70*FLOOR(R70,0.01),T70&gt;0,FLOOR(SUM(T70),0.01)),""),""),"")</f>
        <v/>
      </c>
      <c r="W70" s="317" t="str" cm="1">
        <f t="array" aca="1" ref="W70" ca="1">IFERROR(_xlfn.IFS(OR(F70="",LEFT(Methode_Keuze,4)="Geen",Methode_Keuze=""),"",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17" t="str" cm="1">
        <f t="array" aca="1" ref="X70" ca="1">IFERROR(_xlfn.IFS(OR(F70="",LEFT(Methode_Keuze,4)="Geen",Methode_Keuze=""),"",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26"/>
      <c r="Z70" s="319"/>
      <c r="AA70" s="32" t="str" cm="1">
        <f t="array" ref="AA70">IFERROR(IF(INDEX(SubsidieTabel!$AD$1:$AG$12,MATCH($F70,SubsidieTabel!$AD$1:$AD$12,0),IFERROR(MATCH(Methode_Keuze,SubsidieTabel!$AD$1:$AG$1,0),2))&lt;&gt;1=TRUE,"ja",""),"")</f>
        <v/>
      </c>
    </row>
    <row r="71" spans="1:27" x14ac:dyDescent="0.25">
      <c r="A71" s="320"/>
      <c r="B71" s="321" t="str">
        <f>IF(A71&lt;&gt;"",_xlfn.MAXIFS($B$1:B70,$A$1:A70,A71)+1,"")</f>
        <v/>
      </c>
      <c r="C71" s="299"/>
      <c r="D71" s="299"/>
      <c r="E71" s="299"/>
      <c r="F71" s="299"/>
      <c r="G71" s="330"/>
      <c r="H71" s="328"/>
      <c r="I71" s="329"/>
      <c r="J71" s="329"/>
      <c r="K71" s="322"/>
      <c r="L71" s="322"/>
      <c r="M71" s="323" t="str">
        <f>IFERROR(VLOOKUP(H71,Lijsten!$H$1:$I$100,2,0),"")</f>
        <v/>
      </c>
      <c r="N71" s="323" t="str">
        <f ca="1">IFERROR(IF(VLOOKUP(F71,Kostentypen!$A$3:$E$21,3,0)=0,"",IF(OR(F71="Arbeidskosten",F71="Vergoeding"),VLOOKUP(G71,Tb_KostenTypen[],2,0),VLOOKUP(F71,Kostentypen!$A$3:$E$20,3,0))),"")</f>
        <v/>
      </c>
      <c r="O71" s="324"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4"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3"/>
      <c r="R71" s="363"/>
      <c r="S71" s="325"/>
      <c r="T71" s="325"/>
      <c r="U71" s="317" t="str" cm="1">
        <f t="array" aca="1" ref="U71" ca="1">IFERROR(IF(AA71&lt;&gt;"ja",_xlfn.IFNA(_xlfn.IFS(AND(O71&lt;&gt;"",F71&lt;&gt;"",RIGHT($N71,6)="tarief",F71="Vergoeding"),SUM(O71)*FLOOR(SUM(Q71),0.0001),AND(O71&lt;&gt;"",F71&lt;&gt;"",RIGHT($N71,6)="tarief"),SUM(O71)*FLOOR(SUM(Q71),0.01),S71&gt;0,IF(F71&lt;&gt;"",FLOOR(SUM(S71),0.01),"")),""),""),"")</f>
        <v/>
      </c>
      <c r="V71" s="317" t="str" cm="1">
        <f t="array" aca="1" ref="V71" ca="1">IFERROR(IF(AA71&lt;&gt;"ja",_xlfn.IFNA(_xlfn.IFS(AND(P71&lt;&gt;"",R71&lt;&gt;"",RIGHT($N71,6)="tarief",F71="Vergoeding"),SUM(P71)*FLOOR(SUM(R71),0.0001),AND(P71&lt;&gt;"",R71&lt;&gt;"",RIGHT($N71,6)="tarief"),P71*FLOOR(R71,0.01),T71&gt;0,FLOOR(SUM(T71),0.01)),""),""),"")</f>
        <v/>
      </c>
      <c r="W71" s="317" t="str" cm="1">
        <f t="array" aca="1" ref="W71" ca="1">IFERROR(_xlfn.IFS(OR(F71="",LEFT(Methode_Keuze,4)="Geen",Methode_Keuze=""),"",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17" t="str" cm="1">
        <f t="array" aca="1" ref="X71" ca="1">IFERROR(_xlfn.IFS(OR(F71="",LEFT(Methode_Keuze,4)="Geen",Methode_Keuze=""),"",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26"/>
      <c r="Z71" s="319"/>
      <c r="AA71" s="32" t="str" cm="1">
        <f t="array" ref="AA71">IFERROR(IF(INDEX(SubsidieTabel!$AD$1:$AG$12,MATCH($F71,SubsidieTabel!$AD$1:$AD$12,0),IFERROR(MATCH(Methode_Keuze,SubsidieTabel!$AD$1:$AG$1,0),2))&lt;&gt;1=TRUE,"ja",""),"")</f>
        <v/>
      </c>
    </row>
    <row r="72" spans="1:27" x14ac:dyDescent="0.25">
      <c r="A72" s="320"/>
      <c r="B72" s="321" t="str">
        <f>IF(A72&lt;&gt;"",_xlfn.MAXIFS($B$1:B71,$A$1:A71,A72)+1,"")</f>
        <v/>
      </c>
      <c r="C72" s="299"/>
      <c r="D72" s="299"/>
      <c r="E72" s="299"/>
      <c r="F72" s="299"/>
      <c r="G72" s="330"/>
      <c r="H72" s="328"/>
      <c r="I72" s="329"/>
      <c r="J72" s="329"/>
      <c r="K72" s="322"/>
      <c r="L72" s="322"/>
      <c r="M72" s="323" t="str">
        <f>IFERROR(VLOOKUP(H72,Lijsten!$H$1:$I$100,2,0),"")</f>
        <v/>
      </c>
      <c r="N72" s="323" t="str">
        <f ca="1">IFERROR(IF(VLOOKUP(F72,Kostentypen!$A$3:$E$21,3,0)=0,"",IF(OR(F72="Arbeidskosten",F72="Vergoeding"),VLOOKUP(G72,Tb_KostenTypen[],2,0),VLOOKUP(F72,Kostentypen!$A$3:$E$20,3,0))),"")</f>
        <v/>
      </c>
      <c r="O72" s="324"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4"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3"/>
      <c r="R72" s="363"/>
      <c r="S72" s="325"/>
      <c r="T72" s="325"/>
      <c r="U72" s="317" t="str" cm="1">
        <f t="array" aca="1" ref="U72" ca="1">IFERROR(IF(AA72&lt;&gt;"ja",_xlfn.IFNA(_xlfn.IFS(AND(O72&lt;&gt;"",F72&lt;&gt;"",RIGHT($N72,6)="tarief",F72="Vergoeding"),SUM(O72)*FLOOR(SUM(Q72),0.0001),AND(O72&lt;&gt;"",F72&lt;&gt;"",RIGHT($N72,6)="tarief"),SUM(O72)*FLOOR(SUM(Q72),0.01),S72&gt;0,IF(F72&lt;&gt;"",FLOOR(SUM(S72),0.01),"")),""),""),"")</f>
        <v/>
      </c>
      <c r="V72" s="317" t="str" cm="1">
        <f t="array" aca="1" ref="V72" ca="1">IFERROR(IF(AA72&lt;&gt;"ja",_xlfn.IFNA(_xlfn.IFS(AND(P72&lt;&gt;"",R72&lt;&gt;"",RIGHT($N72,6)="tarief",F72="Vergoeding"),SUM(P72)*FLOOR(SUM(R72),0.0001),AND(P72&lt;&gt;"",R72&lt;&gt;"",RIGHT($N72,6)="tarief"),P72*FLOOR(R72,0.01),T72&gt;0,FLOOR(SUM(T72),0.01)),""),""),"")</f>
        <v/>
      </c>
      <c r="W72" s="317" t="str" cm="1">
        <f t="array" aca="1" ref="W72" ca="1">IFERROR(_xlfn.IFS(OR(F72="",LEFT(Methode_Keuze,4)="Geen",Methode_Keuze=""),"",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17" t="str" cm="1">
        <f t="array" aca="1" ref="X72" ca="1">IFERROR(_xlfn.IFS(OR(F72="",LEFT(Methode_Keuze,4)="Geen",Methode_Keuze=""),"",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26"/>
      <c r="Z72" s="319"/>
      <c r="AA72" s="32" t="str" cm="1">
        <f t="array" ref="AA72">IFERROR(IF(INDEX(SubsidieTabel!$AD$1:$AG$12,MATCH($F72,SubsidieTabel!$AD$1:$AD$12,0),IFERROR(MATCH(Methode_Keuze,SubsidieTabel!$AD$1:$AG$1,0),2))&lt;&gt;1=TRUE,"ja",""),"")</f>
        <v/>
      </c>
    </row>
    <row r="73" spans="1:27" x14ac:dyDescent="0.25">
      <c r="A73" s="320"/>
      <c r="B73" s="321" t="str">
        <f>IF(A73&lt;&gt;"",_xlfn.MAXIFS($B$1:B72,$A$1:A72,A73)+1,"")</f>
        <v/>
      </c>
      <c r="C73" s="299"/>
      <c r="D73" s="299"/>
      <c r="E73" s="299"/>
      <c r="F73" s="299"/>
      <c r="G73" s="330"/>
      <c r="H73" s="328"/>
      <c r="I73" s="329"/>
      <c r="J73" s="329"/>
      <c r="K73" s="322"/>
      <c r="L73" s="322"/>
      <c r="M73" s="323" t="str">
        <f>IFERROR(VLOOKUP(H73,Lijsten!$H$1:$I$100,2,0),"")</f>
        <v/>
      </c>
      <c r="N73" s="323" t="str">
        <f ca="1">IFERROR(IF(VLOOKUP(F73,Kostentypen!$A$3:$E$21,3,0)=0,"",IF(OR(F73="Arbeidskosten",F73="Vergoeding"),VLOOKUP(G73,Tb_KostenTypen[],2,0),VLOOKUP(F73,Kostentypen!$A$3:$E$20,3,0))),"")</f>
        <v/>
      </c>
      <c r="O73" s="324"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4"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3"/>
      <c r="R73" s="363"/>
      <c r="S73" s="325"/>
      <c r="T73" s="325"/>
      <c r="U73" s="317" t="str" cm="1">
        <f t="array" aca="1" ref="U73" ca="1">IFERROR(IF(AA73&lt;&gt;"ja",_xlfn.IFNA(_xlfn.IFS(AND(O73&lt;&gt;"",F73&lt;&gt;"",RIGHT($N73,6)="tarief",F73="Vergoeding"),SUM(O73)*FLOOR(SUM(Q73),0.0001),AND(O73&lt;&gt;"",F73&lt;&gt;"",RIGHT($N73,6)="tarief"),SUM(O73)*FLOOR(SUM(Q73),0.01),S73&gt;0,IF(F73&lt;&gt;"",FLOOR(SUM(S73),0.01),"")),""),""),"")</f>
        <v/>
      </c>
      <c r="V73" s="317" t="str" cm="1">
        <f t="array" aca="1" ref="V73" ca="1">IFERROR(IF(AA73&lt;&gt;"ja",_xlfn.IFNA(_xlfn.IFS(AND(P73&lt;&gt;"",R73&lt;&gt;"",RIGHT($N73,6)="tarief",F73="Vergoeding"),SUM(P73)*FLOOR(SUM(R73),0.0001),AND(P73&lt;&gt;"",R73&lt;&gt;"",RIGHT($N73,6)="tarief"),P73*FLOOR(R73,0.01),T73&gt;0,FLOOR(SUM(T73),0.01)),""),""),"")</f>
        <v/>
      </c>
      <c r="W73" s="317" t="str" cm="1">
        <f t="array" aca="1" ref="W73" ca="1">IFERROR(_xlfn.IFS(OR(F73="",LEFT(Methode_Keuze,4)="Geen",Methode_Keuze=""),"",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17" t="str" cm="1">
        <f t="array" aca="1" ref="X73" ca="1">IFERROR(_xlfn.IFS(OR(F73="",LEFT(Methode_Keuze,4)="Geen",Methode_Keuze=""),"",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26"/>
      <c r="Z73" s="319"/>
      <c r="AA73" s="32" t="str" cm="1">
        <f t="array" ref="AA73">IFERROR(IF(INDEX(SubsidieTabel!$AD$1:$AG$12,MATCH($F73,SubsidieTabel!$AD$1:$AD$12,0),IFERROR(MATCH(Methode_Keuze,SubsidieTabel!$AD$1:$AG$1,0),2))&lt;&gt;1=TRUE,"ja",""),"")</f>
        <v/>
      </c>
    </row>
    <row r="74" spans="1:27" x14ac:dyDescent="0.25">
      <c r="A74" s="320"/>
      <c r="B74" s="321" t="str">
        <f>IF(A74&lt;&gt;"",_xlfn.MAXIFS($B$1:B73,$A$1:A73,A74)+1,"")</f>
        <v/>
      </c>
      <c r="C74" s="299"/>
      <c r="D74" s="299"/>
      <c r="E74" s="299"/>
      <c r="F74" s="299"/>
      <c r="G74" s="330"/>
      <c r="H74" s="328"/>
      <c r="I74" s="329"/>
      <c r="J74" s="329"/>
      <c r="K74" s="322"/>
      <c r="L74" s="322"/>
      <c r="M74" s="323" t="str">
        <f>IFERROR(VLOOKUP(H74,Lijsten!$H$1:$I$100,2,0),"")</f>
        <v/>
      </c>
      <c r="N74" s="323" t="str">
        <f ca="1">IFERROR(IF(VLOOKUP(F74,Kostentypen!$A$3:$E$21,3,0)=0,"",IF(OR(F74="Arbeidskosten",F74="Vergoeding"),VLOOKUP(G74,Tb_KostenTypen[],2,0),VLOOKUP(F74,Kostentypen!$A$3:$E$20,3,0))),"")</f>
        <v/>
      </c>
      <c r="O74" s="324"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4"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3"/>
      <c r="R74" s="363"/>
      <c r="S74" s="325"/>
      <c r="T74" s="325"/>
      <c r="U74" s="317" t="str" cm="1">
        <f t="array" aca="1" ref="U74" ca="1">IFERROR(IF(AA74&lt;&gt;"ja",_xlfn.IFNA(_xlfn.IFS(AND(O74&lt;&gt;"",F74&lt;&gt;"",RIGHT($N74,6)="tarief",F74="Vergoeding"),SUM(O74)*FLOOR(SUM(Q74),0.0001),AND(O74&lt;&gt;"",F74&lt;&gt;"",RIGHT($N74,6)="tarief"),SUM(O74)*FLOOR(SUM(Q74),0.01),S74&gt;0,IF(F74&lt;&gt;"",FLOOR(SUM(S74),0.01),"")),""),""),"")</f>
        <v/>
      </c>
      <c r="V74" s="317" t="str" cm="1">
        <f t="array" aca="1" ref="V74" ca="1">IFERROR(IF(AA74&lt;&gt;"ja",_xlfn.IFNA(_xlfn.IFS(AND(P74&lt;&gt;"",R74&lt;&gt;"",RIGHT($N74,6)="tarief",F74="Vergoeding"),SUM(P74)*FLOOR(SUM(R74),0.0001),AND(P74&lt;&gt;"",R74&lt;&gt;"",RIGHT($N74,6)="tarief"),P74*FLOOR(R74,0.01),T74&gt;0,FLOOR(SUM(T74),0.01)),""),""),"")</f>
        <v/>
      </c>
      <c r="W74" s="317" t="str" cm="1">
        <f t="array" aca="1" ref="W74" ca="1">IFERROR(_xlfn.IFS(OR(F74="",LEFT(Methode_Keuze,4)="Geen",Methode_Keuze=""),"",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17" t="str" cm="1">
        <f t="array" aca="1" ref="X74" ca="1">IFERROR(_xlfn.IFS(OR(F74="",LEFT(Methode_Keuze,4)="Geen",Methode_Keuze=""),"",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26"/>
      <c r="Z74" s="319"/>
      <c r="AA74" s="32" t="str" cm="1">
        <f t="array" ref="AA74">IFERROR(IF(INDEX(SubsidieTabel!$AD$1:$AG$12,MATCH($F74,SubsidieTabel!$AD$1:$AD$12,0),IFERROR(MATCH(Methode_Keuze,SubsidieTabel!$AD$1:$AG$1,0),2))&lt;&gt;1=TRUE,"ja",""),"")</f>
        <v/>
      </c>
    </row>
    <row r="75" spans="1:27" x14ac:dyDescent="0.25">
      <c r="A75" s="320"/>
      <c r="B75" s="321" t="str">
        <f>IF(A75&lt;&gt;"",_xlfn.MAXIFS($B$1:B74,$A$1:A74,A75)+1,"")</f>
        <v/>
      </c>
      <c r="C75" s="299"/>
      <c r="D75" s="299"/>
      <c r="E75" s="299"/>
      <c r="F75" s="299"/>
      <c r="G75" s="330"/>
      <c r="H75" s="328"/>
      <c r="I75" s="329"/>
      <c r="J75" s="329"/>
      <c r="K75" s="322"/>
      <c r="L75" s="322"/>
      <c r="M75" s="323" t="str">
        <f>IFERROR(VLOOKUP(H75,Lijsten!$H$1:$I$100,2,0),"")</f>
        <v/>
      </c>
      <c r="N75" s="323" t="str">
        <f ca="1">IFERROR(IF(VLOOKUP(F75,Kostentypen!$A$3:$E$21,3,0)=0,"",IF(OR(F75="Arbeidskosten",F75="Vergoeding"),VLOOKUP(G75,Tb_KostenTypen[],2,0),VLOOKUP(F75,Kostentypen!$A$3:$E$20,3,0))),"")</f>
        <v/>
      </c>
      <c r="O75" s="324"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4"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3"/>
      <c r="R75" s="363"/>
      <c r="S75" s="325"/>
      <c r="T75" s="325"/>
      <c r="U75" s="317" t="str" cm="1">
        <f t="array" aca="1" ref="U75" ca="1">IFERROR(IF(AA75&lt;&gt;"ja",_xlfn.IFNA(_xlfn.IFS(AND(O75&lt;&gt;"",F75&lt;&gt;"",RIGHT($N75,6)="tarief",F75="Vergoeding"),SUM(O75)*FLOOR(SUM(Q75),0.0001),AND(O75&lt;&gt;"",F75&lt;&gt;"",RIGHT($N75,6)="tarief"),SUM(O75)*FLOOR(SUM(Q75),0.01),S75&gt;0,IF(F75&lt;&gt;"",FLOOR(SUM(S75),0.01),"")),""),""),"")</f>
        <v/>
      </c>
      <c r="V75" s="317" t="str" cm="1">
        <f t="array" aca="1" ref="V75" ca="1">IFERROR(IF(AA75&lt;&gt;"ja",_xlfn.IFNA(_xlfn.IFS(AND(P75&lt;&gt;"",R75&lt;&gt;"",RIGHT($N75,6)="tarief",F75="Vergoeding"),SUM(P75)*FLOOR(SUM(R75),0.0001),AND(P75&lt;&gt;"",R75&lt;&gt;"",RIGHT($N75,6)="tarief"),P75*FLOOR(R75,0.01),T75&gt;0,FLOOR(SUM(T75),0.01)),""),""),"")</f>
        <v/>
      </c>
      <c r="W75" s="317" t="str" cm="1">
        <f t="array" aca="1" ref="W75" ca="1">IFERROR(_xlfn.IFS(OR(F75="",LEFT(Methode_Keuze,4)="Geen",Methode_Keuze=""),"",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17" t="str" cm="1">
        <f t="array" aca="1" ref="X75" ca="1">IFERROR(_xlfn.IFS(OR(F75="",LEFT(Methode_Keuze,4)="Geen",Methode_Keuze=""),"",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26"/>
      <c r="Z75" s="319"/>
      <c r="AA75" s="32" t="str" cm="1">
        <f t="array" ref="AA75">IFERROR(IF(INDEX(SubsidieTabel!$AD$1:$AG$12,MATCH($F75,SubsidieTabel!$AD$1:$AD$12,0),IFERROR(MATCH(Methode_Keuze,SubsidieTabel!$AD$1:$AG$1,0),2))&lt;&gt;1=TRUE,"ja",""),"")</f>
        <v/>
      </c>
    </row>
    <row r="76" spans="1:27" x14ac:dyDescent="0.25">
      <c r="A76" s="320"/>
      <c r="B76" s="321" t="str">
        <f>IF(A76&lt;&gt;"",_xlfn.MAXIFS($B$1:B75,$A$1:A75,A76)+1,"")</f>
        <v/>
      </c>
      <c r="C76" s="299"/>
      <c r="D76" s="299"/>
      <c r="E76" s="299"/>
      <c r="F76" s="299"/>
      <c r="G76" s="330"/>
      <c r="H76" s="328"/>
      <c r="I76" s="329"/>
      <c r="J76" s="329"/>
      <c r="K76" s="322"/>
      <c r="L76" s="322"/>
      <c r="M76" s="323" t="str">
        <f>IFERROR(VLOOKUP(H76,Lijsten!$H$1:$I$100,2,0),"")</f>
        <v/>
      </c>
      <c r="N76" s="323" t="str">
        <f ca="1">IFERROR(IF(VLOOKUP(F76,Kostentypen!$A$3:$E$21,3,0)=0,"",IF(OR(F76="Arbeidskosten",F76="Vergoeding"),VLOOKUP(G76,Tb_KostenTypen[],2,0),VLOOKUP(F76,Kostentypen!$A$3:$E$20,3,0))),"")</f>
        <v/>
      </c>
      <c r="O76" s="324"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4"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3"/>
      <c r="R76" s="363"/>
      <c r="S76" s="325"/>
      <c r="T76" s="325"/>
      <c r="U76" s="317" t="str" cm="1">
        <f t="array" aca="1" ref="U76" ca="1">IFERROR(IF(AA76&lt;&gt;"ja",_xlfn.IFNA(_xlfn.IFS(AND(O76&lt;&gt;"",F76&lt;&gt;"",RIGHT($N76,6)="tarief",F76="Vergoeding"),SUM(O76)*FLOOR(SUM(Q76),0.0001),AND(O76&lt;&gt;"",F76&lt;&gt;"",RIGHT($N76,6)="tarief"),SUM(O76)*FLOOR(SUM(Q76),0.01),S76&gt;0,IF(F76&lt;&gt;"",FLOOR(SUM(S76),0.01),"")),""),""),"")</f>
        <v/>
      </c>
      <c r="V76" s="317" t="str" cm="1">
        <f t="array" aca="1" ref="V76" ca="1">IFERROR(IF(AA76&lt;&gt;"ja",_xlfn.IFNA(_xlfn.IFS(AND(P76&lt;&gt;"",R76&lt;&gt;"",RIGHT($N76,6)="tarief",F76="Vergoeding"),SUM(P76)*FLOOR(SUM(R76),0.0001),AND(P76&lt;&gt;"",R76&lt;&gt;"",RIGHT($N76,6)="tarief"),P76*FLOOR(R76,0.01),T76&gt;0,FLOOR(SUM(T76),0.01)),""),""),"")</f>
        <v/>
      </c>
      <c r="W76" s="317" t="str" cm="1">
        <f t="array" aca="1" ref="W76" ca="1">IFERROR(_xlfn.IFS(OR(F76="",LEFT(Methode_Keuze,4)="Geen",Methode_Keuze=""),"",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17" t="str" cm="1">
        <f t="array" aca="1" ref="X76" ca="1">IFERROR(_xlfn.IFS(OR(F76="",LEFT(Methode_Keuze,4)="Geen",Methode_Keuze=""),"",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26"/>
      <c r="Z76" s="319"/>
      <c r="AA76" s="32" t="str" cm="1">
        <f t="array" ref="AA76">IFERROR(IF(INDEX(SubsidieTabel!$AD$1:$AG$12,MATCH($F76,SubsidieTabel!$AD$1:$AD$12,0),IFERROR(MATCH(Methode_Keuze,SubsidieTabel!$AD$1:$AG$1,0),2))&lt;&gt;1=TRUE,"ja",""),"")</f>
        <v/>
      </c>
    </row>
    <row r="77" spans="1:27" x14ac:dyDescent="0.25">
      <c r="A77" s="320"/>
      <c r="B77" s="321" t="str">
        <f>IF(A77&lt;&gt;"",_xlfn.MAXIFS($B$1:B76,$A$1:A76,A77)+1,"")</f>
        <v/>
      </c>
      <c r="C77" s="299"/>
      <c r="D77" s="299"/>
      <c r="E77" s="299"/>
      <c r="F77" s="299"/>
      <c r="G77" s="330"/>
      <c r="H77" s="328"/>
      <c r="I77" s="329"/>
      <c r="J77" s="329"/>
      <c r="K77" s="322"/>
      <c r="L77" s="322"/>
      <c r="M77" s="323" t="str">
        <f>IFERROR(VLOOKUP(H77,Lijsten!$H$1:$I$100,2,0),"")</f>
        <v/>
      </c>
      <c r="N77" s="323" t="str">
        <f ca="1">IFERROR(IF(VLOOKUP(F77,Kostentypen!$A$3:$E$21,3,0)=0,"",IF(OR(F77="Arbeidskosten",F77="Vergoeding"),VLOOKUP(G77,Tb_KostenTypen[],2,0),VLOOKUP(F77,Kostentypen!$A$3:$E$20,3,0))),"")</f>
        <v/>
      </c>
      <c r="O77" s="324"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4"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3"/>
      <c r="R77" s="363"/>
      <c r="S77" s="325"/>
      <c r="T77" s="325"/>
      <c r="U77" s="317" t="str" cm="1">
        <f t="array" aca="1" ref="U77" ca="1">IFERROR(IF(AA77&lt;&gt;"ja",_xlfn.IFNA(_xlfn.IFS(AND(O77&lt;&gt;"",F77&lt;&gt;"",RIGHT($N77,6)="tarief",F77="Vergoeding"),SUM(O77)*FLOOR(SUM(Q77),0.0001),AND(O77&lt;&gt;"",F77&lt;&gt;"",RIGHT($N77,6)="tarief"),SUM(O77)*FLOOR(SUM(Q77),0.01),S77&gt;0,IF(F77&lt;&gt;"",FLOOR(SUM(S77),0.01),"")),""),""),"")</f>
        <v/>
      </c>
      <c r="V77" s="317" t="str" cm="1">
        <f t="array" aca="1" ref="V77" ca="1">IFERROR(IF(AA77&lt;&gt;"ja",_xlfn.IFNA(_xlfn.IFS(AND(P77&lt;&gt;"",R77&lt;&gt;"",RIGHT($N77,6)="tarief",F77="Vergoeding"),SUM(P77)*FLOOR(SUM(R77),0.0001),AND(P77&lt;&gt;"",R77&lt;&gt;"",RIGHT($N77,6)="tarief"),P77*FLOOR(R77,0.01),T77&gt;0,FLOOR(SUM(T77),0.01)),""),""),"")</f>
        <v/>
      </c>
      <c r="W77" s="317" t="str" cm="1">
        <f t="array" aca="1" ref="W77" ca="1">IFERROR(_xlfn.IFS(OR(F77="",LEFT(Methode_Keuze,4)="Geen",Methode_Keuze=""),"",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17" t="str" cm="1">
        <f t="array" aca="1" ref="X77" ca="1">IFERROR(_xlfn.IFS(OR(F77="",LEFT(Methode_Keuze,4)="Geen",Methode_Keuze=""),"",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26"/>
      <c r="Z77" s="319"/>
      <c r="AA77" s="32" t="str" cm="1">
        <f t="array" ref="AA77">IFERROR(IF(INDEX(SubsidieTabel!$AD$1:$AG$12,MATCH($F77,SubsidieTabel!$AD$1:$AD$12,0),IFERROR(MATCH(Methode_Keuze,SubsidieTabel!$AD$1:$AG$1,0),2))&lt;&gt;1=TRUE,"ja",""),"")</f>
        <v/>
      </c>
    </row>
    <row r="78" spans="1:27" x14ac:dyDescent="0.25">
      <c r="A78" s="320"/>
      <c r="B78" s="321" t="str">
        <f>IF(A78&lt;&gt;"",_xlfn.MAXIFS($B$1:B77,$A$1:A77,A78)+1,"")</f>
        <v/>
      </c>
      <c r="C78" s="299"/>
      <c r="D78" s="299"/>
      <c r="E78" s="299"/>
      <c r="F78" s="299"/>
      <c r="G78" s="330"/>
      <c r="H78" s="328"/>
      <c r="I78" s="329"/>
      <c r="J78" s="329"/>
      <c r="K78" s="322"/>
      <c r="L78" s="322"/>
      <c r="M78" s="323" t="str">
        <f>IFERROR(VLOOKUP(H78,Lijsten!$H$1:$I$100,2,0),"")</f>
        <v/>
      </c>
      <c r="N78" s="323" t="str">
        <f ca="1">IFERROR(IF(VLOOKUP(F78,Kostentypen!$A$3:$E$21,3,0)=0,"",IF(OR(F78="Arbeidskosten",F78="Vergoeding"),VLOOKUP(G78,Tb_KostenTypen[],2,0),VLOOKUP(F78,Kostentypen!$A$3:$E$20,3,0))),"")</f>
        <v/>
      </c>
      <c r="O78" s="324"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4"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3"/>
      <c r="R78" s="363"/>
      <c r="S78" s="325"/>
      <c r="T78" s="325"/>
      <c r="U78" s="317" t="str" cm="1">
        <f t="array" aca="1" ref="U78" ca="1">IFERROR(IF(AA78&lt;&gt;"ja",_xlfn.IFNA(_xlfn.IFS(AND(O78&lt;&gt;"",F78&lt;&gt;"",RIGHT($N78,6)="tarief",F78="Vergoeding"),SUM(O78)*FLOOR(SUM(Q78),0.0001),AND(O78&lt;&gt;"",F78&lt;&gt;"",RIGHT($N78,6)="tarief"),SUM(O78)*FLOOR(SUM(Q78),0.01),S78&gt;0,IF(F78&lt;&gt;"",FLOOR(SUM(S78),0.01),"")),""),""),"")</f>
        <v/>
      </c>
      <c r="V78" s="317" t="str" cm="1">
        <f t="array" aca="1" ref="V78" ca="1">IFERROR(IF(AA78&lt;&gt;"ja",_xlfn.IFNA(_xlfn.IFS(AND(P78&lt;&gt;"",R78&lt;&gt;"",RIGHT($N78,6)="tarief",F78="Vergoeding"),SUM(P78)*FLOOR(SUM(R78),0.0001),AND(P78&lt;&gt;"",R78&lt;&gt;"",RIGHT($N78,6)="tarief"),P78*FLOOR(R78,0.01),T78&gt;0,FLOOR(SUM(T78),0.01)),""),""),"")</f>
        <v/>
      </c>
      <c r="W78" s="317" t="str" cm="1">
        <f t="array" aca="1" ref="W78" ca="1">IFERROR(_xlfn.IFS(OR(F78="",LEFT(Methode_Keuze,4)="Geen",Methode_Keuze=""),"",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17" t="str" cm="1">
        <f t="array" aca="1" ref="X78" ca="1">IFERROR(_xlfn.IFS(OR(F78="",LEFT(Methode_Keuze,4)="Geen",Methode_Keuze=""),"",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26"/>
      <c r="Z78" s="319"/>
      <c r="AA78" s="32" t="str" cm="1">
        <f t="array" ref="AA78">IFERROR(IF(INDEX(SubsidieTabel!$AD$1:$AG$12,MATCH($F78,SubsidieTabel!$AD$1:$AD$12,0),IFERROR(MATCH(Methode_Keuze,SubsidieTabel!$AD$1:$AG$1,0),2))&lt;&gt;1=TRUE,"ja",""),"")</f>
        <v/>
      </c>
    </row>
    <row r="79" spans="1:27" x14ac:dyDescent="0.25">
      <c r="A79" s="320"/>
      <c r="B79" s="321" t="str">
        <f>IF(A79&lt;&gt;"",_xlfn.MAXIFS($B$1:B78,$A$1:A78,A79)+1,"")</f>
        <v/>
      </c>
      <c r="C79" s="299"/>
      <c r="D79" s="299"/>
      <c r="E79" s="299"/>
      <c r="F79" s="299"/>
      <c r="G79" s="330"/>
      <c r="H79" s="328"/>
      <c r="I79" s="329"/>
      <c r="J79" s="329"/>
      <c r="K79" s="322"/>
      <c r="L79" s="322"/>
      <c r="M79" s="323" t="str">
        <f>IFERROR(VLOOKUP(H79,Lijsten!$H$1:$I$100,2,0),"")</f>
        <v/>
      </c>
      <c r="N79" s="323" t="str">
        <f ca="1">IFERROR(IF(VLOOKUP(F79,Kostentypen!$A$3:$E$21,3,0)=0,"",IF(OR(F79="Arbeidskosten",F79="Vergoeding"),VLOOKUP(G79,Tb_KostenTypen[],2,0),VLOOKUP(F79,Kostentypen!$A$3:$E$20,3,0))),"")</f>
        <v/>
      </c>
      <c r="O79" s="324"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4"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3"/>
      <c r="R79" s="363"/>
      <c r="S79" s="325"/>
      <c r="T79" s="325"/>
      <c r="U79" s="317" t="str" cm="1">
        <f t="array" aca="1" ref="U79" ca="1">IFERROR(IF(AA79&lt;&gt;"ja",_xlfn.IFNA(_xlfn.IFS(AND(O79&lt;&gt;"",F79&lt;&gt;"",RIGHT($N79,6)="tarief",F79="Vergoeding"),SUM(O79)*FLOOR(SUM(Q79),0.0001),AND(O79&lt;&gt;"",F79&lt;&gt;"",RIGHT($N79,6)="tarief"),SUM(O79)*FLOOR(SUM(Q79),0.01),S79&gt;0,IF(F79&lt;&gt;"",FLOOR(SUM(S79),0.01),"")),""),""),"")</f>
        <v/>
      </c>
      <c r="V79" s="317" t="str" cm="1">
        <f t="array" aca="1" ref="V79" ca="1">IFERROR(IF(AA79&lt;&gt;"ja",_xlfn.IFNA(_xlfn.IFS(AND(P79&lt;&gt;"",R79&lt;&gt;"",RIGHT($N79,6)="tarief",F79="Vergoeding"),SUM(P79)*FLOOR(SUM(R79),0.0001),AND(P79&lt;&gt;"",R79&lt;&gt;"",RIGHT($N79,6)="tarief"),P79*FLOOR(R79,0.01),T79&gt;0,FLOOR(SUM(T79),0.01)),""),""),"")</f>
        <v/>
      </c>
      <c r="W79" s="317" t="str" cm="1">
        <f t="array" aca="1" ref="W79" ca="1">IFERROR(_xlfn.IFS(OR(F79="",LEFT(Methode_Keuze,4)="Geen",Methode_Keuze=""),"",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17" t="str" cm="1">
        <f t="array" aca="1" ref="X79" ca="1">IFERROR(_xlfn.IFS(OR(F79="",LEFT(Methode_Keuze,4)="Geen",Methode_Keuze=""),"",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26"/>
      <c r="Z79" s="319"/>
      <c r="AA79" s="32" t="str" cm="1">
        <f t="array" ref="AA79">IFERROR(IF(INDEX(SubsidieTabel!$AD$1:$AG$12,MATCH($F79,SubsidieTabel!$AD$1:$AD$12,0),IFERROR(MATCH(Methode_Keuze,SubsidieTabel!$AD$1:$AG$1,0),2))&lt;&gt;1=TRUE,"ja",""),"")</f>
        <v/>
      </c>
    </row>
    <row r="80" spans="1:27" x14ac:dyDescent="0.25">
      <c r="A80" s="320"/>
      <c r="B80" s="321" t="str">
        <f>IF(A80&lt;&gt;"",_xlfn.MAXIFS($B$1:B79,$A$1:A79,A80)+1,"")</f>
        <v/>
      </c>
      <c r="C80" s="299"/>
      <c r="D80" s="299"/>
      <c r="E80" s="299"/>
      <c r="F80" s="299"/>
      <c r="G80" s="330"/>
      <c r="H80" s="328"/>
      <c r="I80" s="329"/>
      <c r="J80" s="329"/>
      <c r="K80" s="322"/>
      <c r="L80" s="322"/>
      <c r="M80" s="323" t="str">
        <f>IFERROR(VLOOKUP(H80,Lijsten!$H$1:$I$100,2,0),"")</f>
        <v/>
      </c>
      <c r="N80" s="323" t="str">
        <f ca="1">IFERROR(IF(VLOOKUP(F80,Kostentypen!$A$3:$E$21,3,0)=0,"",IF(OR(F80="Arbeidskosten",F80="Vergoeding"),VLOOKUP(G80,Tb_KostenTypen[],2,0),VLOOKUP(F80,Kostentypen!$A$3:$E$20,3,0))),"")</f>
        <v/>
      </c>
      <c r="O80" s="324"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4"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3"/>
      <c r="R80" s="363"/>
      <c r="S80" s="325"/>
      <c r="T80" s="325"/>
      <c r="U80" s="317" t="str" cm="1">
        <f t="array" aca="1" ref="U80" ca="1">IFERROR(IF(AA80&lt;&gt;"ja",_xlfn.IFNA(_xlfn.IFS(AND(O80&lt;&gt;"",F80&lt;&gt;"",RIGHT($N80,6)="tarief",F80="Vergoeding"),SUM(O80)*FLOOR(SUM(Q80),0.0001),AND(O80&lt;&gt;"",F80&lt;&gt;"",RIGHT($N80,6)="tarief"),SUM(O80)*FLOOR(SUM(Q80),0.01),S80&gt;0,IF(F80&lt;&gt;"",FLOOR(SUM(S80),0.01),"")),""),""),"")</f>
        <v/>
      </c>
      <c r="V80" s="317" t="str" cm="1">
        <f t="array" aca="1" ref="V80" ca="1">IFERROR(IF(AA80&lt;&gt;"ja",_xlfn.IFNA(_xlfn.IFS(AND(P80&lt;&gt;"",R80&lt;&gt;"",RIGHT($N80,6)="tarief",F80="Vergoeding"),SUM(P80)*FLOOR(SUM(R80),0.0001),AND(P80&lt;&gt;"",R80&lt;&gt;"",RIGHT($N80,6)="tarief"),P80*FLOOR(R80,0.01),T80&gt;0,FLOOR(SUM(T80),0.01)),""),""),"")</f>
        <v/>
      </c>
      <c r="W80" s="317" t="str" cm="1">
        <f t="array" aca="1" ref="W80" ca="1">IFERROR(_xlfn.IFS(OR(F80="",LEFT(Methode_Keuze,4)="Geen",Methode_Keuze=""),"",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17" t="str" cm="1">
        <f t="array" aca="1" ref="X80" ca="1">IFERROR(_xlfn.IFS(OR(F80="",LEFT(Methode_Keuze,4)="Geen",Methode_Keuze=""),"",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26"/>
      <c r="Z80" s="319"/>
      <c r="AA80" s="32" t="str" cm="1">
        <f t="array" ref="AA80">IFERROR(IF(INDEX(SubsidieTabel!$AD$1:$AG$12,MATCH($F80,SubsidieTabel!$AD$1:$AD$12,0),IFERROR(MATCH(Methode_Keuze,SubsidieTabel!$AD$1:$AG$1,0),2))&lt;&gt;1=TRUE,"ja",""),"")</f>
        <v/>
      </c>
    </row>
    <row r="81" spans="1:27" x14ac:dyDescent="0.25">
      <c r="A81" s="320"/>
      <c r="B81" s="321" t="str">
        <f>IF(A81&lt;&gt;"",_xlfn.MAXIFS($B$1:B80,$A$1:A80,A81)+1,"")</f>
        <v/>
      </c>
      <c r="C81" s="299"/>
      <c r="D81" s="299"/>
      <c r="E81" s="299"/>
      <c r="F81" s="299"/>
      <c r="G81" s="330"/>
      <c r="H81" s="328"/>
      <c r="I81" s="329"/>
      <c r="J81" s="329"/>
      <c r="K81" s="322"/>
      <c r="L81" s="322"/>
      <c r="M81" s="323" t="str">
        <f>IFERROR(VLOOKUP(H81,Lijsten!$H$1:$I$100,2,0),"")</f>
        <v/>
      </c>
      <c r="N81" s="323" t="str">
        <f ca="1">IFERROR(IF(VLOOKUP(F81,Kostentypen!$A$3:$E$21,3,0)=0,"",IF(OR(F81="Arbeidskosten",F81="Vergoeding"),VLOOKUP(G81,Tb_KostenTypen[],2,0),VLOOKUP(F81,Kostentypen!$A$3:$E$20,3,0))),"")</f>
        <v/>
      </c>
      <c r="O81" s="324"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4"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3"/>
      <c r="R81" s="363"/>
      <c r="S81" s="325"/>
      <c r="T81" s="325"/>
      <c r="U81" s="317" t="str" cm="1">
        <f t="array" aca="1" ref="U81" ca="1">IFERROR(IF(AA81&lt;&gt;"ja",_xlfn.IFNA(_xlfn.IFS(AND(O81&lt;&gt;"",F81&lt;&gt;"",RIGHT($N81,6)="tarief",F81="Vergoeding"),SUM(O81)*FLOOR(SUM(Q81),0.0001),AND(O81&lt;&gt;"",F81&lt;&gt;"",RIGHT($N81,6)="tarief"),SUM(O81)*FLOOR(SUM(Q81),0.01),S81&gt;0,IF(F81&lt;&gt;"",FLOOR(SUM(S81),0.01),"")),""),""),"")</f>
        <v/>
      </c>
      <c r="V81" s="317" t="str" cm="1">
        <f t="array" aca="1" ref="V81" ca="1">IFERROR(IF(AA81&lt;&gt;"ja",_xlfn.IFNA(_xlfn.IFS(AND(P81&lt;&gt;"",R81&lt;&gt;"",RIGHT($N81,6)="tarief",F81="Vergoeding"),SUM(P81)*FLOOR(SUM(R81),0.0001),AND(P81&lt;&gt;"",R81&lt;&gt;"",RIGHT($N81,6)="tarief"),P81*FLOOR(R81,0.01),T81&gt;0,FLOOR(SUM(T81),0.01)),""),""),"")</f>
        <v/>
      </c>
      <c r="W81" s="317" t="str" cm="1">
        <f t="array" aca="1" ref="W81" ca="1">IFERROR(_xlfn.IFS(OR(F81="",LEFT(Methode_Keuze,4)="Geen",Methode_Keuze=""),"",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17" t="str" cm="1">
        <f t="array" aca="1" ref="X81" ca="1">IFERROR(_xlfn.IFS(OR(F81="",LEFT(Methode_Keuze,4)="Geen",Methode_Keuze=""),"",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26"/>
      <c r="Z81" s="319"/>
      <c r="AA81" s="32" t="str" cm="1">
        <f t="array" ref="AA81">IFERROR(IF(INDEX(SubsidieTabel!$AD$1:$AG$12,MATCH($F81,SubsidieTabel!$AD$1:$AD$12,0),IFERROR(MATCH(Methode_Keuze,SubsidieTabel!$AD$1:$AG$1,0),2))&lt;&gt;1=TRUE,"ja",""),"")</f>
        <v/>
      </c>
    </row>
    <row r="82" spans="1:27" x14ac:dyDescent="0.25">
      <c r="A82" s="320"/>
      <c r="B82" s="321" t="str">
        <f>IF(A82&lt;&gt;"",_xlfn.MAXIFS($B$1:B81,$A$1:A81,A82)+1,"")</f>
        <v/>
      </c>
      <c r="C82" s="299"/>
      <c r="D82" s="299"/>
      <c r="E82" s="299"/>
      <c r="F82" s="299"/>
      <c r="G82" s="330"/>
      <c r="H82" s="328"/>
      <c r="I82" s="329"/>
      <c r="J82" s="329"/>
      <c r="K82" s="322"/>
      <c r="L82" s="322"/>
      <c r="M82" s="323" t="str">
        <f>IFERROR(VLOOKUP(H82,Lijsten!$H$1:$I$100,2,0),"")</f>
        <v/>
      </c>
      <c r="N82" s="323" t="str">
        <f ca="1">IFERROR(IF(VLOOKUP(F82,Kostentypen!$A$3:$E$21,3,0)=0,"",IF(OR(F82="Arbeidskosten",F82="Vergoeding"),VLOOKUP(G82,Tb_KostenTypen[],2,0),VLOOKUP(F82,Kostentypen!$A$3:$E$20,3,0))),"")</f>
        <v/>
      </c>
      <c r="O82" s="324"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4"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3"/>
      <c r="R82" s="363"/>
      <c r="S82" s="325"/>
      <c r="T82" s="325"/>
      <c r="U82" s="317" t="str" cm="1">
        <f t="array" aca="1" ref="U82" ca="1">IFERROR(IF(AA82&lt;&gt;"ja",_xlfn.IFNA(_xlfn.IFS(AND(O82&lt;&gt;"",F82&lt;&gt;"",RIGHT($N82,6)="tarief",F82="Vergoeding"),SUM(O82)*FLOOR(SUM(Q82),0.0001),AND(O82&lt;&gt;"",F82&lt;&gt;"",RIGHT($N82,6)="tarief"),SUM(O82)*FLOOR(SUM(Q82),0.01),S82&gt;0,IF(F82&lt;&gt;"",FLOOR(SUM(S82),0.01),"")),""),""),"")</f>
        <v/>
      </c>
      <c r="V82" s="317" t="str" cm="1">
        <f t="array" aca="1" ref="V82" ca="1">IFERROR(IF(AA82&lt;&gt;"ja",_xlfn.IFNA(_xlfn.IFS(AND(P82&lt;&gt;"",R82&lt;&gt;"",RIGHT($N82,6)="tarief",F82="Vergoeding"),SUM(P82)*FLOOR(SUM(R82),0.0001),AND(P82&lt;&gt;"",R82&lt;&gt;"",RIGHT($N82,6)="tarief"),P82*FLOOR(R82,0.01),T82&gt;0,FLOOR(SUM(T82),0.01)),""),""),"")</f>
        <v/>
      </c>
      <c r="W82" s="317" t="str" cm="1">
        <f t="array" aca="1" ref="W82" ca="1">IFERROR(_xlfn.IFS(OR(F82="",LEFT(Methode_Keuze,4)="Geen",Methode_Keuze=""),"",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17" t="str" cm="1">
        <f t="array" aca="1" ref="X82" ca="1">IFERROR(_xlfn.IFS(OR(F82="",LEFT(Methode_Keuze,4)="Geen",Methode_Keuze=""),"",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26"/>
      <c r="Z82" s="319"/>
      <c r="AA82" s="32" t="str" cm="1">
        <f t="array" ref="AA82">IFERROR(IF(INDEX(SubsidieTabel!$AD$1:$AG$12,MATCH($F82,SubsidieTabel!$AD$1:$AD$12,0),IFERROR(MATCH(Methode_Keuze,SubsidieTabel!$AD$1:$AG$1,0),2))&lt;&gt;1=TRUE,"ja",""),"")</f>
        <v/>
      </c>
    </row>
    <row r="83" spans="1:27" x14ac:dyDescent="0.25">
      <c r="A83" s="320"/>
      <c r="B83" s="321" t="str">
        <f>IF(A83&lt;&gt;"",_xlfn.MAXIFS($B$1:B82,$A$1:A82,A83)+1,"")</f>
        <v/>
      </c>
      <c r="C83" s="299"/>
      <c r="D83" s="299"/>
      <c r="E83" s="299"/>
      <c r="F83" s="299"/>
      <c r="G83" s="330"/>
      <c r="H83" s="328"/>
      <c r="I83" s="329"/>
      <c r="J83" s="329"/>
      <c r="K83" s="322"/>
      <c r="L83" s="322"/>
      <c r="M83" s="323" t="str">
        <f>IFERROR(VLOOKUP(H83,Lijsten!$H$1:$I$100,2,0),"")</f>
        <v/>
      </c>
      <c r="N83" s="323" t="str">
        <f ca="1">IFERROR(IF(VLOOKUP(F83,Kostentypen!$A$3:$E$21,3,0)=0,"",IF(OR(F83="Arbeidskosten",F83="Vergoeding"),VLOOKUP(G83,Tb_KostenTypen[],2,0),VLOOKUP(F83,Kostentypen!$A$3:$E$20,3,0))),"")</f>
        <v/>
      </c>
      <c r="O83" s="324"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4"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3"/>
      <c r="R83" s="363"/>
      <c r="S83" s="325"/>
      <c r="T83" s="325"/>
      <c r="U83" s="317" t="str" cm="1">
        <f t="array" aca="1" ref="U83" ca="1">IFERROR(IF(AA83&lt;&gt;"ja",_xlfn.IFNA(_xlfn.IFS(AND(O83&lt;&gt;"",F83&lt;&gt;"",RIGHT($N83,6)="tarief",F83="Vergoeding"),SUM(O83)*FLOOR(SUM(Q83),0.0001),AND(O83&lt;&gt;"",F83&lt;&gt;"",RIGHT($N83,6)="tarief"),SUM(O83)*FLOOR(SUM(Q83),0.01),S83&gt;0,IF(F83&lt;&gt;"",FLOOR(SUM(S83),0.01),"")),""),""),"")</f>
        <v/>
      </c>
      <c r="V83" s="317" t="str" cm="1">
        <f t="array" aca="1" ref="V83" ca="1">IFERROR(IF(AA83&lt;&gt;"ja",_xlfn.IFNA(_xlfn.IFS(AND(P83&lt;&gt;"",R83&lt;&gt;"",RIGHT($N83,6)="tarief",F83="Vergoeding"),SUM(P83)*FLOOR(SUM(R83),0.0001),AND(P83&lt;&gt;"",R83&lt;&gt;"",RIGHT($N83,6)="tarief"),P83*FLOOR(R83,0.01),T83&gt;0,FLOOR(SUM(T83),0.01)),""),""),"")</f>
        <v/>
      </c>
      <c r="W83" s="317" t="str" cm="1">
        <f t="array" aca="1" ref="W83" ca="1">IFERROR(_xlfn.IFS(OR(F83="",LEFT(Methode_Keuze,4)="Geen",Methode_Keuze=""),"",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17" t="str" cm="1">
        <f t="array" aca="1" ref="X83" ca="1">IFERROR(_xlfn.IFS(OR(F83="",LEFT(Methode_Keuze,4)="Geen",Methode_Keuze=""),"",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26"/>
      <c r="Z83" s="319"/>
      <c r="AA83" s="32" t="str" cm="1">
        <f t="array" ref="AA83">IFERROR(IF(INDEX(SubsidieTabel!$AD$1:$AG$12,MATCH($F83,SubsidieTabel!$AD$1:$AD$12,0),IFERROR(MATCH(Methode_Keuze,SubsidieTabel!$AD$1:$AG$1,0),2))&lt;&gt;1=TRUE,"ja",""),"")</f>
        <v/>
      </c>
    </row>
    <row r="84" spans="1:27" x14ac:dyDescent="0.25">
      <c r="A84" s="320"/>
      <c r="B84" s="321" t="str">
        <f>IF(A84&lt;&gt;"",_xlfn.MAXIFS($B$1:B83,$A$1:A83,A84)+1,"")</f>
        <v/>
      </c>
      <c r="C84" s="299"/>
      <c r="D84" s="299"/>
      <c r="E84" s="299"/>
      <c r="F84" s="299"/>
      <c r="G84" s="330"/>
      <c r="H84" s="328"/>
      <c r="I84" s="329"/>
      <c r="J84" s="329"/>
      <c r="K84" s="322"/>
      <c r="L84" s="322"/>
      <c r="M84" s="323" t="str">
        <f>IFERROR(VLOOKUP(H84,Lijsten!$H$1:$I$100,2,0),"")</f>
        <v/>
      </c>
      <c r="N84" s="323" t="str">
        <f ca="1">IFERROR(IF(VLOOKUP(F84,Kostentypen!$A$3:$E$21,3,0)=0,"",IF(OR(F84="Arbeidskosten",F84="Vergoeding"),VLOOKUP(G84,Tb_KostenTypen[],2,0),VLOOKUP(F84,Kostentypen!$A$3:$E$20,3,0))),"")</f>
        <v/>
      </c>
      <c r="O84" s="324"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4"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3"/>
      <c r="R84" s="363"/>
      <c r="S84" s="325"/>
      <c r="T84" s="325"/>
      <c r="U84" s="317" t="str" cm="1">
        <f t="array" aca="1" ref="U84" ca="1">IFERROR(IF(AA84&lt;&gt;"ja",_xlfn.IFNA(_xlfn.IFS(AND(O84&lt;&gt;"",F84&lt;&gt;"",RIGHT($N84,6)="tarief",F84="Vergoeding"),SUM(O84)*FLOOR(SUM(Q84),0.0001),AND(O84&lt;&gt;"",F84&lt;&gt;"",RIGHT($N84,6)="tarief"),SUM(O84)*FLOOR(SUM(Q84),0.01),S84&gt;0,IF(F84&lt;&gt;"",FLOOR(SUM(S84),0.01),"")),""),""),"")</f>
        <v/>
      </c>
      <c r="V84" s="317" t="str" cm="1">
        <f t="array" aca="1" ref="V84" ca="1">IFERROR(IF(AA84&lt;&gt;"ja",_xlfn.IFNA(_xlfn.IFS(AND(P84&lt;&gt;"",R84&lt;&gt;"",RIGHT($N84,6)="tarief",F84="Vergoeding"),SUM(P84)*FLOOR(SUM(R84),0.0001),AND(P84&lt;&gt;"",R84&lt;&gt;"",RIGHT($N84,6)="tarief"),P84*FLOOR(R84,0.01),T84&gt;0,FLOOR(SUM(T84),0.01)),""),""),"")</f>
        <v/>
      </c>
      <c r="W84" s="317" t="str" cm="1">
        <f t="array" aca="1" ref="W84" ca="1">IFERROR(_xlfn.IFS(OR(F84="",LEFT(Methode_Keuze,4)="Geen",Methode_Keuze=""),"",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17" t="str" cm="1">
        <f t="array" aca="1" ref="X84" ca="1">IFERROR(_xlfn.IFS(OR(F84="",LEFT(Methode_Keuze,4)="Geen",Methode_Keuze=""),"",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26"/>
      <c r="Z84" s="319"/>
      <c r="AA84" s="32" t="str" cm="1">
        <f t="array" ref="AA84">IFERROR(IF(INDEX(SubsidieTabel!$AD$1:$AG$12,MATCH($F84,SubsidieTabel!$AD$1:$AD$12,0),IFERROR(MATCH(Methode_Keuze,SubsidieTabel!$AD$1:$AG$1,0),2))&lt;&gt;1=TRUE,"ja",""),"")</f>
        <v/>
      </c>
    </row>
    <row r="85" spans="1:27" x14ac:dyDescent="0.25">
      <c r="A85" s="320"/>
      <c r="B85" s="321" t="str">
        <f>IF(A85&lt;&gt;"",_xlfn.MAXIFS($B$1:B84,$A$1:A84,A85)+1,"")</f>
        <v/>
      </c>
      <c r="C85" s="299"/>
      <c r="D85" s="299"/>
      <c r="E85" s="299"/>
      <c r="F85" s="299"/>
      <c r="G85" s="330"/>
      <c r="H85" s="328"/>
      <c r="I85" s="329"/>
      <c r="J85" s="329"/>
      <c r="K85" s="322"/>
      <c r="L85" s="322"/>
      <c r="M85" s="323" t="str">
        <f>IFERROR(VLOOKUP(H85,Lijsten!$H$1:$I$100,2,0),"")</f>
        <v/>
      </c>
      <c r="N85" s="323" t="str">
        <f ca="1">IFERROR(IF(VLOOKUP(F85,Kostentypen!$A$3:$E$21,3,0)=0,"",IF(OR(F85="Arbeidskosten",F85="Vergoeding"),VLOOKUP(G85,Tb_KostenTypen[],2,0),VLOOKUP(F85,Kostentypen!$A$3:$E$20,3,0))),"")</f>
        <v/>
      </c>
      <c r="O85" s="324"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4"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3"/>
      <c r="R85" s="363"/>
      <c r="S85" s="325"/>
      <c r="T85" s="325"/>
      <c r="U85" s="317" t="str" cm="1">
        <f t="array" aca="1" ref="U85" ca="1">IFERROR(IF(AA85&lt;&gt;"ja",_xlfn.IFNA(_xlfn.IFS(AND(O85&lt;&gt;"",F85&lt;&gt;"",RIGHT($N85,6)="tarief",F85="Vergoeding"),SUM(O85)*FLOOR(SUM(Q85),0.0001),AND(O85&lt;&gt;"",F85&lt;&gt;"",RIGHT($N85,6)="tarief"),SUM(O85)*FLOOR(SUM(Q85),0.01),S85&gt;0,IF(F85&lt;&gt;"",FLOOR(SUM(S85),0.01),"")),""),""),"")</f>
        <v/>
      </c>
      <c r="V85" s="317" t="str" cm="1">
        <f t="array" aca="1" ref="V85" ca="1">IFERROR(IF(AA85&lt;&gt;"ja",_xlfn.IFNA(_xlfn.IFS(AND(P85&lt;&gt;"",R85&lt;&gt;"",RIGHT($N85,6)="tarief",F85="Vergoeding"),SUM(P85)*FLOOR(SUM(R85),0.0001),AND(P85&lt;&gt;"",R85&lt;&gt;"",RIGHT($N85,6)="tarief"),P85*FLOOR(R85,0.01),T85&gt;0,FLOOR(SUM(T85),0.01)),""),""),"")</f>
        <v/>
      </c>
      <c r="W85" s="317" t="str" cm="1">
        <f t="array" aca="1" ref="W85" ca="1">IFERROR(_xlfn.IFS(OR(F85="",LEFT(Methode_Keuze,4)="Geen",Methode_Keuze=""),"",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17" t="str" cm="1">
        <f t="array" aca="1" ref="X85" ca="1">IFERROR(_xlfn.IFS(OR(F85="",LEFT(Methode_Keuze,4)="Geen",Methode_Keuze=""),"",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26"/>
      <c r="Z85" s="319"/>
      <c r="AA85" s="32" t="str" cm="1">
        <f t="array" ref="AA85">IFERROR(IF(INDEX(SubsidieTabel!$AD$1:$AG$12,MATCH($F85,SubsidieTabel!$AD$1:$AD$12,0),IFERROR(MATCH(Methode_Keuze,SubsidieTabel!$AD$1:$AG$1,0),2))&lt;&gt;1=TRUE,"ja",""),"")</f>
        <v/>
      </c>
    </row>
    <row r="86" spans="1:27" x14ac:dyDescent="0.25">
      <c r="A86" s="320"/>
      <c r="B86" s="321" t="str">
        <f>IF(A86&lt;&gt;"",_xlfn.MAXIFS($B$1:B85,$A$1:A85,A86)+1,"")</f>
        <v/>
      </c>
      <c r="C86" s="299"/>
      <c r="D86" s="299"/>
      <c r="E86" s="299"/>
      <c r="F86" s="299"/>
      <c r="G86" s="330"/>
      <c r="H86" s="328"/>
      <c r="I86" s="329"/>
      <c r="J86" s="329"/>
      <c r="K86" s="322"/>
      <c r="L86" s="322"/>
      <c r="M86" s="323" t="str">
        <f>IFERROR(VLOOKUP(H86,Lijsten!$H$1:$I$100,2,0),"")</f>
        <v/>
      </c>
      <c r="N86" s="323" t="str">
        <f ca="1">IFERROR(IF(VLOOKUP(F86,Kostentypen!$A$3:$E$21,3,0)=0,"",IF(OR(F86="Arbeidskosten",F86="Vergoeding"),VLOOKUP(G86,Tb_KostenTypen[],2,0),VLOOKUP(F86,Kostentypen!$A$3:$E$20,3,0))),"")</f>
        <v/>
      </c>
      <c r="O86" s="324"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4"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3"/>
      <c r="R86" s="363"/>
      <c r="S86" s="325"/>
      <c r="T86" s="325"/>
      <c r="U86" s="317" t="str" cm="1">
        <f t="array" aca="1" ref="U86" ca="1">IFERROR(IF(AA86&lt;&gt;"ja",_xlfn.IFNA(_xlfn.IFS(AND(O86&lt;&gt;"",F86&lt;&gt;"",RIGHT($N86,6)="tarief",F86="Vergoeding"),SUM(O86)*FLOOR(SUM(Q86),0.0001),AND(O86&lt;&gt;"",F86&lt;&gt;"",RIGHT($N86,6)="tarief"),SUM(O86)*FLOOR(SUM(Q86),0.01),S86&gt;0,IF(F86&lt;&gt;"",FLOOR(SUM(S86),0.01),"")),""),""),"")</f>
        <v/>
      </c>
      <c r="V86" s="317" t="str" cm="1">
        <f t="array" aca="1" ref="V86" ca="1">IFERROR(IF(AA86&lt;&gt;"ja",_xlfn.IFNA(_xlfn.IFS(AND(P86&lt;&gt;"",R86&lt;&gt;"",RIGHT($N86,6)="tarief",F86="Vergoeding"),SUM(P86)*FLOOR(SUM(R86),0.0001),AND(P86&lt;&gt;"",R86&lt;&gt;"",RIGHT($N86,6)="tarief"),P86*FLOOR(R86,0.01),T86&gt;0,FLOOR(SUM(T86),0.01)),""),""),"")</f>
        <v/>
      </c>
      <c r="W86" s="317" t="str" cm="1">
        <f t="array" aca="1" ref="W86" ca="1">IFERROR(_xlfn.IFS(OR(F86="",LEFT(Methode_Keuze,4)="Geen",Methode_Keuze=""),"",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17" t="str" cm="1">
        <f t="array" aca="1" ref="X86" ca="1">IFERROR(_xlfn.IFS(OR(F86="",LEFT(Methode_Keuze,4)="Geen",Methode_Keuze=""),"",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26"/>
      <c r="Z86" s="319"/>
      <c r="AA86" s="32" t="str" cm="1">
        <f t="array" ref="AA86">IFERROR(IF(INDEX(SubsidieTabel!$AD$1:$AG$12,MATCH($F86,SubsidieTabel!$AD$1:$AD$12,0),IFERROR(MATCH(Methode_Keuze,SubsidieTabel!$AD$1:$AG$1,0),2))&lt;&gt;1=TRUE,"ja",""),"")</f>
        <v/>
      </c>
    </row>
    <row r="87" spans="1:27" x14ac:dyDescent="0.25">
      <c r="A87" s="320"/>
      <c r="B87" s="321" t="str">
        <f>IF(A87&lt;&gt;"",_xlfn.MAXIFS($B$1:B86,$A$1:A86,A87)+1,"")</f>
        <v/>
      </c>
      <c r="C87" s="299"/>
      <c r="D87" s="299"/>
      <c r="E87" s="299"/>
      <c r="F87" s="299"/>
      <c r="G87" s="330"/>
      <c r="H87" s="328"/>
      <c r="I87" s="329"/>
      <c r="J87" s="329"/>
      <c r="K87" s="322"/>
      <c r="L87" s="322"/>
      <c r="M87" s="323" t="str">
        <f>IFERROR(VLOOKUP(H87,Lijsten!$H$1:$I$100,2,0),"")</f>
        <v/>
      </c>
      <c r="N87" s="323" t="str">
        <f ca="1">IFERROR(IF(VLOOKUP(F87,Kostentypen!$A$3:$E$21,3,0)=0,"",IF(OR(F87="Arbeidskosten",F87="Vergoeding"),VLOOKUP(G87,Tb_KostenTypen[],2,0),VLOOKUP(F87,Kostentypen!$A$3:$E$20,3,0))),"")</f>
        <v/>
      </c>
      <c r="O87" s="324"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4"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3"/>
      <c r="R87" s="363"/>
      <c r="S87" s="325"/>
      <c r="T87" s="325"/>
      <c r="U87" s="317" t="str" cm="1">
        <f t="array" aca="1" ref="U87" ca="1">IFERROR(IF(AA87&lt;&gt;"ja",_xlfn.IFNA(_xlfn.IFS(AND(O87&lt;&gt;"",F87&lt;&gt;"",RIGHT($N87,6)="tarief",F87="Vergoeding"),SUM(O87)*FLOOR(SUM(Q87),0.0001),AND(O87&lt;&gt;"",F87&lt;&gt;"",RIGHT($N87,6)="tarief"),SUM(O87)*FLOOR(SUM(Q87),0.01),S87&gt;0,IF(F87&lt;&gt;"",FLOOR(SUM(S87),0.01),"")),""),""),"")</f>
        <v/>
      </c>
      <c r="V87" s="317" t="str" cm="1">
        <f t="array" aca="1" ref="V87" ca="1">IFERROR(IF(AA87&lt;&gt;"ja",_xlfn.IFNA(_xlfn.IFS(AND(P87&lt;&gt;"",R87&lt;&gt;"",RIGHT($N87,6)="tarief",F87="Vergoeding"),SUM(P87)*FLOOR(SUM(R87),0.0001),AND(P87&lt;&gt;"",R87&lt;&gt;"",RIGHT($N87,6)="tarief"),P87*FLOOR(R87,0.01),T87&gt;0,FLOOR(SUM(T87),0.01)),""),""),"")</f>
        <v/>
      </c>
      <c r="W87" s="317" t="str" cm="1">
        <f t="array" aca="1" ref="W87" ca="1">IFERROR(_xlfn.IFS(OR(F87="",LEFT(Methode_Keuze,4)="Geen",Methode_Keuze=""),"",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17" t="str" cm="1">
        <f t="array" aca="1" ref="X87" ca="1">IFERROR(_xlfn.IFS(OR(F87="",LEFT(Methode_Keuze,4)="Geen",Methode_Keuze=""),"",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26"/>
      <c r="Z87" s="319"/>
      <c r="AA87" s="32" t="str" cm="1">
        <f t="array" ref="AA87">IFERROR(IF(INDEX(SubsidieTabel!$AD$1:$AG$12,MATCH($F87,SubsidieTabel!$AD$1:$AD$12,0),IFERROR(MATCH(Methode_Keuze,SubsidieTabel!$AD$1:$AG$1,0),2))&lt;&gt;1=TRUE,"ja",""),"")</f>
        <v/>
      </c>
    </row>
    <row r="88" spans="1:27" x14ac:dyDescent="0.25">
      <c r="A88" s="320"/>
      <c r="B88" s="321" t="str">
        <f>IF(A88&lt;&gt;"",_xlfn.MAXIFS($B$1:B87,$A$1:A87,A88)+1,"")</f>
        <v/>
      </c>
      <c r="C88" s="299"/>
      <c r="D88" s="299"/>
      <c r="E88" s="299"/>
      <c r="F88" s="299"/>
      <c r="G88" s="330"/>
      <c r="H88" s="328"/>
      <c r="I88" s="329"/>
      <c r="J88" s="329"/>
      <c r="K88" s="322"/>
      <c r="L88" s="322"/>
      <c r="M88" s="323" t="str">
        <f>IFERROR(VLOOKUP(H88,Lijsten!$H$1:$I$100,2,0),"")</f>
        <v/>
      </c>
      <c r="N88" s="323" t="str">
        <f ca="1">IFERROR(IF(VLOOKUP(F88,Kostentypen!$A$3:$E$21,3,0)=0,"",IF(OR(F88="Arbeidskosten",F88="Vergoeding"),VLOOKUP(G88,Tb_KostenTypen[],2,0),VLOOKUP(F88,Kostentypen!$A$3:$E$20,3,0))),"")</f>
        <v/>
      </c>
      <c r="O88" s="324"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4"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3"/>
      <c r="R88" s="363"/>
      <c r="S88" s="325"/>
      <c r="T88" s="325"/>
      <c r="U88" s="317" t="str" cm="1">
        <f t="array" aca="1" ref="U88" ca="1">IFERROR(IF(AA88&lt;&gt;"ja",_xlfn.IFNA(_xlfn.IFS(AND(O88&lt;&gt;"",F88&lt;&gt;"",RIGHT($N88,6)="tarief",F88="Vergoeding"),SUM(O88)*FLOOR(SUM(Q88),0.0001),AND(O88&lt;&gt;"",F88&lt;&gt;"",RIGHT($N88,6)="tarief"),SUM(O88)*FLOOR(SUM(Q88),0.01),S88&gt;0,IF(F88&lt;&gt;"",FLOOR(SUM(S88),0.01),"")),""),""),"")</f>
        <v/>
      </c>
      <c r="V88" s="317" t="str" cm="1">
        <f t="array" aca="1" ref="V88" ca="1">IFERROR(IF(AA88&lt;&gt;"ja",_xlfn.IFNA(_xlfn.IFS(AND(P88&lt;&gt;"",R88&lt;&gt;"",RIGHT($N88,6)="tarief",F88="Vergoeding"),SUM(P88)*FLOOR(SUM(R88),0.0001),AND(P88&lt;&gt;"",R88&lt;&gt;"",RIGHT($N88,6)="tarief"),P88*FLOOR(R88,0.01),T88&gt;0,FLOOR(SUM(T88),0.01)),""),""),"")</f>
        <v/>
      </c>
      <c r="W88" s="317" t="str" cm="1">
        <f t="array" aca="1" ref="W88" ca="1">IFERROR(_xlfn.IFS(OR(F88="",LEFT(Methode_Keuze,4)="Geen",Methode_Keuze=""),"",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17" t="str" cm="1">
        <f t="array" aca="1" ref="X88" ca="1">IFERROR(_xlfn.IFS(OR(F88="",LEFT(Methode_Keuze,4)="Geen",Methode_Keuze=""),"",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26"/>
      <c r="Z88" s="319"/>
      <c r="AA88" s="32" t="str" cm="1">
        <f t="array" ref="AA88">IFERROR(IF(INDEX(SubsidieTabel!$AD$1:$AG$12,MATCH($F88,SubsidieTabel!$AD$1:$AD$12,0),IFERROR(MATCH(Methode_Keuze,SubsidieTabel!$AD$1:$AG$1,0),2))&lt;&gt;1=TRUE,"ja",""),"")</f>
        <v/>
      </c>
    </row>
    <row r="89" spans="1:27" x14ac:dyDescent="0.25">
      <c r="A89" s="320"/>
      <c r="B89" s="321" t="str">
        <f>IF(A89&lt;&gt;"",_xlfn.MAXIFS($B$1:B88,$A$1:A88,A89)+1,"")</f>
        <v/>
      </c>
      <c r="C89" s="299"/>
      <c r="D89" s="299"/>
      <c r="E89" s="299"/>
      <c r="F89" s="299"/>
      <c r="G89" s="330"/>
      <c r="H89" s="328"/>
      <c r="I89" s="329"/>
      <c r="J89" s="329"/>
      <c r="K89" s="322"/>
      <c r="L89" s="322"/>
      <c r="M89" s="323" t="str">
        <f>IFERROR(VLOOKUP(H89,Lijsten!$H$1:$I$100,2,0),"")</f>
        <v/>
      </c>
      <c r="N89" s="323" t="str">
        <f ca="1">IFERROR(IF(VLOOKUP(F89,Kostentypen!$A$3:$E$21,3,0)=0,"",IF(OR(F89="Arbeidskosten",F89="Vergoeding"),VLOOKUP(G89,Tb_KostenTypen[],2,0),VLOOKUP(F89,Kostentypen!$A$3:$E$20,3,0))),"")</f>
        <v/>
      </c>
      <c r="O89" s="324"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4"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3"/>
      <c r="R89" s="363"/>
      <c r="S89" s="325"/>
      <c r="T89" s="325"/>
      <c r="U89" s="317" t="str" cm="1">
        <f t="array" aca="1" ref="U89" ca="1">IFERROR(IF(AA89&lt;&gt;"ja",_xlfn.IFNA(_xlfn.IFS(AND(O89&lt;&gt;"",F89&lt;&gt;"",RIGHT($N89,6)="tarief",F89="Vergoeding"),SUM(O89)*FLOOR(SUM(Q89),0.0001),AND(O89&lt;&gt;"",F89&lt;&gt;"",RIGHT($N89,6)="tarief"),SUM(O89)*FLOOR(SUM(Q89),0.01),S89&gt;0,IF(F89&lt;&gt;"",FLOOR(SUM(S89),0.01),"")),""),""),"")</f>
        <v/>
      </c>
      <c r="V89" s="317" t="str" cm="1">
        <f t="array" aca="1" ref="V89" ca="1">IFERROR(IF(AA89&lt;&gt;"ja",_xlfn.IFNA(_xlfn.IFS(AND(P89&lt;&gt;"",R89&lt;&gt;"",RIGHT($N89,6)="tarief",F89="Vergoeding"),SUM(P89)*FLOOR(SUM(R89),0.0001),AND(P89&lt;&gt;"",R89&lt;&gt;"",RIGHT($N89,6)="tarief"),P89*FLOOR(R89,0.01),T89&gt;0,FLOOR(SUM(T89),0.01)),""),""),"")</f>
        <v/>
      </c>
      <c r="W89" s="317" t="str" cm="1">
        <f t="array" aca="1" ref="W89" ca="1">IFERROR(_xlfn.IFS(OR(F89="",LEFT(Methode_Keuze,4)="Geen",Methode_Keuze=""),"",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17" t="str" cm="1">
        <f t="array" aca="1" ref="X89" ca="1">IFERROR(_xlfn.IFS(OR(F89="",LEFT(Methode_Keuze,4)="Geen",Methode_Keuze=""),"",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26"/>
      <c r="Z89" s="319"/>
      <c r="AA89" s="32" t="str" cm="1">
        <f t="array" ref="AA89">IFERROR(IF(INDEX(SubsidieTabel!$AD$1:$AG$12,MATCH($F89,SubsidieTabel!$AD$1:$AD$12,0),IFERROR(MATCH(Methode_Keuze,SubsidieTabel!$AD$1:$AG$1,0),2))&lt;&gt;1=TRUE,"ja",""),"")</f>
        <v/>
      </c>
    </row>
    <row r="90" spans="1:27" x14ac:dyDescent="0.25">
      <c r="A90" s="320"/>
      <c r="B90" s="321" t="str">
        <f>IF(A90&lt;&gt;"",_xlfn.MAXIFS($B$1:B89,$A$1:A89,A90)+1,"")</f>
        <v/>
      </c>
      <c r="C90" s="299"/>
      <c r="D90" s="299"/>
      <c r="E90" s="299"/>
      <c r="F90" s="299"/>
      <c r="G90" s="330"/>
      <c r="H90" s="328"/>
      <c r="I90" s="329"/>
      <c r="J90" s="329"/>
      <c r="K90" s="322"/>
      <c r="L90" s="322"/>
      <c r="M90" s="323" t="str">
        <f>IFERROR(VLOOKUP(H90,Lijsten!$H$1:$I$100,2,0),"")</f>
        <v/>
      </c>
      <c r="N90" s="323" t="str">
        <f ca="1">IFERROR(IF(VLOOKUP(F90,Kostentypen!$A$3:$E$21,3,0)=0,"",IF(OR(F90="Arbeidskosten",F90="Vergoeding"),VLOOKUP(G90,Tb_KostenTypen[],2,0),VLOOKUP(F90,Kostentypen!$A$3:$E$20,3,0))),"")</f>
        <v/>
      </c>
      <c r="O90" s="324"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4"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3"/>
      <c r="R90" s="363"/>
      <c r="S90" s="325"/>
      <c r="T90" s="325"/>
      <c r="U90" s="317" t="str" cm="1">
        <f t="array" aca="1" ref="U90" ca="1">IFERROR(IF(AA90&lt;&gt;"ja",_xlfn.IFNA(_xlfn.IFS(AND(O90&lt;&gt;"",F90&lt;&gt;"",RIGHT($N90,6)="tarief",F90="Vergoeding"),SUM(O90)*FLOOR(SUM(Q90),0.0001),AND(O90&lt;&gt;"",F90&lt;&gt;"",RIGHT($N90,6)="tarief"),SUM(O90)*FLOOR(SUM(Q90),0.01),S90&gt;0,IF(F90&lt;&gt;"",FLOOR(SUM(S90),0.01),"")),""),""),"")</f>
        <v/>
      </c>
      <c r="V90" s="317" t="str" cm="1">
        <f t="array" aca="1" ref="V90" ca="1">IFERROR(IF(AA90&lt;&gt;"ja",_xlfn.IFNA(_xlfn.IFS(AND(P90&lt;&gt;"",R90&lt;&gt;"",RIGHT($N90,6)="tarief",F90="Vergoeding"),SUM(P90)*FLOOR(SUM(R90),0.0001),AND(P90&lt;&gt;"",R90&lt;&gt;"",RIGHT($N90,6)="tarief"),P90*FLOOR(R90,0.01),T90&gt;0,FLOOR(SUM(T90),0.01)),""),""),"")</f>
        <v/>
      </c>
      <c r="W90" s="317" t="str" cm="1">
        <f t="array" aca="1" ref="W90" ca="1">IFERROR(_xlfn.IFS(OR(F90="",LEFT(Methode_Keuze,4)="Geen",Methode_Keuze=""),"",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17" t="str" cm="1">
        <f t="array" aca="1" ref="X90" ca="1">IFERROR(_xlfn.IFS(OR(F90="",LEFT(Methode_Keuze,4)="Geen",Methode_Keuze=""),"",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26"/>
      <c r="Z90" s="319"/>
      <c r="AA90" s="32" t="str" cm="1">
        <f t="array" ref="AA90">IFERROR(IF(INDEX(SubsidieTabel!$AD$1:$AG$12,MATCH($F90,SubsidieTabel!$AD$1:$AD$12,0),IFERROR(MATCH(Methode_Keuze,SubsidieTabel!$AD$1:$AG$1,0),2))&lt;&gt;1=TRUE,"ja",""),"")</f>
        <v/>
      </c>
    </row>
    <row r="91" spans="1:27" x14ac:dyDescent="0.25">
      <c r="A91" s="320"/>
      <c r="B91" s="321" t="str">
        <f>IF(A91&lt;&gt;"",_xlfn.MAXIFS($B$1:B90,$A$1:A90,A91)+1,"")</f>
        <v/>
      </c>
      <c r="C91" s="299"/>
      <c r="D91" s="299"/>
      <c r="E91" s="299"/>
      <c r="F91" s="299"/>
      <c r="G91" s="330"/>
      <c r="H91" s="328"/>
      <c r="I91" s="329"/>
      <c r="J91" s="329"/>
      <c r="K91" s="322"/>
      <c r="L91" s="322"/>
      <c r="M91" s="323" t="str">
        <f>IFERROR(VLOOKUP(H91,Lijsten!$H$1:$I$100,2,0),"")</f>
        <v/>
      </c>
      <c r="N91" s="323" t="str">
        <f ca="1">IFERROR(IF(VLOOKUP(F91,Kostentypen!$A$3:$E$21,3,0)=0,"",IF(OR(F91="Arbeidskosten",F91="Vergoeding"),VLOOKUP(G91,Tb_KostenTypen[],2,0),VLOOKUP(F91,Kostentypen!$A$3:$E$20,3,0))),"")</f>
        <v/>
      </c>
      <c r="O91" s="324"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4"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3"/>
      <c r="R91" s="363"/>
      <c r="S91" s="325"/>
      <c r="T91" s="325"/>
      <c r="U91" s="317" t="str" cm="1">
        <f t="array" aca="1" ref="U91" ca="1">IFERROR(IF(AA91&lt;&gt;"ja",_xlfn.IFNA(_xlfn.IFS(AND(O91&lt;&gt;"",F91&lt;&gt;"",RIGHT($N91,6)="tarief",F91="Vergoeding"),SUM(O91)*FLOOR(SUM(Q91),0.0001),AND(O91&lt;&gt;"",F91&lt;&gt;"",RIGHT($N91,6)="tarief"),SUM(O91)*FLOOR(SUM(Q91),0.01),S91&gt;0,IF(F91&lt;&gt;"",FLOOR(SUM(S91),0.01),"")),""),""),"")</f>
        <v/>
      </c>
      <c r="V91" s="317" t="str" cm="1">
        <f t="array" aca="1" ref="V91" ca="1">IFERROR(IF(AA91&lt;&gt;"ja",_xlfn.IFNA(_xlfn.IFS(AND(P91&lt;&gt;"",R91&lt;&gt;"",RIGHT($N91,6)="tarief",F91="Vergoeding"),SUM(P91)*FLOOR(SUM(R91),0.0001),AND(P91&lt;&gt;"",R91&lt;&gt;"",RIGHT($N91,6)="tarief"),P91*FLOOR(R91,0.01),T91&gt;0,FLOOR(SUM(T91),0.01)),""),""),"")</f>
        <v/>
      </c>
      <c r="W91" s="317" t="str" cm="1">
        <f t="array" aca="1" ref="W91" ca="1">IFERROR(_xlfn.IFS(OR(F91="",LEFT(Methode_Keuze,4)="Geen",Methode_Keuze=""),"",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17" t="str" cm="1">
        <f t="array" aca="1" ref="X91" ca="1">IFERROR(_xlfn.IFS(OR(F91="",LEFT(Methode_Keuze,4)="Geen",Methode_Keuze=""),"",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26"/>
      <c r="Z91" s="319"/>
      <c r="AA91" s="32" t="str" cm="1">
        <f t="array" ref="AA91">IFERROR(IF(INDEX(SubsidieTabel!$AD$1:$AG$12,MATCH($F91,SubsidieTabel!$AD$1:$AD$12,0),IFERROR(MATCH(Methode_Keuze,SubsidieTabel!$AD$1:$AG$1,0),2))&lt;&gt;1=TRUE,"ja",""),"")</f>
        <v/>
      </c>
    </row>
    <row r="92" spans="1:27" x14ac:dyDescent="0.25">
      <c r="A92" s="320"/>
      <c r="B92" s="321" t="str">
        <f>IF(A92&lt;&gt;"",_xlfn.MAXIFS($B$1:B91,$A$1:A91,A92)+1,"")</f>
        <v/>
      </c>
      <c r="C92" s="299"/>
      <c r="D92" s="299"/>
      <c r="E92" s="299"/>
      <c r="F92" s="299"/>
      <c r="G92" s="330"/>
      <c r="H92" s="328"/>
      <c r="I92" s="329"/>
      <c r="J92" s="329"/>
      <c r="K92" s="322"/>
      <c r="L92" s="322"/>
      <c r="M92" s="323" t="str">
        <f>IFERROR(VLOOKUP(H92,Lijsten!$H$1:$I$100,2,0),"")</f>
        <v/>
      </c>
      <c r="N92" s="323" t="str">
        <f ca="1">IFERROR(IF(VLOOKUP(F92,Kostentypen!$A$3:$E$21,3,0)=0,"",IF(OR(F92="Arbeidskosten",F92="Vergoeding"),VLOOKUP(G92,Tb_KostenTypen[],2,0),VLOOKUP(F92,Kostentypen!$A$3:$E$20,3,0))),"")</f>
        <v/>
      </c>
      <c r="O92" s="324"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4"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3"/>
      <c r="R92" s="363"/>
      <c r="S92" s="325"/>
      <c r="T92" s="325"/>
      <c r="U92" s="317" t="str" cm="1">
        <f t="array" aca="1" ref="U92" ca="1">IFERROR(IF(AA92&lt;&gt;"ja",_xlfn.IFNA(_xlfn.IFS(AND(O92&lt;&gt;"",F92&lt;&gt;"",RIGHT($N92,6)="tarief",F92="Vergoeding"),SUM(O92)*FLOOR(SUM(Q92),0.0001),AND(O92&lt;&gt;"",F92&lt;&gt;"",RIGHT($N92,6)="tarief"),SUM(O92)*FLOOR(SUM(Q92),0.01),S92&gt;0,IF(F92&lt;&gt;"",FLOOR(SUM(S92),0.01),"")),""),""),"")</f>
        <v/>
      </c>
      <c r="V92" s="317" t="str" cm="1">
        <f t="array" aca="1" ref="V92" ca="1">IFERROR(IF(AA92&lt;&gt;"ja",_xlfn.IFNA(_xlfn.IFS(AND(P92&lt;&gt;"",R92&lt;&gt;"",RIGHT($N92,6)="tarief",F92="Vergoeding"),SUM(P92)*FLOOR(SUM(R92),0.0001),AND(P92&lt;&gt;"",R92&lt;&gt;"",RIGHT($N92,6)="tarief"),P92*FLOOR(R92,0.01),T92&gt;0,FLOOR(SUM(T92),0.01)),""),""),"")</f>
        <v/>
      </c>
      <c r="W92" s="317" t="str" cm="1">
        <f t="array" aca="1" ref="W92" ca="1">IFERROR(_xlfn.IFS(OR(F92="",LEFT(Methode_Keuze,4)="Geen",Methode_Keuze=""),"",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17" t="str" cm="1">
        <f t="array" aca="1" ref="X92" ca="1">IFERROR(_xlfn.IFS(OR(F92="",LEFT(Methode_Keuze,4)="Geen",Methode_Keuze=""),"",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26"/>
      <c r="Z92" s="319"/>
      <c r="AA92" s="32" t="str" cm="1">
        <f t="array" ref="AA92">IFERROR(IF(INDEX(SubsidieTabel!$AD$1:$AG$12,MATCH($F92,SubsidieTabel!$AD$1:$AD$12,0),IFERROR(MATCH(Methode_Keuze,SubsidieTabel!$AD$1:$AG$1,0),2))&lt;&gt;1=TRUE,"ja",""),"")</f>
        <v/>
      </c>
    </row>
    <row r="93" spans="1:27" x14ac:dyDescent="0.25">
      <c r="A93" s="320"/>
      <c r="B93" s="321" t="str">
        <f>IF(A93&lt;&gt;"",_xlfn.MAXIFS($B$1:B92,$A$1:A92,A93)+1,"")</f>
        <v/>
      </c>
      <c r="C93" s="299"/>
      <c r="D93" s="299"/>
      <c r="E93" s="299"/>
      <c r="F93" s="299"/>
      <c r="G93" s="330"/>
      <c r="H93" s="328"/>
      <c r="I93" s="329"/>
      <c r="J93" s="329"/>
      <c r="K93" s="322"/>
      <c r="L93" s="322"/>
      <c r="M93" s="323" t="str">
        <f>IFERROR(VLOOKUP(H93,Lijsten!$H$1:$I$100,2,0),"")</f>
        <v/>
      </c>
      <c r="N93" s="323" t="str">
        <f ca="1">IFERROR(IF(VLOOKUP(F93,Kostentypen!$A$3:$E$21,3,0)=0,"",IF(OR(F93="Arbeidskosten",F93="Vergoeding"),VLOOKUP(G93,Tb_KostenTypen[],2,0),VLOOKUP(F93,Kostentypen!$A$3:$E$20,3,0))),"")</f>
        <v/>
      </c>
      <c r="O93" s="324"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4"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3"/>
      <c r="R93" s="363"/>
      <c r="S93" s="325"/>
      <c r="T93" s="325"/>
      <c r="U93" s="317" t="str" cm="1">
        <f t="array" aca="1" ref="U93" ca="1">IFERROR(IF(AA93&lt;&gt;"ja",_xlfn.IFNA(_xlfn.IFS(AND(O93&lt;&gt;"",F93&lt;&gt;"",RIGHT($N93,6)="tarief",F93="Vergoeding"),SUM(O93)*FLOOR(SUM(Q93),0.0001),AND(O93&lt;&gt;"",F93&lt;&gt;"",RIGHT($N93,6)="tarief"),SUM(O93)*FLOOR(SUM(Q93),0.01),S93&gt;0,IF(F93&lt;&gt;"",FLOOR(SUM(S93),0.01),"")),""),""),"")</f>
        <v/>
      </c>
      <c r="V93" s="317" t="str" cm="1">
        <f t="array" aca="1" ref="V93" ca="1">IFERROR(IF(AA93&lt;&gt;"ja",_xlfn.IFNA(_xlfn.IFS(AND(P93&lt;&gt;"",R93&lt;&gt;"",RIGHT($N93,6)="tarief",F93="Vergoeding"),SUM(P93)*FLOOR(SUM(R93),0.0001),AND(P93&lt;&gt;"",R93&lt;&gt;"",RIGHT($N93,6)="tarief"),P93*FLOOR(R93,0.01),T93&gt;0,FLOOR(SUM(T93),0.01)),""),""),"")</f>
        <v/>
      </c>
      <c r="W93" s="317" t="str" cm="1">
        <f t="array" aca="1" ref="W93" ca="1">IFERROR(_xlfn.IFS(OR(F93="",LEFT(Methode_Keuze,4)="Geen",Methode_Keuze=""),"",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17" t="str" cm="1">
        <f t="array" aca="1" ref="X93" ca="1">IFERROR(_xlfn.IFS(OR(F93="",LEFT(Methode_Keuze,4)="Geen",Methode_Keuze=""),"",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26"/>
      <c r="Z93" s="319"/>
      <c r="AA93" s="32" t="str" cm="1">
        <f t="array" ref="AA93">IFERROR(IF(INDEX(SubsidieTabel!$AD$1:$AG$12,MATCH($F93,SubsidieTabel!$AD$1:$AD$12,0),IFERROR(MATCH(Methode_Keuze,SubsidieTabel!$AD$1:$AG$1,0),2))&lt;&gt;1=TRUE,"ja",""),"")</f>
        <v/>
      </c>
    </row>
    <row r="94" spans="1:27" x14ac:dyDescent="0.25">
      <c r="A94" s="320"/>
      <c r="B94" s="321" t="str">
        <f>IF(A94&lt;&gt;"",_xlfn.MAXIFS($B$1:B93,$A$1:A93,A94)+1,"")</f>
        <v/>
      </c>
      <c r="C94" s="299"/>
      <c r="D94" s="299"/>
      <c r="E94" s="299"/>
      <c r="F94" s="299"/>
      <c r="G94" s="330"/>
      <c r="H94" s="328"/>
      <c r="I94" s="329"/>
      <c r="J94" s="329"/>
      <c r="K94" s="322"/>
      <c r="L94" s="322"/>
      <c r="M94" s="323" t="str">
        <f>IFERROR(VLOOKUP(H94,Lijsten!$H$1:$I$100,2,0),"")</f>
        <v/>
      </c>
      <c r="N94" s="323" t="str">
        <f ca="1">IFERROR(IF(VLOOKUP(F94,Kostentypen!$A$3:$E$21,3,0)=0,"",IF(OR(F94="Arbeidskosten",F94="Vergoeding"),VLOOKUP(G94,Tb_KostenTypen[],2,0),VLOOKUP(F94,Kostentypen!$A$3:$E$20,3,0))),"")</f>
        <v/>
      </c>
      <c r="O94" s="324"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4"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3"/>
      <c r="R94" s="363"/>
      <c r="S94" s="325"/>
      <c r="T94" s="325"/>
      <c r="U94" s="317" t="str" cm="1">
        <f t="array" aca="1" ref="U94" ca="1">IFERROR(IF(AA94&lt;&gt;"ja",_xlfn.IFNA(_xlfn.IFS(AND(O94&lt;&gt;"",F94&lt;&gt;"",RIGHT($N94,6)="tarief",F94="Vergoeding"),SUM(O94)*FLOOR(SUM(Q94),0.0001),AND(O94&lt;&gt;"",F94&lt;&gt;"",RIGHT($N94,6)="tarief"),SUM(O94)*FLOOR(SUM(Q94),0.01),S94&gt;0,IF(F94&lt;&gt;"",FLOOR(SUM(S94),0.01),"")),""),""),"")</f>
        <v/>
      </c>
      <c r="V94" s="317" t="str" cm="1">
        <f t="array" aca="1" ref="V94" ca="1">IFERROR(IF(AA94&lt;&gt;"ja",_xlfn.IFNA(_xlfn.IFS(AND(P94&lt;&gt;"",R94&lt;&gt;"",RIGHT($N94,6)="tarief",F94="Vergoeding"),SUM(P94)*FLOOR(SUM(R94),0.0001),AND(P94&lt;&gt;"",R94&lt;&gt;"",RIGHT($N94,6)="tarief"),P94*FLOOR(R94,0.01),T94&gt;0,FLOOR(SUM(T94),0.01)),""),""),"")</f>
        <v/>
      </c>
      <c r="W94" s="317" t="str" cm="1">
        <f t="array" aca="1" ref="W94" ca="1">IFERROR(_xlfn.IFS(OR(F94="",LEFT(Methode_Keuze,4)="Geen",Methode_Keuze=""),"",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17" t="str" cm="1">
        <f t="array" aca="1" ref="X94" ca="1">IFERROR(_xlfn.IFS(OR(F94="",LEFT(Methode_Keuze,4)="Geen",Methode_Keuze=""),"",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26"/>
      <c r="Z94" s="319"/>
      <c r="AA94" s="32" t="str" cm="1">
        <f t="array" ref="AA94">IFERROR(IF(INDEX(SubsidieTabel!$AD$1:$AG$12,MATCH($F94,SubsidieTabel!$AD$1:$AD$12,0),IFERROR(MATCH(Methode_Keuze,SubsidieTabel!$AD$1:$AG$1,0),2))&lt;&gt;1=TRUE,"ja",""),"")</f>
        <v/>
      </c>
    </row>
    <row r="95" spans="1:27" x14ac:dyDescent="0.25">
      <c r="A95" s="320"/>
      <c r="B95" s="321" t="str">
        <f>IF(A95&lt;&gt;"",_xlfn.MAXIFS($B$1:B94,$A$1:A94,A95)+1,"")</f>
        <v/>
      </c>
      <c r="C95" s="299"/>
      <c r="D95" s="299"/>
      <c r="E95" s="299"/>
      <c r="F95" s="299"/>
      <c r="G95" s="330"/>
      <c r="H95" s="328"/>
      <c r="I95" s="329"/>
      <c r="J95" s="329"/>
      <c r="K95" s="322"/>
      <c r="L95" s="322"/>
      <c r="M95" s="323" t="str">
        <f>IFERROR(VLOOKUP(H95,Lijsten!$H$1:$I$100,2,0),"")</f>
        <v/>
      </c>
      <c r="N95" s="323" t="str">
        <f ca="1">IFERROR(IF(VLOOKUP(F95,Kostentypen!$A$3:$E$21,3,0)=0,"",IF(OR(F95="Arbeidskosten",F95="Vergoeding"),VLOOKUP(G95,Tb_KostenTypen[],2,0),VLOOKUP(F95,Kostentypen!$A$3:$E$20,3,0))),"")</f>
        <v/>
      </c>
      <c r="O95" s="324"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4"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3"/>
      <c r="R95" s="363"/>
      <c r="S95" s="325"/>
      <c r="T95" s="325"/>
      <c r="U95" s="317" t="str" cm="1">
        <f t="array" aca="1" ref="U95" ca="1">IFERROR(IF(AA95&lt;&gt;"ja",_xlfn.IFNA(_xlfn.IFS(AND(O95&lt;&gt;"",F95&lt;&gt;"",RIGHT($N95,6)="tarief",F95="Vergoeding"),SUM(O95)*FLOOR(SUM(Q95),0.0001),AND(O95&lt;&gt;"",F95&lt;&gt;"",RIGHT($N95,6)="tarief"),SUM(O95)*FLOOR(SUM(Q95),0.01),S95&gt;0,IF(F95&lt;&gt;"",FLOOR(SUM(S95),0.01),"")),""),""),"")</f>
        <v/>
      </c>
      <c r="V95" s="317" t="str" cm="1">
        <f t="array" aca="1" ref="V95" ca="1">IFERROR(IF(AA95&lt;&gt;"ja",_xlfn.IFNA(_xlfn.IFS(AND(P95&lt;&gt;"",R95&lt;&gt;"",RIGHT($N95,6)="tarief",F95="Vergoeding"),SUM(P95)*FLOOR(SUM(R95),0.0001),AND(P95&lt;&gt;"",R95&lt;&gt;"",RIGHT($N95,6)="tarief"),P95*FLOOR(R95,0.01),T95&gt;0,FLOOR(SUM(T95),0.01)),""),""),"")</f>
        <v/>
      </c>
      <c r="W95" s="317" t="str" cm="1">
        <f t="array" aca="1" ref="W95" ca="1">IFERROR(_xlfn.IFS(OR(F95="",LEFT(Methode_Keuze,4)="Geen",Methode_Keuze=""),"",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17" t="str" cm="1">
        <f t="array" aca="1" ref="X95" ca="1">IFERROR(_xlfn.IFS(OR(F95="",LEFT(Methode_Keuze,4)="Geen",Methode_Keuze=""),"",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26"/>
      <c r="Z95" s="319"/>
      <c r="AA95" s="32" t="str" cm="1">
        <f t="array" ref="AA95">IFERROR(IF(INDEX(SubsidieTabel!$AD$1:$AG$12,MATCH($F95,SubsidieTabel!$AD$1:$AD$12,0),IFERROR(MATCH(Methode_Keuze,SubsidieTabel!$AD$1:$AG$1,0),2))&lt;&gt;1=TRUE,"ja",""),"")</f>
        <v/>
      </c>
    </row>
    <row r="96" spans="1:27" x14ac:dyDescent="0.25">
      <c r="A96" s="320"/>
      <c r="B96" s="321" t="str">
        <f>IF(A96&lt;&gt;"",_xlfn.MAXIFS($B$1:B95,$A$1:A95,A96)+1,"")</f>
        <v/>
      </c>
      <c r="C96" s="299"/>
      <c r="D96" s="299"/>
      <c r="E96" s="299"/>
      <c r="F96" s="299"/>
      <c r="G96" s="330"/>
      <c r="H96" s="328"/>
      <c r="I96" s="329"/>
      <c r="J96" s="329"/>
      <c r="K96" s="322"/>
      <c r="L96" s="322"/>
      <c r="M96" s="323" t="str">
        <f>IFERROR(VLOOKUP(H96,Lijsten!$H$1:$I$100,2,0),"")</f>
        <v/>
      </c>
      <c r="N96" s="323" t="str">
        <f ca="1">IFERROR(IF(VLOOKUP(F96,Kostentypen!$A$3:$E$21,3,0)=0,"",IF(OR(F96="Arbeidskosten",F96="Vergoeding"),VLOOKUP(G96,Tb_KostenTypen[],2,0),VLOOKUP(F96,Kostentypen!$A$3:$E$20,3,0))),"")</f>
        <v/>
      </c>
      <c r="O96" s="324"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4"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3"/>
      <c r="R96" s="363"/>
      <c r="S96" s="325"/>
      <c r="T96" s="325"/>
      <c r="U96" s="317" t="str" cm="1">
        <f t="array" aca="1" ref="U96" ca="1">IFERROR(IF(AA96&lt;&gt;"ja",_xlfn.IFNA(_xlfn.IFS(AND(O96&lt;&gt;"",F96&lt;&gt;"",RIGHT($N96,6)="tarief",F96="Vergoeding"),SUM(O96)*FLOOR(SUM(Q96),0.0001),AND(O96&lt;&gt;"",F96&lt;&gt;"",RIGHT($N96,6)="tarief"),SUM(O96)*FLOOR(SUM(Q96),0.01),S96&gt;0,IF(F96&lt;&gt;"",FLOOR(SUM(S96),0.01),"")),""),""),"")</f>
        <v/>
      </c>
      <c r="V96" s="317" t="str" cm="1">
        <f t="array" aca="1" ref="V96" ca="1">IFERROR(IF(AA96&lt;&gt;"ja",_xlfn.IFNA(_xlfn.IFS(AND(P96&lt;&gt;"",R96&lt;&gt;"",RIGHT($N96,6)="tarief",F96="Vergoeding"),SUM(P96)*FLOOR(SUM(R96),0.0001),AND(P96&lt;&gt;"",R96&lt;&gt;"",RIGHT($N96,6)="tarief"),P96*FLOOR(R96,0.01),T96&gt;0,FLOOR(SUM(T96),0.01)),""),""),"")</f>
        <v/>
      </c>
      <c r="W96" s="317" t="str" cm="1">
        <f t="array" aca="1" ref="W96" ca="1">IFERROR(_xlfn.IFS(OR(F96="",LEFT(Methode_Keuze,4)="Geen",Methode_Keuze=""),"",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17" t="str" cm="1">
        <f t="array" aca="1" ref="X96" ca="1">IFERROR(_xlfn.IFS(OR(F96="",LEFT(Methode_Keuze,4)="Geen",Methode_Keuze=""),"",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26"/>
      <c r="Z96" s="319"/>
      <c r="AA96" s="32" t="str" cm="1">
        <f t="array" ref="AA96">IFERROR(IF(INDEX(SubsidieTabel!$AD$1:$AG$12,MATCH($F96,SubsidieTabel!$AD$1:$AD$12,0),IFERROR(MATCH(Methode_Keuze,SubsidieTabel!$AD$1:$AG$1,0),2))&lt;&gt;1=TRUE,"ja",""),"")</f>
        <v/>
      </c>
    </row>
    <row r="97" spans="1:27" x14ac:dyDescent="0.25">
      <c r="A97" s="320"/>
      <c r="B97" s="321" t="str">
        <f>IF(A97&lt;&gt;"",_xlfn.MAXIFS($B$1:B96,$A$1:A96,A97)+1,"")</f>
        <v/>
      </c>
      <c r="C97" s="299"/>
      <c r="D97" s="299"/>
      <c r="E97" s="299"/>
      <c r="F97" s="299"/>
      <c r="G97" s="330"/>
      <c r="H97" s="328"/>
      <c r="I97" s="329"/>
      <c r="J97" s="329"/>
      <c r="K97" s="322"/>
      <c r="L97" s="322"/>
      <c r="M97" s="323" t="str">
        <f>IFERROR(VLOOKUP(H97,Lijsten!$H$1:$I$100,2,0),"")</f>
        <v/>
      </c>
      <c r="N97" s="323" t="str">
        <f ca="1">IFERROR(IF(VLOOKUP(F97,Kostentypen!$A$3:$E$21,3,0)=0,"",IF(OR(F97="Arbeidskosten",F97="Vergoeding"),VLOOKUP(G97,Tb_KostenTypen[],2,0),VLOOKUP(F97,Kostentypen!$A$3:$E$20,3,0))),"")</f>
        <v/>
      </c>
      <c r="O97" s="324"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4"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3"/>
      <c r="R97" s="363"/>
      <c r="S97" s="325"/>
      <c r="T97" s="325"/>
      <c r="U97" s="317" t="str" cm="1">
        <f t="array" aca="1" ref="U97" ca="1">IFERROR(IF(AA97&lt;&gt;"ja",_xlfn.IFNA(_xlfn.IFS(AND(O97&lt;&gt;"",F97&lt;&gt;"",RIGHT($N97,6)="tarief",F97="Vergoeding"),SUM(O97)*FLOOR(SUM(Q97),0.0001),AND(O97&lt;&gt;"",F97&lt;&gt;"",RIGHT($N97,6)="tarief"),SUM(O97)*FLOOR(SUM(Q97),0.01),S97&gt;0,IF(F97&lt;&gt;"",FLOOR(SUM(S97),0.01),"")),""),""),"")</f>
        <v/>
      </c>
      <c r="V97" s="317" t="str" cm="1">
        <f t="array" aca="1" ref="V97" ca="1">IFERROR(IF(AA97&lt;&gt;"ja",_xlfn.IFNA(_xlfn.IFS(AND(P97&lt;&gt;"",R97&lt;&gt;"",RIGHT($N97,6)="tarief",F97="Vergoeding"),SUM(P97)*FLOOR(SUM(R97),0.0001),AND(P97&lt;&gt;"",R97&lt;&gt;"",RIGHT($N97,6)="tarief"),P97*FLOOR(R97,0.01),T97&gt;0,FLOOR(SUM(T97),0.01)),""),""),"")</f>
        <v/>
      </c>
      <c r="W97" s="317" t="str" cm="1">
        <f t="array" aca="1" ref="W97" ca="1">IFERROR(_xlfn.IFS(OR(F97="",LEFT(Methode_Keuze,4)="Geen",Methode_Keuze=""),"",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17" t="str" cm="1">
        <f t="array" aca="1" ref="X97" ca="1">IFERROR(_xlfn.IFS(OR(F97="",LEFT(Methode_Keuze,4)="Geen",Methode_Keuze=""),"",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26"/>
      <c r="Z97" s="319"/>
      <c r="AA97" s="32" t="str" cm="1">
        <f t="array" ref="AA97">IFERROR(IF(INDEX(SubsidieTabel!$AD$1:$AG$12,MATCH($F97,SubsidieTabel!$AD$1:$AD$12,0),IFERROR(MATCH(Methode_Keuze,SubsidieTabel!$AD$1:$AG$1,0),2))&lt;&gt;1=TRUE,"ja",""),"")</f>
        <v/>
      </c>
    </row>
    <row r="98" spans="1:27" x14ac:dyDescent="0.25">
      <c r="A98" s="320"/>
      <c r="B98" s="321" t="str">
        <f>IF(A98&lt;&gt;"",_xlfn.MAXIFS($B$1:B97,$A$1:A97,A98)+1,"")</f>
        <v/>
      </c>
      <c r="C98" s="299"/>
      <c r="D98" s="299"/>
      <c r="E98" s="299"/>
      <c r="F98" s="299"/>
      <c r="G98" s="330"/>
      <c r="H98" s="328"/>
      <c r="I98" s="329"/>
      <c r="J98" s="329"/>
      <c r="K98" s="322"/>
      <c r="L98" s="322"/>
      <c r="M98" s="323" t="str">
        <f>IFERROR(VLOOKUP(H98,Lijsten!$H$1:$I$100,2,0),"")</f>
        <v/>
      </c>
      <c r="N98" s="323" t="str">
        <f ca="1">IFERROR(IF(VLOOKUP(F98,Kostentypen!$A$3:$E$21,3,0)=0,"",IF(OR(F98="Arbeidskosten",F98="Vergoeding"),VLOOKUP(G98,Tb_KostenTypen[],2,0),VLOOKUP(F98,Kostentypen!$A$3:$E$20,3,0))),"")</f>
        <v/>
      </c>
      <c r="O98" s="324"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4"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3"/>
      <c r="R98" s="363"/>
      <c r="S98" s="325"/>
      <c r="T98" s="325"/>
      <c r="U98" s="317" t="str" cm="1">
        <f t="array" aca="1" ref="U98" ca="1">IFERROR(IF(AA98&lt;&gt;"ja",_xlfn.IFNA(_xlfn.IFS(AND(O98&lt;&gt;"",F98&lt;&gt;"",RIGHT($N98,6)="tarief",F98="Vergoeding"),SUM(O98)*FLOOR(SUM(Q98),0.0001),AND(O98&lt;&gt;"",F98&lt;&gt;"",RIGHT($N98,6)="tarief"),SUM(O98)*FLOOR(SUM(Q98),0.01),S98&gt;0,IF(F98&lt;&gt;"",FLOOR(SUM(S98),0.01),"")),""),""),"")</f>
        <v/>
      </c>
      <c r="V98" s="317" t="str" cm="1">
        <f t="array" aca="1" ref="V98" ca="1">IFERROR(IF(AA98&lt;&gt;"ja",_xlfn.IFNA(_xlfn.IFS(AND(P98&lt;&gt;"",R98&lt;&gt;"",RIGHT($N98,6)="tarief",F98="Vergoeding"),SUM(P98)*FLOOR(SUM(R98),0.0001),AND(P98&lt;&gt;"",R98&lt;&gt;"",RIGHT($N98,6)="tarief"),P98*FLOOR(R98,0.01),T98&gt;0,FLOOR(SUM(T98),0.01)),""),""),"")</f>
        <v/>
      </c>
      <c r="W98" s="317" t="str" cm="1">
        <f t="array" aca="1" ref="W98" ca="1">IFERROR(_xlfn.IFS(OR(F98="",LEFT(Methode_Keuze,4)="Geen",Methode_Keuze=""),"",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17" t="str" cm="1">
        <f t="array" aca="1" ref="X98" ca="1">IFERROR(_xlfn.IFS(OR(F98="",LEFT(Methode_Keuze,4)="Geen",Methode_Keuze=""),"",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26"/>
      <c r="Z98" s="319"/>
      <c r="AA98" s="32" t="str" cm="1">
        <f t="array" ref="AA98">IFERROR(IF(INDEX(SubsidieTabel!$AD$1:$AG$12,MATCH($F98,SubsidieTabel!$AD$1:$AD$12,0),IFERROR(MATCH(Methode_Keuze,SubsidieTabel!$AD$1:$AG$1,0),2))&lt;&gt;1=TRUE,"ja",""),"")</f>
        <v/>
      </c>
    </row>
    <row r="99" spans="1:27" x14ac:dyDescent="0.25">
      <c r="A99" s="320"/>
      <c r="B99" s="321" t="str">
        <f>IF(A99&lt;&gt;"",_xlfn.MAXIFS($B$1:B98,$A$1:A98,A99)+1,"")</f>
        <v/>
      </c>
      <c r="C99" s="299"/>
      <c r="D99" s="299"/>
      <c r="E99" s="299"/>
      <c r="F99" s="299"/>
      <c r="G99" s="330"/>
      <c r="H99" s="328"/>
      <c r="I99" s="329"/>
      <c r="J99" s="329"/>
      <c r="K99" s="322"/>
      <c r="L99" s="322"/>
      <c r="M99" s="323" t="str">
        <f>IFERROR(VLOOKUP(H99,Lijsten!$H$1:$I$100,2,0),"")</f>
        <v/>
      </c>
      <c r="N99" s="323" t="str">
        <f ca="1">IFERROR(IF(VLOOKUP(F99,Kostentypen!$A$3:$E$21,3,0)=0,"",IF(OR(F99="Arbeidskosten",F99="Vergoeding"),VLOOKUP(G99,Tb_KostenTypen[],2,0),VLOOKUP(F99,Kostentypen!$A$3:$E$20,3,0))),"")</f>
        <v/>
      </c>
      <c r="O99" s="324"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4"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3"/>
      <c r="R99" s="363"/>
      <c r="S99" s="325"/>
      <c r="T99" s="325"/>
      <c r="U99" s="317" t="str" cm="1">
        <f t="array" aca="1" ref="U99" ca="1">IFERROR(IF(AA99&lt;&gt;"ja",_xlfn.IFNA(_xlfn.IFS(AND(O99&lt;&gt;"",F99&lt;&gt;"",RIGHT($N99,6)="tarief",F99="Vergoeding"),SUM(O99)*FLOOR(SUM(Q99),0.0001),AND(O99&lt;&gt;"",F99&lt;&gt;"",RIGHT($N99,6)="tarief"),SUM(O99)*FLOOR(SUM(Q99),0.01),S99&gt;0,IF(F99&lt;&gt;"",FLOOR(SUM(S99),0.01),"")),""),""),"")</f>
        <v/>
      </c>
      <c r="V99" s="317" t="str" cm="1">
        <f t="array" aca="1" ref="V99" ca="1">IFERROR(IF(AA99&lt;&gt;"ja",_xlfn.IFNA(_xlfn.IFS(AND(P99&lt;&gt;"",R99&lt;&gt;"",RIGHT($N99,6)="tarief",F99="Vergoeding"),SUM(P99)*FLOOR(SUM(R99),0.0001),AND(P99&lt;&gt;"",R99&lt;&gt;"",RIGHT($N99,6)="tarief"),P99*FLOOR(R99,0.01),T99&gt;0,FLOOR(SUM(T99),0.01)),""),""),"")</f>
        <v/>
      </c>
      <c r="W99" s="317" t="str" cm="1">
        <f t="array" aca="1" ref="W99" ca="1">IFERROR(_xlfn.IFS(OR(F99="",LEFT(Methode_Keuze,4)="Geen",Methode_Keuze=""),"",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17" t="str" cm="1">
        <f t="array" aca="1" ref="X99" ca="1">IFERROR(_xlfn.IFS(OR(F99="",LEFT(Methode_Keuze,4)="Geen",Methode_Keuze=""),"",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26"/>
      <c r="Z99" s="319"/>
      <c r="AA99" s="32" t="str" cm="1">
        <f t="array" ref="AA99">IFERROR(IF(INDEX(SubsidieTabel!$AD$1:$AG$12,MATCH($F99,SubsidieTabel!$AD$1:$AD$12,0),IFERROR(MATCH(Methode_Keuze,SubsidieTabel!$AD$1:$AG$1,0),2))&lt;&gt;1=TRUE,"ja",""),"")</f>
        <v/>
      </c>
    </row>
    <row r="100" spans="1:27" x14ac:dyDescent="0.25">
      <c r="A100" s="320"/>
      <c r="B100" s="321" t="str">
        <f>IF(A100&lt;&gt;"",_xlfn.MAXIFS($B$1:B99,$A$1:A99,A100)+1,"")</f>
        <v/>
      </c>
      <c r="C100" s="299"/>
      <c r="D100" s="299"/>
      <c r="E100" s="299"/>
      <c r="F100" s="299"/>
      <c r="G100" s="330"/>
      <c r="H100" s="328"/>
      <c r="I100" s="329"/>
      <c r="J100" s="329"/>
      <c r="K100" s="322"/>
      <c r="L100" s="322"/>
      <c r="M100" s="323" t="str">
        <f>IFERROR(VLOOKUP(H100,Lijsten!$H$1:$I$100,2,0),"")</f>
        <v/>
      </c>
      <c r="N100" s="323" t="str">
        <f ca="1">IFERROR(IF(VLOOKUP(F100,Kostentypen!$A$3:$E$21,3,0)=0,"",IF(OR(F100="Arbeidskosten",F100="Vergoeding"),VLOOKUP(G100,Tb_KostenTypen[],2,0),VLOOKUP(F100,Kostentypen!$A$3:$E$20,3,0))),"")</f>
        <v/>
      </c>
      <c r="O100" s="324"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4"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3"/>
      <c r="R100" s="363"/>
      <c r="S100" s="325"/>
      <c r="T100" s="325"/>
      <c r="U100" s="317" t="str" cm="1">
        <f t="array" aca="1" ref="U100" ca="1">IFERROR(IF(AA100&lt;&gt;"ja",_xlfn.IFNA(_xlfn.IFS(AND(O100&lt;&gt;"",F100&lt;&gt;"",RIGHT($N100,6)="tarief",F100="Vergoeding"),SUM(O100)*FLOOR(SUM(Q100),0.0001),AND(O100&lt;&gt;"",F100&lt;&gt;"",RIGHT($N100,6)="tarief"),SUM(O100)*FLOOR(SUM(Q100),0.01),S100&gt;0,IF(F100&lt;&gt;"",FLOOR(SUM(S100),0.01),"")),""),""),"")</f>
        <v/>
      </c>
      <c r="V100" s="317" t="str" cm="1">
        <f t="array" aca="1" ref="V100" ca="1">IFERROR(IF(AA100&lt;&gt;"ja",_xlfn.IFNA(_xlfn.IFS(AND(P100&lt;&gt;"",R100&lt;&gt;"",RIGHT($N100,6)="tarief",F100="Vergoeding"),SUM(P100)*FLOOR(SUM(R100),0.0001),AND(P100&lt;&gt;"",R100&lt;&gt;"",RIGHT($N100,6)="tarief"),P100*FLOOR(R100,0.01),T100&gt;0,FLOOR(SUM(T100),0.01)),""),""),"")</f>
        <v/>
      </c>
      <c r="W100" s="317" t="str" cm="1">
        <f t="array" aca="1" ref="W100" ca="1">IFERROR(_xlfn.IFS(OR(F100="",LEFT(Methode_Keuze,4)="Geen",Methode_Keuze=""),"",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17" t="str" cm="1">
        <f t="array" aca="1" ref="X100" ca="1">IFERROR(_xlfn.IFS(OR(F100="",LEFT(Methode_Keuze,4)="Geen",Methode_Keuze=""),"",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26"/>
      <c r="Z100" s="319"/>
      <c r="AA100" s="32" t="str" cm="1">
        <f t="array" ref="AA100">IFERROR(IF(INDEX(SubsidieTabel!$AD$1:$AG$12,MATCH($F100,SubsidieTabel!$AD$1:$AD$12,0),IFERROR(MATCH(Methode_Keuze,SubsidieTabel!$AD$1:$AG$1,0),2))&lt;&gt;1=TRUE,"ja",""),"")</f>
        <v/>
      </c>
    </row>
    <row r="101" spans="1:27" x14ac:dyDescent="0.25">
      <c r="A101" s="320"/>
      <c r="B101" s="321" t="str">
        <f>IF(A101&lt;&gt;"",_xlfn.MAXIFS($B$1:B100,$A$1:A100,A101)+1,"")</f>
        <v/>
      </c>
      <c r="C101" s="299"/>
      <c r="D101" s="299"/>
      <c r="E101" s="299"/>
      <c r="F101" s="299"/>
      <c r="G101" s="330"/>
      <c r="H101" s="328"/>
      <c r="I101" s="329"/>
      <c r="J101" s="329"/>
      <c r="K101" s="322"/>
      <c r="L101" s="322"/>
      <c r="M101" s="323" t="str">
        <f>IFERROR(VLOOKUP(H101,Lijsten!$H$1:$I$100,2,0),"")</f>
        <v/>
      </c>
      <c r="N101" s="323" t="str">
        <f ca="1">IFERROR(IF(VLOOKUP(F101,Kostentypen!$A$3:$E$21,3,0)=0,"",IF(OR(F101="Arbeidskosten",F101="Vergoeding"),VLOOKUP(G101,Tb_KostenTypen[],2,0),VLOOKUP(F101,Kostentypen!$A$3:$E$20,3,0))),"")</f>
        <v/>
      </c>
      <c r="O101" s="324"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4"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3"/>
      <c r="R101" s="363"/>
      <c r="S101" s="325"/>
      <c r="T101" s="325"/>
      <c r="U101" s="317" t="str" cm="1">
        <f t="array" aca="1" ref="U101" ca="1">IFERROR(IF(AA101&lt;&gt;"ja",_xlfn.IFNA(_xlfn.IFS(AND(O101&lt;&gt;"",F101&lt;&gt;"",RIGHT($N101,6)="tarief",F101="Vergoeding"),SUM(O101)*FLOOR(SUM(Q101),0.0001),AND(O101&lt;&gt;"",F101&lt;&gt;"",RIGHT($N101,6)="tarief"),SUM(O101)*FLOOR(SUM(Q101),0.01),S101&gt;0,IF(F101&lt;&gt;"",FLOOR(SUM(S101),0.01),"")),""),""),"")</f>
        <v/>
      </c>
      <c r="V101" s="317" t="str" cm="1">
        <f t="array" aca="1" ref="V101" ca="1">IFERROR(IF(AA101&lt;&gt;"ja",_xlfn.IFNA(_xlfn.IFS(AND(P101&lt;&gt;"",R101&lt;&gt;"",RIGHT($N101,6)="tarief",F101="Vergoeding"),SUM(P101)*FLOOR(SUM(R101),0.0001),AND(P101&lt;&gt;"",R101&lt;&gt;"",RIGHT($N101,6)="tarief"),P101*FLOOR(R101,0.01),T101&gt;0,FLOOR(SUM(T101),0.01)),""),""),"")</f>
        <v/>
      </c>
      <c r="W101" s="317" t="str" cm="1">
        <f t="array" aca="1" ref="W101" ca="1">IFERROR(_xlfn.IFS(OR(F101="",LEFT(Methode_Keuze,4)="Geen",Methode_Keuze=""),"",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17" t="str" cm="1">
        <f t="array" aca="1" ref="X101" ca="1">IFERROR(_xlfn.IFS(OR(F101="",LEFT(Methode_Keuze,4)="Geen",Methode_Keuze=""),"",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26"/>
      <c r="Z101" s="319"/>
      <c r="AA101" s="32" t="str" cm="1">
        <f t="array" ref="AA101">IFERROR(IF(INDEX(SubsidieTabel!$AD$1:$AG$12,MATCH($F101,SubsidieTabel!$AD$1:$AD$12,0),IFERROR(MATCH(Methode_Keuze,SubsidieTabel!$AD$1:$AG$1,0),2))&lt;&gt;1=TRUE,"ja",""),"")</f>
        <v/>
      </c>
    </row>
    <row r="102" spans="1:27" x14ac:dyDescent="0.25">
      <c r="A102" s="320"/>
      <c r="B102" s="321" t="str">
        <f>IF(A102&lt;&gt;"",_xlfn.MAXIFS($B$1:B101,$A$1:A101,A102)+1,"")</f>
        <v/>
      </c>
      <c r="C102" s="299"/>
      <c r="D102" s="299"/>
      <c r="E102" s="299"/>
      <c r="F102" s="299"/>
      <c r="G102" s="330"/>
      <c r="H102" s="328"/>
      <c r="I102" s="329"/>
      <c r="J102" s="329"/>
      <c r="K102" s="322"/>
      <c r="L102" s="322"/>
      <c r="M102" s="323" t="str">
        <f>IFERROR(VLOOKUP(H102,Lijsten!$H$1:$I$100,2,0),"")</f>
        <v/>
      </c>
      <c r="N102" s="323" t="str">
        <f ca="1">IFERROR(IF(VLOOKUP(F102,Kostentypen!$A$3:$E$21,3,0)=0,"",IF(OR(F102="Arbeidskosten",F102="Vergoeding"),VLOOKUP(G102,Tb_KostenTypen[],2,0),VLOOKUP(F102,Kostentypen!$A$3:$E$20,3,0))),"")</f>
        <v/>
      </c>
      <c r="O102" s="324"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4"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3"/>
      <c r="R102" s="363"/>
      <c r="S102" s="325"/>
      <c r="T102" s="325"/>
      <c r="U102" s="317" t="str" cm="1">
        <f t="array" aca="1" ref="U102" ca="1">IFERROR(IF(AA102&lt;&gt;"ja",_xlfn.IFNA(_xlfn.IFS(AND(O102&lt;&gt;"",F102&lt;&gt;"",RIGHT($N102,6)="tarief",F102="Vergoeding"),SUM(O102)*FLOOR(SUM(Q102),0.0001),AND(O102&lt;&gt;"",F102&lt;&gt;"",RIGHT($N102,6)="tarief"),SUM(O102)*FLOOR(SUM(Q102),0.01),S102&gt;0,IF(F102&lt;&gt;"",FLOOR(SUM(S102),0.01),"")),""),""),"")</f>
        <v/>
      </c>
      <c r="V102" s="317" t="str" cm="1">
        <f t="array" aca="1" ref="V102" ca="1">IFERROR(IF(AA102&lt;&gt;"ja",_xlfn.IFNA(_xlfn.IFS(AND(P102&lt;&gt;"",R102&lt;&gt;"",RIGHT($N102,6)="tarief",F102="Vergoeding"),SUM(P102)*FLOOR(SUM(R102),0.0001),AND(P102&lt;&gt;"",R102&lt;&gt;"",RIGHT($N102,6)="tarief"),P102*FLOOR(R102,0.01),T102&gt;0,FLOOR(SUM(T102),0.01)),""),""),"")</f>
        <v/>
      </c>
      <c r="W102" s="317" t="str" cm="1">
        <f t="array" aca="1" ref="W102" ca="1">IFERROR(_xlfn.IFS(OR(F102="",LEFT(Methode_Keuze,4)="Geen",Methode_Keuze=""),"",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17" t="str" cm="1">
        <f t="array" aca="1" ref="X102" ca="1">IFERROR(_xlfn.IFS(OR(F102="",LEFT(Methode_Keuze,4)="Geen",Methode_Keuze=""),"",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26"/>
      <c r="Z102" s="319"/>
      <c r="AA102" s="32" t="str" cm="1">
        <f t="array" ref="AA102">IFERROR(IF(INDEX(SubsidieTabel!$AD$1:$AG$12,MATCH($F102,SubsidieTabel!$AD$1:$AD$12,0),IFERROR(MATCH(Methode_Keuze,SubsidieTabel!$AD$1:$AG$1,0),2))&lt;&gt;1=TRUE,"ja",""),"")</f>
        <v/>
      </c>
    </row>
    <row r="103" spans="1:27" x14ac:dyDescent="0.25">
      <c r="A103" s="320"/>
      <c r="B103" s="321" t="str">
        <f>IF(A103&lt;&gt;"",_xlfn.MAXIFS($B$1:B102,$A$1:A102,A103)+1,"")</f>
        <v/>
      </c>
      <c r="C103" s="299"/>
      <c r="D103" s="299"/>
      <c r="E103" s="299"/>
      <c r="F103" s="299"/>
      <c r="G103" s="330"/>
      <c r="H103" s="328"/>
      <c r="I103" s="329"/>
      <c r="J103" s="329"/>
      <c r="K103" s="322"/>
      <c r="L103" s="322"/>
      <c r="M103" s="323" t="str">
        <f>IFERROR(VLOOKUP(H103,Lijsten!$H$1:$I$100,2,0),"")</f>
        <v/>
      </c>
      <c r="N103" s="323" t="str">
        <f ca="1">IFERROR(IF(VLOOKUP(F103,Kostentypen!$A$3:$E$21,3,0)=0,"",IF(OR(F103="Arbeidskosten",F103="Vergoeding"),VLOOKUP(G103,Tb_KostenTypen[],2,0),VLOOKUP(F103,Kostentypen!$A$3:$E$20,3,0))),"")</f>
        <v/>
      </c>
      <c r="O103" s="324"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4"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3"/>
      <c r="R103" s="363"/>
      <c r="S103" s="325"/>
      <c r="T103" s="325"/>
      <c r="U103" s="317" t="str" cm="1">
        <f t="array" aca="1" ref="U103" ca="1">IFERROR(IF(AA103&lt;&gt;"ja",_xlfn.IFNA(_xlfn.IFS(AND(O103&lt;&gt;"",F103&lt;&gt;"",RIGHT($N103,6)="tarief",F103="Vergoeding"),SUM(O103)*FLOOR(SUM(Q103),0.0001),AND(O103&lt;&gt;"",F103&lt;&gt;"",RIGHT($N103,6)="tarief"),SUM(O103)*FLOOR(SUM(Q103),0.01),S103&gt;0,IF(F103&lt;&gt;"",FLOOR(SUM(S103),0.01),"")),""),""),"")</f>
        <v/>
      </c>
      <c r="V103" s="317" t="str" cm="1">
        <f t="array" aca="1" ref="V103" ca="1">IFERROR(IF(AA103&lt;&gt;"ja",_xlfn.IFNA(_xlfn.IFS(AND(P103&lt;&gt;"",R103&lt;&gt;"",RIGHT($N103,6)="tarief",F103="Vergoeding"),SUM(P103)*FLOOR(SUM(R103),0.0001),AND(P103&lt;&gt;"",R103&lt;&gt;"",RIGHT($N103,6)="tarief"),P103*FLOOR(R103,0.01),T103&gt;0,FLOOR(SUM(T103),0.01)),""),""),"")</f>
        <v/>
      </c>
      <c r="W103" s="317" t="str" cm="1">
        <f t="array" aca="1" ref="W103" ca="1">IFERROR(_xlfn.IFS(OR(F103="",LEFT(Methode_Keuze,4)="Geen",Methode_Keuze=""),"",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17" t="str" cm="1">
        <f t="array" aca="1" ref="X103" ca="1">IFERROR(_xlfn.IFS(OR(F103="",LEFT(Methode_Keuze,4)="Geen",Methode_Keuze=""),"",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26"/>
      <c r="Z103" s="319"/>
      <c r="AA103" s="32" t="str" cm="1">
        <f t="array" ref="AA103">IFERROR(IF(INDEX(SubsidieTabel!$AD$1:$AG$12,MATCH($F103,SubsidieTabel!$AD$1:$AD$12,0),IFERROR(MATCH(Methode_Keuze,SubsidieTabel!$AD$1:$AG$1,0),2))&lt;&gt;1=TRUE,"ja",""),"")</f>
        <v/>
      </c>
    </row>
    <row r="104" spans="1:27" x14ac:dyDescent="0.25">
      <c r="A104" s="320"/>
      <c r="B104" s="321" t="str">
        <f>IF(A104&lt;&gt;"",_xlfn.MAXIFS($B$1:B103,$A$1:A103,A104)+1,"")</f>
        <v/>
      </c>
      <c r="C104" s="299"/>
      <c r="D104" s="299"/>
      <c r="E104" s="299"/>
      <c r="F104" s="299"/>
      <c r="G104" s="330"/>
      <c r="H104" s="328"/>
      <c r="I104" s="329"/>
      <c r="J104" s="329"/>
      <c r="K104" s="322"/>
      <c r="L104" s="322"/>
      <c r="M104" s="323" t="str">
        <f>IFERROR(VLOOKUP(H104,Lijsten!$H$1:$I$100,2,0),"")</f>
        <v/>
      </c>
      <c r="N104" s="323" t="str">
        <f ca="1">IFERROR(IF(VLOOKUP(F104,Kostentypen!$A$3:$E$21,3,0)=0,"",IF(OR(F104="Arbeidskosten",F104="Vergoeding"),VLOOKUP(G104,Tb_KostenTypen[],2,0),VLOOKUP(F104,Kostentypen!$A$3:$E$20,3,0))),"")</f>
        <v/>
      </c>
      <c r="O104" s="324"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4"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3"/>
      <c r="R104" s="363"/>
      <c r="S104" s="325"/>
      <c r="T104" s="325"/>
      <c r="U104" s="317" t="str" cm="1">
        <f t="array" aca="1" ref="U104" ca="1">IFERROR(IF(AA104&lt;&gt;"ja",_xlfn.IFNA(_xlfn.IFS(AND(O104&lt;&gt;"",F104&lt;&gt;"",RIGHT($N104,6)="tarief",F104="Vergoeding"),SUM(O104)*FLOOR(SUM(Q104),0.0001),AND(O104&lt;&gt;"",F104&lt;&gt;"",RIGHT($N104,6)="tarief"),SUM(O104)*FLOOR(SUM(Q104),0.01),S104&gt;0,IF(F104&lt;&gt;"",FLOOR(SUM(S104),0.01),"")),""),""),"")</f>
        <v/>
      </c>
      <c r="V104" s="317" t="str" cm="1">
        <f t="array" aca="1" ref="V104" ca="1">IFERROR(IF(AA104&lt;&gt;"ja",_xlfn.IFNA(_xlfn.IFS(AND(P104&lt;&gt;"",R104&lt;&gt;"",RIGHT($N104,6)="tarief",F104="Vergoeding"),SUM(P104)*FLOOR(SUM(R104),0.0001),AND(P104&lt;&gt;"",R104&lt;&gt;"",RIGHT($N104,6)="tarief"),P104*FLOOR(R104,0.01),T104&gt;0,FLOOR(SUM(T104),0.01)),""),""),"")</f>
        <v/>
      </c>
      <c r="W104" s="317" t="str" cm="1">
        <f t="array" aca="1" ref="W104" ca="1">IFERROR(_xlfn.IFS(OR(F104="",LEFT(Methode_Keuze,4)="Geen",Methode_Keuze=""),"",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17" t="str" cm="1">
        <f t="array" aca="1" ref="X104" ca="1">IFERROR(_xlfn.IFS(OR(F104="",LEFT(Methode_Keuze,4)="Geen",Methode_Keuze=""),"",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26"/>
      <c r="Z104" s="319"/>
      <c r="AA104" s="32" t="str" cm="1">
        <f t="array" ref="AA104">IFERROR(IF(INDEX(SubsidieTabel!$AD$1:$AG$12,MATCH($F104,SubsidieTabel!$AD$1:$AD$12,0),IFERROR(MATCH(Methode_Keuze,SubsidieTabel!$AD$1:$AG$1,0),2))&lt;&gt;1=TRUE,"ja",""),"")</f>
        <v/>
      </c>
    </row>
    <row r="105" spans="1:27" x14ac:dyDescent="0.25">
      <c r="A105" s="320"/>
      <c r="B105" s="321" t="str">
        <f>IF(A105&lt;&gt;"",_xlfn.MAXIFS($B$1:B104,$A$1:A104,A105)+1,"")</f>
        <v/>
      </c>
      <c r="C105" s="299"/>
      <c r="D105" s="299"/>
      <c r="E105" s="299"/>
      <c r="F105" s="299"/>
      <c r="G105" s="330"/>
      <c r="H105" s="328"/>
      <c r="I105" s="329"/>
      <c r="J105" s="329"/>
      <c r="K105" s="322"/>
      <c r="L105" s="322"/>
      <c r="M105" s="323" t="str">
        <f>IFERROR(VLOOKUP(H105,Lijsten!$H$1:$I$100,2,0),"")</f>
        <v/>
      </c>
      <c r="N105" s="323" t="str">
        <f ca="1">IFERROR(IF(VLOOKUP(F105,Kostentypen!$A$3:$E$21,3,0)=0,"",IF(OR(F105="Arbeidskosten",F105="Vergoeding"),VLOOKUP(G105,Tb_KostenTypen[],2,0),VLOOKUP(F105,Kostentypen!$A$3:$E$20,3,0))),"")</f>
        <v/>
      </c>
      <c r="O105" s="324"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4"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3"/>
      <c r="R105" s="363"/>
      <c r="S105" s="325"/>
      <c r="T105" s="325"/>
      <c r="U105" s="317" t="str" cm="1">
        <f t="array" aca="1" ref="U105" ca="1">IFERROR(IF(AA105&lt;&gt;"ja",_xlfn.IFNA(_xlfn.IFS(AND(O105&lt;&gt;"",F105&lt;&gt;"",RIGHT($N105,6)="tarief",F105="Vergoeding"),SUM(O105)*FLOOR(SUM(Q105),0.0001),AND(O105&lt;&gt;"",F105&lt;&gt;"",RIGHT($N105,6)="tarief"),SUM(O105)*FLOOR(SUM(Q105),0.01),S105&gt;0,IF(F105&lt;&gt;"",FLOOR(SUM(S105),0.01),"")),""),""),"")</f>
        <v/>
      </c>
      <c r="V105" s="317" t="str" cm="1">
        <f t="array" aca="1" ref="V105" ca="1">IFERROR(IF(AA105&lt;&gt;"ja",_xlfn.IFNA(_xlfn.IFS(AND(P105&lt;&gt;"",R105&lt;&gt;"",RIGHT($N105,6)="tarief",F105="Vergoeding"),SUM(P105)*FLOOR(SUM(R105),0.0001),AND(P105&lt;&gt;"",R105&lt;&gt;"",RIGHT($N105,6)="tarief"),P105*FLOOR(R105,0.01),T105&gt;0,FLOOR(SUM(T105),0.01)),""),""),"")</f>
        <v/>
      </c>
      <c r="W105" s="317" t="str" cm="1">
        <f t="array" aca="1" ref="W105" ca="1">IFERROR(_xlfn.IFS(OR(F105="",LEFT(Methode_Keuze,4)="Geen",Methode_Keuze=""),"",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17" t="str" cm="1">
        <f t="array" aca="1" ref="X105" ca="1">IFERROR(_xlfn.IFS(OR(F105="",LEFT(Methode_Keuze,4)="Geen",Methode_Keuze=""),"",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26"/>
      <c r="Z105" s="319"/>
      <c r="AA105" s="32" t="str" cm="1">
        <f t="array" ref="AA105">IFERROR(IF(INDEX(SubsidieTabel!$AD$1:$AG$12,MATCH($F105,SubsidieTabel!$AD$1:$AD$12,0),IFERROR(MATCH(Methode_Keuze,SubsidieTabel!$AD$1:$AG$1,0),2))&lt;&gt;1=TRUE,"ja",""),"")</f>
        <v/>
      </c>
    </row>
    <row r="106" spans="1:27" x14ac:dyDescent="0.25">
      <c r="A106" s="320"/>
      <c r="B106" s="321" t="str">
        <f>IF(A106&lt;&gt;"",_xlfn.MAXIFS($B$1:B105,$A$1:A105,A106)+1,"")</f>
        <v/>
      </c>
      <c r="C106" s="299"/>
      <c r="D106" s="299"/>
      <c r="E106" s="299"/>
      <c r="F106" s="299"/>
      <c r="G106" s="330"/>
      <c r="H106" s="328"/>
      <c r="I106" s="329"/>
      <c r="J106" s="329"/>
      <c r="K106" s="322"/>
      <c r="L106" s="322"/>
      <c r="M106" s="323" t="str">
        <f>IFERROR(VLOOKUP(H106,Lijsten!$H$1:$I$100,2,0),"")</f>
        <v/>
      </c>
      <c r="N106" s="323" t="str">
        <f ca="1">IFERROR(IF(VLOOKUP(F106,Kostentypen!$A$3:$E$21,3,0)=0,"",IF(OR(F106="Arbeidskosten",F106="Vergoeding"),VLOOKUP(G106,Tb_KostenTypen[],2,0),VLOOKUP(F106,Kostentypen!$A$3:$E$20,3,0))),"")</f>
        <v/>
      </c>
      <c r="O106" s="324"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4"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3"/>
      <c r="R106" s="363"/>
      <c r="S106" s="325"/>
      <c r="T106" s="325"/>
      <c r="U106" s="317" t="str" cm="1">
        <f t="array" aca="1" ref="U106" ca="1">IFERROR(IF(AA106&lt;&gt;"ja",_xlfn.IFNA(_xlfn.IFS(AND(O106&lt;&gt;"",F106&lt;&gt;"",RIGHT($N106,6)="tarief",F106="Vergoeding"),SUM(O106)*FLOOR(SUM(Q106),0.0001),AND(O106&lt;&gt;"",F106&lt;&gt;"",RIGHT($N106,6)="tarief"),SUM(O106)*FLOOR(SUM(Q106),0.01),S106&gt;0,IF(F106&lt;&gt;"",FLOOR(SUM(S106),0.01),"")),""),""),"")</f>
        <v/>
      </c>
      <c r="V106" s="317" t="str" cm="1">
        <f t="array" aca="1" ref="V106" ca="1">IFERROR(IF(AA106&lt;&gt;"ja",_xlfn.IFNA(_xlfn.IFS(AND(P106&lt;&gt;"",R106&lt;&gt;"",RIGHT($N106,6)="tarief",F106="Vergoeding"),SUM(P106)*FLOOR(SUM(R106),0.0001),AND(P106&lt;&gt;"",R106&lt;&gt;"",RIGHT($N106,6)="tarief"),P106*FLOOR(R106,0.01),T106&gt;0,FLOOR(SUM(T106),0.01)),""),""),"")</f>
        <v/>
      </c>
      <c r="W106" s="317" t="str" cm="1">
        <f t="array" aca="1" ref="W106" ca="1">IFERROR(_xlfn.IFS(OR(F106="",LEFT(Methode_Keuze,4)="Geen",Methode_Keuze=""),"",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17" t="str" cm="1">
        <f t="array" aca="1" ref="X106" ca="1">IFERROR(_xlfn.IFS(OR(F106="",LEFT(Methode_Keuze,4)="Geen",Methode_Keuze=""),"",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26"/>
      <c r="Z106" s="319"/>
      <c r="AA106" s="32" t="str" cm="1">
        <f t="array" ref="AA106">IFERROR(IF(INDEX(SubsidieTabel!$AD$1:$AG$12,MATCH($F106,SubsidieTabel!$AD$1:$AD$12,0),IFERROR(MATCH(Methode_Keuze,SubsidieTabel!$AD$1:$AG$1,0),2))&lt;&gt;1=TRUE,"ja",""),"")</f>
        <v/>
      </c>
    </row>
    <row r="107" spans="1:27" x14ac:dyDescent="0.25">
      <c r="A107" s="320"/>
      <c r="B107" s="321" t="str">
        <f>IF(A107&lt;&gt;"",_xlfn.MAXIFS($B$1:B106,$A$1:A106,A107)+1,"")</f>
        <v/>
      </c>
      <c r="C107" s="299"/>
      <c r="D107" s="299"/>
      <c r="E107" s="299"/>
      <c r="F107" s="299"/>
      <c r="G107" s="330"/>
      <c r="H107" s="328"/>
      <c r="I107" s="329"/>
      <c r="J107" s="329"/>
      <c r="K107" s="322"/>
      <c r="L107" s="322"/>
      <c r="M107" s="323" t="str">
        <f>IFERROR(VLOOKUP(H107,Lijsten!$H$1:$I$100,2,0),"")</f>
        <v/>
      </c>
      <c r="N107" s="323" t="str">
        <f ca="1">IFERROR(IF(VLOOKUP(F107,Kostentypen!$A$3:$E$21,3,0)=0,"",IF(OR(F107="Arbeidskosten",F107="Vergoeding"),VLOOKUP(G107,Tb_KostenTypen[],2,0),VLOOKUP(F107,Kostentypen!$A$3:$E$20,3,0))),"")</f>
        <v/>
      </c>
      <c r="O107" s="324"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4"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3"/>
      <c r="R107" s="363"/>
      <c r="S107" s="325"/>
      <c r="T107" s="325"/>
      <c r="U107" s="317" t="str" cm="1">
        <f t="array" aca="1" ref="U107" ca="1">IFERROR(IF(AA107&lt;&gt;"ja",_xlfn.IFNA(_xlfn.IFS(AND(O107&lt;&gt;"",F107&lt;&gt;"",RIGHT($N107,6)="tarief",F107="Vergoeding"),SUM(O107)*FLOOR(SUM(Q107),0.0001),AND(O107&lt;&gt;"",F107&lt;&gt;"",RIGHT($N107,6)="tarief"),SUM(O107)*FLOOR(SUM(Q107),0.01),S107&gt;0,IF(F107&lt;&gt;"",FLOOR(SUM(S107),0.01),"")),""),""),"")</f>
        <v/>
      </c>
      <c r="V107" s="317" t="str" cm="1">
        <f t="array" aca="1" ref="V107" ca="1">IFERROR(IF(AA107&lt;&gt;"ja",_xlfn.IFNA(_xlfn.IFS(AND(P107&lt;&gt;"",R107&lt;&gt;"",RIGHT($N107,6)="tarief",F107="Vergoeding"),SUM(P107)*FLOOR(SUM(R107),0.0001),AND(P107&lt;&gt;"",R107&lt;&gt;"",RIGHT($N107,6)="tarief"),P107*FLOOR(R107,0.01),T107&gt;0,FLOOR(SUM(T107),0.01)),""),""),"")</f>
        <v/>
      </c>
      <c r="W107" s="317" t="str" cm="1">
        <f t="array" aca="1" ref="W107" ca="1">IFERROR(_xlfn.IFS(OR(F107="",LEFT(Methode_Keuze,4)="Geen",Methode_Keuze=""),"",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17" t="str" cm="1">
        <f t="array" aca="1" ref="X107" ca="1">IFERROR(_xlfn.IFS(OR(F107="",LEFT(Methode_Keuze,4)="Geen",Methode_Keuze=""),"",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26"/>
      <c r="Z107" s="319"/>
      <c r="AA107" s="32" t="str" cm="1">
        <f t="array" ref="AA107">IFERROR(IF(INDEX(SubsidieTabel!$AD$1:$AG$12,MATCH($F107,SubsidieTabel!$AD$1:$AD$12,0),IFERROR(MATCH(Methode_Keuze,SubsidieTabel!$AD$1:$AG$1,0),2))&lt;&gt;1=TRUE,"ja",""),"")</f>
        <v/>
      </c>
    </row>
    <row r="108" spans="1:27" x14ac:dyDescent="0.25">
      <c r="A108" s="320"/>
      <c r="B108" s="321" t="str">
        <f>IF(A108&lt;&gt;"",_xlfn.MAXIFS($B$1:B107,$A$1:A107,A108)+1,"")</f>
        <v/>
      </c>
      <c r="C108" s="299"/>
      <c r="D108" s="299"/>
      <c r="E108" s="299"/>
      <c r="F108" s="299"/>
      <c r="G108" s="330"/>
      <c r="H108" s="328"/>
      <c r="I108" s="329"/>
      <c r="J108" s="329"/>
      <c r="K108" s="322"/>
      <c r="L108" s="322"/>
      <c r="M108" s="323" t="str">
        <f>IFERROR(VLOOKUP(H108,Lijsten!$H$1:$I$100,2,0),"")</f>
        <v/>
      </c>
      <c r="N108" s="323" t="str">
        <f ca="1">IFERROR(IF(VLOOKUP(F108,Kostentypen!$A$3:$E$21,3,0)=0,"",IF(OR(F108="Arbeidskosten",F108="Vergoeding"),VLOOKUP(G108,Tb_KostenTypen[],2,0),VLOOKUP(F108,Kostentypen!$A$3:$E$20,3,0))),"")</f>
        <v/>
      </c>
      <c r="O108" s="324"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4"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3"/>
      <c r="R108" s="363"/>
      <c r="S108" s="325"/>
      <c r="T108" s="325"/>
      <c r="U108" s="317" t="str" cm="1">
        <f t="array" aca="1" ref="U108" ca="1">IFERROR(IF(AA108&lt;&gt;"ja",_xlfn.IFNA(_xlfn.IFS(AND(O108&lt;&gt;"",F108&lt;&gt;"",RIGHT($N108,6)="tarief",F108="Vergoeding"),SUM(O108)*FLOOR(SUM(Q108),0.0001),AND(O108&lt;&gt;"",F108&lt;&gt;"",RIGHT($N108,6)="tarief"),SUM(O108)*FLOOR(SUM(Q108),0.01),S108&gt;0,IF(F108&lt;&gt;"",FLOOR(SUM(S108),0.01),"")),""),""),"")</f>
        <v/>
      </c>
      <c r="V108" s="317" t="str" cm="1">
        <f t="array" aca="1" ref="V108" ca="1">IFERROR(IF(AA108&lt;&gt;"ja",_xlfn.IFNA(_xlfn.IFS(AND(P108&lt;&gt;"",R108&lt;&gt;"",RIGHT($N108,6)="tarief",F108="Vergoeding"),SUM(P108)*FLOOR(SUM(R108),0.0001),AND(P108&lt;&gt;"",R108&lt;&gt;"",RIGHT($N108,6)="tarief"),P108*FLOOR(R108,0.01),T108&gt;0,FLOOR(SUM(T108),0.01)),""),""),"")</f>
        <v/>
      </c>
      <c r="W108" s="317" t="str" cm="1">
        <f t="array" aca="1" ref="W108" ca="1">IFERROR(_xlfn.IFS(OR(F108="",LEFT(Methode_Keuze,4)="Geen",Methode_Keuze=""),"",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17" t="str" cm="1">
        <f t="array" aca="1" ref="X108" ca="1">IFERROR(_xlfn.IFS(OR(F108="",LEFT(Methode_Keuze,4)="Geen",Methode_Keuze=""),"",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26"/>
      <c r="Z108" s="319"/>
      <c r="AA108" s="32" t="str" cm="1">
        <f t="array" ref="AA108">IFERROR(IF(INDEX(SubsidieTabel!$AD$1:$AG$12,MATCH($F108,SubsidieTabel!$AD$1:$AD$12,0),IFERROR(MATCH(Methode_Keuze,SubsidieTabel!$AD$1:$AG$1,0),2))&lt;&gt;1=TRUE,"ja",""),"")</f>
        <v/>
      </c>
    </row>
    <row r="109" spans="1:27" x14ac:dyDescent="0.25">
      <c r="A109" s="320"/>
      <c r="B109" s="321" t="str">
        <f>IF(A109&lt;&gt;"",_xlfn.MAXIFS($B$1:B108,$A$1:A108,A109)+1,"")</f>
        <v/>
      </c>
      <c r="C109" s="299"/>
      <c r="D109" s="299"/>
      <c r="E109" s="299"/>
      <c r="F109" s="299"/>
      <c r="G109" s="330"/>
      <c r="H109" s="328"/>
      <c r="I109" s="329"/>
      <c r="J109" s="329"/>
      <c r="K109" s="322"/>
      <c r="L109" s="322"/>
      <c r="M109" s="323" t="str">
        <f>IFERROR(VLOOKUP(H109,Lijsten!$H$1:$I$100,2,0),"")</f>
        <v/>
      </c>
      <c r="N109" s="323" t="str">
        <f ca="1">IFERROR(IF(VLOOKUP(F109,Kostentypen!$A$3:$E$21,3,0)=0,"",IF(OR(F109="Arbeidskosten",F109="Vergoeding"),VLOOKUP(G109,Tb_KostenTypen[],2,0),VLOOKUP(F109,Kostentypen!$A$3:$E$20,3,0))),"")</f>
        <v/>
      </c>
      <c r="O109" s="324"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4"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3"/>
      <c r="R109" s="363"/>
      <c r="S109" s="325"/>
      <c r="T109" s="325"/>
      <c r="U109" s="317" t="str" cm="1">
        <f t="array" aca="1" ref="U109" ca="1">IFERROR(IF(AA109&lt;&gt;"ja",_xlfn.IFNA(_xlfn.IFS(AND(O109&lt;&gt;"",F109&lt;&gt;"",RIGHT($N109,6)="tarief",F109="Vergoeding"),SUM(O109)*FLOOR(SUM(Q109),0.0001),AND(O109&lt;&gt;"",F109&lt;&gt;"",RIGHT($N109,6)="tarief"),SUM(O109)*FLOOR(SUM(Q109),0.01),S109&gt;0,IF(F109&lt;&gt;"",FLOOR(SUM(S109),0.01),"")),""),""),"")</f>
        <v/>
      </c>
      <c r="V109" s="317" t="str" cm="1">
        <f t="array" aca="1" ref="V109" ca="1">IFERROR(IF(AA109&lt;&gt;"ja",_xlfn.IFNA(_xlfn.IFS(AND(P109&lt;&gt;"",R109&lt;&gt;"",RIGHT($N109,6)="tarief",F109="Vergoeding"),SUM(P109)*FLOOR(SUM(R109),0.0001),AND(P109&lt;&gt;"",R109&lt;&gt;"",RIGHT($N109,6)="tarief"),P109*FLOOR(R109,0.01),T109&gt;0,FLOOR(SUM(T109),0.01)),""),""),"")</f>
        <v/>
      </c>
      <c r="W109" s="317" t="str" cm="1">
        <f t="array" aca="1" ref="W109" ca="1">IFERROR(_xlfn.IFS(OR(F109="",LEFT(Methode_Keuze,4)="Geen",Methode_Keuze=""),"",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17" t="str" cm="1">
        <f t="array" aca="1" ref="X109" ca="1">IFERROR(_xlfn.IFS(OR(F109="",LEFT(Methode_Keuze,4)="Geen",Methode_Keuze=""),"",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26"/>
      <c r="Z109" s="319"/>
      <c r="AA109" s="32" t="str" cm="1">
        <f t="array" ref="AA109">IFERROR(IF(INDEX(SubsidieTabel!$AD$1:$AG$12,MATCH($F109,SubsidieTabel!$AD$1:$AD$12,0),IFERROR(MATCH(Methode_Keuze,SubsidieTabel!$AD$1:$AG$1,0),2))&lt;&gt;1=TRUE,"ja",""),"")</f>
        <v/>
      </c>
    </row>
    <row r="110" spans="1:27" x14ac:dyDescent="0.25">
      <c r="A110" s="320"/>
      <c r="B110" s="321" t="str">
        <f>IF(A110&lt;&gt;"",_xlfn.MAXIFS($B$1:B109,$A$1:A109,A110)+1,"")</f>
        <v/>
      </c>
      <c r="C110" s="299"/>
      <c r="D110" s="299"/>
      <c r="E110" s="299"/>
      <c r="F110" s="299"/>
      <c r="G110" s="330"/>
      <c r="H110" s="328"/>
      <c r="I110" s="329"/>
      <c r="J110" s="329"/>
      <c r="K110" s="322"/>
      <c r="L110" s="322"/>
      <c r="M110" s="323" t="str">
        <f>IFERROR(VLOOKUP(H110,Lijsten!$H$1:$I$100,2,0),"")</f>
        <v/>
      </c>
      <c r="N110" s="323" t="str">
        <f ca="1">IFERROR(IF(VLOOKUP(F110,Kostentypen!$A$3:$E$21,3,0)=0,"",IF(OR(F110="Arbeidskosten",F110="Vergoeding"),VLOOKUP(G110,Tb_KostenTypen[],2,0),VLOOKUP(F110,Kostentypen!$A$3:$E$20,3,0))),"")</f>
        <v/>
      </c>
      <c r="O110" s="324"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4"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3"/>
      <c r="R110" s="363"/>
      <c r="S110" s="325"/>
      <c r="T110" s="325"/>
      <c r="U110" s="317" t="str" cm="1">
        <f t="array" aca="1" ref="U110" ca="1">IFERROR(IF(AA110&lt;&gt;"ja",_xlfn.IFNA(_xlfn.IFS(AND(O110&lt;&gt;"",F110&lt;&gt;"",RIGHT($N110,6)="tarief",F110="Vergoeding"),SUM(O110)*FLOOR(SUM(Q110),0.0001),AND(O110&lt;&gt;"",F110&lt;&gt;"",RIGHT($N110,6)="tarief"),SUM(O110)*FLOOR(SUM(Q110),0.01),S110&gt;0,IF(F110&lt;&gt;"",FLOOR(SUM(S110),0.01),"")),""),""),"")</f>
        <v/>
      </c>
      <c r="V110" s="317" t="str" cm="1">
        <f t="array" aca="1" ref="V110" ca="1">IFERROR(IF(AA110&lt;&gt;"ja",_xlfn.IFNA(_xlfn.IFS(AND(P110&lt;&gt;"",R110&lt;&gt;"",RIGHT($N110,6)="tarief",F110="Vergoeding"),SUM(P110)*FLOOR(SUM(R110),0.0001),AND(P110&lt;&gt;"",R110&lt;&gt;"",RIGHT($N110,6)="tarief"),P110*FLOOR(R110,0.01),T110&gt;0,FLOOR(SUM(T110),0.01)),""),""),"")</f>
        <v/>
      </c>
      <c r="W110" s="317" t="str" cm="1">
        <f t="array" aca="1" ref="W110" ca="1">IFERROR(_xlfn.IFS(OR(F110="",LEFT(Methode_Keuze,4)="Geen",Methode_Keuze=""),"",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17" t="str" cm="1">
        <f t="array" aca="1" ref="X110" ca="1">IFERROR(_xlfn.IFS(OR(F110="",LEFT(Methode_Keuze,4)="Geen",Methode_Keuze=""),"",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26"/>
      <c r="Z110" s="319"/>
      <c r="AA110" s="32" t="str" cm="1">
        <f t="array" ref="AA110">IFERROR(IF(INDEX(SubsidieTabel!$AD$1:$AG$12,MATCH($F110,SubsidieTabel!$AD$1:$AD$12,0),IFERROR(MATCH(Methode_Keuze,SubsidieTabel!$AD$1:$AG$1,0),2))&lt;&gt;1=TRUE,"ja",""),"")</f>
        <v/>
      </c>
    </row>
    <row r="111" spans="1:27" x14ac:dyDescent="0.25">
      <c r="A111" s="320"/>
      <c r="B111" s="321" t="str">
        <f>IF(A111&lt;&gt;"",_xlfn.MAXIFS($B$1:B110,$A$1:A110,A111)+1,"")</f>
        <v/>
      </c>
      <c r="C111" s="299"/>
      <c r="D111" s="299"/>
      <c r="E111" s="299"/>
      <c r="F111" s="299"/>
      <c r="G111" s="330"/>
      <c r="H111" s="328"/>
      <c r="I111" s="329"/>
      <c r="J111" s="329"/>
      <c r="K111" s="322"/>
      <c r="L111" s="322"/>
      <c r="M111" s="323" t="str">
        <f>IFERROR(VLOOKUP(H111,Lijsten!$H$1:$I$100,2,0),"")</f>
        <v/>
      </c>
      <c r="N111" s="323" t="str">
        <f ca="1">IFERROR(IF(VLOOKUP(F111,Kostentypen!$A$3:$E$21,3,0)=0,"",IF(OR(F111="Arbeidskosten",F111="Vergoeding"),VLOOKUP(G111,Tb_KostenTypen[],2,0),VLOOKUP(F111,Kostentypen!$A$3:$E$20,3,0))),"")</f>
        <v/>
      </c>
      <c r="O111" s="324"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4"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3"/>
      <c r="R111" s="363"/>
      <c r="S111" s="325"/>
      <c r="T111" s="325"/>
      <c r="U111" s="317" t="str" cm="1">
        <f t="array" aca="1" ref="U111" ca="1">IFERROR(IF(AA111&lt;&gt;"ja",_xlfn.IFNA(_xlfn.IFS(AND(O111&lt;&gt;"",F111&lt;&gt;"",RIGHT($N111,6)="tarief",F111="Vergoeding"),SUM(O111)*FLOOR(SUM(Q111),0.0001),AND(O111&lt;&gt;"",F111&lt;&gt;"",RIGHT($N111,6)="tarief"),SUM(O111)*FLOOR(SUM(Q111),0.01),S111&gt;0,IF(F111&lt;&gt;"",FLOOR(SUM(S111),0.01),"")),""),""),"")</f>
        <v/>
      </c>
      <c r="V111" s="317" t="str" cm="1">
        <f t="array" aca="1" ref="V111" ca="1">IFERROR(IF(AA111&lt;&gt;"ja",_xlfn.IFNA(_xlfn.IFS(AND(P111&lt;&gt;"",R111&lt;&gt;"",RIGHT($N111,6)="tarief",F111="Vergoeding"),SUM(P111)*FLOOR(SUM(R111),0.0001),AND(P111&lt;&gt;"",R111&lt;&gt;"",RIGHT($N111,6)="tarief"),P111*FLOOR(R111,0.01),T111&gt;0,FLOOR(SUM(T111),0.01)),""),""),"")</f>
        <v/>
      </c>
      <c r="W111" s="317" t="str" cm="1">
        <f t="array" aca="1" ref="W111" ca="1">IFERROR(_xlfn.IFS(OR(F111="",LEFT(Methode_Keuze,4)="Geen",Methode_Keuze=""),"",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17" t="str" cm="1">
        <f t="array" aca="1" ref="X111" ca="1">IFERROR(_xlfn.IFS(OR(F111="",LEFT(Methode_Keuze,4)="Geen",Methode_Keuze=""),"",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26"/>
      <c r="Z111" s="319"/>
      <c r="AA111" s="32" t="str" cm="1">
        <f t="array" ref="AA111">IFERROR(IF(INDEX(SubsidieTabel!$AD$1:$AG$12,MATCH($F111,SubsidieTabel!$AD$1:$AD$12,0),IFERROR(MATCH(Methode_Keuze,SubsidieTabel!$AD$1:$AG$1,0),2))&lt;&gt;1=TRUE,"ja",""),"")</f>
        <v/>
      </c>
    </row>
    <row r="112" spans="1:27" x14ac:dyDescent="0.25">
      <c r="A112" s="320"/>
      <c r="B112" s="321" t="str">
        <f>IF(A112&lt;&gt;"",_xlfn.MAXIFS($B$1:B111,$A$1:A111,A112)+1,"")</f>
        <v/>
      </c>
      <c r="C112" s="299"/>
      <c r="D112" s="299"/>
      <c r="E112" s="299"/>
      <c r="F112" s="299"/>
      <c r="G112" s="330"/>
      <c r="H112" s="328"/>
      <c r="I112" s="329"/>
      <c r="J112" s="329"/>
      <c r="K112" s="322"/>
      <c r="L112" s="322"/>
      <c r="M112" s="323" t="str">
        <f>IFERROR(VLOOKUP(H112,Lijsten!$H$1:$I$100,2,0),"")</f>
        <v/>
      </c>
      <c r="N112" s="323" t="str">
        <f ca="1">IFERROR(IF(VLOOKUP(F112,Kostentypen!$A$3:$E$21,3,0)=0,"",IF(OR(F112="Arbeidskosten",F112="Vergoeding"),VLOOKUP(G112,Tb_KostenTypen[],2,0),VLOOKUP(F112,Kostentypen!$A$3:$E$20,3,0))),"")</f>
        <v/>
      </c>
      <c r="O112" s="324"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4"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3"/>
      <c r="R112" s="363"/>
      <c r="S112" s="325"/>
      <c r="T112" s="325"/>
      <c r="U112" s="317" t="str" cm="1">
        <f t="array" aca="1" ref="U112" ca="1">IFERROR(IF(AA112&lt;&gt;"ja",_xlfn.IFNA(_xlfn.IFS(AND(O112&lt;&gt;"",F112&lt;&gt;"",RIGHT($N112,6)="tarief",F112="Vergoeding"),SUM(O112)*FLOOR(SUM(Q112),0.0001),AND(O112&lt;&gt;"",F112&lt;&gt;"",RIGHT($N112,6)="tarief"),SUM(O112)*FLOOR(SUM(Q112),0.01),S112&gt;0,IF(F112&lt;&gt;"",FLOOR(SUM(S112),0.01),"")),""),""),"")</f>
        <v/>
      </c>
      <c r="V112" s="317" t="str" cm="1">
        <f t="array" aca="1" ref="V112" ca="1">IFERROR(IF(AA112&lt;&gt;"ja",_xlfn.IFNA(_xlfn.IFS(AND(P112&lt;&gt;"",R112&lt;&gt;"",RIGHT($N112,6)="tarief",F112="Vergoeding"),SUM(P112)*FLOOR(SUM(R112),0.0001),AND(P112&lt;&gt;"",R112&lt;&gt;"",RIGHT($N112,6)="tarief"),P112*FLOOR(R112,0.01),T112&gt;0,FLOOR(SUM(T112),0.01)),""),""),"")</f>
        <v/>
      </c>
      <c r="W112" s="317" t="str" cm="1">
        <f t="array" aca="1" ref="W112" ca="1">IFERROR(_xlfn.IFS(OR(F112="",LEFT(Methode_Keuze,4)="Geen",Methode_Keuze=""),"",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17" t="str" cm="1">
        <f t="array" aca="1" ref="X112" ca="1">IFERROR(_xlfn.IFS(OR(F112="",LEFT(Methode_Keuze,4)="Geen",Methode_Keuze=""),"",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26"/>
      <c r="Z112" s="319"/>
      <c r="AA112" s="32" t="str" cm="1">
        <f t="array" ref="AA112">IFERROR(IF(INDEX(SubsidieTabel!$AD$1:$AG$12,MATCH($F112,SubsidieTabel!$AD$1:$AD$12,0),IFERROR(MATCH(Methode_Keuze,SubsidieTabel!$AD$1:$AG$1,0),2))&lt;&gt;1=TRUE,"ja",""),"")</f>
        <v/>
      </c>
    </row>
    <row r="113" spans="1:27" x14ac:dyDescent="0.25">
      <c r="A113" s="320"/>
      <c r="B113" s="321" t="str">
        <f>IF(A113&lt;&gt;"",_xlfn.MAXIFS($B$1:B112,$A$1:A112,A113)+1,"")</f>
        <v/>
      </c>
      <c r="C113" s="299"/>
      <c r="D113" s="299"/>
      <c r="E113" s="299"/>
      <c r="F113" s="299"/>
      <c r="G113" s="330"/>
      <c r="H113" s="328"/>
      <c r="I113" s="329"/>
      <c r="J113" s="329"/>
      <c r="K113" s="322"/>
      <c r="L113" s="322"/>
      <c r="M113" s="323" t="str">
        <f>IFERROR(VLOOKUP(H113,Lijsten!$H$1:$I$100,2,0),"")</f>
        <v/>
      </c>
      <c r="N113" s="323" t="str">
        <f ca="1">IFERROR(IF(VLOOKUP(F113,Kostentypen!$A$3:$E$21,3,0)=0,"",IF(OR(F113="Arbeidskosten",F113="Vergoeding"),VLOOKUP(G113,Tb_KostenTypen[],2,0),VLOOKUP(F113,Kostentypen!$A$3:$E$20,3,0))),"")</f>
        <v/>
      </c>
      <c r="O113" s="324"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4"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3"/>
      <c r="R113" s="363"/>
      <c r="S113" s="325"/>
      <c r="T113" s="325"/>
      <c r="U113" s="317" t="str" cm="1">
        <f t="array" aca="1" ref="U113" ca="1">IFERROR(IF(AA113&lt;&gt;"ja",_xlfn.IFNA(_xlfn.IFS(AND(O113&lt;&gt;"",F113&lt;&gt;"",RIGHT($N113,6)="tarief",F113="Vergoeding"),SUM(O113)*FLOOR(SUM(Q113),0.0001),AND(O113&lt;&gt;"",F113&lt;&gt;"",RIGHT($N113,6)="tarief"),SUM(O113)*FLOOR(SUM(Q113),0.01),S113&gt;0,IF(F113&lt;&gt;"",FLOOR(SUM(S113),0.01),"")),""),""),"")</f>
        <v/>
      </c>
      <c r="V113" s="317" t="str" cm="1">
        <f t="array" aca="1" ref="V113" ca="1">IFERROR(IF(AA113&lt;&gt;"ja",_xlfn.IFNA(_xlfn.IFS(AND(P113&lt;&gt;"",R113&lt;&gt;"",RIGHT($N113,6)="tarief",F113="Vergoeding"),SUM(P113)*FLOOR(SUM(R113),0.0001),AND(P113&lt;&gt;"",R113&lt;&gt;"",RIGHT($N113,6)="tarief"),P113*FLOOR(R113,0.01),T113&gt;0,FLOOR(SUM(T113),0.01)),""),""),"")</f>
        <v/>
      </c>
      <c r="W113" s="317" t="str" cm="1">
        <f t="array" aca="1" ref="W113" ca="1">IFERROR(_xlfn.IFS(OR(F113="",LEFT(Methode_Keuze,4)="Geen",Methode_Keuze=""),"",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17" t="str" cm="1">
        <f t="array" aca="1" ref="X113" ca="1">IFERROR(_xlfn.IFS(OR(F113="",LEFT(Methode_Keuze,4)="Geen",Methode_Keuze=""),"",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26"/>
      <c r="Z113" s="319"/>
      <c r="AA113" s="32" t="str" cm="1">
        <f t="array" ref="AA113">IFERROR(IF(INDEX(SubsidieTabel!$AD$1:$AG$12,MATCH($F113,SubsidieTabel!$AD$1:$AD$12,0),IFERROR(MATCH(Methode_Keuze,SubsidieTabel!$AD$1:$AG$1,0),2))&lt;&gt;1=TRUE,"ja",""),"")</f>
        <v/>
      </c>
    </row>
    <row r="114" spans="1:27" x14ac:dyDescent="0.25">
      <c r="A114" s="320"/>
      <c r="B114" s="321" t="str">
        <f>IF(A114&lt;&gt;"",_xlfn.MAXIFS($B$1:B113,$A$1:A113,A114)+1,"")</f>
        <v/>
      </c>
      <c r="C114" s="299"/>
      <c r="D114" s="299"/>
      <c r="E114" s="299"/>
      <c r="F114" s="299"/>
      <c r="G114" s="330"/>
      <c r="H114" s="328"/>
      <c r="I114" s="329"/>
      <c r="J114" s="329"/>
      <c r="K114" s="322"/>
      <c r="L114" s="322"/>
      <c r="M114" s="323" t="str">
        <f>IFERROR(VLOOKUP(H114,Lijsten!$H$1:$I$100,2,0),"")</f>
        <v/>
      </c>
      <c r="N114" s="323" t="str">
        <f ca="1">IFERROR(IF(VLOOKUP(F114,Kostentypen!$A$3:$E$21,3,0)=0,"",IF(OR(F114="Arbeidskosten",F114="Vergoeding"),VLOOKUP(G114,Tb_KostenTypen[],2,0),VLOOKUP(F114,Kostentypen!$A$3:$E$20,3,0))),"")</f>
        <v/>
      </c>
      <c r="O114" s="324"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4"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3"/>
      <c r="R114" s="363"/>
      <c r="S114" s="325"/>
      <c r="T114" s="325"/>
      <c r="U114" s="317" t="str" cm="1">
        <f t="array" aca="1" ref="U114" ca="1">IFERROR(IF(AA114&lt;&gt;"ja",_xlfn.IFNA(_xlfn.IFS(AND(O114&lt;&gt;"",F114&lt;&gt;"",RIGHT($N114,6)="tarief",F114="Vergoeding"),SUM(O114)*FLOOR(SUM(Q114),0.0001),AND(O114&lt;&gt;"",F114&lt;&gt;"",RIGHT($N114,6)="tarief"),SUM(O114)*FLOOR(SUM(Q114),0.01),S114&gt;0,IF(F114&lt;&gt;"",FLOOR(SUM(S114),0.01),"")),""),""),"")</f>
        <v/>
      </c>
      <c r="V114" s="317" t="str" cm="1">
        <f t="array" aca="1" ref="V114" ca="1">IFERROR(IF(AA114&lt;&gt;"ja",_xlfn.IFNA(_xlfn.IFS(AND(P114&lt;&gt;"",R114&lt;&gt;"",RIGHT($N114,6)="tarief",F114="Vergoeding"),SUM(P114)*FLOOR(SUM(R114),0.0001),AND(P114&lt;&gt;"",R114&lt;&gt;"",RIGHT($N114,6)="tarief"),P114*FLOOR(R114,0.01),T114&gt;0,FLOOR(SUM(T114),0.01)),""),""),"")</f>
        <v/>
      </c>
      <c r="W114" s="317" t="str" cm="1">
        <f t="array" aca="1" ref="W114" ca="1">IFERROR(_xlfn.IFS(OR(F114="",LEFT(Methode_Keuze,4)="Geen",Methode_Keuze=""),"",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17" t="str" cm="1">
        <f t="array" aca="1" ref="X114" ca="1">IFERROR(_xlfn.IFS(OR(F114="",LEFT(Methode_Keuze,4)="Geen",Methode_Keuze=""),"",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26"/>
      <c r="Z114" s="319"/>
      <c r="AA114" s="32" t="str" cm="1">
        <f t="array" ref="AA114">IFERROR(IF(INDEX(SubsidieTabel!$AD$1:$AG$12,MATCH($F114,SubsidieTabel!$AD$1:$AD$12,0),IFERROR(MATCH(Methode_Keuze,SubsidieTabel!$AD$1:$AG$1,0),2))&lt;&gt;1=TRUE,"ja",""),"")</f>
        <v/>
      </c>
    </row>
    <row r="115" spans="1:27" x14ac:dyDescent="0.25">
      <c r="A115" s="320"/>
      <c r="B115" s="321" t="str">
        <f>IF(A115&lt;&gt;"",_xlfn.MAXIFS($B$1:B114,$A$1:A114,A115)+1,"")</f>
        <v/>
      </c>
      <c r="C115" s="299"/>
      <c r="D115" s="299"/>
      <c r="E115" s="299"/>
      <c r="F115" s="299"/>
      <c r="G115" s="330"/>
      <c r="H115" s="328"/>
      <c r="I115" s="329"/>
      <c r="J115" s="329"/>
      <c r="K115" s="322"/>
      <c r="L115" s="322"/>
      <c r="M115" s="323" t="str">
        <f>IFERROR(VLOOKUP(H115,Lijsten!$H$1:$I$100,2,0),"")</f>
        <v/>
      </c>
      <c r="N115" s="323" t="str">
        <f ca="1">IFERROR(IF(VLOOKUP(F115,Kostentypen!$A$3:$E$21,3,0)=0,"",IF(OR(F115="Arbeidskosten",F115="Vergoeding"),VLOOKUP(G115,Tb_KostenTypen[],2,0),VLOOKUP(F115,Kostentypen!$A$3:$E$20,3,0))),"")</f>
        <v/>
      </c>
      <c r="O115" s="324"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4"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3"/>
      <c r="R115" s="363"/>
      <c r="S115" s="325"/>
      <c r="T115" s="325"/>
      <c r="U115" s="317" t="str" cm="1">
        <f t="array" aca="1" ref="U115" ca="1">IFERROR(IF(AA115&lt;&gt;"ja",_xlfn.IFNA(_xlfn.IFS(AND(O115&lt;&gt;"",F115&lt;&gt;"",RIGHT($N115,6)="tarief",F115="Vergoeding"),SUM(O115)*FLOOR(SUM(Q115),0.0001),AND(O115&lt;&gt;"",F115&lt;&gt;"",RIGHT($N115,6)="tarief"),SUM(O115)*FLOOR(SUM(Q115),0.01),S115&gt;0,IF(F115&lt;&gt;"",FLOOR(SUM(S115),0.01),"")),""),""),"")</f>
        <v/>
      </c>
      <c r="V115" s="317" t="str" cm="1">
        <f t="array" aca="1" ref="V115" ca="1">IFERROR(IF(AA115&lt;&gt;"ja",_xlfn.IFNA(_xlfn.IFS(AND(P115&lt;&gt;"",R115&lt;&gt;"",RIGHT($N115,6)="tarief",F115="Vergoeding"),SUM(P115)*FLOOR(SUM(R115),0.0001),AND(P115&lt;&gt;"",R115&lt;&gt;"",RIGHT($N115,6)="tarief"),P115*FLOOR(R115,0.01),T115&gt;0,FLOOR(SUM(T115),0.01)),""),""),"")</f>
        <v/>
      </c>
      <c r="W115" s="317" t="str" cm="1">
        <f t="array" aca="1" ref="W115" ca="1">IFERROR(_xlfn.IFS(OR(F115="",LEFT(Methode_Keuze,4)="Geen",Methode_Keuze=""),"",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17" t="str" cm="1">
        <f t="array" aca="1" ref="X115" ca="1">IFERROR(_xlfn.IFS(OR(F115="",LEFT(Methode_Keuze,4)="Geen",Methode_Keuze=""),"",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26"/>
      <c r="Z115" s="319"/>
      <c r="AA115" s="32" t="str" cm="1">
        <f t="array" ref="AA115">IFERROR(IF(INDEX(SubsidieTabel!$AD$1:$AG$12,MATCH($F115,SubsidieTabel!$AD$1:$AD$12,0),IFERROR(MATCH(Methode_Keuze,SubsidieTabel!$AD$1:$AG$1,0),2))&lt;&gt;1=TRUE,"ja",""),"")</f>
        <v/>
      </c>
    </row>
    <row r="116" spans="1:27" x14ac:dyDescent="0.25">
      <c r="A116" s="320"/>
      <c r="B116" s="321" t="str">
        <f>IF(A116&lt;&gt;"",_xlfn.MAXIFS($B$1:B115,$A$1:A115,A116)+1,"")</f>
        <v/>
      </c>
      <c r="C116" s="299"/>
      <c r="D116" s="299"/>
      <c r="E116" s="299"/>
      <c r="F116" s="299"/>
      <c r="G116" s="330"/>
      <c r="H116" s="328"/>
      <c r="I116" s="329"/>
      <c r="J116" s="329"/>
      <c r="K116" s="322"/>
      <c r="L116" s="322"/>
      <c r="M116" s="323" t="str">
        <f>IFERROR(VLOOKUP(H116,Lijsten!$H$1:$I$100,2,0),"")</f>
        <v/>
      </c>
      <c r="N116" s="323" t="str">
        <f ca="1">IFERROR(IF(VLOOKUP(F116,Kostentypen!$A$3:$E$21,3,0)=0,"",IF(OR(F116="Arbeidskosten",F116="Vergoeding"),VLOOKUP(G116,Tb_KostenTypen[],2,0),VLOOKUP(F116,Kostentypen!$A$3:$E$20,3,0))),"")</f>
        <v/>
      </c>
      <c r="O116" s="324"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4"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3"/>
      <c r="R116" s="363"/>
      <c r="S116" s="325"/>
      <c r="T116" s="325"/>
      <c r="U116" s="317" t="str" cm="1">
        <f t="array" aca="1" ref="U116" ca="1">IFERROR(IF(AA116&lt;&gt;"ja",_xlfn.IFNA(_xlfn.IFS(AND(O116&lt;&gt;"",F116&lt;&gt;"",RIGHT($N116,6)="tarief",F116="Vergoeding"),SUM(O116)*FLOOR(SUM(Q116),0.0001),AND(O116&lt;&gt;"",F116&lt;&gt;"",RIGHT($N116,6)="tarief"),SUM(O116)*FLOOR(SUM(Q116),0.01),S116&gt;0,IF(F116&lt;&gt;"",FLOOR(SUM(S116),0.01),"")),""),""),"")</f>
        <v/>
      </c>
      <c r="V116" s="317" t="str" cm="1">
        <f t="array" aca="1" ref="V116" ca="1">IFERROR(IF(AA116&lt;&gt;"ja",_xlfn.IFNA(_xlfn.IFS(AND(P116&lt;&gt;"",R116&lt;&gt;"",RIGHT($N116,6)="tarief",F116="Vergoeding"),SUM(P116)*FLOOR(SUM(R116),0.0001),AND(P116&lt;&gt;"",R116&lt;&gt;"",RIGHT($N116,6)="tarief"),P116*FLOOR(R116,0.01),T116&gt;0,FLOOR(SUM(T116),0.01)),""),""),"")</f>
        <v/>
      </c>
      <c r="W116" s="317" t="str" cm="1">
        <f t="array" aca="1" ref="W116" ca="1">IFERROR(_xlfn.IFS(OR(F116="",LEFT(Methode_Keuze,4)="Geen",Methode_Keuze=""),"",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17" t="str" cm="1">
        <f t="array" aca="1" ref="X116" ca="1">IFERROR(_xlfn.IFS(OR(F116="",LEFT(Methode_Keuze,4)="Geen",Methode_Keuze=""),"",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26"/>
      <c r="Z116" s="319"/>
      <c r="AA116" s="32" t="str" cm="1">
        <f t="array" ref="AA116">IFERROR(IF(INDEX(SubsidieTabel!$AD$1:$AG$12,MATCH($F116,SubsidieTabel!$AD$1:$AD$12,0),IFERROR(MATCH(Methode_Keuze,SubsidieTabel!$AD$1:$AG$1,0),2))&lt;&gt;1=TRUE,"ja",""),"")</f>
        <v/>
      </c>
    </row>
    <row r="117" spans="1:27" x14ac:dyDescent="0.25">
      <c r="A117" s="320"/>
      <c r="B117" s="321" t="str">
        <f>IF(A117&lt;&gt;"",_xlfn.MAXIFS($B$1:B116,$A$1:A116,A117)+1,"")</f>
        <v/>
      </c>
      <c r="C117" s="299"/>
      <c r="D117" s="299"/>
      <c r="E117" s="299"/>
      <c r="F117" s="299"/>
      <c r="G117" s="330"/>
      <c r="H117" s="328"/>
      <c r="I117" s="329"/>
      <c r="J117" s="329"/>
      <c r="K117" s="322"/>
      <c r="L117" s="322"/>
      <c r="M117" s="323" t="str">
        <f>IFERROR(VLOOKUP(H117,Lijsten!$H$1:$I$100,2,0),"")</f>
        <v/>
      </c>
      <c r="N117" s="323" t="str">
        <f ca="1">IFERROR(IF(VLOOKUP(F117,Kostentypen!$A$3:$E$21,3,0)=0,"",IF(OR(F117="Arbeidskosten",F117="Vergoeding"),VLOOKUP(G117,Tb_KostenTypen[],2,0),VLOOKUP(F117,Kostentypen!$A$3:$E$20,3,0))),"")</f>
        <v/>
      </c>
      <c r="O117" s="324"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4"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3"/>
      <c r="R117" s="363"/>
      <c r="S117" s="325"/>
      <c r="T117" s="325"/>
      <c r="U117" s="317" t="str" cm="1">
        <f t="array" aca="1" ref="U117" ca="1">IFERROR(IF(AA117&lt;&gt;"ja",_xlfn.IFNA(_xlfn.IFS(AND(O117&lt;&gt;"",F117&lt;&gt;"",RIGHT($N117,6)="tarief",F117="Vergoeding"),SUM(O117)*FLOOR(SUM(Q117),0.0001),AND(O117&lt;&gt;"",F117&lt;&gt;"",RIGHT($N117,6)="tarief"),SUM(O117)*FLOOR(SUM(Q117),0.01),S117&gt;0,IF(F117&lt;&gt;"",FLOOR(SUM(S117),0.01),"")),""),""),"")</f>
        <v/>
      </c>
      <c r="V117" s="317" t="str" cm="1">
        <f t="array" aca="1" ref="V117" ca="1">IFERROR(IF(AA117&lt;&gt;"ja",_xlfn.IFNA(_xlfn.IFS(AND(P117&lt;&gt;"",R117&lt;&gt;"",RIGHT($N117,6)="tarief",F117="Vergoeding"),SUM(P117)*FLOOR(SUM(R117),0.0001),AND(P117&lt;&gt;"",R117&lt;&gt;"",RIGHT($N117,6)="tarief"),P117*FLOOR(R117,0.01),T117&gt;0,FLOOR(SUM(T117),0.01)),""),""),"")</f>
        <v/>
      </c>
      <c r="W117" s="317" t="str" cm="1">
        <f t="array" aca="1" ref="W117" ca="1">IFERROR(_xlfn.IFS(OR(F117="",LEFT(Methode_Keuze,4)="Geen",Methode_Keuze=""),"",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17" t="str" cm="1">
        <f t="array" aca="1" ref="X117" ca="1">IFERROR(_xlfn.IFS(OR(F117="",LEFT(Methode_Keuze,4)="Geen",Methode_Keuze=""),"",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26"/>
      <c r="Z117" s="319"/>
      <c r="AA117" s="32" t="str" cm="1">
        <f t="array" ref="AA117">IFERROR(IF(INDEX(SubsidieTabel!$AD$1:$AG$12,MATCH($F117,SubsidieTabel!$AD$1:$AD$12,0),IFERROR(MATCH(Methode_Keuze,SubsidieTabel!$AD$1:$AG$1,0),2))&lt;&gt;1=TRUE,"ja",""),"")</f>
        <v/>
      </c>
    </row>
    <row r="118" spans="1:27" x14ac:dyDescent="0.25">
      <c r="A118" s="320"/>
      <c r="B118" s="321" t="str">
        <f>IF(A118&lt;&gt;"",_xlfn.MAXIFS($B$1:B117,$A$1:A117,A118)+1,"")</f>
        <v/>
      </c>
      <c r="C118" s="299"/>
      <c r="D118" s="299"/>
      <c r="E118" s="299"/>
      <c r="F118" s="299"/>
      <c r="G118" s="330"/>
      <c r="H118" s="328"/>
      <c r="I118" s="329"/>
      <c r="J118" s="329"/>
      <c r="K118" s="322"/>
      <c r="L118" s="322"/>
      <c r="M118" s="323" t="str">
        <f>IFERROR(VLOOKUP(H118,Lijsten!$H$1:$I$100,2,0),"")</f>
        <v/>
      </c>
      <c r="N118" s="323" t="str">
        <f ca="1">IFERROR(IF(VLOOKUP(F118,Kostentypen!$A$3:$E$21,3,0)=0,"",IF(OR(F118="Arbeidskosten",F118="Vergoeding"),VLOOKUP(G118,Tb_KostenTypen[],2,0),VLOOKUP(F118,Kostentypen!$A$3:$E$20,3,0))),"")</f>
        <v/>
      </c>
      <c r="O118" s="324"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4"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3"/>
      <c r="R118" s="363"/>
      <c r="S118" s="325"/>
      <c r="T118" s="325"/>
      <c r="U118" s="317" t="str" cm="1">
        <f t="array" aca="1" ref="U118" ca="1">IFERROR(IF(AA118&lt;&gt;"ja",_xlfn.IFNA(_xlfn.IFS(AND(O118&lt;&gt;"",F118&lt;&gt;"",RIGHT($N118,6)="tarief",F118="Vergoeding"),SUM(O118)*FLOOR(SUM(Q118),0.0001),AND(O118&lt;&gt;"",F118&lt;&gt;"",RIGHT($N118,6)="tarief"),SUM(O118)*FLOOR(SUM(Q118),0.01),S118&gt;0,IF(F118&lt;&gt;"",FLOOR(SUM(S118),0.01),"")),""),""),"")</f>
        <v/>
      </c>
      <c r="V118" s="317" t="str" cm="1">
        <f t="array" aca="1" ref="V118" ca="1">IFERROR(IF(AA118&lt;&gt;"ja",_xlfn.IFNA(_xlfn.IFS(AND(P118&lt;&gt;"",R118&lt;&gt;"",RIGHT($N118,6)="tarief",F118="Vergoeding"),SUM(P118)*FLOOR(SUM(R118),0.0001),AND(P118&lt;&gt;"",R118&lt;&gt;"",RIGHT($N118,6)="tarief"),P118*FLOOR(R118,0.01),T118&gt;0,FLOOR(SUM(T118),0.01)),""),""),"")</f>
        <v/>
      </c>
      <c r="W118" s="317" t="str" cm="1">
        <f t="array" aca="1" ref="W118" ca="1">IFERROR(_xlfn.IFS(OR(F118="",LEFT(Methode_Keuze,4)="Geen",Methode_Keuze=""),"",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17" t="str" cm="1">
        <f t="array" aca="1" ref="X118" ca="1">IFERROR(_xlfn.IFS(OR(F118="",LEFT(Methode_Keuze,4)="Geen",Methode_Keuze=""),"",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26"/>
      <c r="Z118" s="319"/>
      <c r="AA118" s="32" t="str" cm="1">
        <f t="array" ref="AA118">IFERROR(IF(INDEX(SubsidieTabel!$AD$1:$AG$12,MATCH($F118,SubsidieTabel!$AD$1:$AD$12,0),IFERROR(MATCH(Methode_Keuze,SubsidieTabel!$AD$1:$AG$1,0),2))&lt;&gt;1=TRUE,"ja",""),"")</f>
        <v/>
      </c>
    </row>
    <row r="119" spans="1:27" x14ac:dyDescent="0.25">
      <c r="A119" s="320"/>
      <c r="B119" s="321" t="str">
        <f>IF(A119&lt;&gt;"",_xlfn.MAXIFS($B$1:B118,$A$1:A118,A119)+1,"")</f>
        <v/>
      </c>
      <c r="C119" s="299"/>
      <c r="D119" s="299"/>
      <c r="E119" s="299"/>
      <c r="F119" s="299"/>
      <c r="G119" s="330"/>
      <c r="H119" s="328"/>
      <c r="I119" s="329"/>
      <c r="J119" s="329"/>
      <c r="K119" s="322"/>
      <c r="L119" s="322"/>
      <c r="M119" s="323" t="str">
        <f>IFERROR(VLOOKUP(H119,Lijsten!$H$1:$I$100,2,0),"")</f>
        <v/>
      </c>
      <c r="N119" s="323" t="str">
        <f ca="1">IFERROR(IF(VLOOKUP(F119,Kostentypen!$A$3:$E$21,3,0)=0,"",IF(OR(F119="Arbeidskosten",F119="Vergoeding"),VLOOKUP(G119,Tb_KostenTypen[],2,0),VLOOKUP(F119,Kostentypen!$A$3:$E$20,3,0))),"")</f>
        <v/>
      </c>
      <c r="O119" s="324"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4"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3"/>
      <c r="R119" s="363"/>
      <c r="S119" s="325"/>
      <c r="T119" s="325"/>
      <c r="U119" s="317" t="str" cm="1">
        <f t="array" aca="1" ref="U119" ca="1">IFERROR(IF(AA119&lt;&gt;"ja",_xlfn.IFNA(_xlfn.IFS(AND(O119&lt;&gt;"",F119&lt;&gt;"",RIGHT($N119,6)="tarief",F119="Vergoeding"),SUM(O119)*FLOOR(SUM(Q119),0.0001),AND(O119&lt;&gt;"",F119&lt;&gt;"",RIGHT($N119,6)="tarief"),SUM(O119)*FLOOR(SUM(Q119),0.01),S119&gt;0,IF(F119&lt;&gt;"",FLOOR(SUM(S119),0.01),"")),""),""),"")</f>
        <v/>
      </c>
      <c r="V119" s="317" t="str" cm="1">
        <f t="array" aca="1" ref="V119" ca="1">IFERROR(IF(AA119&lt;&gt;"ja",_xlfn.IFNA(_xlfn.IFS(AND(P119&lt;&gt;"",R119&lt;&gt;"",RIGHT($N119,6)="tarief",F119="Vergoeding"),SUM(P119)*FLOOR(SUM(R119),0.0001),AND(P119&lt;&gt;"",R119&lt;&gt;"",RIGHT($N119,6)="tarief"),P119*FLOOR(R119,0.01),T119&gt;0,FLOOR(SUM(T119),0.01)),""),""),"")</f>
        <v/>
      </c>
      <c r="W119" s="317" t="str" cm="1">
        <f t="array" aca="1" ref="W119" ca="1">IFERROR(_xlfn.IFS(OR(F119="",LEFT(Methode_Keuze,4)="Geen",Methode_Keuze=""),"",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17" t="str" cm="1">
        <f t="array" aca="1" ref="X119" ca="1">IFERROR(_xlfn.IFS(OR(F119="",LEFT(Methode_Keuze,4)="Geen",Methode_Keuze=""),"",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26"/>
      <c r="Z119" s="319"/>
      <c r="AA119" s="32" t="str" cm="1">
        <f t="array" ref="AA119">IFERROR(IF(INDEX(SubsidieTabel!$AD$1:$AG$12,MATCH($F119,SubsidieTabel!$AD$1:$AD$12,0),IFERROR(MATCH(Methode_Keuze,SubsidieTabel!$AD$1:$AG$1,0),2))&lt;&gt;1=TRUE,"ja",""),"")</f>
        <v/>
      </c>
    </row>
    <row r="120" spans="1:27" x14ac:dyDescent="0.25">
      <c r="A120" s="320"/>
      <c r="B120" s="321" t="str">
        <f>IF(A120&lt;&gt;"",_xlfn.MAXIFS($B$1:B119,$A$1:A119,A120)+1,"")</f>
        <v/>
      </c>
      <c r="C120" s="299"/>
      <c r="D120" s="299"/>
      <c r="E120" s="299"/>
      <c r="F120" s="299"/>
      <c r="G120" s="330"/>
      <c r="H120" s="328"/>
      <c r="I120" s="329"/>
      <c r="J120" s="329"/>
      <c r="K120" s="322"/>
      <c r="L120" s="322"/>
      <c r="M120" s="323" t="str">
        <f>IFERROR(VLOOKUP(H120,Lijsten!$H$1:$I$100,2,0),"")</f>
        <v/>
      </c>
      <c r="N120" s="323" t="str">
        <f ca="1">IFERROR(IF(VLOOKUP(F120,Kostentypen!$A$3:$E$21,3,0)=0,"",IF(OR(F120="Arbeidskosten",F120="Vergoeding"),VLOOKUP(G120,Tb_KostenTypen[],2,0),VLOOKUP(F120,Kostentypen!$A$3:$E$20,3,0))),"")</f>
        <v/>
      </c>
      <c r="O120" s="324"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4"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3"/>
      <c r="R120" s="363"/>
      <c r="S120" s="325"/>
      <c r="T120" s="325"/>
      <c r="U120" s="317" t="str" cm="1">
        <f t="array" aca="1" ref="U120" ca="1">IFERROR(IF(AA120&lt;&gt;"ja",_xlfn.IFNA(_xlfn.IFS(AND(O120&lt;&gt;"",F120&lt;&gt;"",RIGHT($N120,6)="tarief",F120="Vergoeding"),SUM(O120)*FLOOR(SUM(Q120),0.0001),AND(O120&lt;&gt;"",F120&lt;&gt;"",RIGHT($N120,6)="tarief"),SUM(O120)*FLOOR(SUM(Q120),0.01),S120&gt;0,IF(F120&lt;&gt;"",FLOOR(SUM(S120),0.01),"")),""),""),"")</f>
        <v/>
      </c>
      <c r="V120" s="317" t="str" cm="1">
        <f t="array" aca="1" ref="V120" ca="1">IFERROR(IF(AA120&lt;&gt;"ja",_xlfn.IFNA(_xlfn.IFS(AND(P120&lt;&gt;"",R120&lt;&gt;"",RIGHT($N120,6)="tarief",F120="Vergoeding"),SUM(P120)*FLOOR(SUM(R120),0.0001),AND(P120&lt;&gt;"",R120&lt;&gt;"",RIGHT($N120,6)="tarief"),P120*FLOOR(R120,0.01),T120&gt;0,FLOOR(SUM(T120),0.01)),""),""),"")</f>
        <v/>
      </c>
      <c r="W120" s="317" t="str" cm="1">
        <f t="array" aca="1" ref="W120" ca="1">IFERROR(_xlfn.IFS(OR(F120="",LEFT(Methode_Keuze,4)="Geen",Methode_Keuze=""),"",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17" t="str" cm="1">
        <f t="array" aca="1" ref="X120" ca="1">IFERROR(_xlfn.IFS(OR(F120="",LEFT(Methode_Keuze,4)="Geen",Methode_Keuze=""),"",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26"/>
      <c r="Z120" s="319"/>
      <c r="AA120" s="32" t="str" cm="1">
        <f t="array" ref="AA120">IFERROR(IF(INDEX(SubsidieTabel!$AD$1:$AG$12,MATCH($F120,SubsidieTabel!$AD$1:$AD$12,0),IFERROR(MATCH(Methode_Keuze,SubsidieTabel!$AD$1:$AG$1,0),2))&lt;&gt;1=TRUE,"ja",""),"")</f>
        <v/>
      </c>
    </row>
    <row r="121" spans="1:27" x14ac:dyDescent="0.25">
      <c r="A121" s="320"/>
      <c r="B121" s="321" t="str">
        <f>IF(A121&lt;&gt;"",_xlfn.MAXIFS($B$1:B120,$A$1:A120,A121)+1,"")</f>
        <v/>
      </c>
      <c r="C121" s="299"/>
      <c r="D121" s="299"/>
      <c r="E121" s="299"/>
      <c r="F121" s="299"/>
      <c r="G121" s="330"/>
      <c r="H121" s="328"/>
      <c r="I121" s="329"/>
      <c r="J121" s="329"/>
      <c r="K121" s="322"/>
      <c r="L121" s="322"/>
      <c r="M121" s="323" t="str">
        <f>IFERROR(VLOOKUP(H121,Lijsten!$H$1:$I$100,2,0),"")</f>
        <v/>
      </c>
      <c r="N121" s="323" t="str">
        <f ca="1">IFERROR(IF(VLOOKUP(F121,Kostentypen!$A$3:$E$21,3,0)=0,"",IF(OR(F121="Arbeidskosten",F121="Vergoeding"),VLOOKUP(G121,Tb_KostenTypen[],2,0),VLOOKUP(F121,Kostentypen!$A$3:$E$20,3,0))),"")</f>
        <v/>
      </c>
      <c r="O121" s="324"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4"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3"/>
      <c r="R121" s="363"/>
      <c r="S121" s="325"/>
      <c r="T121" s="325"/>
      <c r="U121" s="317" t="str" cm="1">
        <f t="array" aca="1" ref="U121" ca="1">IFERROR(IF(AA121&lt;&gt;"ja",_xlfn.IFNA(_xlfn.IFS(AND(O121&lt;&gt;"",F121&lt;&gt;"",RIGHT($N121,6)="tarief",F121="Vergoeding"),SUM(O121)*FLOOR(SUM(Q121),0.0001),AND(O121&lt;&gt;"",F121&lt;&gt;"",RIGHT($N121,6)="tarief"),SUM(O121)*FLOOR(SUM(Q121),0.01),S121&gt;0,IF(F121&lt;&gt;"",FLOOR(SUM(S121),0.01),"")),""),""),"")</f>
        <v/>
      </c>
      <c r="V121" s="317" t="str" cm="1">
        <f t="array" aca="1" ref="V121" ca="1">IFERROR(IF(AA121&lt;&gt;"ja",_xlfn.IFNA(_xlfn.IFS(AND(P121&lt;&gt;"",R121&lt;&gt;"",RIGHT($N121,6)="tarief",F121="Vergoeding"),SUM(P121)*FLOOR(SUM(R121),0.0001),AND(P121&lt;&gt;"",R121&lt;&gt;"",RIGHT($N121,6)="tarief"),P121*FLOOR(R121,0.01),T121&gt;0,FLOOR(SUM(T121),0.01)),""),""),"")</f>
        <v/>
      </c>
      <c r="W121" s="317" t="str" cm="1">
        <f t="array" aca="1" ref="W121" ca="1">IFERROR(_xlfn.IFS(OR(F121="",LEFT(Methode_Keuze,4)="Geen",Methode_Keuze=""),"",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17" t="str" cm="1">
        <f t="array" aca="1" ref="X121" ca="1">IFERROR(_xlfn.IFS(OR(F121="",LEFT(Methode_Keuze,4)="Geen",Methode_Keuze=""),"",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26"/>
      <c r="Z121" s="319"/>
      <c r="AA121" s="32" t="str" cm="1">
        <f t="array" ref="AA121">IFERROR(IF(INDEX(SubsidieTabel!$AD$1:$AG$12,MATCH($F121,SubsidieTabel!$AD$1:$AD$12,0),IFERROR(MATCH(Methode_Keuze,SubsidieTabel!$AD$1:$AG$1,0),2))&lt;&gt;1=TRUE,"ja",""),"")</f>
        <v/>
      </c>
    </row>
    <row r="122" spans="1:27" x14ac:dyDescent="0.25">
      <c r="A122" s="320"/>
      <c r="B122" s="321" t="str">
        <f>IF(A122&lt;&gt;"",_xlfn.MAXIFS($B$1:B121,$A$1:A121,A122)+1,"")</f>
        <v/>
      </c>
      <c r="C122" s="299"/>
      <c r="D122" s="299"/>
      <c r="E122" s="299"/>
      <c r="F122" s="299"/>
      <c r="G122" s="330"/>
      <c r="H122" s="328"/>
      <c r="I122" s="329"/>
      <c r="J122" s="329"/>
      <c r="K122" s="322"/>
      <c r="L122" s="322"/>
      <c r="M122" s="323" t="str">
        <f>IFERROR(VLOOKUP(H122,Lijsten!$H$1:$I$100,2,0),"")</f>
        <v/>
      </c>
      <c r="N122" s="323" t="str">
        <f ca="1">IFERROR(IF(VLOOKUP(F122,Kostentypen!$A$3:$E$21,3,0)=0,"",IF(OR(F122="Arbeidskosten",F122="Vergoeding"),VLOOKUP(G122,Tb_KostenTypen[],2,0),VLOOKUP(F122,Kostentypen!$A$3:$E$20,3,0))),"")</f>
        <v/>
      </c>
      <c r="O122" s="324"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4"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3"/>
      <c r="R122" s="363"/>
      <c r="S122" s="325"/>
      <c r="T122" s="325"/>
      <c r="U122" s="317" t="str" cm="1">
        <f t="array" aca="1" ref="U122" ca="1">IFERROR(IF(AA122&lt;&gt;"ja",_xlfn.IFNA(_xlfn.IFS(AND(O122&lt;&gt;"",F122&lt;&gt;"",RIGHT($N122,6)="tarief",F122="Vergoeding"),SUM(O122)*FLOOR(SUM(Q122),0.0001),AND(O122&lt;&gt;"",F122&lt;&gt;"",RIGHT($N122,6)="tarief"),SUM(O122)*FLOOR(SUM(Q122),0.01),S122&gt;0,IF(F122&lt;&gt;"",FLOOR(SUM(S122),0.01),"")),""),""),"")</f>
        <v/>
      </c>
      <c r="V122" s="317" t="str" cm="1">
        <f t="array" aca="1" ref="V122" ca="1">IFERROR(IF(AA122&lt;&gt;"ja",_xlfn.IFNA(_xlfn.IFS(AND(P122&lt;&gt;"",R122&lt;&gt;"",RIGHT($N122,6)="tarief",F122="Vergoeding"),SUM(P122)*FLOOR(SUM(R122),0.0001),AND(P122&lt;&gt;"",R122&lt;&gt;"",RIGHT($N122,6)="tarief"),P122*FLOOR(R122,0.01),T122&gt;0,FLOOR(SUM(T122),0.01)),""),""),"")</f>
        <v/>
      </c>
      <c r="W122" s="317" t="str" cm="1">
        <f t="array" aca="1" ref="W122" ca="1">IFERROR(_xlfn.IFS(OR(F122="",LEFT(Methode_Keuze,4)="Geen",Methode_Keuze=""),"",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17" t="str" cm="1">
        <f t="array" aca="1" ref="X122" ca="1">IFERROR(_xlfn.IFS(OR(F122="",LEFT(Methode_Keuze,4)="Geen",Methode_Keuze=""),"",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26"/>
      <c r="Z122" s="319"/>
      <c r="AA122" s="32" t="str" cm="1">
        <f t="array" ref="AA122">IFERROR(IF(INDEX(SubsidieTabel!$AD$1:$AG$12,MATCH($F122,SubsidieTabel!$AD$1:$AD$12,0),IFERROR(MATCH(Methode_Keuze,SubsidieTabel!$AD$1:$AG$1,0),2))&lt;&gt;1=TRUE,"ja",""),"")</f>
        <v/>
      </c>
    </row>
    <row r="123" spans="1:27" x14ac:dyDescent="0.25">
      <c r="A123" s="320"/>
      <c r="B123" s="321" t="str">
        <f>IF(A123&lt;&gt;"",_xlfn.MAXIFS($B$1:B122,$A$1:A122,A123)+1,"")</f>
        <v/>
      </c>
      <c r="C123" s="299"/>
      <c r="D123" s="299"/>
      <c r="E123" s="299"/>
      <c r="F123" s="299"/>
      <c r="G123" s="330"/>
      <c r="H123" s="328"/>
      <c r="I123" s="329"/>
      <c r="J123" s="329"/>
      <c r="K123" s="322"/>
      <c r="L123" s="322"/>
      <c r="M123" s="323" t="str">
        <f>IFERROR(VLOOKUP(H123,Lijsten!$H$1:$I$100,2,0),"")</f>
        <v/>
      </c>
      <c r="N123" s="323" t="str">
        <f ca="1">IFERROR(IF(VLOOKUP(F123,Kostentypen!$A$3:$E$21,3,0)=0,"",IF(OR(F123="Arbeidskosten",F123="Vergoeding"),VLOOKUP(G123,Tb_KostenTypen[],2,0),VLOOKUP(F123,Kostentypen!$A$3:$E$20,3,0))),"")</f>
        <v/>
      </c>
      <c r="O123" s="324"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4"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3"/>
      <c r="R123" s="363"/>
      <c r="S123" s="325"/>
      <c r="T123" s="325"/>
      <c r="U123" s="317" t="str" cm="1">
        <f t="array" aca="1" ref="U123" ca="1">IFERROR(IF(AA123&lt;&gt;"ja",_xlfn.IFNA(_xlfn.IFS(AND(O123&lt;&gt;"",F123&lt;&gt;"",RIGHT($N123,6)="tarief",F123="Vergoeding"),SUM(O123)*FLOOR(SUM(Q123),0.0001),AND(O123&lt;&gt;"",F123&lt;&gt;"",RIGHT($N123,6)="tarief"),SUM(O123)*FLOOR(SUM(Q123),0.01),S123&gt;0,IF(F123&lt;&gt;"",FLOOR(SUM(S123),0.01),"")),""),""),"")</f>
        <v/>
      </c>
      <c r="V123" s="317" t="str" cm="1">
        <f t="array" aca="1" ref="V123" ca="1">IFERROR(IF(AA123&lt;&gt;"ja",_xlfn.IFNA(_xlfn.IFS(AND(P123&lt;&gt;"",R123&lt;&gt;"",RIGHT($N123,6)="tarief",F123="Vergoeding"),SUM(P123)*FLOOR(SUM(R123),0.0001),AND(P123&lt;&gt;"",R123&lt;&gt;"",RIGHT($N123,6)="tarief"),P123*FLOOR(R123,0.01),T123&gt;0,FLOOR(SUM(T123),0.01)),""),""),"")</f>
        <v/>
      </c>
      <c r="W123" s="317" t="str" cm="1">
        <f t="array" aca="1" ref="W123" ca="1">IFERROR(_xlfn.IFS(OR(F123="",LEFT(Methode_Keuze,4)="Geen",Methode_Keuze=""),"",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17" t="str" cm="1">
        <f t="array" aca="1" ref="X123" ca="1">IFERROR(_xlfn.IFS(OR(F123="",LEFT(Methode_Keuze,4)="Geen",Methode_Keuze=""),"",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26"/>
      <c r="Z123" s="319"/>
      <c r="AA123" s="32" t="str" cm="1">
        <f t="array" ref="AA123">IFERROR(IF(INDEX(SubsidieTabel!$AD$1:$AG$12,MATCH($F123,SubsidieTabel!$AD$1:$AD$12,0),IFERROR(MATCH(Methode_Keuze,SubsidieTabel!$AD$1:$AG$1,0),2))&lt;&gt;1=TRUE,"ja",""),"")</f>
        <v/>
      </c>
    </row>
    <row r="124" spans="1:27" x14ac:dyDescent="0.25">
      <c r="A124" s="320"/>
      <c r="B124" s="321" t="str">
        <f>IF(A124&lt;&gt;"",_xlfn.MAXIFS($B$1:B123,$A$1:A123,A124)+1,"")</f>
        <v/>
      </c>
      <c r="C124" s="299"/>
      <c r="D124" s="299"/>
      <c r="E124" s="299"/>
      <c r="F124" s="299"/>
      <c r="G124" s="330"/>
      <c r="H124" s="328"/>
      <c r="I124" s="329"/>
      <c r="J124" s="329"/>
      <c r="K124" s="322"/>
      <c r="L124" s="322"/>
      <c r="M124" s="323" t="str">
        <f>IFERROR(VLOOKUP(H124,Lijsten!$H$1:$I$100,2,0),"")</f>
        <v/>
      </c>
      <c r="N124" s="323" t="str">
        <f ca="1">IFERROR(IF(VLOOKUP(F124,Kostentypen!$A$3:$E$21,3,0)=0,"",IF(OR(F124="Arbeidskosten",F124="Vergoeding"),VLOOKUP(G124,Tb_KostenTypen[],2,0),VLOOKUP(F124,Kostentypen!$A$3:$E$20,3,0))),"")</f>
        <v/>
      </c>
      <c r="O124" s="324"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4"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3"/>
      <c r="R124" s="363"/>
      <c r="S124" s="325"/>
      <c r="T124" s="325"/>
      <c r="U124" s="317" t="str" cm="1">
        <f t="array" aca="1" ref="U124" ca="1">IFERROR(IF(AA124&lt;&gt;"ja",_xlfn.IFNA(_xlfn.IFS(AND(O124&lt;&gt;"",F124&lt;&gt;"",RIGHT($N124,6)="tarief",F124="Vergoeding"),SUM(O124)*FLOOR(SUM(Q124),0.0001),AND(O124&lt;&gt;"",F124&lt;&gt;"",RIGHT($N124,6)="tarief"),SUM(O124)*FLOOR(SUM(Q124),0.01),S124&gt;0,IF(F124&lt;&gt;"",FLOOR(SUM(S124),0.01),"")),""),""),"")</f>
        <v/>
      </c>
      <c r="V124" s="317" t="str" cm="1">
        <f t="array" aca="1" ref="V124" ca="1">IFERROR(IF(AA124&lt;&gt;"ja",_xlfn.IFNA(_xlfn.IFS(AND(P124&lt;&gt;"",R124&lt;&gt;"",RIGHT($N124,6)="tarief",F124="Vergoeding"),SUM(P124)*FLOOR(SUM(R124),0.0001),AND(P124&lt;&gt;"",R124&lt;&gt;"",RIGHT($N124,6)="tarief"),P124*FLOOR(R124,0.01),T124&gt;0,FLOOR(SUM(T124),0.01)),""),""),"")</f>
        <v/>
      </c>
      <c r="W124" s="317" t="str" cm="1">
        <f t="array" aca="1" ref="W124" ca="1">IFERROR(_xlfn.IFS(OR(F124="",LEFT(Methode_Keuze,4)="Geen",Methode_Keuze=""),"",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17" t="str" cm="1">
        <f t="array" aca="1" ref="X124" ca="1">IFERROR(_xlfn.IFS(OR(F124="",LEFT(Methode_Keuze,4)="Geen",Methode_Keuze=""),"",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26"/>
      <c r="Z124" s="319"/>
      <c r="AA124" s="32" t="str" cm="1">
        <f t="array" ref="AA124">IFERROR(IF(INDEX(SubsidieTabel!$AD$1:$AG$12,MATCH($F124,SubsidieTabel!$AD$1:$AD$12,0),IFERROR(MATCH(Methode_Keuze,SubsidieTabel!$AD$1:$AG$1,0),2))&lt;&gt;1=TRUE,"ja",""),"")</f>
        <v/>
      </c>
    </row>
    <row r="125" spans="1:27" x14ac:dyDescent="0.25">
      <c r="A125" s="320"/>
      <c r="B125" s="321" t="str">
        <f>IF(A125&lt;&gt;"",_xlfn.MAXIFS($B$1:B124,$A$1:A124,A125)+1,"")</f>
        <v/>
      </c>
      <c r="C125" s="299"/>
      <c r="D125" s="299"/>
      <c r="E125" s="299"/>
      <c r="F125" s="299"/>
      <c r="G125" s="330"/>
      <c r="H125" s="328"/>
      <c r="I125" s="329"/>
      <c r="J125" s="329"/>
      <c r="K125" s="322"/>
      <c r="L125" s="322"/>
      <c r="M125" s="323" t="str">
        <f>IFERROR(VLOOKUP(H125,Lijsten!$H$1:$I$100,2,0),"")</f>
        <v/>
      </c>
      <c r="N125" s="323" t="str">
        <f ca="1">IFERROR(IF(VLOOKUP(F125,Kostentypen!$A$3:$E$21,3,0)=0,"",IF(OR(F125="Arbeidskosten",F125="Vergoeding"),VLOOKUP(G125,Tb_KostenTypen[],2,0),VLOOKUP(F125,Kostentypen!$A$3:$E$20,3,0))),"")</f>
        <v/>
      </c>
      <c r="O125" s="324"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4"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3"/>
      <c r="R125" s="363"/>
      <c r="S125" s="325"/>
      <c r="T125" s="325"/>
      <c r="U125" s="317" t="str" cm="1">
        <f t="array" aca="1" ref="U125" ca="1">IFERROR(IF(AA125&lt;&gt;"ja",_xlfn.IFNA(_xlfn.IFS(AND(O125&lt;&gt;"",F125&lt;&gt;"",RIGHT($N125,6)="tarief",F125="Vergoeding"),SUM(O125)*FLOOR(SUM(Q125),0.0001),AND(O125&lt;&gt;"",F125&lt;&gt;"",RIGHT($N125,6)="tarief"),SUM(O125)*FLOOR(SUM(Q125),0.01),S125&gt;0,IF(F125&lt;&gt;"",FLOOR(SUM(S125),0.01),"")),""),""),"")</f>
        <v/>
      </c>
      <c r="V125" s="317" t="str" cm="1">
        <f t="array" aca="1" ref="V125" ca="1">IFERROR(IF(AA125&lt;&gt;"ja",_xlfn.IFNA(_xlfn.IFS(AND(P125&lt;&gt;"",R125&lt;&gt;"",RIGHT($N125,6)="tarief",F125="Vergoeding"),SUM(P125)*FLOOR(SUM(R125),0.0001),AND(P125&lt;&gt;"",R125&lt;&gt;"",RIGHT($N125,6)="tarief"),P125*FLOOR(R125,0.01),T125&gt;0,FLOOR(SUM(T125),0.01)),""),""),"")</f>
        <v/>
      </c>
      <c r="W125" s="317" t="str" cm="1">
        <f t="array" aca="1" ref="W125" ca="1">IFERROR(_xlfn.IFS(OR(F125="",LEFT(Methode_Keuze,4)="Geen",Methode_Keuze=""),"",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17" t="str" cm="1">
        <f t="array" aca="1" ref="X125" ca="1">IFERROR(_xlfn.IFS(OR(F125="",LEFT(Methode_Keuze,4)="Geen",Methode_Keuze=""),"",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26"/>
      <c r="Z125" s="319"/>
      <c r="AA125" s="32" t="str" cm="1">
        <f t="array" ref="AA125">IFERROR(IF(INDEX(SubsidieTabel!$AD$1:$AG$12,MATCH($F125,SubsidieTabel!$AD$1:$AD$12,0),IFERROR(MATCH(Methode_Keuze,SubsidieTabel!$AD$1:$AG$1,0),2))&lt;&gt;1=TRUE,"ja",""),"")</f>
        <v/>
      </c>
    </row>
    <row r="126" spans="1:27" x14ac:dyDescent="0.25">
      <c r="A126" s="320"/>
      <c r="B126" s="321" t="str">
        <f>IF(A126&lt;&gt;"",_xlfn.MAXIFS($B$1:B125,$A$1:A125,A126)+1,"")</f>
        <v/>
      </c>
      <c r="C126" s="299"/>
      <c r="D126" s="299"/>
      <c r="E126" s="299"/>
      <c r="F126" s="299"/>
      <c r="G126" s="330"/>
      <c r="H126" s="328"/>
      <c r="I126" s="329"/>
      <c r="J126" s="329"/>
      <c r="K126" s="322"/>
      <c r="L126" s="322"/>
      <c r="M126" s="323" t="str">
        <f>IFERROR(VLOOKUP(H126,Lijsten!$H$1:$I$100,2,0),"")</f>
        <v/>
      </c>
      <c r="N126" s="323" t="str">
        <f ca="1">IFERROR(IF(VLOOKUP(F126,Kostentypen!$A$3:$E$21,3,0)=0,"",IF(OR(F126="Arbeidskosten",F126="Vergoeding"),VLOOKUP(G126,Tb_KostenTypen[],2,0),VLOOKUP(F126,Kostentypen!$A$3:$E$20,3,0))),"")</f>
        <v/>
      </c>
      <c r="O126" s="324"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4"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3"/>
      <c r="R126" s="363"/>
      <c r="S126" s="325"/>
      <c r="T126" s="325"/>
      <c r="U126" s="317" t="str" cm="1">
        <f t="array" aca="1" ref="U126" ca="1">IFERROR(IF(AA126&lt;&gt;"ja",_xlfn.IFNA(_xlfn.IFS(AND(O126&lt;&gt;"",F126&lt;&gt;"",RIGHT($N126,6)="tarief",F126="Vergoeding"),SUM(O126)*FLOOR(SUM(Q126),0.0001),AND(O126&lt;&gt;"",F126&lt;&gt;"",RIGHT($N126,6)="tarief"),SUM(O126)*FLOOR(SUM(Q126),0.01),S126&gt;0,IF(F126&lt;&gt;"",FLOOR(SUM(S126),0.01),"")),""),""),"")</f>
        <v/>
      </c>
      <c r="V126" s="317" t="str" cm="1">
        <f t="array" aca="1" ref="V126" ca="1">IFERROR(IF(AA126&lt;&gt;"ja",_xlfn.IFNA(_xlfn.IFS(AND(P126&lt;&gt;"",R126&lt;&gt;"",RIGHT($N126,6)="tarief",F126="Vergoeding"),SUM(P126)*FLOOR(SUM(R126),0.0001),AND(P126&lt;&gt;"",R126&lt;&gt;"",RIGHT($N126,6)="tarief"),P126*FLOOR(R126,0.01),T126&gt;0,FLOOR(SUM(T126),0.01)),""),""),"")</f>
        <v/>
      </c>
      <c r="W126" s="317" t="str" cm="1">
        <f t="array" aca="1" ref="W126" ca="1">IFERROR(_xlfn.IFS(OR(F126="",LEFT(Methode_Keuze,4)="Geen",Methode_Keuze=""),"",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17" t="str" cm="1">
        <f t="array" aca="1" ref="X126" ca="1">IFERROR(_xlfn.IFS(OR(F126="",LEFT(Methode_Keuze,4)="Geen",Methode_Keuze=""),"",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26"/>
      <c r="Z126" s="319"/>
      <c r="AA126" s="32" t="str" cm="1">
        <f t="array" ref="AA126">IFERROR(IF(INDEX(SubsidieTabel!$AD$1:$AG$12,MATCH($F126,SubsidieTabel!$AD$1:$AD$12,0),IFERROR(MATCH(Methode_Keuze,SubsidieTabel!$AD$1:$AG$1,0),2))&lt;&gt;1=TRUE,"ja",""),"")</f>
        <v/>
      </c>
    </row>
    <row r="127" spans="1:27" x14ac:dyDescent="0.25">
      <c r="A127" s="320"/>
      <c r="B127" s="321" t="str">
        <f>IF(A127&lt;&gt;"",_xlfn.MAXIFS($B$1:B126,$A$1:A126,A127)+1,"")</f>
        <v/>
      </c>
      <c r="C127" s="299"/>
      <c r="D127" s="299"/>
      <c r="E127" s="299"/>
      <c r="F127" s="299"/>
      <c r="G127" s="330"/>
      <c r="H127" s="328"/>
      <c r="I127" s="329"/>
      <c r="J127" s="329"/>
      <c r="K127" s="322"/>
      <c r="L127" s="322"/>
      <c r="M127" s="323" t="str">
        <f>IFERROR(VLOOKUP(H127,Lijsten!$H$1:$I$100,2,0),"")</f>
        <v/>
      </c>
      <c r="N127" s="323" t="str">
        <f ca="1">IFERROR(IF(VLOOKUP(F127,Kostentypen!$A$3:$E$21,3,0)=0,"",IF(OR(F127="Arbeidskosten",F127="Vergoeding"),VLOOKUP(G127,Tb_KostenTypen[],2,0),VLOOKUP(F127,Kostentypen!$A$3:$E$20,3,0))),"")</f>
        <v/>
      </c>
      <c r="O127" s="324"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4"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3"/>
      <c r="R127" s="363"/>
      <c r="S127" s="325"/>
      <c r="T127" s="325"/>
      <c r="U127" s="317" t="str" cm="1">
        <f t="array" aca="1" ref="U127" ca="1">IFERROR(IF(AA127&lt;&gt;"ja",_xlfn.IFNA(_xlfn.IFS(AND(O127&lt;&gt;"",F127&lt;&gt;"",RIGHT($N127,6)="tarief",F127="Vergoeding"),SUM(O127)*FLOOR(SUM(Q127),0.0001),AND(O127&lt;&gt;"",F127&lt;&gt;"",RIGHT($N127,6)="tarief"),SUM(O127)*FLOOR(SUM(Q127),0.01),S127&gt;0,IF(F127&lt;&gt;"",FLOOR(SUM(S127),0.01),"")),""),""),"")</f>
        <v/>
      </c>
      <c r="V127" s="317" t="str" cm="1">
        <f t="array" aca="1" ref="V127" ca="1">IFERROR(IF(AA127&lt;&gt;"ja",_xlfn.IFNA(_xlfn.IFS(AND(P127&lt;&gt;"",R127&lt;&gt;"",RIGHT($N127,6)="tarief",F127="Vergoeding"),SUM(P127)*FLOOR(SUM(R127),0.0001),AND(P127&lt;&gt;"",R127&lt;&gt;"",RIGHT($N127,6)="tarief"),P127*FLOOR(R127,0.01),T127&gt;0,FLOOR(SUM(T127),0.01)),""),""),"")</f>
        <v/>
      </c>
      <c r="W127" s="317" t="str" cm="1">
        <f t="array" aca="1" ref="W127" ca="1">IFERROR(_xlfn.IFS(OR(F127="",LEFT(Methode_Keuze,4)="Geen",Methode_Keuze=""),"",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17" t="str" cm="1">
        <f t="array" aca="1" ref="X127" ca="1">IFERROR(_xlfn.IFS(OR(F127="",LEFT(Methode_Keuze,4)="Geen",Methode_Keuze=""),"",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26"/>
      <c r="Z127" s="319"/>
      <c r="AA127" s="32" t="str" cm="1">
        <f t="array" ref="AA127">IFERROR(IF(INDEX(SubsidieTabel!$AD$1:$AG$12,MATCH($F127,SubsidieTabel!$AD$1:$AD$12,0),IFERROR(MATCH(Methode_Keuze,SubsidieTabel!$AD$1:$AG$1,0),2))&lt;&gt;1=TRUE,"ja",""),"")</f>
        <v/>
      </c>
    </row>
    <row r="128" spans="1:27" x14ac:dyDescent="0.25">
      <c r="A128" s="320"/>
      <c r="B128" s="321" t="str">
        <f>IF(A128&lt;&gt;"",_xlfn.MAXIFS($B$1:B127,$A$1:A127,A128)+1,"")</f>
        <v/>
      </c>
      <c r="C128" s="299"/>
      <c r="D128" s="299"/>
      <c r="E128" s="299"/>
      <c r="F128" s="299"/>
      <c r="G128" s="330"/>
      <c r="H128" s="328"/>
      <c r="I128" s="329"/>
      <c r="J128" s="329"/>
      <c r="K128" s="322"/>
      <c r="L128" s="322"/>
      <c r="M128" s="323" t="str">
        <f>IFERROR(VLOOKUP(H128,Lijsten!$H$1:$I$100,2,0),"")</f>
        <v/>
      </c>
      <c r="N128" s="323" t="str">
        <f ca="1">IFERROR(IF(VLOOKUP(F128,Kostentypen!$A$3:$E$21,3,0)=0,"",IF(OR(F128="Arbeidskosten",F128="Vergoeding"),VLOOKUP(G128,Tb_KostenTypen[],2,0),VLOOKUP(F128,Kostentypen!$A$3:$E$20,3,0))),"")</f>
        <v/>
      </c>
      <c r="O128" s="324"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4"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3"/>
      <c r="R128" s="363"/>
      <c r="S128" s="325"/>
      <c r="T128" s="325"/>
      <c r="U128" s="317" t="str" cm="1">
        <f t="array" aca="1" ref="U128" ca="1">IFERROR(IF(AA128&lt;&gt;"ja",_xlfn.IFNA(_xlfn.IFS(AND(O128&lt;&gt;"",F128&lt;&gt;"",RIGHT($N128,6)="tarief",F128="Vergoeding"),SUM(O128)*FLOOR(SUM(Q128),0.0001),AND(O128&lt;&gt;"",F128&lt;&gt;"",RIGHT($N128,6)="tarief"),SUM(O128)*FLOOR(SUM(Q128),0.01),S128&gt;0,IF(F128&lt;&gt;"",FLOOR(SUM(S128),0.01),"")),""),""),"")</f>
        <v/>
      </c>
      <c r="V128" s="317" t="str" cm="1">
        <f t="array" aca="1" ref="V128" ca="1">IFERROR(IF(AA128&lt;&gt;"ja",_xlfn.IFNA(_xlfn.IFS(AND(P128&lt;&gt;"",R128&lt;&gt;"",RIGHT($N128,6)="tarief",F128="Vergoeding"),SUM(P128)*FLOOR(SUM(R128),0.0001),AND(P128&lt;&gt;"",R128&lt;&gt;"",RIGHT($N128,6)="tarief"),P128*FLOOR(R128,0.01),T128&gt;0,FLOOR(SUM(T128),0.01)),""),""),"")</f>
        <v/>
      </c>
      <c r="W128" s="317" t="str" cm="1">
        <f t="array" aca="1" ref="W128" ca="1">IFERROR(_xlfn.IFS(OR(F128="",LEFT(Methode_Keuze,4)="Geen",Methode_Keuze=""),"",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17" t="str" cm="1">
        <f t="array" aca="1" ref="X128" ca="1">IFERROR(_xlfn.IFS(OR(F128="",LEFT(Methode_Keuze,4)="Geen",Methode_Keuze=""),"",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26"/>
      <c r="Z128" s="319"/>
      <c r="AA128" s="32" t="str" cm="1">
        <f t="array" ref="AA128">IFERROR(IF(INDEX(SubsidieTabel!$AD$1:$AG$12,MATCH($F128,SubsidieTabel!$AD$1:$AD$12,0),IFERROR(MATCH(Methode_Keuze,SubsidieTabel!$AD$1:$AG$1,0),2))&lt;&gt;1=TRUE,"ja",""),"")</f>
        <v/>
      </c>
    </row>
    <row r="129" spans="1:27" x14ac:dyDescent="0.25">
      <c r="A129" s="320"/>
      <c r="B129" s="321" t="str">
        <f>IF(A129&lt;&gt;"",_xlfn.MAXIFS($B$1:B128,$A$1:A128,A129)+1,"")</f>
        <v/>
      </c>
      <c r="C129" s="299"/>
      <c r="D129" s="299"/>
      <c r="E129" s="299"/>
      <c r="F129" s="299"/>
      <c r="G129" s="330"/>
      <c r="H129" s="328"/>
      <c r="I129" s="329"/>
      <c r="J129" s="329"/>
      <c r="K129" s="322"/>
      <c r="L129" s="322"/>
      <c r="M129" s="323" t="str">
        <f>IFERROR(VLOOKUP(H129,Lijsten!$H$1:$I$100,2,0),"")</f>
        <v/>
      </c>
      <c r="N129" s="323" t="str">
        <f ca="1">IFERROR(IF(VLOOKUP(F129,Kostentypen!$A$3:$E$21,3,0)=0,"",IF(OR(F129="Arbeidskosten",F129="Vergoeding"),VLOOKUP(G129,Tb_KostenTypen[],2,0),VLOOKUP(F129,Kostentypen!$A$3:$E$20,3,0))),"")</f>
        <v/>
      </c>
      <c r="O129" s="324"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4"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3"/>
      <c r="R129" s="363"/>
      <c r="S129" s="325"/>
      <c r="T129" s="325"/>
      <c r="U129" s="317" t="str" cm="1">
        <f t="array" aca="1" ref="U129" ca="1">IFERROR(IF(AA129&lt;&gt;"ja",_xlfn.IFNA(_xlfn.IFS(AND(O129&lt;&gt;"",F129&lt;&gt;"",RIGHT($N129,6)="tarief",F129="Vergoeding"),SUM(O129)*FLOOR(SUM(Q129),0.0001),AND(O129&lt;&gt;"",F129&lt;&gt;"",RIGHT($N129,6)="tarief"),SUM(O129)*FLOOR(SUM(Q129),0.01),S129&gt;0,IF(F129&lt;&gt;"",FLOOR(SUM(S129),0.01),"")),""),""),"")</f>
        <v/>
      </c>
      <c r="V129" s="317" t="str" cm="1">
        <f t="array" aca="1" ref="V129" ca="1">IFERROR(IF(AA129&lt;&gt;"ja",_xlfn.IFNA(_xlfn.IFS(AND(P129&lt;&gt;"",R129&lt;&gt;"",RIGHT($N129,6)="tarief",F129="Vergoeding"),SUM(P129)*FLOOR(SUM(R129),0.0001),AND(P129&lt;&gt;"",R129&lt;&gt;"",RIGHT($N129,6)="tarief"),P129*FLOOR(R129,0.01),T129&gt;0,FLOOR(SUM(T129),0.01)),""),""),"")</f>
        <v/>
      </c>
      <c r="W129" s="317" t="str" cm="1">
        <f t="array" aca="1" ref="W129" ca="1">IFERROR(_xlfn.IFS(OR(F129="",LEFT(Methode_Keuze,4)="Geen",Methode_Keuze=""),"",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17" t="str" cm="1">
        <f t="array" aca="1" ref="X129" ca="1">IFERROR(_xlfn.IFS(OR(F129="",LEFT(Methode_Keuze,4)="Geen",Methode_Keuze=""),"",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26"/>
      <c r="Z129" s="319"/>
      <c r="AA129" s="32" t="str" cm="1">
        <f t="array" ref="AA129">IFERROR(IF(INDEX(SubsidieTabel!$AD$1:$AG$12,MATCH($F129,SubsidieTabel!$AD$1:$AD$12,0),IFERROR(MATCH(Methode_Keuze,SubsidieTabel!$AD$1:$AG$1,0),2))&lt;&gt;1=TRUE,"ja",""),"")</f>
        <v/>
      </c>
    </row>
    <row r="130" spans="1:27" x14ac:dyDescent="0.25">
      <c r="A130" s="320"/>
      <c r="B130" s="321" t="str">
        <f>IF(A130&lt;&gt;"",_xlfn.MAXIFS($B$1:B129,$A$1:A129,A130)+1,"")</f>
        <v/>
      </c>
      <c r="C130" s="299"/>
      <c r="D130" s="299"/>
      <c r="E130" s="299"/>
      <c r="F130" s="299"/>
      <c r="G130" s="330"/>
      <c r="H130" s="328"/>
      <c r="I130" s="329"/>
      <c r="J130" s="329"/>
      <c r="K130" s="322"/>
      <c r="L130" s="322"/>
      <c r="M130" s="323" t="str">
        <f>IFERROR(VLOOKUP(H130,Lijsten!$H$1:$I$100,2,0),"")</f>
        <v/>
      </c>
      <c r="N130" s="323" t="str">
        <f ca="1">IFERROR(IF(VLOOKUP(F130,Kostentypen!$A$3:$E$21,3,0)=0,"",IF(OR(F130="Arbeidskosten",F130="Vergoeding"),VLOOKUP(G130,Tb_KostenTypen[],2,0),VLOOKUP(F130,Kostentypen!$A$3:$E$20,3,0))),"")</f>
        <v/>
      </c>
      <c r="O130" s="324"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4"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3"/>
      <c r="R130" s="363"/>
      <c r="S130" s="325"/>
      <c r="T130" s="325"/>
      <c r="U130" s="317" t="str" cm="1">
        <f t="array" aca="1" ref="U130" ca="1">IFERROR(IF(AA130&lt;&gt;"ja",_xlfn.IFNA(_xlfn.IFS(AND(O130&lt;&gt;"",F130&lt;&gt;"",RIGHT($N130,6)="tarief",F130="Vergoeding"),SUM(O130)*FLOOR(SUM(Q130),0.0001),AND(O130&lt;&gt;"",F130&lt;&gt;"",RIGHT($N130,6)="tarief"),SUM(O130)*FLOOR(SUM(Q130),0.01),S130&gt;0,IF(F130&lt;&gt;"",FLOOR(SUM(S130),0.01),"")),""),""),"")</f>
        <v/>
      </c>
      <c r="V130" s="317" t="str" cm="1">
        <f t="array" aca="1" ref="V130" ca="1">IFERROR(IF(AA130&lt;&gt;"ja",_xlfn.IFNA(_xlfn.IFS(AND(P130&lt;&gt;"",R130&lt;&gt;"",RIGHT($N130,6)="tarief",F130="Vergoeding"),SUM(P130)*FLOOR(SUM(R130),0.0001),AND(P130&lt;&gt;"",R130&lt;&gt;"",RIGHT($N130,6)="tarief"),P130*FLOOR(R130,0.01),T130&gt;0,FLOOR(SUM(T130),0.01)),""),""),"")</f>
        <v/>
      </c>
      <c r="W130" s="317" t="str" cm="1">
        <f t="array" aca="1" ref="W130" ca="1">IFERROR(_xlfn.IFS(OR(F130="",LEFT(Methode_Keuze,4)="Geen",Methode_Keuze=""),"",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17" t="str" cm="1">
        <f t="array" aca="1" ref="X130" ca="1">IFERROR(_xlfn.IFS(OR(F130="",LEFT(Methode_Keuze,4)="Geen",Methode_Keuze=""),"",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26"/>
      <c r="Z130" s="319"/>
      <c r="AA130" s="32" t="str" cm="1">
        <f t="array" ref="AA130">IFERROR(IF(INDEX(SubsidieTabel!$AD$1:$AG$12,MATCH($F130,SubsidieTabel!$AD$1:$AD$12,0),IFERROR(MATCH(Methode_Keuze,SubsidieTabel!$AD$1:$AG$1,0),2))&lt;&gt;1=TRUE,"ja",""),"")</f>
        <v/>
      </c>
    </row>
    <row r="131" spans="1:27" x14ac:dyDescent="0.25">
      <c r="A131" s="320"/>
      <c r="B131" s="321" t="str">
        <f>IF(A131&lt;&gt;"",_xlfn.MAXIFS($B$1:B130,$A$1:A130,A131)+1,"")</f>
        <v/>
      </c>
      <c r="C131" s="299"/>
      <c r="D131" s="299"/>
      <c r="E131" s="299"/>
      <c r="F131" s="299"/>
      <c r="G131" s="330"/>
      <c r="H131" s="328"/>
      <c r="I131" s="329"/>
      <c r="J131" s="329"/>
      <c r="K131" s="322"/>
      <c r="L131" s="322"/>
      <c r="M131" s="323" t="str">
        <f>IFERROR(VLOOKUP(H131,Lijsten!$H$1:$I$100,2,0),"")</f>
        <v/>
      </c>
      <c r="N131" s="323" t="str">
        <f ca="1">IFERROR(IF(VLOOKUP(F131,Kostentypen!$A$3:$E$21,3,0)=0,"",IF(OR(F131="Arbeidskosten",F131="Vergoeding"),VLOOKUP(G131,Tb_KostenTypen[],2,0),VLOOKUP(F131,Kostentypen!$A$3:$E$20,3,0))),"")</f>
        <v/>
      </c>
      <c r="O131" s="324"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4"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3"/>
      <c r="R131" s="363"/>
      <c r="S131" s="325"/>
      <c r="T131" s="325"/>
      <c r="U131" s="317" t="str" cm="1">
        <f t="array" aca="1" ref="U131" ca="1">IFERROR(IF(AA131&lt;&gt;"ja",_xlfn.IFNA(_xlfn.IFS(AND(O131&lt;&gt;"",F131&lt;&gt;"",RIGHT($N131,6)="tarief",F131="Vergoeding"),SUM(O131)*FLOOR(SUM(Q131),0.0001),AND(O131&lt;&gt;"",F131&lt;&gt;"",RIGHT($N131,6)="tarief"),SUM(O131)*FLOOR(SUM(Q131),0.01),S131&gt;0,IF(F131&lt;&gt;"",FLOOR(SUM(S131),0.01),"")),""),""),"")</f>
        <v/>
      </c>
      <c r="V131" s="317" t="str" cm="1">
        <f t="array" aca="1" ref="V131" ca="1">IFERROR(IF(AA131&lt;&gt;"ja",_xlfn.IFNA(_xlfn.IFS(AND(P131&lt;&gt;"",R131&lt;&gt;"",RIGHT($N131,6)="tarief",F131="Vergoeding"),SUM(P131)*FLOOR(SUM(R131),0.0001),AND(P131&lt;&gt;"",R131&lt;&gt;"",RIGHT($N131,6)="tarief"),P131*FLOOR(R131,0.01),T131&gt;0,FLOOR(SUM(T131),0.01)),""),""),"")</f>
        <v/>
      </c>
      <c r="W131" s="317" t="str" cm="1">
        <f t="array" aca="1" ref="W131" ca="1">IFERROR(_xlfn.IFS(OR(F131="",LEFT(Methode_Keuze,4)="Geen",Methode_Keuze=""),"",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17" t="str" cm="1">
        <f t="array" aca="1" ref="X131" ca="1">IFERROR(_xlfn.IFS(OR(F131="",LEFT(Methode_Keuze,4)="Geen",Methode_Keuze=""),"",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26"/>
      <c r="Z131" s="319"/>
      <c r="AA131" s="32" t="str" cm="1">
        <f t="array" ref="AA131">IFERROR(IF(INDEX(SubsidieTabel!$AD$1:$AG$12,MATCH($F131,SubsidieTabel!$AD$1:$AD$12,0),IFERROR(MATCH(Methode_Keuze,SubsidieTabel!$AD$1:$AG$1,0),2))&lt;&gt;1=TRUE,"ja",""),"")</f>
        <v/>
      </c>
    </row>
    <row r="132" spans="1:27" x14ac:dyDescent="0.25">
      <c r="A132" s="320"/>
      <c r="B132" s="321" t="str">
        <f>IF(A132&lt;&gt;"",_xlfn.MAXIFS($B$1:B131,$A$1:A131,A132)+1,"")</f>
        <v/>
      </c>
      <c r="C132" s="299"/>
      <c r="D132" s="299"/>
      <c r="E132" s="299"/>
      <c r="F132" s="299"/>
      <c r="G132" s="330"/>
      <c r="H132" s="328"/>
      <c r="I132" s="329"/>
      <c r="J132" s="329"/>
      <c r="K132" s="322"/>
      <c r="L132" s="322"/>
      <c r="M132" s="323" t="str">
        <f>IFERROR(VLOOKUP(H132,Lijsten!$H$1:$I$100,2,0),"")</f>
        <v/>
      </c>
      <c r="N132" s="323" t="str">
        <f ca="1">IFERROR(IF(VLOOKUP(F132,Kostentypen!$A$3:$E$21,3,0)=0,"",IF(OR(F132="Arbeidskosten",F132="Vergoeding"),VLOOKUP(G132,Tb_KostenTypen[],2,0),VLOOKUP(F132,Kostentypen!$A$3:$E$20,3,0))),"")</f>
        <v/>
      </c>
      <c r="O132" s="324"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4"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3"/>
      <c r="R132" s="363"/>
      <c r="S132" s="325"/>
      <c r="T132" s="325"/>
      <c r="U132" s="317" t="str" cm="1">
        <f t="array" aca="1" ref="U132" ca="1">IFERROR(IF(AA132&lt;&gt;"ja",_xlfn.IFNA(_xlfn.IFS(AND(O132&lt;&gt;"",F132&lt;&gt;"",RIGHT($N132,6)="tarief",F132="Vergoeding"),SUM(O132)*FLOOR(SUM(Q132),0.0001),AND(O132&lt;&gt;"",F132&lt;&gt;"",RIGHT($N132,6)="tarief"),SUM(O132)*FLOOR(SUM(Q132),0.01),S132&gt;0,IF(F132&lt;&gt;"",FLOOR(SUM(S132),0.01),"")),""),""),"")</f>
        <v/>
      </c>
      <c r="V132" s="317" t="str" cm="1">
        <f t="array" aca="1" ref="V132" ca="1">IFERROR(IF(AA132&lt;&gt;"ja",_xlfn.IFNA(_xlfn.IFS(AND(P132&lt;&gt;"",R132&lt;&gt;"",RIGHT($N132,6)="tarief",F132="Vergoeding"),SUM(P132)*FLOOR(SUM(R132),0.0001),AND(P132&lt;&gt;"",R132&lt;&gt;"",RIGHT($N132,6)="tarief"),P132*FLOOR(R132,0.01),T132&gt;0,FLOOR(SUM(T132),0.01)),""),""),"")</f>
        <v/>
      </c>
      <c r="W132" s="317" t="str" cm="1">
        <f t="array" aca="1" ref="W132" ca="1">IFERROR(_xlfn.IFS(OR(F132="",LEFT(Methode_Keuze,4)="Geen",Methode_Keuze=""),"",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17" t="str" cm="1">
        <f t="array" aca="1" ref="X132" ca="1">IFERROR(_xlfn.IFS(OR(F132="",LEFT(Methode_Keuze,4)="Geen",Methode_Keuze=""),"",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26"/>
      <c r="Z132" s="319"/>
      <c r="AA132" s="32" t="str" cm="1">
        <f t="array" ref="AA132">IFERROR(IF(INDEX(SubsidieTabel!$AD$1:$AG$12,MATCH($F132,SubsidieTabel!$AD$1:$AD$12,0),IFERROR(MATCH(Methode_Keuze,SubsidieTabel!$AD$1:$AG$1,0),2))&lt;&gt;1=TRUE,"ja",""),"")</f>
        <v/>
      </c>
    </row>
    <row r="133" spans="1:27" x14ac:dyDescent="0.25">
      <c r="A133" s="320"/>
      <c r="B133" s="321" t="str">
        <f>IF(A133&lt;&gt;"",_xlfn.MAXIFS($B$1:B132,$A$1:A132,A133)+1,"")</f>
        <v/>
      </c>
      <c r="C133" s="299"/>
      <c r="D133" s="299"/>
      <c r="E133" s="299"/>
      <c r="F133" s="299"/>
      <c r="G133" s="330"/>
      <c r="H133" s="328"/>
      <c r="I133" s="329"/>
      <c r="J133" s="329"/>
      <c r="K133" s="322"/>
      <c r="L133" s="322"/>
      <c r="M133" s="323" t="str">
        <f>IFERROR(VLOOKUP(H133,Lijsten!$H$1:$I$100,2,0),"")</f>
        <v/>
      </c>
      <c r="N133" s="323" t="str">
        <f ca="1">IFERROR(IF(VLOOKUP(F133,Kostentypen!$A$3:$E$21,3,0)=0,"",IF(OR(F133="Arbeidskosten",F133="Vergoeding"),VLOOKUP(G133,Tb_KostenTypen[],2,0),VLOOKUP(F133,Kostentypen!$A$3:$E$20,3,0))),"")</f>
        <v/>
      </c>
      <c r="O133" s="324"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4"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3"/>
      <c r="R133" s="363"/>
      <c r="S133" s="325"/>
      <c r="T133" s="325"/>
      <c r="U133" s="317" t="str" cm="1">
        <f t="array" aca="1" ref="U133" ca="1">IFERROR(IF(AA133&lt;&gt;"ja",_xlfn.IFNA(_xlfn.IFS(AND(O133&lt;&gt;"",F133&lt;&gt;"",RIGHT($N133,6)="tarief",F133="Vergoeding"),SUM(O133)*FLOOR(SUM(Q133),0.0001),AND(O133&lt;&gt;"",F133&lt;&gt;"",RIGHT($N133,6)="tarief"),SUM(O133)*FLOOR(SUM(Q133),0.01),S133&gt;0,IF(F133&lt;&gt;"",FLOOR(SUM(S133),0.01),"")),""),""),"")</f>
        <v/>
      </c>
      <c r="V133" s="317" t="str" cm="1">
        <f t="array" aca="1" ref="V133" ca="1">IFERROR(IF(AA133&lt;&gt;"ja",_xlfn.IFNA(_xlfn.IFS(AND(P133&lt;&gt;"",R133&lt;&gt;"",RIGHT($N133,6)="tarief",F133="Vergoeding"),SUM(P133)*FLOOR(SUM(R133),0.0001),AND(P133&lt;&gt;"",R133&lt;&gt;"",RIGHT($N133,6)="tarief"),P133*FLOOR(R133,0.01),T133&gt;0,FLOOR(SUM(T133),0.01)),""),""),"")</f>
        <v/>
      </c>
      <c r="W133" s="317" t="str" cm="1">
        <f t="array" aca="1" ref="W133" ca="1">IFERROR(_xlfn.IFS(OR(F133="",LEFT(Methode_Keuze,4)="Geen",Methode_Keuze=""),"",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17" t="str" cm="1">
        <f t="array" aca="1" ref="X133" ca="1">IFERROR(_xlfn.IFS(OR(F133="",LEFT(Methode_Keuze,4)="Geen",Methode_Keuze=""),"",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26"/>
      <c r="Z133" s="319"/>
      <c r="AA133" s="32" t="str" cm="1">
        <f t="array" ref="AA133">IFERROR(IF(INDEX(SubsidieTabel!$AD$1:$AG$12,MATCH($F133,SubsidieTabel!$AD$1:$AD$12,0),IFERROR(MATCH(Methode_Keuze,SubsidieTabel!$AD$1:$AG$1,0),2))&lt;&gt;1=TRUE,"ja",""),"")</f>
        <v/>
      </c>
    </row>
    <row r="134" spans="1:27" x14ac:dyDescent="0.25">
      <c r="A134" s="320"/>
      <c r="B134" s="321" t="str">
        <f>IF(A134&lt;&gt;"",_xlfn.MAXIFS($B$1:B133,$A$1:A133,A134)+1,"")</f>
        <v/>
      </c>
      <c r="C134" s="299"/>
      <c r="D134" s="299"/>
      <c r="E134" s="299"/>
      <c r="F134" s="299"/>
      <c r="G134" s="330"/>
      <c r="H134" s="328"/>
      <c r="I134" s="329"/>
      <c r="J134" s="329"/>
      <c r="K134" s="322"/>
      <c r="L134" s="322"/>
      <c r="M134" s="323" t="str">
        <f>IFERROR(VLOOKUP(H134,Lijsten!$H$1:$I$100,2,0),"")</f>
        <v/>
      </c>
      <c r="N134" s="323" t="str">
        <f ca="1">IFERROR(IF(VLOOKUP(F134,Kostentypen!$A$3:$E$21,3,0)=0,"",IF(OR(F134="Arbeidskosten",F134="Vergoeding"),VLOOKUP(G134,Tb_KostenTypen[],2,0),VLOOKUP(F134,Kostentypen!$A$3:$E$20,3,0))),"")</f>
        <v/>
      </c>
      <c r="O134" s="324"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4"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3"/>
      <c r="R134" s="363"/>
      <c r="S134" s="325"/>
      <c r="T134" s="325"/>
      <c r="U134" s="317" t="str" cm="1">
        <f t="array" aca="1" ref="U134" ca="1">IFERROR(IF(AA134&lt;&gt;"ja",_xlfn.IFNA(_xlfn.IFS(AND(O134&lt;&gt;"",F134&lt;&gt;"",RIGHT($N134,6)="tarief",F134="Vergoeding"),SUM(O134)*FLOOR(SUM(Q134),0.0001),AND(O134&lt;&gt;"",F134&lt;&gt;"",RIGHT($N134,6)="tarief"),SUM(O134)*FLOOR(SUM(Q134),0.01),S134&gt;0,IF(F134&lt;&gt;"",FLOOR(SUM(S134),0.01),"")),""),""),"")</f>
        <v/>
      </c>
      <c r="V134" s="317" t="str" cm="1">
        <f t="array" aca="1" ref="V134" ca="1">IFERROR(IF(AA134&lt;&gt;"ja",_xlfn.IFNA(_xlfn.IFS(AND(P134&lt;&gt;"",R134&lt;&gt;"",RIGHT($N134,6)="tarief",F134="Vergoeding"),SUM(P134)*FLOOR(SUM(R134),0.0001),AND(P134&lt;&gt;"",R134&lt;&gt;"",RIGHT($N134,6)="tarief"),P134*FLOOR(R134,0.01),T134&gt;0,FLOOR(SUM(T134),0.01)),""),""),"")</f>
        <v/>
      </c>
      <c r="W134" s="317" t="str" cm="1">
        <f t="array" aca="1" ref="W134" ca="1">IFERROR(_xlfn.IFS(OR(F134="",LEFT(Methode_Keuze,4)="Geen",Methode_Keuze=""),"",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17" t="str" cm="1">
        <f t="array" aca="1" ref="X134" ca="1">IFERROR(_xlfn.IFS(OR(F134="",LEFT(Methode_Keuze,4)="Geen",Methode_Keuze=""),"",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26"/>
      <c r="Z134" s="319"/>
      <c r="AA134" s="32" t="str" cm="1">
        <f t="array" ref="AA134">IFERROR(IF(INDEX(SubsidieTabel!$AD$1:$AG$12,MATCH($F134,SubsidieTabel!$AD$1:$AD$12,0),IFERROR(MATCH(Methode_Keuze,SubsidieTabel!$AD$1:$AG$1,0),2))&lt;&gt;1=TRUE,"ja",""),"")</f>
        <v/>
      </c>
    </row>
    <row r="135" spans="1:27" x14ac:dyDescent="0.25">
      <c r="A135" s="320"/>
      <c r="B135" s="321" t="str">
        <f>IF(A135&lt;&gt;"",_xlfn.MAXIFS($B$1:B134,$A$1:A134,A135)+1,"")</f>
        <v/>
      </c>
      <c r="C135" s="299"/>
      <c r="D135" s="299"/>
      <c r="E135" s="299"/>
      <c r="F135" s="299"/>
      <c r="G135" s="330"/>
      <c r="H135" s="328"/>
      <c r="I135" s="329"/>
      <c r="J135" s="329"/>
      <c r="K135" s="322"/>
      <c r="L135" s="322"/>
      <c r="M135" s="323" t="str">
        <f>IFERROR(VLOOKUP(H135,Lijsten!$H$1:$I$100,2,0),"")</f>
        <v/>
      </c>
      <c r="N135" s="323" t="str">
        <f ca="1">IFERROR(IF(VLOOKUP(F135,Kostentypen!$A$3:$E$21,3,0)=0,"",IF(OR(F135="Arbeidskosten",F135="Vergoeding"),VLOOKUP(G135,Tb_KostenTypen[],2,0),VLOOKUP(F135,Kostentypen!$A$3:$E$20,3,0))),"")</f>
        <v/>
      </c>
      <c r="O135" s="324"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4"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3"/>
      <c r="R135" s="363"/>
      <c r="S135" s="325"/>
      <c r="T135" s="325"/>
      <c r="U135" s="317" t="str" cm="1">
        <f t="array" aca="1" ref="U135" ca="1">IFERROR(IF(AA135&lt;&gt;"ja",_xlfn.IFNA(_xlfn.IFS(AND(O135&lt;&gt;"",F135&lt;&gt;"",RIGHT($N135,6)="tarief",F135="Vergoeding"),SUM(O135)*FLOOR(SUM(Q135),0.0001),AND(O135&lt;&gt;"",F135&lt;&gt;"",RIGHT($N135,6)="tarief"),SUM(O135)*FLOOR(SUM(Q135),0.01),S135&gt;0,IF(F135&lt;&gt;"",FLOOR(SUM(S135),0.01),"")),""),""),"")</f>
        <v/>
      </c>
      <c r="V135" s="317" t="str" cm="1">
        <f t="array" aca="1" ref="V135" ca="1">IFERROR(IF(AA135&lt;&gt;"ja",_xlfn.IFNA(_xlfn.IFS(AND(P135&lt;&gt;"",R135&lt;&gt;"",RIGHT($N135,6)="tarief",F135="Vergoeding"),SUM(P135)*FLOOR(SUM(R135),0.0001),AND(P135&lt;&gt;"",R135&lt;&gt;"",RIGHT($N135,6)="tarief"),P135*FLOOR(R135,0.01),T135&gt;0,FLOOR(SUM(T135),0.01)),""),""),"")</f>
        <v/>
      </c>
      <c r="W135" s="317" t="str" cm="1">
        <f t="array" aca="1" ref="W135" ca="1">IFERROR(_xlfn.IFS(OR(F135="",LEFT(Methode_Keuze,4)="Geen",Methode_Keuze=""),"",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17" t="str" cm="1">
        <f t="array" aca="1" ref="X135" ca="1">IFERROR(_xlfn.IFS(OR(F135="",LEFT(Methode_Keuze,4)="Geen",Methode_Keuze=""),"",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26"/>
      <c r="Z135" s="319"/>
      <c r="AA135" s="32" t="str" cm="1">
        <f t="array" ref="AA135">IFERROR(IF(INDEX(SubsidieTabel!$AD$1:$AG$12,MATCH($F135,SubsidieTabel!$AD$1:$AD$12,0),IFERROR(MATCH(Methode_Keuze,SubsidieTabel!$AD$1:$AG$1,0),2))&lt;&gt;1=TRUE,"ja",""),"")</f>
        <v/>
      </c>
    </row>
    <row r="136" spans="1:27" x14ac:dyDescent="0.25">
      <c r="A136" s="320"/>
      <c r="B136" s="321" t="str">
        <f>IF(A136&lt;&gt;"",_xlfn.MAXIFS($B$1:B135,$A$1:A135,A136)+1,"")</f>
        <v/>
      </c>
      <c r="C136" s="299"/>
      <c r="D136" s="299"/>
      <c r="E136" s="299"/>
      <c r="F136" s="299"/>
      <c r="G136" s="330"/>
      <c r="H136" s="328"/>
      <c r="I136" s="329"/>
      <c r="J136" s="329"/>
      <c r="K136" s="322"/>
      <c r="L136" s="322"/>
      <c r="M136" s="323" t="str">
        <f>IFERROR(VLOOKUP(H136,Lijsten!$H$1:$I$100,2,0),"")</f>
        <v/>
      </c>
      <c r="N136" s="323" t="str">
        <f ca="1">IFERROR(IF(VLOOKUP(F136,Kostentypen!$A$3:$E$21,3,0)=0,"",IF(OR(F136="Arbeidskosten",F136="Vergoeding"),VLOOKUP(G136,Tb_KostenTypen[],2,0),VLOOKUP(F136,Kostentypen!$A$3:$E$20,3,0))),"")</f>
        <v/>
      </c>
      <c r="O136" s="324"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4"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3"/>
      <c r="R136" s="363"/>
      <c r="S136" s="325"/>
      <c r="T136" s="325"/>
      <c r="U136" s="317" t="str" cm="1">
        <f t="array" aca="1" ref="U136" ca="1">IFERROR(IF(AA136&lt;&gt;"ja",_xlfn.IFNA(_xlfn.IFS(AND(O136&lt;&gt;"",F136&lt;&gt;"",RIGHT($N136,6)="tarief",F136="Vergoeding"),SUM(O136)*FLOOR(SUM(Q136),0.0001),AND(O136&lt;&gt;"",F136&lt;&gt;"",RIGHT($N136,6)="tarief"),SUM(O136)*FLOOR(SUM(Q136),0.01),S136&gt;0,IF(F136&lt;&gt;"",FLOOR(SUM(S136),0.01),"")),""),""),"")</f>
        <v/>
      </c>
      <c r="V136" s="317" t="str" cm="1">
        <f t="array" aca="1" ref="V136" ca="1">IFERROR(IF(AA136&lt;&gt;"ja",_xlfn.IFNA(_xlfn.IFS(AND(P136&lt;&gt;"",R136&lt;&gt;"",RIGHT($N136,6)="tarief",F136="Vergoeding"),SUM(P136)*FLOOR(SUM(R136),0.0001),AND(P136&lt;&gt;"",R136&lt;&gt;"",RIGHT($N136,6)="tarief"),P136*FLOOR(R136,0.01),T136&gt;0,FLOOR(SUM(T136),0.01)),""),""),"")</f>
        <v/>
      </c>
      <c r="W136" s="317" t="str" cm="1">
        <f t="array" aca="1" ref="W136" ca="1">IFERROR(_xlfn.IFS(OR(F136="",LEFT(Methode_Keuze,4)="Geen",Methode_Keuze=""),"",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17" t="str" cm="1">
        <f t="array" aca="1" ref="X136" ca="1">IFERROR(_xlfn.IFS(OR(F136="",LEFT(Methode_Keuze,4)="Geen",Methode_Keuze=""),"",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26"/>
      <c r="Z136" s="319"/>
      <c r="AA136" s="32" t="str" cm="1">
        <f t="array" ref="AA136">IFERROR(IF(INDEX(SubsidieTabel!$AD$1:$AG$12,MATCH($F136,SubsidieTabel!$AD$1:$AD$12,0),IFERROR(MATCH(Methode_Keuze,SubsidieTabel!$AD$1:$AG$1,0),2))&lt;&gt;1=TRUE,"ja",""),"")</f>
        <v/>
      </c>
    </row>
    <row r="137" spans="1:27" x14ac:dyDescent="0.25">
      <c r="A137" s="320"/>
      <c r="B137" s="321" t="str">
        <f>IF(A137&lt;&gt;"",_xlfn.MAXIFS($B$1:B136,$A$1:A136,A137)+1,"")</f>
        <v/>
      </c>
      <c r="C137" s="299"/>
      <c r="D137" s="299"/>
      <c r="E137" s="299"/>
      <c r="F137" s="299"/>
      <c r="G137" s="330"/>
      <c r="H137" s="328"/>
      <c r="I137" s="329"/>
      <c r="J137" s="329"/>
      <c r="K137" s="322"/>
      <c r="L137" s="322"/>
      <c r="M137" s="323" t="str">
        <f>IFERROR(VLOOKUP(H137,Lijsten!$H$1:$I$100,2,0),"")</f>
        <v/>
      </c>
      <c r="N137" s="323" t="str">
        <f ca="1">IFERROR(IF(VLOOKUP(F137,Kostentypen!$A$3:$E$21,3,0)=0,"",IF(OR(F137="Arbeidskosten",F137="Vergoeding"),VLOOKUP(G137,Tb_KostenTypen[],2,0),VLOOKUP(F137,Kostentypen!$A$3:$E$20,3,0))),"")</f>
        <v/>
      </c>
      <c r="O137" s="324"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4"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3"/>
      <c r="R137" s="363"/>
      <c r="S137" s="325"/>
      <c r="T137" s="325"/>
      <c r="U137" s="317" t="str" cm="1">
        <f t="array" aca="1" ref="U137" ca="1">IFERROR(IF(AA137&lt;&gt;"ja",_xlfn.IFNA(_xlfn.IFS(AND(O137&lt;&gt;"",F137&lt;&gt;"",RIGHT($N137,6)="tarief",F137="Vergoeding"),SUM(O137)*FLOOR(SUM(Q137),0.0001),AND(O137&lt;&gt;"",F137&lt;&gt;"",RIGHT($N137,6)="tarief"),SUM(O137)*FLOOR(SUM(Q137),0.01),S137&gt;0,IF(F137&lt;&gt;"",FLOOR(SUM(S137),0.01),"")),""),""),"")</f>
        <v/>
      </c>
      <c r="V137" s="317" t="str" cm="1">
        <f t="array" aca="1" ref="V137" ca="1">IFERROR(IF(AA137&lt;&gt;"ja",_xlfn.IFNA(_xlfn.IFS(AND(P137&lt;&gt;"",R137&lt;&gt;"",RIGHT($N137,6)="tarief",F137="Vergoeding"),SUM(P137)*FLOOR(SUM(R137),0.0001),AND(P137&lt;&gt;"",R137&lt;&gt;"",RIGHT($N137,6)="tarief"),P137*FLOOR(R137,0.01),T137&gt;0,FLOOR(SUM(T137),0.01)),""),""),"")</f>
        <v/>
      </c>
      <c r="W137" s="317" t="str" cm="1">
        <f t="array" aca="1" ref="W137" ca="1">IFERROR(_xlfn.IFS(OR(F137="",LEFT(Methode_Keuze,4)="Geen",Methode_Keuze=""),"",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17" t="str" cm="1">
        <f t="array" aca="1" ref="X137" ca="1">IFERROR(_xlfn.IFS(OR(F137="",LEFT(Methode_Keuze,4)="Geen",Methode_Keuze=""),"",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26"/>
      <c r="Z137" s="319"/>
      <c r="AA137" s="32" t="str" cm="1">
        <f t="array" ref="AA137">IFERROR(IF(INDEX(SubsidieTabel!$AD$1:$AG$12,MATCH($F137,SubsidieTabel!$AD$1:$AD$12,0),IFERROR(MATCH(Methode_Keuze,SubsidieTabel!$AD$1:$AG$1,0),2))&lt;&gt;1=TRUE,"ja",""),"")</f>
        <v/>
      </c>
    </row>
    <row r="138" spans="1:27" x14ac:dyDescent="0.25">
      <c r="A138" s="320"/>
      <c r="B138" s="321" t="str">
        <f>IF(A138&lt;&gt;"",_xlfn.MAXIFS($B$1:B137,$A$1:A137,A138)+1,"")</f>
        <v/>
      </c>
      <c r="C138" s="299"/>
      <c r="D138" s="299"/>
      <c r="E138" s="299"/>
      <c r="F138" s="299"/>
      <c r="G138" s="330"/>
      <c r="H138" s="328"/>
      <c r="I138" s="329"/>
      <c r="J138" s="329"/>
      <c r="K138" s="322"/>
      <c r="L138" s="322"/>
      <c r="M138" s="323" t="str">
        <f>IFERROR(VLOOKUP(H138,Lijsten!$H$1:$I$100,2,0),"")</f>
        <v/>
      </c>
      <c r="N138" s="323" t="str">
        <f ca="1">IFERROR(IF(VLOOKUP(F138,Kostentypen!$A$3:$E$21,3,0)=0,"",IF(OR(F138="Arbeidskosten",F138="Vergoeding"),VLOOKUP(G138,Tb_KostenTypen[],2,0),VLOOKUP(F138,Kostentypen!$A$3:$E$20,3,0))),"")</f>
        <v/>
      </c>
      <c r="O138" s="324"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4"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3"/>
      <c r="R138" s="363"/>
      <c r="S138" s="325"/>
      <c r="T138" s="325"/>
      <c r="U138" s="317" t="str" cm="1">
        <f t="array" aca="1" ref="U138" ca="1">IFERROR(IF(AA138&lt;&gt;"ja",_xlfn.IFNA(_xlfn.IFS(AND(O138&lt;&gt;"",F138&lt;&gt;"",RIGHT($N138,6)="tarief",F138="Vergoeding"),SUM(O138)*FLOOR(SUM(Q138),0.0001),AND(O138&lt;&gt;"",F138&lt;&gt;"",RIGHT($N138,6)="tarief"),SUM(O138)*FLOOR(SUM(Q138),0.01),S138&gt;0,IF(F138&lt;&gt;"",FLOOR(SUM(S138),0.01),"")),""),""),"")</f>
        <v/>
      </c>
      <c r="V138" s="317" t="str" cm="1">
        <f t="array" aca="1" ref="V138" ca="1">IFERROR(IF(AA138&lt;&gt;"ja",_xlfn.IFNA(_xlfn.IFS(AND(P138&lt;&gt;"",R138&lt;&gt;"",RIGHT($N138,6)="tarief",F138="Vergoeding"),SUM(P138)*FLOOR(SUM(R138),0.0001),AND(P138&lt;&gt;"",R138&lt;&gt;"",RIGHT($N138,6)="tarief"),P138*FLOOR(R138,0.01),T138&gt;0,FLOOR(SUM(T138),0.01)),""),""),"")</f>
        <v/>
      </c>
      <c r="W138" s="317" t="str" cm="1">
        <f t="array" aca="1" ref="W138" ca="1">IFERROR(_xlfn.IFS(OR(F138="",LEFT(Methode_Keuze,4)="Geen",Methode_Keuze=""),"",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17" t="str" cm="1">
        <f t="array" aca="1" ref="X138" ca="1">IFERROR(_xlfn.IFS(OR(F138="",LEFT(Methode_Keuze,4)="Geen",Methode_Keuze=""),"",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26"/>
      <c r="Z138" s="319"/>
      <c r="AA138" s="32" t="str" cm="1">
        <f t="array" ref="AA138">IFERROR(IF(INDEX(SubsidieTabel!$AD$1:$AG$12,MATCH($F138,SubsidieTabel!$AD$1:$AD$12,0),IFERROR(MATCH(Methode_Keuze,SubsidieTabel!$AD$1:$AG$1,0),2))&lt;&gt;1=TRUE,"ja",""),"")</f>
        <v/>
      </c>
    </row>
    <row r="139" spans="1:27" x14ac:dyDescent="0.25">
      <c r="A139" s="320"/>
      <c r="B139" s="321" t="str">
        <f>IF(A139&lt;&gt;"",_xlfn.MAXIFS($B$1:B138,$A$1:A138,A139)+1,"")</f>
        <v/>
      </c>
      <c r="C139" s="299"/>
      <c r="D139" s="299"/>
      <c r="E139" s="299"/>
      <c r="F139" s="299"/>
      <c r="G139" s="330"/>
      <c r="H139" s="328"/>
      <c r="I139" s="329"/>
      <c r="J139" s="329"/>
      <c r="K139" s="322"/>
      <c r="L139" s="322"/>
      <c r="M139" s="323" t="str">
        <f>IFERROR(VLOOKUP(H139,Lijsten!$H$1:$I$100,2,0),"")</f>
        <v/>
      </c>
      <c r="N139" s="323" t="str">
        <f ca="1">IFERROR(IF(VLOOKUP(F139,Kostentypen!$A$3:$E$21,3,0)=0,"",IF(OR(F139="Arbeidskosten",F139="Vergoeding"),VLOOKUP(G139,Tb_KostenTypen[],2,0),VLOOKUP(F139,Kostentypen!$A$3:$E$20,3,0))),"")</f>
        <v/>
      </c>
      <c r="O139" s="324"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4"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3"/>
      <c r="R139" s="363"/>
      <c r="S139" s="325"/>
      <c r="T139" s="325"/>
      <c r="U139" s="317" t="str" cm="1">
        <f t="array" aca="1" ref="U139" ca="1">IFERROR(IF(AA139&lt;&gt;"ja",_xlfn.IFNA(_xlfn.IFS(AND(O139&lt;&gt;"",F139&lt;&gt;"",RIGHT($N139,6)="tarief",F139="Vergoeding"),SUM(O139)*FLOOR(SUM(Q139),0.0001),AND(O139&lt;&gt;"",F139&lt;&gt;"",RIGHT($N139,6)="tarief"),SUM(O139)*FLOOR(SUM(Q139),0.01),S139&gt;0,IF(F139&lt;&gt;"",FLOOR(SUM(S139),0.01),"")),""),""),"")</f>
        <v/>
      </c>
      <c r="V139" s="317" t="str" cm="1">
        <f t="array" aca="1" ref="V139" ca="1">IFERROR(IF(AA139&lt;&gt;"ja",_xlfn.IFNA(_xlfn.IFS(AND(P139&lt;&gt;"",R139&lt;&gt;"",RIGHT($N139,6)="tarief",F139="Vergoeding"),SUM(P139)*FLOOR(SUM(R139),0.0001),AND(P139&lt;&gt;"",R139&lt;&gt;"",RIGHT($N139,6)="tarief"),P139*FLOOR(R139,0.01),T139&gt;0,FLOOR(SUM(T139),0.01)),""),""),"")</f>
        <v/>
      </c>
      <c r="W139" s="317" t="str" cm="1">
        <f t="array" aca="1" ref="W139" ca="1">IFERROR(_xlfn.IFS(OR(F139="",LEFT(Methode_Keuze,4)="Geen",Methode_Keuze=""),"",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17" t="str" cm="1">
        <f t="array" aca="1" ref="X139" ca="1">IFERROR(_xlfn.IFS(OR(F139="",LEFT(Methode_Keuze,4)="Geen",Methode_Keuze=""),"",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26"/>
      <c r="Z139" s="319"/>
      <c r="AA139" s="32" t="str" cm="1">
        <f t="array" ref="AA139">IFERROR(IF(INDEX(SubsidieTabel!$AD$1:$AG$12,MATCH($F139,SubsidieTabel!$AD$1:$AD$12,0),IFERROR(MATCH(Methode_Keuze,SubsidieTabel!$AD$1:$AG$1,0),2))&lt;&gt;1=TRUE,"ja",""),"")</f>
        <v/>
      </c>
    </row>
    <row r="140" spans="1:27" x14ac:dyDescent="0.25">
      <c r="A140" s="320"/>
      <c r="B140" s="321" t="str">
        <f>IF(A140&lt;&gt;"",_xlfn.MAXIFS($B$1:B139,$A$1:A139,A140)+1,"")</f>
        <v/>
      </c>
      <c r="C140" s="299"/>
      <c r="D140" s="299"/>
      <c r="E140" s="299"/>
      <c r="F140" s="299"/>
      <c r="G140" s="330"/>
      <c r="H140" s="328"/>
      <c r="I140" s="329"/>
      <c r="J140" s="329"/>
      <c r="K140" s="322"/>
      <c r="L140" s="322"/>
      <c r="M140" s="323" t="str">
        <f>IFERROR(VLOOKUP(H140,Lijsten!$H$1:$I$100,2,0),"")</f>
        <v/>
      </c>
      <c r="N140" s="323" t="str">
        <f ca="1">IFERROR(IF(VLOOKUP(F140,Kostentypen!$A$3:$E$21,3,0)=0,"",IF(OR(F140="Arbeidskosten",F140="Vergoeding"),VLOOKUP(G140,Tb_KostenTypen[],2,0),VLOOKUP(F140,Kostentypen!$A$3:$E$20,3,0))),"")</f>
        <v/>
      </c>
      <c r="O140" s="324"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4"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3"/>
      <c r="R140" s="363"/>
      <c r="S140" s="325"/>
      <c r="T140" s="325"/>
      <c r="U140" s="317" t="str" cm="1">
        <f t="array" aca="1" ref="U140" ca="1">IFERROR(IF(AA140&lt;&gt;"ja",_xlfn.IFNA(_xlfn.IFS(AND(O140&lt;&gt;"",F140&lt;&gt;"",RIGHT($N140,6)="tarief",F140="Vergoeding"),SUM(O140)*FLOOR(SUM(Q140),0.0001),AND(O140&lt;&gt;"",F140&lt;&gt;"",RIGHT($N140,6)="tarief"),SUM(O140)*FLOOR(SUM(Q140),0.01),S140&gt;0,IF(F140&lt;&gt;"",FLOOR(SUM(S140),0.01),"")),""),""),"")</f>
        <v/>
      </c>
      <c r="V140" s="317" t="str" cm="1">
        <f t="array" aca="1" ref="V140" ca="1">IFERROR(IF(AA140&lt;&gt;"ja",_xlfn.IFNA(_xlfn.IFS(AND(P140&lt;&gt;"",R140&lt;&gt;"",RIGHT($N140,6)="tarief",F140="Vergoeding"),SUM(P140)*FLOOR(SUM(R140),0.0001),AND(P140&lt;&gt;"",R140&lt;&gt;"",RIGHT($N140,6)="tarief"),P140*FLOOR(R140,0.01),T140&gt;0,FLOOR(SUM(T140),0.01)),""),""),"")</f>
        <v/>
      </c>
      <c r="W140" s="317" t="str" cm="1">
        <f t="array" aca="1" ref="W140" ca="1">IFERROR(_xlfn.IFS(OR(F140="",LEFT(Methode_Keuze,4)="Geen",Methode_Keuze=""),"",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17" t="str" cm="1">
        <f t="array" aca="1" ref="X140" ca="1">IFERROR(_xlfn.IFS(OR(F140="",LEFT(Methode_Keuze,4)="Geen",Methode_Keuze=""),"",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26"/>
      <c r="Z140" s="319"/>
      <c r="AA140" s="32" t="str" cm="1">
        <f t="array" ref="AA140">IFERROR(IF(INDEX(SubsidieTabel!$AD$1:$AG$12,MATCH($F140,SubsidieTabel!$AD$1:$AD$12,0),IFERROR(MATCH(Methode_Keuze,SubsidieTabel!$AD$1:$AG$1,0),2))&lt;&gt;1=TRUE,"ja",""),"")</f>
        <v/>
      </c>
    </row>
    <row r="141" spans="1:27" x14ac:dyDescent="0.25">
      <c r="A141" s="320"/>
      <c r="B141" s="321" t="str">
        <f>IF(A141&lt;&gt;"",_xlfn.MAXIFS($B$1:B140,$A$1:A140,A141)+1,"")</f>
        <v/>
      </c>
      <c r="C141" s="299"/>
      <c r="D141" s="299"/>
      <c r="E141" s="299"/>
      <c r="F141" s="299"/>
      <c r="G141" s="330"/>
      <c r="H141" s="328"/>
      <c r="I141" s="329"/>
      <c r="J141" s="329"/>
      <c r="K141" s="322"/>
      <c r="L141" s="322"/>
      <c r="M141" s="323" t="str">
        <f>IFERROR(VLOOKUP(H141,Lijsten!$H$1:$I$100,2,0),"")</f>
        <v/>
      </c>
      <c r="N141" s="323" t="str">
        <f ca="1">IFERROR(IF(VLOOKUP(F141,Kostentypen!$A$3:$E$21,3,0)=0,"",IF(OR(F141="Arbeidskosten",F141="Vergoeding"),VLOOKUP(G141,Tb_KostenTypen[],2,0),VLOOKUP(F141,Kostentypen!$A$3:$E$20,3,0))),"")</f>
        <v/>
      </c>
      <c r="O141" s="324"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4"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3"/>
      <c r="R141" s="363"/>
      <c r="S141" s="325"/>
      <c r="T141" s="325"/>
      <c r="U141" s="317" t="str" cm="1">
        <f t="array" aca="1" ref="U141" ca="1">IFERROR(IF(AA141&lt;&gt;"ja",_xlfn.IFNA(_xlfn.IFS(AND(O141&lt;&gt;"",F141&lt;&gt;"",RIGHT($N141,6)="tarief",F141="Vergoeding"),SUM(O141)*FLOOR(SUM(Q141),0.0001),AND(O141&lt;&gt;"",F141&lt;&gt;"",RIGHT($N141,6)="tarief"),SUM(O141)*FLOOR(SUM(Q141),0.01),S141&gt;0,IF(F141&lt;&gt;"",FLOOR(SUM(S141),0.01),"")),""),""),"")</f>
        <v/>
      </c>
      <c r="V141" s="317" t="str" cm="1">
        <f t="array" aca="1" ref="V141" ca="1">IFERROR(IF(AA141&lt;&gt;"ja",_xlfn.IFNA(_xlfn.IFS(AND(P141&lt;&gt;"",R141&lt;&gt;"",RIGHT($N141,6)="tarief",F141="Vergoeding"),SUM(P141)*FLOOR(SUM(R141),0.0001),AND(P141&lt;&gt;"",R141&lt;&gt;"",RIGHT($N141,6)="tarief"),P141*FLOOR(R141,0.01),T141&gt;0,FLOOR(SUM(T141),0.01)),""),""),"")</f>
        <v/>
      </c>
      <c r="W141" s="317" t="str" cm="1">
        <f t="array" aca="1" ref="W141" ca="1">IFERROR(_xlfn.IFS(OR(F141="",LEFT(Methode_Keuze,4)="Geen",Methode_Keuze=""),"",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17" t="str" cm="1">
        <f t="array" aca="1" ref="X141" ca="1">IFERROR(_xlfn.IFS(OR(F141="",LEFT(Methode_Keuze,4)="Geen",Methode_Keuze=""),"",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26"/>
      <c r="Z141" s="319"/>
      <c r="AA141" s="32" t="str" cm="1">
        <f t="array" ref="AA141">IFERROR(IF(INDEX(SubsidieTabel!$AD$1:$AG$12,MATCH($F141,SubsidieTabel!$AD$1:$AD$12,0),IFERROR(MATCH(Methode_Keuze,SubsidieTabel!$AD$1:$AG$1,0),2))&lt;&gt;1=TRUE,"ja",""),"")</f>
        <v/>
      </c>
    </row>
    <row r="142" spans="1:27" x14ac:dyDescent="0.25">
      <c r="A142" s="320"/>
      <c r="B142" s="321" t="str">
        <f>IF(A142&lt;&gt;"",_xlfn.MAXIFS($B$1:B141,$A$1:A141,A142)+1,"")</f>
        <v/>
      </c>
      <c r="C142" s="299"/>
      <c r="D142" s="299"/>
      <c r="E142" s="299"/>
      <c r="F142" s="299"/>
      <c r="G142" s="330"/>
      <c r="H142" s="328"/>
      <c r="I142" s="329"/>
      <c r="J142" s="329"/>
      <c r="K142" s="322"/>
      <c r="L142" s="322"/>
      <c r="M142" s="323" t="str">
        <f>IFERROR(VLOOKUP(H142,Lijsten!$H$1:$I$100,2,0),"")</f>
        <v/>
      </c>
      <c r="N142" s="323" t="str">
        <f ca="1">IFERROR(IF(VLOOKUP(F142,Kostentypen!$A$3:$E$21,3,0)=0,"",IF(OR(F142="Arbeidskosten",F142="Vergoeding"),VLOOKUP(G142,Tb_KostenTypen[],2,0),VLOOKUP(F142,Kostentypen!$A$3:$E$20,3,0))),"")</f>
        <v/>
      </c>
      <c r="O142" s="324"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4"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3"/>
      <c r="R142" s="363"/>
      <c r="S142" s="325"/>
      <c r="T142" s="325"/>
      <c r="U142" s="317" t="str" cm="1">
        <f t="array" aca="1" ref="U142" ca="1">IFERROR(IF(AA142&lt;&gt;"ja",_xlfn.IFNA(_xlfn.IFS(AND(O142&lt;&gt;"",F142&lt;&gt;"",RIGHT($N142,6)="tarief",F142="Vergoeding"),SUM(O142)*FLOOR(SUM(Q142),0.0001),AND(O142&lt;&gt;"",F142&lt;&gt;"",RIGHT($N142,6)="tarief"),SUM(O142)*FLOOR(SUM(Q142),0.01),S142&gt;0,IF(F142&lt;&gt;"",FLOOR(SUM(S142),0.01),"")),""),""),"")</f>
        <v/>
      </c>
      <c r="V142" s="317" t="str" cm="1">
        <f t="array" aca="1" ref="V142" ca="1">IFERROR(IF(AA142&lt;&gt;"ja",_xlfn.IFNA(_xlfn.IFS(AND(P142&lt;&gt;"",R142&lt;&gt;"",RIGHT($N142,6)="tarief",F142="Vergoeding"),SUM(P142)*FLOOR(SUM(R142),0.0001),AND(P142&lt;&gt;"",R142&lt;&gt;"",RIGHT($N142,6)="tarief"),P142*FLOOR(R142,0.01),T142&gt;0,FLOOR(SUM(T142),0.01)),""),""),"")</f>
        <v/>
      </c>
      <c r="W142" s="317" t="str" cm="1">
        <f t="array" aca="1" ref="W142" ca="1">IFERROR(_xlfn.IFS(OR(F142="",LEFT(Methode_Keuze,4)="Geen",Methode_Keuze=""),"",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17" t="str" cm="1">
        <f t="array" aca="1" ref="X142" ca="1">IFERROR(_xlfn.IFS(OR(F142="",LEFT(Methode_Keuze,4)="Geen",Methode_Keuze=""),"",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26"/>
      <c r="Z142" s="319"/>
      <c r="AA142" s="32" t="str" cm="1">
        <f t="array" ref="AA142">IFERROR(IF(INDEX(SubsidieTabel!$AD$1:$AG$12,MATCH($F142,SubsidieTabel!$AD$1:$AD$12,0),IFERROR(MATCH(Methode_Keuze,SubsidieTabel!$AD$1:$AG$1,0),2))&lt;&gt;1=TRUE,"ja",""),"")</f>
        <v/>
      </c>
    </row>
    <row r="143" spans="1:27" x14ac:dyDescent="0.25">
      <c r="A143" s="320"/>
      <c r="B143" s="321" t="str">
        <f>IF(A143&lt;&gt;"",_xlfn.MAXIFS($B$1:B142,$A$1:A142,A143)+1,"")</f>
        <v/>
      </c>
      <c r="C143" s="299"/>
      <c r="D143" s="299"/>
      <c r="E143" s="299"/>
      <c r="F143" s="299"/>
      <c r="G143" s="330"/>
      <c r="H143" s="328"/>
      <c r="I143" s="329"/>
      <c r="J143" s="329"/>
      <c r="K143" s="322"/>
      <c r="L143" s="322"/>
      <c r="M143" s="323" t="str">
        <f>IFERROR(VLOOKUP(H143,Lijsten!$H$1:$I$100,2,0),"")</f>
        <v/>
      </c>
      <c r="N143" s="323" t="str">
        <f ca="1">IFERROR(IF(VLOOKUP(F143,Kostentypen!$A$3:$E$21,3,0)=0,"",IF(OR(F143="Arbeidskosten",F143="Vergoeding"),VLOOKUP(G143,Tb_KostenTypen[],2,0),VLOOKUP(F143,Kostentypen!$A$3:$E$20,3,0))),"")</f>
        <v/>
      </c>
      <c r="O143" s="324"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4"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3"/>
      <c r="R143" s="363"/>
      <c r="S143" s="325"/>
      <c r="T143" s="325"/>
      <c r="U143" s="317" t="str" cm="1">
        <f t="array" aca="1" ref="U143" ca="1">IFERROR(IF(AA143&lt;&gt;"ja",_xlfn.IFNA(_xlfn.IFS(AND(O143&lt;&gt;"",F143&lt;&gt;"",RIGHT($N143,6)="tarief",F143="Vergoeding"),SUM(O143)*FLOOR(SUM(Q143),0.0001),AND(O143&lt;&gt;"",F143&lt;&gt;"",RIGHT($N143,6)="tarief"),SUM(O143)*FLOOR(SUM(Q143),0.01),S143&gt;0,IF(F143&lt;&gt;"",FLOOR(SUM(S143),0.01),"")),""),""),"")</f>
        <v/>
      </c>
      <c r="V143" s="317" t="str" cm="1">
        <f t="array" aca="1" ref="V143" ca="1">IFERROR(IF(AA143&lt;&gt;"ja",_xlfn.IFNA(_xlfn.IFS(AND(P143&lt;&gt;"",R143&lt;&gt;"",RIGHT($N143,6)="tarief",F143="Vergoeding"),SUM(P143)*FLOOR(SUM(R143),0.0001),AND(P143&lt;&gt;"",R143&lt;&gt;"",RIGHT($N143,6)="tarief"),P143*FLOOR(R143,0.01),T143&gt;0,FLOOR(SUM(T143),0.01)),""),""),"")</f>
        <v/>
      </c>
      <c r="W143" s="317" t="str" cm="1">
        <f t="array" aca="1" ref="W143" ca="1">IFERROR(_xlfn.IFS(OR(F143="",LEFT(Methode_Keuze,4)="Geen",Methode_Keuze=""),"",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17" t="str" cm="1">
        <f t="array" aca="1" ref="X143" ca="1">IFERROR(_xlfn.IFS(OR(F143="",LEFT(Methode_Keuze,4)="Geen",Methode_Keuze=""),"",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26"/>
      <c r="Z143" s="319"/>
      <c r="AA143" s="32" t="str" cm="1">
        <f t="array" ref="AA143">IFERROR(IF(INDEX(SubsidieTabel!$AD$1:$AG$12,MATCH($F143,SubsidieTabel!$AD$1:$AD$12,0),IFERROR(MATCH(Methode_Keuze,SubsidieTabel!$AD$1:$AG$1,0),2))&lt;&gt;1=TRUE,"ja",""),"")</f>
        <v/>
      </c>
    </row>
    <row r="144" spans="1:27" x14ac:dyDescent="0.25">
      <c r="A144" s="320"/>
      <c r="B144" s="321" t="str">
        <f>IF(A144&lt;&gt;"",_xlfn.MAXIFS($B$1:B143,$A$1:A143,A144)+1,"")</f>
        <v/>
      </c>
      <c r="C144" s="299"/>
      <c r="D144" s="299"/>
      <c r="E144" s="299"/>
      <c r="F144" s="299"/>
      <c r="G144" s="330"/>
      <c r="H144" s="328"/>
      <c r="I144" s="329"/>
      <c r="J144" s="329"/>
      <c r="K144" s="322"/>
      <c r="L144" s="322"/>
      <c r="M144" s="323" t="str">
        <f>IFERROR(VLOOKUP(H144,Lijsten!$H$1:$I$100,2,0),"")</f>
        <v/>
      </c>
      <c r="N144" s="323" t="str">
        <f ca="1">IFERROR(IF(VLOOKUP(F144,Kostentypen!$A$3:$E$21,3,0)=0,"",IF(OR(F144="Arbeidskosten",F144="Vergoeding"),VLOOKUP(G144,Tb_KostenTypen[],2,0),VLOOKUP(F144,Kostentypen!$A$3:$E$20,3,0))),"")</f>
        <v/>
      </c>
      <c r="O144" s="324"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4"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3"/>
      <c r="R144" s="363"/>
      <c r="S144" s="325"/>
      <c r="T144" s="325"/>
      <c r="U144" s="317" t="str" cm="1">
        <f t="array" aca="1" ref="U144" ca="1">IFERROR(IF(AA144&lt;&gt;"ja",_xlfn.IFNA(_xlfn.IFS(AND(O144&lt;&gt;"",F144&lt;&gt;"",RIGHT($N144,6)="tarief",F144="Vergoeding"),SUM(O144)*FLOOR(SUM(Q144),0.0001),AND(O144&lt;&gt;"",F144&lt;&gt;"",RIGHT($N144,6)="tarief"),SUM(O144)*FLOOR(SUM(Q144),0.01),S144&gt;0,IF(F144&lt;&gt;"",FLOOR(SUM(S144),0.01),"")),""),""),"")</f>
        <v/>
      </c>
      <c r="V144" s="317" t="str" cm="1">
        <f t="array" aca="1" ref="V144" ca="1">IFERROR(IF(AA144&lt;&gt;"ja",_xlfn.IFNA(_xlfn.IFS(AND(P144&lt;&gt;"",R144&lt;&gt;"",RIGHT($N144,6)="tarief",F144="Vergoeding"),SUM(P144)*FLOOR(SUM(R144),0.0001),AND(P144&lt;&gt;"",R144&lt;&gt;"",RIGHT($N144,6)="tarief"),P144*FLOOR(R144,0.01),T144&gt;0,FLOOR(SUM(T144),0.01)),""),""),"")</f>
        <v/>
      </c>
      <c r="W144" s="317" t="str" cm="1">
        <f t="array" aca="1" ref="W144" ca="1">IFERROR(_xlfn.IFS(OR(F144="",LEFT(Methode_Keuze,4)="Geen",Methode_Keuze=""),"",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17" t="str" cm="1">
        <f t="array" aca="1" ref="X144" ca="1">IFERROR(_xlfn.IFS(OR(F144="",LEFT(Methode_Keuze,4)="Geen",Methode_Keuze=""),"",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26"/>
      <c r="Z144" s="319"/>
      <c r="AA144" s="32" t="str" cm="1">
        <f t="array" ref="AA144">IFERROR(IF(INDEX(SubsidieTabel!$AD$1:$AG$12,MATCH($F144,SubsidieTabel!$AD$1:$AD$12,0),IFERROR(MATCH(Methode_Keuze,SubsidieTabel!$AD$1:$AG$1,0),2))&lt;&gt;1=TRUE,"ja",""),"")</f>
        <v/>
      </c>
    </row>
    <row r="145" spans="1:27" x14ac:dyDescent="0.25">
      <c r="A145" s="320"/>
      <c r="B145" s="321" t="str">
        <f>IF(A145&lt;&gt;"",_xlfn.MAXIFS($B$1:B144,$A$1:A144,A145)+1,"")</f>
        <v/>
      </c>
      <c r="C145" s="299"/>
      <c r="D145" s="299"/>
      <c r="E145" s="299"/>
      <c r="F145" s="299"/>
      <c r="G145" s="330"/>
      <c r="H145" s="328"/>
      <c r="I145" s="329"/>
      <c r="J145" s="329"/>
      <c r="K145" s="322"/>
      <c r="L145" s="322"/>
      <c r="M145" s="323" t="str">
        <f>IFERROR(VLOOKUP(H145,Lijsten!$H$1:$I$100,2,0),"")</f>
        <v/>
      </c>
      <c r="N145" s="323" t="str">
        <f ca="1">IFERROR(IF(VLOOKUP(F145,Kostentypen!$A$3:$E$21,3,0)=0,"",IF(OR(F145="Arbeidskosten",F145="Vergoeding"),VLOOKUP(G145,Tb_KostenTypen[],2,0),VLOOKUP(F145,Kostentypen!$A$3:$E$20,3,0))),"")</f>
        <v/>
      </c>
      <c r="O145" s="324"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4"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3"/>
      <c r="R145" s="363"/>
      <c r="S145" s="325"/>
      <c r="T145" s="325"/>
      <c r="U145" s="317" t="str" cm="1">
        <f t="array" aca="1" ref="U145" ca="1">IFERROR(IF(AA145&lt;&gt;"ja",_xlfn.IFNA(_xlfn.IFS(AND(O145&lt;&gt;"",F145&lt;&gt;"",RIGHT($N145,6)="tarief",F145="Vergoeding"),SUM(O145)*FLOOR(SUM(Q145),0.0001),AND(O145&lt;&gt;"",F145&lt;&gt;"",RIGHT($N145,6)="tarief"),SUM(O145)*FLOOR(SUM(Q145),0.01),S145&gt;0,IF(F145&lt;&gt;"",FLOOR(SUM(S145),0.01),"")),""),""),"")</f>
        <v/>
      </c>
      <c r="V145" s="317" t="str" cm="1">
        <f t="array" aca="1" ref="V145" ca="1">IFERROR(IF(AA145&lt;&gt;"ja",_xlfn.IFNA(_xlfn.IFS(AND(P145&lt;&gt;"",R145&lt;&gt;"",RIGHT($N145,6)="tarief",F145="Vergoeding"),SUM(P145)*FLOOR(SUM(R145),0.0001),AND(P145&lt;&gt;"",R145&lt;&gt;"",RIGHT($N145,6)="tarief"),P145*FLOOR(R145,0.01),T145&gt;0,FLOOR(SUM(T145),0.01)),""),""),"")</f>
        <v/>
      </c>
      <c r="W145" s="317" t="str" cm="1">
        <f t="array" aca="1" ref="W145" ca="1">IFERROR(_xlfn.IFS(OR(F145="",LEFT(Methode_Keuze,4)="Geen",Methode_Keuze=""),"",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17" t="str" cm="1">
        <f t="array" aca="1" ref="X145" ca="1">IFERROR(_xlfn.IFS(OR(F145="",LEFT(Methode_Keuze,4)="Geen",Methode_Keuze=""),"",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26"/>
      <c r="Z145" s="319"/>
      <c r="AA145" s="32" t="str" cm="1">
        <f t="array" ref="AA145">IFERROR(IF(INDEX(SubsidieTabel!$AD$1:$AG$12,MATCH($F145,SubsidieTabel!$AD$1:$AD$12,0),IFERROR(MATCH(Methode_Keuze,SubsidieTabel!$AD$1:$AG$1,0),2))&lt;&gt;1=TRUE,"ja",""),"")</f>
        <v/>
      </c>
    </row>
    <row r="146" spans="1:27" x14ac:dyDescent="0.25">
      <c r="A146" s="320"/>
      <c r="B146" s="321" t="str">
        <f>IF(A146&lt;&gt;"",_xlfn.MAXIFS($B$1:B145,$A$1:A145,A146)+1,"")</f>
        <v/>
      </c>
      <c r="C146" s="299"/>
      <c r="D146" s="299"/>
      <c r="E146" s="299"/>
      <c r="F146" s="299"/>
      <c r="G146" s="330"/>
      <c r="H146" s="328"/>
      <c r="I146" s="329"/>
      <c r="J146" s="329"/>
      <c r="K146" s="322"/>
      <c r="L146" s="322"/>
      <c r="M146" s="323" t="str">
        <f>IFERROR(VLOOKUP(H146,Lijsten!$H$1:$I$100,2,0),"")</f>
        <v/>
      </c>
      <c r="N146" s="323" t="str">
        <f ca="1">IFERROR(IF(VLOOKUP(F146,Kostentypen!$A$3:$E$21,3,0)=0,"",IF(OR(F146="Arbeidskosten",F146="Vergoeding"),VLOOKUP(G146,Tb_KostenTypen[],2,0),VLOOKUP(F146,Kostentypen!$A$3:$E$20,3,0))),"")</f>
        <v/>
      </c>
      <c r="O146" s="324"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4"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3"/>
      <c r="R146" s="363"/>
      <c r="S146" s="325"/>
      <c r="T146" s="325"/>
      <c r="U146" s="317" t="str" cm="1">
        <f t="array" aca="1" ref="U146" ca="1">IFERROR(IF(AA146&lt;&gt;"ja",_xlfn.IFNA(_xlfn.IFS(AND(O146&lt;&gt;"",F146&lt;&gt;"",RIGHT($N146,6)="tarief",F146="Vergoeding"),SUM(O146)*FLOOR(SUM(Q146),0.0001),AND(O146&lt;&gt;"",F146&lt;&gt;"",RIGHT($N146,6)="tarief"),SUM(O146)*FLOOR(SUM(Q146),0.01),S146&gt;0,IF(F146&lt;&gt;"",FLOOR(SUM(S146),0.01),"")),""),""),"")</f>
        <v/>
      </c>
      <c r="V146" s="317" t="str" cm="1">
        <f t="array" aca="1" ref="V146" ca="1">IFERROR(IF(AA146&lt;&gt;"ja",_xlfn.IFNA(_xlfn.IFS(AND(P146&lt;&gt;"",R146&lt;&gt;"",RIGHT($N146,6)="tarief",F146="Vergoeding"),SUM(P146)*FLOOR(SUM(R146),0.0001),AND(P146&lt;&gt;"",R146&lt;&gt;"",RIGHT($N146,6)="tarief"),P146*FLOOR(R146,0.01),T146&gt;0,FLOOR(SUM(T146),0.01)),""),""),"")</f>
        <v/>
      </c>
      <c r="W146" s="317" t="str" cm="1">
        <f t="array" aca="1" ref="W146" ca="1">IFERROR(_xlfn.IFS(OR(F146="",LEFT(Methode_Keuze,4)="Geen",Methode_Keuze=""),"",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17" t="str" cm="1">
        <f t="array" aca="1" ref="X146" ca="1">IFERROR(_xlfn.IFS(OR(F146="",LEFT(Methode_Keuze,4)="Geen",Methode_Keuze=""),"",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26"/>
      <c r="Z146" s="319"/>
      <c r="AA146" s="32" t="str" cm="1">
        <f t="array" ref="AA146">IFERROR(IF(INDEX(SubsidieTabel!$AD$1:$AG$12,MATCH($F146,SubsidieTabel!$AD$1:$AD$12,0),IFERROR(MATCH(Methode_Keuze,SubsidieTabel!$AD$1:$AG$1,0),2))&lt;&gt;1=TRUE,"ja",""),"")</f>
        <v/>
      </c>
    </row>
    <row r="147" spans="1:27" x14ac:dyDescent="0.25">
      <c r="A147" s="320"/>
      <c r="B147" s="321" t="str">
        <f>IF(A147&lt;&gt;"",_xlfn.MAXIFS($B$1:B146,$A$1:A146,A147)+1,"")</f>
        <v/>
      </c>
      <c r="C147" s="299"/>
      <c r="D147" s="299"/>
      <c r="E147" s="299"/>
      <c r="F147" s="299"/>
      <c r="G147" s="330"/>
      <c r="H147" s="328"/>
      <c r="I147" s="329"/>
      <c r="J147" s="329"/>
      <c r="K147" s="322"/>
      <c r="L147" s="322"/>
      <c r="M147" s="323" t="str">
        <f>IFERROR(VLOOKUP(H147,Lijsten!$H$1:$I$100,2,0),"")</f>
        <v/>
      </c>
      <c r="N147" s="323" t="str">
        <f ca="1">IFERROR(IF(VLOOKUP(F147,Kostentypen!$A$3:$E$21,3,0)=0,"",IF(OR(F147="Arbeidskosten",F147="Vergoeding"),VLOOKUP(G147,Tb_KostenTypen[],2,0),VLOOKUP(F147,Kostentypen!$A$3:$E$20,3,0))),"")</f>
        <v/>
      </c>
      <c r="O147" s="324"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4"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3"/>
      <c r="R147" s="363"/>
      <c r="S147" s="325"/>
      <c r="T147" s="325"/>
      <c r="U147" s="317" t="str" cm="1">
        <f t="array" aca="1" ref="U147" ca="1">IFERROR(IF(AA147&lt;&gt;"ja",_xlfn.IFNA(_xlfn.IFS(AND(O147&lt;&gt;"",F147&lt;&gt;"",RIGHT($N147,6)="tarief",F147="Vergoeding"),SUM(O147)*FLOOR(SUM(Q147),0.0001),AND(O147&lt;&gt;"",F147&lt;&gt;"",RIGHT($N147,6)="tarief"),SUM(O147)*FLOOR(SUM(Q147),0.01),S147&gt;0,IF(F147&lt;&gt;"",FLOOR(SUM(S147),0.01),"")),""),""),"")</f>
        <v/>
      </c>
      <c r="V147" s="317" t="str" cm="1">
        <f t="array" aca="1" ref="V147" ca="1">IFERROR(IF(AA147&lt;&gt;"ja",_xlfn.IFNA(_xlfn.IFS(AND(P147&lt;&gt;"",R147&lt;&gt;"",RIGHT($N147,6)="tarief",F147="Vergoeding"),SUM(P147)*FLOOR(SUM(R147),0.0001),AND(P147&lt;&gt;"",R147&lt;&gt;"",RIGHT($N147,6)="tarief"),P147*FLOOR(R147,0.01),T147&gt;0,FLOOR(SUM(T147),0.01)),""),""),"")</f>
        <v/>
      </c>
      <c r="W147" s="317" t="str" cm="1">
        <f t="array" aca="1" ref="W147" ca="1">IFERROR(_xlfn.IFS(OR(F147="",LEFT(Methode_Keuze,4)="Geen",Methode_Keuze=""),"",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17" t="str" cm="1">
        <f t="array" aca="1" ref="X147" ca="1">IFERROR(_xlfn.IFS(OR(F147="",LEFT(Methode_Keuze,4)="Geen",Methode_Keuze=""),"",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26"/>
      <c r="Z147" s="319"/>
      <c r="AA147" s="32" t="str" cm="1">
        <f t="array" ref="AA147">IFERROR(IF(INDEX(SubsidieTabel!$AD$1:$AG$12,MATCH($F147,SubsidieTabel!$AD$1:$AD$12,0),IFERROR(MATCH(Methode_Keuze,SubsidieTabel!$AD$1:$AG$1,0),2))&lt;&gt;1=TRUE,"ja",""),"")</f>
        <v/>
      </c>
    </row>
    <row r="148" spans="1:27" x14ac:dyDescent="0.25">
      <c r="A148" s="320"/>
      <c r="B148" s="321" t="str">
        <f>IF(A148&lt;&gt;"",_xlfn.MAXIFS($B$1:B147,$A$1:A147,A148)+1,"")</f>
        <v/>
      </c>
      <c r="C148" s="299"/>
      <c r="D148" s="299"/>
      <c r="E148" s="299"/>
      <c r="F148" s="299"/>
      <c r="G148" s="330"/>
      <c r="H148" s="328"/>
      <c r="I148" s="329"/>
      <c r="J148" s="329"/>
      <c r="K148" s="322"/>
      <c r="L148" s="322"/>
      <c r="M148" s="323" t="str">
        <f>IFERROR(VLOOKUP(H148,Lijsten!$H$1:$I$100,2,0),"")</f>
        <v/>
      </c>
      <c r="N148" s="323" t="str">
        <f ca="1">IFERROR(IF(VLOOKUP(F148,Kostentypen!$A$3:$E$21,3,0)=0,"",IF(OR(F148="Arbeidskosten",F148="Vergoeding"),VLOOKUP(G148,Tb_KostenTypen[],2,0),VLOOKUP(F148,Kostentypen!$A$3:$E$20,3,0))),"")</f>
        <v/>
      </c>
      <c r="O148" s="324"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4"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3"/>
      <c r="R148" s="363"/>
      <c r="S148" s="325"/>
      <c r="T148" s="325"/>
      <c r="U148" s="317" t="str" cm="1">
        <f t="array" aca="1" ref="U148" ca="1">IFERROR(IF(AA148&lt;&gt;"ja",_xlfn.IFNA(_xlfn.IFS(AND(O148&lt;&gt;"",F148&lt;&gt;"",RIGHT($N148,6)="tarief",F148="Vergoeding"),SUM(O148)*FLOOR(SUM(Q148),0.0001),AND(O148&lt;&gt;"",F148&lt;&gt;"",RIGHT($N148,6)="tarief"),SUM(O148)*FLOOR(SUM(Q148),0.01),S148&gt;0,IF(F148&lt;&gt;"",FLOOR(SUM(S148),0.01),"")),""),""),"")</f>
        <v/>
      </c>
      <c r="V148" s="317" t="str" cm="1">
        <f t="array" aca="1" ref="V148" ca="1">IFERROR(IF(AA148&lt;&gt;"ja",_xlfn.IFNA(_xlfn.IFS(AND(P148&lt;&gt;"",R148&lt;&gt;"",RIGHT($N148,6)="tarief",F148="Vergoeding"),SUM(P148)*FLOOR(SUM(R148),0.0001),AND(P148&lt;&gt;"",R148&lt;&gt;"",RIGHT($N148,6)="tarief"),P148*FLOOR(R148,0.01),T148&gt;0,FLOOR(SUM(T148),0.01)),""),""),"")</f>
        <v/>
      </c>
      <c r="W148" s="317" t="str" cm="1">
        <f t="array" aca="1" ref="W148" ca="1">IFERROR(_xlfn.IFS(OR(F148="",LEFT(Methode_Keuze,4)="Geen",Methode_Keuze=""),"",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17" t="str" cm="1">
        <f t="array" aca="1" ref="X148" ca="1">IFERROR(_xlfn.IFS(OR(F148="",LEFT(Methode_Keuze,4)="Geen",Methode_Keuze=""),"",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26"/>
      <c r="Z148" s="319"/>
      <c r="AA148" s="32" t="str" cm="1">
        <f t="array" ref="AA148">IFERROR(IF(INDEX(SubsidieTabel!$AD$1:$AG$12,MATCH($F148,SubsidieTabel!$AD$1:$AD$12,0),IFERROR(MATCH(Methode_Keuze,SubsidieTabel!$AD$1:$AG$1,0),2))&lt;&gt;1=TRUE,"ja",""),"")</f>
        <v/>
      </c>
    </row>
    <row r="149" spans="1:27" x14ac:dyDescent="0.25">
      <c r="A149" s="320"/>
      <c r="B149" s="321" t="str">
        <f>IF(A149&lt;&gt;"",_xlfn.MAXIFS($B$1:B148,$A$1:A148,A149)+1,"")</f>
        <v/>
      </c>
      <c r="C149" s="299"/>
      <c r="D149" s="299"/>
      <c r="E149" s="299"/>
      <c r="F149" s="299"/>
      <c r="G149" s="330"/>
      <c r="H149" s="328"/>
      <c r="I149" s="329"/>
      <c r="J149" s="329"/>
      <c r="K149" s="322"/>
      <c r="L149" s="322"/>
      <c r="M149" s="323" t="str">
        <f>IFERROR(VLOOKUP(H149,Lijsten!$H$1:$I$100,2,0),"")</f>
        <v/>
      </c>
      <c r="N149" s="323" t="str">
        <f ca="1">IFERROR(IF(VLOOKUP(F149,Kostentypen!$A$3:$E$21,3,0)=0,"",IF(OR(F149="Arbeidskosten",F149="Vergoeding"),VLOOKUP(G149,Tb_KostenTypen[],2,0),VLOOKUP(F149,Kostentypen!$A$3:$E$20,3,0))),"")</f>
        <v/>
      </c>
      <c r="O149" s="324"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4"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3"/>
      <c r="R149" s="363"/>
      <c r="S149" s="325"/>
      <c r="T149" s="325"/>
      <c r="U149" s="317" t="str" cm="1">
        <f t="array" aca="1" ref="U149" ca="1">IFERROR(IF(AA149&lt;&gt;"ja",_xlfn.IFNA(_xlfn.IFS(AND(O149&lt;&gt;"",F149&lt;&gt;"",RIGHT($N149,6)="tarief",F149="Vergoeding"),SUM(O149)*FLOOR(SUM(Q149),0.0001),AND(O149&lt;&gt;"",F149&lt;&gt;"",RIGHT($N149,6)="tarief"),SUM(O149)*FLOOR(SUM(Q149),0.01),S149&gt;0,IF(F149&lt;&gt;"",FLOOR(SUM(S149),0.01),"")),""),""),"")</f>
        <v/>
      </c>
      <c r="V149" s="317" t="str" cm="1">
        <f t="array" aca="1" ref="V149" ca="1">IFERROR(IF(AA149&lt;&gt;"ja",_xlfn.IFNA(_xlfn.IFS(AND(P149&lt;&gt;"",R149&lt;&gt;"",RIGHT($N149,6)="tarief",F149="Vergoeding"),SUM(P149)*FLOOR(SUM(R149),0.0001),AND(P149&lt;&gt;"",R149&lt;&gt;"",RIGHT($N149,6)="tarief"),P149*FLOOR(R149,0.01),T149&gt;0,FLOOR(SUM(T149),0.01)),""),""),"")</f>
        <v/>
      </c>
      <c r="W149" s="317" t="str" cm="1">
        <f t="array" aca="1" ref="W149" ca="1">IFERROR(_xlfn.IFS(OR(F149="",LEFT(Methode_Keuze,4)="Geen",Methode_Keuze=""),"",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17" t="str" cm="1">
        <f t="array" aca="1" ref="X149" ca="1">IFERROR(_xlfn.IFS(OR(F149="",LEFT(Methode_Keuze,4)="Geen",Methode_Keuze=""),"",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26"/>
      <c r="Z149" s="319"/>
      <c r="AA149" s="32" t="str" cm="1">
        <f t="array" ref="AA149">IFERROR(IF(INDEX(SubsidieTabel!$AD$1:$AG$12,MATCH($F149,SubsidieTabel!$AD$1:$AD$12,0),IFERROR(MATCH(Methode_Keuze,SubsidieTabel!$AD$1:$AG$1,0),2))&lt;&gt;1=TRUE,"ja",""),"")</f>
        <v/>
      </c>
    </row>
    <row r="150" spans="1:27" x14ac:dyDescent="0.25">
      <c r="A150" s="320"/>
      <c r="B150" s="321" t="str">
        <f>IF(A150&lt;&gt;"",_xlfn.MAXIFS($B$1:B149,$A$1:A149,A150)+1,"")</f>
        <v/>
      </c>
      <c r="C150" s="299"/>
      <c r="D150" s="299"/>
      <c r="E150" s="299"/>
      <c r="F150" s="299"/>
      <c r="G150" s="330"/>
      <c r="H150" s="328"/>
      <c r="I150" s="329"/>
      <c r="J150" s="329"/>
      <c r="K150" s="322"/>
      <c r="L150" s="322"/>
      <c r="M150" s="323" t="str">
        <f>IFERROR(VLOOKUP(H150,Lijsten!$H$1:$I$100,2,0),"")</f>
        <v/>
      </c>
      <c r="N150" s="323" t="str">
        <f ca="1">IFERROR(IF(VLOOKUP(F150,Kostentypen!$A$3:$E$21,3,0)=0,"",IF(OR(F150="Arbeidskosten",F150="Vergoeding"),VLOOKUP(G150,Tb_KostenTypen[],2,0),VLOOKUP(F150,Kostentypen!$A$3:$E$20,3,0))),"")</f>
        <v/>
      </c>
      <c r="O150" s="324"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4"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3"/>
      <c r="R150" s="363"/>
      <c r="S150" s="325"/>
      <c r="T150" s="325"/>
      <c r="U150" s="317" t="str" cm="1">
        <f t="array" aca="1" ref="U150" ca="1">IFERROR(IF(AA150&lt;&gt;"ja",_xlfn.IFNA(_xlfn.IFS(AND(O150&lt;&gt;"",F150&lt;&gt;"",RIGHT($N150,6)="tarief",F150="Vergoeding"),SUM(O150)*FLOOR(SUM(Q150),0.0001),AND(O150&lt;&gt;"",F150&lt;&gt;"",RIGHT($N150,6)="tarief"),SUM(O150)*FLOOR(SUM(Q150),0.01),S150&gt;0,IF(F150&lt;&gt;"",FLOOR(SUM(S150),0.01),"")),""),""),"")</f>
        <v/>
      </c>
      <c r="V150" s="317" t="str" cm="1">
        <f t="array" aca="1" ref="V150" ca="1">IFERROR(IF(AA150&lt;&gt;"ja",_xlfn.IFNA(_xlfn.IFS(AND(P150&lt;&gt;"",R150&lt;&gt;"",RIGHT($N150,6)="tarief",F150="Vergoeding"),SUM(P150)*FLOOR(SUM(R150),0.0001),AND(P150&lt;&gt;"",R150&lt;&gt;"",RIGHT($N150,6)="tarief"),P150*FLOOR(R150,0.01),T150&gt;0,FLOOR(SUM(T150),0.01)),""),""),"")</f>
        <v/>
      </c>
      <c r="W150" s="317" t="str" cm="1">
        <f t="array" aca="1" ref="W150" ca="1">IFERROR(_xlfn.IFS(OR(F150="",LEFT(Methode_Keuze,4)="Geen",Methode_Keuze=""),"",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17" t="str" cm="1">
        <f t="array" aca="1" ref="X150" ca="1">IFERROR(_xlfn.IFS(OR(F150="",LEFT(Methode_Keuze,4)="Geen",Methode_Keuze=""),"",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26"/>
      <c r="Z150" s="319"/>
      <c r="AA150" s="32" t="str" cm="1">
        <f t="array" ref="AA150">IFERROR(IF(INDEX(SubsidieTabel!$AD$1:$AG$12,MATCH($F150,SubsidieTabel!$AD$1:$AD$12,0),IFERROR(MATCH(Methode_Keuze,SubsidieTabel!$AD$1:$AG$1,0),2))&lt;&gt;1=TRUE,"ja",""),"")</f>
        <v/>
      </c>
    </row>
    <row r="151" spans="1:27" x14ac:dyDescent="0.25">
      <c r="A151" s="320"/>
      <c r="B151" s="321" t="str">
        <f>IF(A151&lt;&gt;"",_xlfn.MAXIFS($B$1:B150,$A$1:A150,A151)+1,"")</f>
        <v/>
      </c>
      <c r="C151" s="299"/>
      <c r="D151" s="299"/>
      <c r="E151" s="299"/>
      <c r="F151" s="299"/>
      <c r="G151" s="330"/>
      <c r="H151" s="328"/>
      <c r="I151" s="329"/>
      <c r="J151" s="329"/>
      <c r="K151" s="322"/>
      <c r="L151" s="322"/>
      <c r="M151" s="323" t="str">
        <f>IFERROR(VLOOKUP(H151,Lijsten!$H$1:$I$100,2,0),"")</f>
        <v/>
      </c>
      <c r="N151" s="323" t="str">
        <f ca="1">IFERROR(IF(VLOOKUP(F151,Kostentypen!$A$3:$E$21,3,0)=0,"",IF(OR(F151="Arbeidskosten",F151="Vergoeding"),VLOOKUP(G151,Tb_KostenTypen[],2,0),VLOOKUP(F151,Kostentypen!$A$3:$E$20,3,0))),"")</f>
        <v/>
      </c>
      <c r="O151" s="324"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4"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3"/>
      <c r="R151" s="363"/>
      <c r="S151" s="325"/>
      <c r="T151" s="325"/>
      <c r="U151" s="317" t="str" cm="1">
        <f t="array" aca="1" ref="U151" ca="1">IFERROR(IF(AA151&lt;&gt;"ja",_xlfn.IFNA(_xlfn.IFS(AND(O151&lt;&gt;"",F151&lt;&gt;"",RIGHT($N151,6)="tarief",F151="Vergoeding"),SUM(O151)*FLOOR(SUM(Q151),0.0001),AND(O151&lt;&gt;"",F151&lt;&gt;"",RIGHT($N151,6)="tarief"),SUM(O151)*FLOOR(SUM(Q151),0.01),S151&gt;0,IF(F151&lt;&gt;"",FLOOR(SUM(S151),0.01),"")),""),""),"")</f>
        <v/>
      </c>
      <c r="V151" s="317" t="str" cm="1">
        <f t="array" aca="1" ref="V151" ca="1">IFERROR(IF(AA151&lt;&gt;"ja",_xlfn.IFNA(_xlfn.IFS(AND(P151&lt;&gt;"",R151&lt;&gt;"",RIGHT($N151,6)="tarief",F151="Vergoeding"),SUM(P151)*FLOOR(SUM(R151),0.0001),AND(P151&lt;&gt;"",R151&lt;&gt;"",RIGHT($N151,6)="tarief"),P151*FLOOR(R151,0.01),T151&gt;0,FLOOR(SUM(T151),0.01)),""),""),"")</f>
        <v/>
      </c>
      <c r="W151" s="317" t="str" cm="1">
        <f t="array" aca="1" ref="W151" ca="1">IFERROR(_xlfn.IFS(OR(F151="",LEFT(Methode_Keuze,4)="Geen",Methode_Keuze=""),"",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17" t="str" cm="1">
        <f t="array" aca="1" ref="X151" ca="1">IFERROR(_xlfn.IFS(OR(F151="",LEFT(Methode_Keuze,4)="Geen",Methode_Keuze=""),"",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26"/>
      <c r="Z151" s="319"/>
      <c r="AA151" s="32" t="str" cm="1">
        <f t="array" ref="AA151">IFERROR(IF(INDEX(SubsidieTabel!$AD$1:$AG$12,MATCH($F151,SubsidieTabel!$AD$1:$AD$12,0),IFERROR(MATCH(Methode_Keuze,SubsidieTabel!$AD$1:$AG$1,0),2))&lt;&gt;1=TRUE,"ja",""),"")</f>
        <v/>
      </c>
    </row>
    <row r="152" spans="1:27" x14ac:dyDescent="0.25">
      <c r="A152" s="320"/>
      <c r="B152" s="321" t="str">
        <f>IF(A152&lt;&gt;"",_xlfn.MAXIFS($B$1:B151,$A$1:A151,A152)+1,"")</f>
        <v/>
      </c>
      <c r="C152" s="299"/>
      <c r="D152" s="299"/>
      <c r="E152" s="299"/>
      <c r="F152" s="299"/>
      <c r="G152" s="330"/>
      <c r="H152" s="328"/>
      <c r="I152" s="329"/>
      <c r="J152" s="329"/>
      <c r="K152" s="322"/>
      <c r="L152" s="322"/>
      <c r="M152" s="323" t="str">
        <f>IFERROR(VLOOKUP(H152,Lijsten!$H$1:$I$100,2,0),"")</f>
        <v/>
      </c>
      <c r="N152" s="323" t="str">
        <f ca="1">IFERROR(IF(VLOOKUP(F152,Kostentypen!$A$3:$E$21,3,0)=0,"",IF(OR(F152="Arbeidskosten",F152="Vergoeding"),VLOOKUP(G152,Tb_KostenTypen[],2,0),VLOOKUP(F152,Kostentypen!$A$3:$E$20,3,0))),"")</f>
        <v/>
      </c>
      <c r="O152" s="324"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4"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3"/>
      <c r="R152" s="363"/>
      <c r="S152" s="325"/>
      <c r="T152" s="325"/>
      <c r="U152" s="317" t="str" cm="1">
        <f t="array" aca="1" ref="U152" ca="1">IFERROR(IF(AA152&lt;&gt;"ja",_xlfn.IFNA(_xlfn.IFS(AND(O152&lt;&gt;"",F152&lt;&gt;"",RIGHT($N152,6)="tarief",F152="Vergoeding"),SUM(O152)*FLOOR(SUM(Q152),0.0001),AND(O152&lt;&gt;"",F152&lt;&gt;"",RIGHT($N152,6)="tarief"),SUM(O152)*FLOOR(SUM(Q152),0.01),S152&gt;0,IF(F152&lt;&gt;"",FLOOR(SUM(S152),0.01),"")),""),""),"")</f>
        <v/>
      </c>
      <c r="V152" s="317" t="str" cm="1">
        <f t="array" aca="1" ref="V152" ca="1">IFERROR(IF(AA152&lt;&gt;"ja",_xlfn.IFNA(_xlfn.IFS(AND(P152&lt;&gt;"",R152&lt;&gt;"",RIGHT($N152,6)="tarief",F152="Vergoeding"),SUM(P152)*FLOOR(SUM(R152),0.0001),AND(P152&lt;&gt;"",R152&lt;&gt;"",RIGHT($N152,6)="tarief"),P152*FLOOR(R152,0.01),T152&gt;0,FLOOR(SUM(T152),0.01)),""),""),"")</f>
        <v/>
      </c>
      <c r="W152" s="317" t="str" cm="1">
        <f t="array" aca="1" ref="W152" ca="1">IFERROR(_xlfn.IFS(OR(F152="",LEFT(Methode_Keuze,4)="Geen",Methode_Keuze=""),"",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17" t="str" cm="1">
        <f t="array" aca="1" ref="X152" ca="1">IFERROR(_xlfn.IFS(OR(F152="",LEFT(Methode_Keuze,4)="Geen",Methode_Keuze=""),"",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26"/>
      <c r="Z152" s="319"/>
      <c r="AA152" s="32" t="str" cm="1">
        <f t="array" ref="AA152">IFERROR(IF(INDEX(SubsidieTabel!$AD$1:$AG$12,MATCH($F152,SubsidieTabel!$AD$1:$AD$12,0),IFERROR(MATCH(Methode_Keuze,SubsidieTabel!$AD$1:$AG$1,0),2))&lt;&gt;1=TRUE,"ja",""),"")</f>
        <v/>
      </c>
    </row>
    <row r="153" spans="1:27" x14ac:dyDescent="0.25">
      <c r="A153" s="320"/>
      <c r="B153" s="321" t="str">
        <f>IF(A153&lt;&gt;"",_xlfn.MAXIFS($B$1:B152,$A$1:A152,A153)+1,"")</f>
        <v/>
      </c>
      <c r="C153" s="299"/>
      <c r="D153" s="299"/>
      <c r="E153" s="299"/>
      <c r="F153" s="299"/>
      <c r="G153" s="330"/>
      <c r="H153" s="328"/>
      <c r="I153" s="329"/>
      <c r="J153" s="329"/>
      <c r="K153" s="322"/>
      <c r="L153" s="322"/>
      <c r="M153" s="323" t="str">
        <f>IFERROR(VLOOKUP(H153,Lijsten!$H$1:$I$100,2,0),"")</f>
        <v/>
      </c>
      <c r="N153" s="323" t="str">
        <f ca="1">IFERROR(IF(VLOOKUP(F153,Kostentypen!$A$3:$E$21,3,0)=0,"",IF(OR(F153="Arbeidskosten",F153="Vergoeding"),VLOOKUP(G153,Tb_KostenTypen[],2,0),VLOOKUP(F153,Kostentypen!$A$3:$E$20,3,0))),"")</f>
        <v/>
      </c>
      <c r="O153" s="324"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4"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3"/>
      <c r="R153" s="363"/>
      <c r="S153" s="325"/>
      <c r="T153" s="325"/>
      <c r="U153" s="317" t="str" cm="1">
        <f t="array" aca="1" ref="U153" ca="1">IFERROR(IF(AA153&lt;&gt;"ja",_xlfn.IFNA(_xlfn.IFS(AND(O153&lt;&gt;"",F153&lt;&gt;"",RIGHT($N153,6)="tarief",F153="Vergoeding"),SUM(O153)*FLOOR(SUM(Q153),0.0001),AND(O153&lt;&gt;"",F153&lt;&gt;"",RIGHT($N153,6)="tarief"),SUM(O153)*FLOOR(SUM(Q153),0.01),S153&gt;0,IF(F153&lt;&gt;"",FLOOR(SUM(S153),0.01),"")),""),""),"")</f>
        <v/>
      </c>
      <c r="V153" s="317" t="str" cm="1">
        <f t="array" aca="1" ref="V153" ca="1">IFERROR(IF(AA153&lt;&gt;"ja",_xlfn.IFNA(_xlfn.IFS(AND(P153&lt;&gt;"",R153&lt;&gt;"",RIGHT($N153,6)="tarief",F153="Vergoeding"),SUM(P153)*FLOOR(SUM(R153),0.0001),AND(P153&lt;&gt;"",R153&lt;&gt;"",RIGHT($N153,6)="tarief"),P153*FLOOR(R153,0.01),T153&gt;0,FLOOR(SUM(T153),0.01)),""),""),"")</f>
        <v/>
      </c>
      <c r="W153" s="317" t="str" cm="1">
        <f t="array" aca="1" ref="W153" ca="1">IFERROR(_xlfn.IFS(OR(F153="",LEFT(Methode_Keuze,4)="Geen",Methode_Keuze=""),"",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17" t="str" cm="1">
        <f t="array" aca="1" ref="X153" ca="1">IFERROR(_xlfn.IFS(OR(F153="",LEFT(Methode_Keuze,4)="Geen",Methode_Keuze=""),"",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26"/>
      <c r="Z153" s="319"/>
      <c r="AA153" s="32" t="str" cm="1">
        <f t="array" ref="AA153">IFERROR(IF(INDEX(SubsidieTabel!$AD$1:$AG$12,MATCH($F153,SubsidieTabel!$AD$1:$AD$12,0),IFERROR(MATCH(Methode_Keuze,SubsidieTabel!$AD$1:$AG$1,0),2))&lt;&gt;1=TRUE,"ja",""),"")</f>
        <v/>
      </c>
    </row>
    <row r="154" spans="1:27" x14ac:dyDescent="0.25">
      <c r="A154" s="320"/>
      <c r="B154" s="321" t="str">
        <f>IF(A154&lt;&gt;"",_xlfn.MAXIFS($B$1:B153,$A$1:A153,A154)+1,"")</f>
        <v/>
      </c>
      <c r="C154" s="299"/>
      <c r="D154" s="299"/>
      <c r="E154" s="299"/>
      <c r="F154" s="299"/>
      <c r="G154" s="330"/>
      <c r="H154" s="328"/>
      <c r="I154" s="329"/>
      <c r="J154" s="329"/>
      <c r="K154" s="322"/>
      <c r="L154" s="322"/>
      <c r="M154" s="323" t="str">
        <f>IFERROR(VLOOKUP(H154,Lijsten!$H$1:$I$100,2,0),"")</f>
        <v/>
      </c>
      <c r="N154" s="323" t="str">
        <f ca="1">IFERROR(IF(VLOOKUP(F154,Kostentypen!$A$3:$E$21,3,0)=0,"",IF(OR(F154="Arbeidskosten",F154="Vergoeding"),VLOOKUP(G154,Tb_KostenTypen[],2,0),VLOOKUP(F154,Kostentypen!$A$3:$E$20,3,0))),"")</f>
        <v/>
      </c>
      <c r="O154" s="324"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4"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3"/>
      <c r="R154" s="363"/>
      <c r="S154" s="325"/>
      <c r="T154" s="325"/>
      <c r="U154" s="317" t="str" cm="1">
        <f t="array" aca="1" ref="U154" ca="1">IFERROR(IF(AA154&lt;&gt;"ja",_xlfn.IFNA(_xlfn.IFS(AND(O154&lt;&gt;"",F154&lt;&gt;"",RIGHT($N154,6)="tarief",F154="Vergoeding"),SUM(O154)*FLOOR(SUM(Q154),0.0001),AND(O154&lt;&gt;"",F154&lt;&gt;"",RIGHT($N154,6)="tarief"),SUM(O154)*FLOOR(SUM(Q154),0.01),S154&gt;0,IF(F154&lt;&gt;"",FLOOR(SUM(S154),0.01),"")),""),""),"")</f>
        <v/>
      </c>
      <c r="V154" s="317" t="str" cm="1">
        <f t="array" aca="1" ref="V154" ca="1">IFERROR(IF(AA154&lt;&gt;"ja",_xlfn.IFNA(_xlfn.IFS(AND(P154&lt;&gt;"",R154&lt;&gt;"",RIGHT($N154,6)="tarief",F154="Vergoeding"),SUM(P154)*FLOOR(SUM(R154),0.0001),AND(P154&lt;&gt;"",R154&lt;&gt;"",RIGHT($N154,6)="tarief"),P154*FLOOR(R154,0.01),T154&gt;0,FLOOR(SUM(T154),0.01)),""),""),"")</f>
        <v/>
      </c>
      <c r="W154" s="317" t="str" cm="1">
        <f t="array" aca="1" ref="W154" ca="1">IFERROR(_xlfn.IFS(OR(F154="",LEFT(Methode_Keuze,4)="Geen",Methode_Keuze=""),"",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17" t="str" cm="1">
        <f t="array" aca="1" ref="X154" ca="1">IFERROR(_xlfn.IFS(OR(F154="",LEFT(Methode_Keuze,4)="Geen",Methode_Keuze=""),"",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26"/>
      <c r="Z154" s="319"/>
      <c r="AA154" s="32" t="str" cm="1">
        <f t="array" ref="AA154">IFERROR(IF(INDEX(SubsidieTabel!$AD$1:$AG$12,MATCH($F154,SubsidieTabel!$AD$1:$AD$12,0),IFERROR(MATCH(Methode_Keuze,SubsidieTabel!$AD$1:$AG$1,0),2))&lt;&gt;1=TRUE,"ja",""),"")</f>
        <v/>
      </c>
    </row>
    <row r="155" spans="1:27" x14ac:dyDescent="0.25">
      <c r="A155" s="320"/>
      <c r="B155" s="321" t="str">
        <f>IF(A155&lt;&gt;"",_xlfn.MAXIFS($B$1:B154,$A$1:A154,A155)+1,"")</f>
        <v/>
      </c>
      <c r="C155" s="299"/>
      <c r="D155" s="299"/>
      <c r="E155" s="299"/>
      <c r="F155" s="299"/>
      <c r="G155" s="330"/>
      <c r="H155" s="328"/>
      <c r="I155" s="329"/>
      <c r="J155" s="329"/>
      <c r="K155" s="322"/>
      <c r="L155" s="322"/>
      <c r="M155" s="323" t="str">
        <f>IFERROR(VLOOKUP(H155,Lijsten!$H$1:$I$100,2,0),"")</f>
        <v/>
      </c>
      <c r="N155" s="323" t="str">
        <f ca="1">IFERROR(IF(VLOOKUP(F155,Kostentypen!$A$3:$E$21,3,0)=0,"",IF(OR(F155="Arbeidskosten",F155="Vergoeding"),VLOOKUP(G155,Tb_KostenTypen[],2,0),VLOOKUP(F155,Kostentypen!$A$3:$E$20,3,0))),"")</f>
        <v/>
      </c>
      <c r="O155" s="324"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4"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3"/>
      <c r="R155" s="363"/>
      <c r="S155" s="325"/>
      <c r="T155" s="325"/>
      <c r="U155" s="317" t="str" cm="1">
        <f t="array" aca="1" ref="U155" ca="1">IFERROR(IF(AA155&lt;&gt;"ja",_xlfn.IFNA(_xlfn.IFS(AND(O155&lt;&gt;"",F155&lt;&gt;"",RIGHT($N155,6)="tarief",F155="Vergoeding"),SUM(O155)*FLOOR(SUM(Q155),0.0001),AND(O155&lt;&gt;"",F155&lt;&gt;"",RIGHT($N155,6)="tarief"),SUM(O155)*FLOOR(SUM(Q155),0.01),S155&gt;0,IF(F155&lt;&gt;"",FLOOR(SUM(S155),0.01),"")),""),""),"")</f>
        <v/>
      </c>
      <c r="V155" s="317" t="str" cm="1">
        <f t="array" aca="1" ref="V155" ca="1">IFERROR(IF(AA155&lt;&gt;"ja",_xlfn.IFNA(_xlfn.IFS(AND(P155&lt;&gt;"",R155&lt;&gt;"",RIGHT($N155,6)="tarief",F155="Vergoeding"),SUM(P155)*FLOOR(SUM(R155),0.0001),AND(P155&lt;&gt;"",R155&lt;&gt;"",RIGHT($N155,6)="tarief"),P155*FLOOR(R155,0.01),T155&gt;0,FLOOR(SUM(T155),0.01)),""),""),"")</f>
        <v/>
      </c>
      <c r="W155" s="317" t="str" cm="1">
        <f t="array" aca="1" ref="W155" ca="1">IFERROR(_xlfn.IFS(OR(F155="",LEFT(Methode_Keuze,4)="Geen",Methode_Keuze=""),"",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17" t="str" cm="1">
        <f t="array" aca="1" ref="X155" ca="1">IFERROR(_xlfn.IFS(OR(F155="",LEFT(Methode_Keuze,4)="Geen",Methode_Keuze=""),"",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26"/>
      <c r="Z155" s="319"/>
      <c r="AA155" s="32" t="str" cm="1">
        <f t="array" ref="AA155">IFERROR(IF(INDEX(SubsidieTabel!$AD$1:$AG$12,MATCH($F155,SubsidieTabel!$AD$1:$AD$12,0),IFERROR(MATCH(Methode_Keuze,SubsidieTabel!$AD$1:$AG$1,0),2))&lt;&gt;1=TRUE,"ja",""),"")</f>
        <v/>
      </c>
    </row>
    <row r="156" spans="1:27" x14ac:dyDescent="0.25">
      <c r="A156" s="320"/>
      <c r="B156" s="321" t="str">
        <f>IF(A156&lt;&gt;"",_xlfn.MAXIFS($B$1:B155,$A$1:A155,A156)+1,"")</f>
        <v/>
      </c>
      <c r="C156" s="299"/>
      <c r="D156" s="299"/>
      <c r="E156" s="299"/>
      <c r="F156" s="299"/>
      <c r="G156" s="330"/>
      <c r="H156" s="328"/>
      <c r="I156" s="329"/>
      <c r="J156" s="329"/>
      <c r="K156" s="322"/>
      <c r="L156" s="322"/>
      <c r="M156" s="323" t="str">
        <f>IFERROR(VLOOKUP(H156,Lijsten!$H$1:$I$100,2,0),"")</f>
        <v/>
      </c>
      <c r="N156" s="323" t="str">
        <f ca="1">IFERROR(IF(VLOOKUP(F156,Kostentypen!$A$3:$E$21,3,0)=0,"",IF(OR(F156="Arbeidskosten",F156="Vergoeding"),VLOOKUP(G156,Tb_KostenTypen[],2,0),VLOOKUP(F156,Kostentypen!$A$3:$E$20,3,0))),"")</f>
        <v/>
      </c>
      <c r="O156" s="324"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4"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3"/>
      <c r="R156" s="363"/>
      <c r="S156" s="325"/>
      <c r="T156" s="325"/>
      <c r="U156" s="317" t="str" cm="1">
        <f t="array" aca="1" ref="U156" ca="1">IFERROR(IF(AA156&lt;&gt;"ja",_xlfn.IFNA(_xlfn.IFS(AND(O156&lt;&gt;"",F156&lt;&gt;"",RIGHT($N156,6)="tarief",F156="Vergoeding"),SUM(O156)*FLOOR(SUM(Q156),0.0001),AND(O156&lt;&gt;"",F156&lt;&gt;"",RIGHT($N156,6)="tarief"),SUM(O156)*FLOOR(SUM(Q156),0.01),S156&gt;0,IF(F156&lt;&gt;"",FLOOR(SUM(S156),0.01),"")),""),""),"")</f>
        <v/>
      </c>
      <c r="V156" s="317" t="str" cm="1">
        <f t="array" aca="1" ref="V156" ca="1">IFERROR(IF(AA156&lt;&gt;"ja",_xlfn.IFNA(_xlfn.IFS(AND(P156&lt;&gt;"",R156&lt;&gt;"",RIGHT($N156,6)="tarief",F156="Vergoeding"),SUM(P156)*FLOOR(SUM(R156),0.0001),AND(P156&lt;&gt;"",R156&lt;&gt;"",RIGHT($N156,6)="tarief"),P156*FLOOR(R156,0.01),T156&gt;0,FLOOR(SUM(T156),0.01)),""),""),"")</f>
        <v/>
      </c>
      <c r="W156" s="317" t="str" cm="1">
        <f t="array" aca="1" ref="W156" ca="1">IFERROR(_xlfn.IFS(OR(F156="",LEFT(Methode_Keuze,4)="Geen",Methode_Keuze=""),"",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17" t="str" cm="1">
        <f t="array" aca="1" ref="X156" ca="1">IFERROR(_xlfn.IFS(OR(F156="",LEFT(Methode_Keuze,4)="Geen",Methode_Keuze=""),"",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26"/>
      <c r="Z156" s="319"/>
      <c r="AA156" s="32" t="str" cm="1">
        <f t="array" ref="AA156">IFERROR(IF(INDEX(SubsidieTabel!$AD$1:$AG$12,MATCH($F156,SubsidieTabel!$AD$1:$AD$12,0),IFERROR(MATCH(Methode_Keuze,SubsidieTabel!$AD$1:$AG$1,0),2))&lt;&gt;1=TRUE,"ja",""),"")</f>
        <v/>
      </c>
    </row>
    <row r="157" spans="1:27" x14ac:dyDescent="0.25">
      <c r="A157" s="320"/>
      <c r="B157" s="321" t="str">
        <f>IF(A157&lt;&gt;"",_xlfn.MAXIFS($B$1:B156,$A$1:A156,A157)+1,"")</f>
        <v/>
      </c>
      <c r="C157" s="299"/>
      <c r="D157" s="299"/>
      <c r="E157" s="299"/>
      <c r="F157" s="299"/>
      <c r="G157" s="330"/>
      <c r="H157" s="328"/>
      <c r="I157" s="329"/>
      <c r="J157" s="329"/>
      <c r="K157" s="322"/>
      <c r="L157" s="322"/>
      <c r="M157" s="323" t="str">
        <f>IFERROR(VLOOKUP(H157,Lijsten!$H$1:$I$100,2,0),"")</f>
        <v/>
      </c>
      <c r="N157" s="323" t="str">
        <f ca="1">IFERROR(IF(VLOOKUP(F157,Kostentypen!$A$3:$E$21,3,0)=0,"",IF(OR(F157="Arbeidskosten",F157="Vergoeding"),VLOOKUP(G157,Tb_KostenTypen[],2,0),VLOOKUP(F157,Kostentypen!$A$3:$E$20,3,0))),"")</f>
        <v/>
      </c>
      <c r="O157" s="324"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4"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3"/>
      <c r="R157" s="363"/>
      <c r="S157" s="325"/>
      <c r="T157" s="325"/>
      <c r="U157" s="317" t="str" cm="1">
        <f t="array" aca="1" ref="U157" ca="1">IFERROR(IF(AA157&lt;&gt;"ja",_xlfn.IFNA(_xlfn.IFS(AND(O157&lt;&gt;"",F157&lt;&gt;"",RIGHT($N157,6)="tarief",F157="Vergoeding"),SUM(O157)*FLOOR(SUM(Q157),0.0001),AND(O157&lt;&gt;"",F157&lt;&gt;"",RIGHT($N157,6)="tarief"),SUM(O157)*FLOOR(SUM(Q157),0.01),S157&gt;0,IF(F157&lt;&gt;"",FLOOR(SUM(S157),0.01),"")),""),""),"")</f>
        <v/>
      </c>
      <c r="V157" s="317" t="str" cm="1">
        <f t="array" aca="1" ref="V157" ca="1">IFERROR(IF(AA157&lt;&gt;"ja",_xlfn.IFNA(_xlfn.IFS(AND(P157&lt;&gt;"",R157&lt;&gt;"",RIGHT($N157,6)="tarief",F157="Vergoeding"),SUM(P157)*FLOOR(SUM(R157),0.0001),AND(P157&lt;&gt;"",R157&lt;&gt;"",RIGHT($N157,6)="tarief"),P157*FLOOR(R157,0.01),T157&gt;0,FLOOR(SUM(T157),0.01)),""),""),"")</f>
        <v/>
      </c>
      <c r="W157" s="317" t="str" cm="1">
        <f t="array" aca="1" ref="W157" ca="1">IFERROR(_xlfn.IFS(OR(F157="",LEFT(Methode_Keuze,4)="Geen",Methode_Keuze=""),"",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17" t="str" cm="1">
        <f t="array" aca="1" ref="X157" ca="1">IFERROR(_xlfn.IFS(OR(F157="",LEFT(Methode_Keuze,4)="Geen",Methode_Keuze=""),"",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26"/>
      <c r="Z157" s="319"/>
      <c r="AA157" s="32" t="str" cm="1">
        <f t="array" ref="AA157">IFERROR(IF(INDEX(SubsidieTabel!$AD$1:$AG$12,MATCH($F157,SubsidieTabel!$AD$1:$AD$12,0),IFERROR(MATCH(Methode_Keuze,SubsidieTabel!$AD$1:$AG$1,0),2))&lt;&gt;1=TRUE,"ja",""),"")</f>
        <v/>
      </c>
    </row>
    <row r="158" spans="1:27" x14ac:dyDescent="0.25">
      <c r="A158" s="320"/>
      <c r="B158" s="321" t="str">
        <f>IF(A158&lt;&gt;"",_xlfn.MAXIFS($B$1:B157,$A$1:A157,A158)+1,"")</f>
        <v/>
      </c>
      <c r="C158" s="299"/>
      <c r="D158" s="299"/>
      <c r="E158" s="299"/>
      <c r="F158" s="299"/>
      <c r="G158" s="330"/>
      <c r="H158" s="328"/>
      <c r="I158" s="329"/>
      <c r="J158" s="329"/>
      <c r="K158" s="322"/>
      <c r="L158" s="322"/>
      <c r="M158" s="323" t="str">
        <f>IFERROR(VLOOKUP(H158,Lijsten!$H$1:$I$100,2,0),"")</f>
        <v/>
      </c>
      <c r="N158" s="323" t="str">
        <f ca="1">IFERROR(IF(VLOOKUP(F158,Kostentypen!$A$3:$E$21,3,0)=0,"",IF(OR(F158="Arbeidskosten",F158="Vergoeding"),VLOOKUP(G158,Tb_KostenTypen[],2,0),VLOOKUP(F158,Kostentypen!$A$3:$E$20,3,0))),"")</f>
        <v/>
      </c>
      <c r="O158" s="324"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4"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3"/>
      <c r="R158" s="363"/>
      <c r="S158" s="325"/>
      <c r="T158" s="325"/>
      <c r="U158" s="317" t="str" cm="1">
        <f t="array" aca="1" ref="U158" ca="1">IFERROR(IF(AA158&lt;&gt;"ja",_xlfn.IFNA(_xlfn.IFS(AND(O158&lt;&gt;"",F158&lt;&gt;"",RIGHT($N158,6)="tarief",F158="Vergoeding"),SUM(O158)*FLOOR(SUM(Q158),0.0001),AND(O158&lt;&gt;"",F158&lt;&gt;"",RIGHT($N158,6)="tarief"),SUM(O158)*FLOOR(SUM(Q158),0.01),S158&gt;0,IF(F158&lt;&gt;"",FLOOR(SUM(S158),0.01),"")),""),""),"")</f>
        <v/>
      </c>
      <c r="V158" s="317" t="str" cm="1">
        <f t="array" aca="1" ref="V158" ca="1">IFERROR(IF(AA158&lt;&gt;"ja",_xlfn.IFNA(_xlfn.IFS(AND(P158&lt;&gt;"",R158&lt;&gt;"",RIGHT($N158,6)="tarief",F158="Vergoeding"),SUM(P158)*FLOOR(SUM(R158),0.0001),AND(P158&lt;&gt;"",R158&lt;&gt;"",RIGHT($N158,6)="tarief"),P158*FLOOR(R158,0.01),T158&gt;0,FLOOR(SUM(T158),0.01)),""),""),"")</f>
        <v/>
      </c>
      <c r="W158" s="317" t="str" cm="1">
        <f t="array" aca="1" ref="W158" ca="1">IFERROR(_xlfn.IFS(OR(F158="",LEFT(Methode_Keuze,4)="Geen",Methode_Keuze=""),"",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17" t="str" cm="1">
        <f t="array" aca="1" ref="X158" ca="1">IFERROR(_xlfn.IFS(OR(F158="",LEFT(Methode_Keuze,4)="Geen",Methode_Keuze=""),"",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26"/>
      <c r="Z158" s="319"/>
      <c r="AA158" s="32" t="str" cm="1">
        <f t="array" ref="AA158">IFERROR(IF(INDEX(SubsidieTabel!$AD$1:$AG$12,MATCH($F158,SubsidieTabel!$AD$1:$AD$12,0),IFERROR(MATCH(Methode_Keuze,SubsidieTabel!$AD$1:$AG$1,0),2))&lt;&gt;1=TRUE,"ja",""),"")</f>
        <v/>
      </c>
    </row>
    <row r="159" spans="1:27" x14ac:dyDescent="0.25">
      <c r="A159" s="320"/>
      <c r="B159" s="321" t="str">
        <f>IF(A159&lt;&gt;"",_xlfn.MAXIFS($B$1:B158,$A$1:A158,A159)+1,"")</f>
        <v/>
      </c>
      <c r="C159" s="299"/>
      <c r="D159" s="299"/>
      <c r="E159" s="299"/>
      <c r="F159" s="299"/>
      <c r="G159" s="330"/>
      <c r="H159" s="328"/>
      <c r="I159" s="329"/>
      <c r="J159" s="329"/>
      <c r="K159" s="322"/>
      <c r="L159" s="322"/>
      <c r="M159" s="323" t="str">
        <f>IFERROR(VLOOKUP(H159,Lijsten!$H$1:$I$100,2,0),"")</f>
        <v/>
      </c>
      <c r="N159" s="323" t="str">
        <f ca="1">IFERROR(IF(VLOOKUP(F159,Kostentypen!$A$3:$E$21,3,0)=0,"",IF(OR(F159="Arbeidskosten",F159="Vergoeding"),VLOOKUP(G159,Tb_KostenTypen[],2,0),VLOOKUP(F159,Kostentypen!$A$3:$E$20,3,0))),"")</f>
        <v/>
      </c>
      <c r="O159" s="324"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4"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3"/>
      <c r="R159" s="363"/>
      <c r="S159" s="325"/>
      <c r="T159" s="325"/>
      <c r="U159" s="317" t="str" cm="1">
        <f t="array" aca="1" ref="U159" ca="1">IFERROR(IF(AA159&lt;&gt;"ja",_xlfn.IFNA(_xlfn.IFS(AND(O159&lt;&gt;"",F159&lt;&gt;"",RIGHT($N159,6)="tarief",F159="Vergoeding"),SUM(O159)*FLOOR(SUM(Q159),0.0001),AND(O159&lt;&gt;"",F159&lt;&gt;"",RIGHT($N159,6)="tarief"),SUM(O159)*FLOOR(SUM(Q159),0.01),S159&gt;0,IF(F159&lt;&gt;"",FLOOR(SUM(S159),0.01),"")),""),""),"")</f>
        <v/>
      </c>
      <c r="V159" s="317" t="str" cm="1">
        <f t="array" aca="1" ref="V159" ca="1">IFERROR(IF(AA159&lt;&gt;"ja",_xlfn.IFNA(_xlfn.IFS(AND(P159&lt;&gt;"",R159&lt;&gt;"",RIGHT($N159,6)="tarief",F159="Vergoeding"),SUM(P159)*FLOOR(SUM(R159),0.0001),AND(P159&lt;&gt;"",R159&lt;&gt;"",RIGHT($N159,6)="tarief"),P159*FLOOR(R159,0.01),T159&gt;0,FLOOR(SUM(T159),0.01)),""),""),"")</f>
        <v/>
      </c>
      <c r="W159" s="317" t="str" cm="1">
        <f t="array" aca="1" ref="W159" ca="1">IFERROR(_xlfn.IFS(OR(F159="",LEFT(Methode_Keuze,4)="Geen",Methode_Keuze=""),"",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17" t="str" cm="1">
        <f t="array" aca="1" ref="X159" ca="1">IFERROR(_xlfn.IFS(OR(F159="",LEFT(Methode_Keuze,4)="Geen",Methode_Keuze=""),"",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26"/>
      <c r="Z159" s="319"/>
      <c r="AA159" s="32" t="str" cm="1">
        <f t="array" ref="AA159">IFERROR(IF(INDEX(SubsidieTabel!$AD$1:$AG$12,MATCH($F159,SubsidieTabel!$AD$1:$AD$12,0),IFERROR(MATCH(Methode_Keuze,SubsidieTabel!$AD$1:$AG$1,0),2))&lt;&gt;1=TRUE,"ja",""),"")</f>
        <v/>
      </c>
    </row>
    <row r="160" spans="1:27" x14ac:dyDescent="0.25">
      <c r="A160" s="320"/>
      <c r="B160" s="321" t="str">
        <f>IF(A160&lt;&gt;"",_xlfn.MAXIFS($B$1:B159,$A$1:A159,A160)+1,"")</f>
        <v/>
      </c>
      <c r="C160" s="299"/>
      <c r="D160" s="299"/>
      <c r="E160" s="299"/>
      <c r="F160" s="299"/>
      <c r="G160" s="330"/>
      <c r="H160" s="328"/>
      <c r="I160" s="329"/>
      <c r="J160" s="329"/>
      <c r="K160" s="322"/>
      <c r="L160" s="322"/>
      <c r="M160" s="323" t="str">
        <f>IFERROR(VLOOKUP(H160,Lijsten!$H$1:$I$100,2,0),"")</f>
        <v/>
      </c>
      <c r="N160" s="323" t="str">
        <f ca="1">IFERROR(IF(VLOOKUP(F160,Kostentypen!$A$3:$E$21,3,0)=0,"",IF(OR(F160="Arbeidskosten",F160="Vergoeding"),VLOOKUP(G160,Tb_KostenTypen[],2,0),VLOOKUP(F160,Kostentypen!$A$3:$E$20,3,0))),"")</f>
        <v/>
      </c>
      <c r="O160" s="324"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4"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3"/>
      <c r="R160" s="363"/>
      <c r="S160" s="325"/>
      <c r="T160" s="325"/>
      <c r="U160" s="317" t="str" cm="1">
        <f t="array" aca="1" ref="U160" ca="1">IFERROR(IF(AA160&lt;&gt;"ja",_xlfn.IFNA(_xlfn.IFS(AND(O160&lt;&gt;"",F160&lt;&gt;"",RIGHT($N160,6)="tarief",F160="Vergoeding"),SUM(O160)*FLOOR(SUM(Q160),0.0001),AND(O160&lt;&gt;"",F160&lt;&gt;"",RIGHT($N160,6)="tarief"),SUM(O160)*FLOOR(SUM(Q160),0.01),S160&gt;0,IF(F160&lt;&gt;"",FLOOR(SUM(S160),0.01),"")),""),""),"")</f>
        <v/>
      </c>
      <c r="V160" s="317" t="str" cm="1">
        <f t="array" aca="1" ref="V160" ca="1">IFERROR(IF(AA160&lt;&gt;"ja",_xlfn.IFNA(_xlfn.IFS(AND(P160&lt;&gt;"",R160&lt;&gt;"",RIGHT($N160,6)="tarief",F160="Vergoeding"),SUM(P160)*FLOOR(SUM(R160),0.0001),AND(P160&lt;&gt;"",R160&lt;&gt;"",RIGHT($N160,6)="tarief"),P160*FLOOR(R160,0.01),T160&gt;0,FLOOR(SUM(T160),0.01)),""),""),"")</f>
        <v/>
      </c>
      <c r="W160" s="317" t="str" cm="1">
        <f t="array" aca="1" ref="W160" ca="1">IFERROR(_xlfn.IFS(OR(F160="",LEFT(Methode_Keuze,4)="Geen",Methode_Keuze=""),"",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17" t="str" cm="1">
        <f t="array" aca="1" ref="X160" ca="1">IFERROR(_xlfn.IFS(OR(F160="",LEFT(Methode_Keuze,4)="Geen",Methode_Keuze=""),"",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26"/>
      <c r="Z160" s="319"/>
      <c r="AA160" s="32" t="str" cm="1">
        <f t="array" ref="AA160">IFERROR(IF(INDEX(SubsidieTabel!$AD$1:$AG$12,MATCH($F160,SubsidieTabel!$AD$1:$AD$12,0),IFERROR(MATCH(Methode_Keuze,SubsidieTabel!$AD$1:$AG$1,0),2))&lt;&gt;1=TRUE,"ja",""),"")</f>
        <v/>
      </c>
    </row>
    <row r="161" spans="1:27" x14ac:dyDescent="0.25">
      <c r="A161" s="320"/>
      <c r="B161" s="321" t="str">
        <f>IF(A161&lt;&gt;"",_xlfn.MAXIFS($B$1:B160,$A$1:A160,A161)+1,"")</f>
        <v/>
      </c>
      <c r="C161" s="299"/>
      <c r="D161" s="299"/>
      <c r="E161" s="299"/>
      <c r="F161" s="299"/>
      <c r="G161" s="330"/>
      <c r="H161" s="328"/>
      <c r="I161" s="329"/>
      <c r="J161" s="329"/>
      <c r="K161" s="322"/>
      <c r="L161" s="322"/>
      <c r="M161" s="323" t="str">
        <f>IFERROR(VLOOKUP(H161,Lijsten!$H$1:$I$100,2,0),"")</f>
        <v/>
      </c>
      <c r="N161" s="323" t="str">
        <f ca="1">IFERROR(IF(VLOOKUP(F161,Kostentypen!$A$3:$E$21,3,0)=0,"",IF(OR(F161="Arbeidskosten",F161="Vergoeding"),VLOOKUP(G161,Tb_KostenTypen[],2,0),VLOOKUP(F161,Kostentypen!$A$3:$E$20,3,0))),"")</f>
        <v/>
      </c>
      <c r="O161" s="324"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4"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3"/>
      <c r="R161" s="363"/>
      <c r="S161" s="325"/>
      <c r="T161" s="325"/>
      <c r="U161" s="317" t="str" cm="1">
        <f t="array" aca="1" ref="U161" ca="1">IFERROR(IF(AA161&lt;&gt;"ja",_xlfn.IFNA(_xlfn.IFS(AND(O161&lt;&gt;"",F161&lt;&gt;"",RIGHT($N161,6)="tarief",F161="Vergoeding"),SUM(O161)*FLOOR(SUM(Q161),0.0001),AND(O161&lt;&gt;"",F161&lt;&gt;"",RIGHT($N161,6)="tarief"),SUM(O161)*FLOOR(SUM(Q161),0.01),S161&gt;0,IF(F161&lt;&gt;"",FLOOR(SUM(S161),0.01),"")),""),""),"")</f>
        <v/>
      </c>
      <c r="V161" s="317" t="str" cm="1">
        <f t="array" aca="1" ref="V161" ca="1">IFERROR(IF(AA161&lt;&gt;"ja",_xlfn.IFNA(_xlfn.IFS(AND(P161&lt;&gt;"",R161&lt;&gt;"",RIGHT($N161,6)="tarief",F161="Vergoeding"),SUM(P161)*FLOOR(SUM(R161),0.0001),AND(P161&lt;&gt;"",R161&lt;&gt;"",RIGHT($N161,6)="tarief"),P161*FLOOR(R161,0.01),T161&gt;0,FLOOR(SUM(T161),0.01)),""),""),"")</f>
        <v/>
      </c>
      <c r="W161" s="317" t="str" cm="1">
        <f t="array" aca="1" ref="W161" ca="1">IFERROR(_xlfn.IFS(OR(F161="",LEFT(Methode_Keuze,4)="Geen",Methode_Keuze=""),"",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17" t="str" cm="1">
        <f t="array" aca="1" ref="X161" ca="1">IFERROR(_xlfn.IFS(OR(F161="",LEFT(Methode_Keuze,4)="Geen",Methode_Keuze=""),"",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26"/>
      <c r="Z161" s="319"/>
      <c r="AA161" s="32" t="str" cm="1">
        <f t="array" ref="AA161">IFERROR(IF(INDEX(SubsidieTabel!$AD$1:$AG$12,MATCH($F161,SubsidieTabel!$AD$1:$AD$12,0),IFERROR(MATCH(Methode_Keuze,SubsidieTabel!$AD$1:$AG$1,0),2))&lt;&gt;1=TRUE,"ja",""),"")</f>
        <v/>
      </c>
    </row>
    <row r="162" spans="1:27" x14ac:dyDescent="0.25">
      <c r="A162" s="320"/>
      <c r="B162" s="321" t="str">
        <f>IF(A162&lt;&gt;"",_xlfn.MAXIFS($B$1:B161,$A$1:A161,A162)+1,"")</f>
        <v/>
      </c>
      <c r="C162" s="299"/>
      <c r="D162" s="299"/>
      <c r="E162" s="299"/>
      <c r="F162" s="299"/>
      <c r="G162" s="330"/>
      <c r="H162" s="328"/>
      <c r="I162" s="329"/>
      <c r="J162" s="329"/>
      <c r="K162" s="322"/>
      <c r="L162" s="322"/>
      <c r="M162" s="323" t="str">
        <f>IFERROR(VLOOKUP(H162,Lijsten!$H$1:$I$100,2,0),"")</f>
        <v/>
      </c>
      <c r="N162" s="323" t="str">
        <f ca="1">IFERROR(IF(VLOOKUP(F162,Kostentypen!$A$3:$E$21,3,0)=0,"",IF(OR(F162="Arbeidskosten",F162="Vergoeding"),VLOOKUP(G162,Tb_KostenTypen[],2,0),VLOOKUP(F162,Kostentypen!$A$3:$E$20,3,0))),"")</f>
        <v/>
      </c>
      <c r="O162" s="324"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4"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3"/>
      <c r="R162" s="363"/>
      <c r="S162" s="325"/>
      <c r="T162" s="325"/>
      <c r="U162" s="317" t="str" cm="1">
        <f t="array" aca="1" ref="U162" ca="1">IFERROR(IF(AA162&lt;&gt;"ja",_xlfn.IFNA(_xlfn.IFS(AND(O162&lt;&gt;"",F162&lt;&gt;"",RIGHT($N162,6)="tarief",F162="Vergoeding"),SUM(O162)*FLOOR(SUM(Q162),0.0001),AND(O162&lt;&gt;"",F162&lt;&gt;"",RIGHT($N162,6)="tarief"),SUM(O162)*FLOOR(SUM(Q162),0.01),S162&gt;0,IF(F162&lt;&gt;"",FLOOR(SUM(S162),0.01),"")),""),""),"")</f>
        <v/>
      </c>
      <c r="V162" s="317" t="str" cm="1">
        <f t="array" aca="1" ref="V162" ca="1">IFERROR(IF(AA162&lt;&gt;"ja",_xlfn.IFNA(_xlfn.IFS(AND(P162&lt;&gt;"",R162&lt;&gt;"",RIGHT($N162,6)="tarief",F162="Vergoeding"),SUM(P162)*FLOOR(SUM(R162),0.0001),AND(P162&lt;&gt;"",R162&lt;&gt;"",RIGHT($N162,6)="tarief"),P162*FLOOR(R162,0.01),T162&gt;0,FLOOR(SUM(T162),0.01)),""),""),"")</f>
        <v/>
      </c>
      <c r="W162" s="317" t="str" cm="1">
        <f t="array" aca="1" ref="W162" ca="1">IFERROR(_xlfn.IFS(OR(F162="",LEFT(Methode_Keuze,4)="Geen",Methode_Keuze=""),"",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17" t="str" cm="1">
        <f t="array" aca="1" ref="X162" ca="1">IFERROR(_xlfn.IFS(OR(F162="",LEFT(Methode_Keuze,4)="Geen",Methode_Keuze=""),"",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26"/>
      <c r="Z162" s="319"/>
      <c r="AA162" s="32" t="str" cm="1">
        <f t="array" ref="AA162">IFERROR(IF(INDEX(SubsidieTabel!$AD$1:$AG$12,MATCH($F162,SubsidieTabel!$AD$1:$AD$12,0),IFERROR(MATCH(Methode_Keuze,SubsidieTabel!$AD$1:$AG$1,0),2))&lt;&gt;1=TRUE,"ja",""),"")</f>
        <v/>
      </c>
    </row>
    <row r="163" spans="1:27" x14ac:dyDescent="0.25">
      <c r="A163" s="320"/>
      <c r="B163" s="321" t="str">
        <f>IF(A163&lt;&gt;"",_xlfn.MAXIFS($B$1:B162,$A$1:A162,A163)+1,"")</f>
        <v/>
      </c>
      <c r="C163" s="299"/>
      <c r="D163" s="299"/>
      <c r="E163" s="299"/>
      <c r="F163" s="299"/>
      <c r="G163" s="330"/>
      <c r="H163" s="328"/>
      <c r="I163" s="329"/>
      <c r="J163" s="329"/>
      <c r="K163" s="322"/>
      <c r="L163" s="322"/>
      <c r="M163" s="323" t="str">
        <f>IFERROR(VLOOKUP(H163,Lijsten!$H$1:$I$100,2,0),"")</f>
        <v/>
      </c>
      <c r="N163" s="323" t="str">
        <f ca="1">IFERROR(IF(VLOOKUP(F163,Kostentypen!$A$3:$E$21,3,0)=0,"",IF(OR(F163="Arbeidskosten",F163="Vergoeding"),VLOOKUP(G163,Tb_KostenTypen[],2,0),VLOOKUP(F163,Kostentypen!$A$3:$E$20,3,0))),"")</f>
        <v/>
      </c>
      <c r="O163" s="324"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4"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3"/>
      <c r="R163" s="363"/>
      <c r="S163" s="325"/>
      <c r="T163" s="325"/>
      <c r="U163" s="317" t="str" cm="1">
        <f t="array" aca="1" ref="U163" ca="1">IFERROR(IF(AA163&lt;&gt;"ja",_xlfn.IFNA(_xlfn.IFS(AND(O163&lt;&gt;"",F163&lt;&gt;"",RIGHT($N163,6)="tarief",F163="Vergoeding"),SUM(O163)*FLOOR(SUM(Q163),0.0001),AND(O163&lt;&gt;"",F163&lt;&gt;"",RIGHT($N163,6)="tarief"),SUM(O163)*FLOOR(SUM(Q163),0.01),S163&gt;0,IF(F163&lt;&gt;"",FLOOR(SUM(S163),0.01),"")),""),""),"")</f>
        <v/>
      </c>
      <c r="V163" s="317" t="str" cm="1">
        <f t="array" aca="1" ref="V163" ca="1">IFERROR(IF(AA163&lt;&gt;"ja",_xlfn.IFNA(_xlfn.IFS(AND(P163&lt;&gt;"",R163&lt;&gt;"",RIGHT($N163,6)="tarief",F163="Vergoeding"),SUM(P163)*FLOOR(SUM(R163),0.0001),AND(P163&lt;&gt;"",R163&lt;&gt;"",RIGHT($N163,6)="tarief"),P163*FLOOR(R163,0.01),T163&gt;0,FLOOR(SUM(T163),0.01)),""),""),"")</f>
        <v/>
      </c>
      <c r="W163" s="317" t="str" cm="1">
        <f t="array" aca="1" ref="W163" ca="1">IFERROR(_xlfn.IFS(OR(F163="",LEFT(Methode_Keuze,4)="Geen",Methode_Keuze=""),"",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17" t="str" cm="1">
        <f t="array" aca="1" ref="X163" ca="1">IFERROR(_xlfn.IFS(OR(F163="",LEFT(Methode_Keuze,4)="Geen",Methode_Keuze=""),"",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26"/>
      <c r="Z163" s="319"/>
      <c r="AA163" s="32" t="str" cm="1">
        <f t="array" ref="AA163">IFERROR(IF(INDEX(SubsidieTabel!$AD$1:$AG$12,MATCH($F163,SubsidieTabel!$AD$1:$AD$12,0),IFERROR(MATCH(Methode_Keuze,SubsidieTabel!$AD$1:$AG$1,0),2))&lt;&gt;1=TRUE,"ja",""),"")</f>
        <v/>
      </c>
    </row>
    <row r="164" spans="1:27" x14ac:dyDescent="0.25">
      <c r="A164" s="320"/>
      <c r="B164" s="321" t="str">
        <f>IF(A164&lt;&gt;"",_xlfn.MAXIFS($B$1:B163,$A$1:A163,A164)+1,"")</f>
        <v/>
      </c>
      <c r="C164" s="299"/>
      <c r="D164" s="299"/>
      <c r="E164" s="299"/>
      <c r="F164" s="299"/>
      <c r="G164" s="330"/>
      <c r="H164" s="328"/>
      <c r="I164" s="329"/>
      <c r="J164" s="329"/>
      <c r="K164" s="322"/>
      <c r="L164" s="322"/>
      <c r="M164" s="323" t="str">
        <f>IFERROR(VLOOKUP(H164,Lijsten!$H$1:$I$100,2,0),"")</f>
        <v/>
      </c>
      <c r="N164" s="323" t="str">
        <f ca="1">IFERROR(IF(VLOOKUP(F164,Kostentypen!$A$3:$E$21,3,0)=0,"",IF(OR(F164="Arbeidskosten",F164="Vergoeding"),VLOOKUP(G164,Tb_KostenTypen[],2,0),VLOOKUP(F164,Kostentypen!$A$3:$E$20,3,0))),"")</f>
        <v/>
      </c>
      <c r="O164" s="324"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4"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3"/>
      <c r="R164" s="363"/>
      <c r="S164" s="325"/>
      <c r="T164" s="325"/>
      <c r="U164" s="317" t="str" cm="1">
        <f t="array" aca="1" ref="U164" ca="1">IFERROR(IF(AA164&lt;&gt;"ja",_xlfn.IFNA(_xlfn.IFS(AND(O164&lt;&gt;"",F164&lt;&gt;"",RIGHT($N164,6)="tarief",F164="Vergoeding"),SUM(O164)*FLOOR(SUM(Q164),0.0001),AND(O164&lt;&gt;"",F164&lt;&gt;"",RIGHT($N164,6)="tarief"),SUM(O164)*FLOOR(SUM(Q164),0.01),S164&gt;0,IF(F164&lt;&gt;"",FLOOR(SUM(S164),0.01),"")),""),""),"")</f>
        <v/>
      </c>
      <c r="V164" s="317" t="str" cm="1">
        <f t="array" aca="1" ref="V164" ca="1">IFERROR(IF(AA164&lt;&gt;"ja",_xlfn.IFNA(_xlfn.IFS(AND(P164&lt;&gt;"",R164&lt;&gt;"",RIGHT($N164,6)="tarief",F164="Vergoeding"),SUM(P164)*FLOOR(SUM(R164),0.0001),AND(P164&lt;&gt;"",R164&lt;&gt;"",RIGHT($N164,6)="tarief"),P164*FLOOR(R164,0.01),T164&gt;0,FLOOR(SUM(T164),0.01)),""),""),"")</f>
        <v/>
      </c>
      <c r="W164" s="317" t="str" cm="1">
        <f t="array" aca="1" ref="W164" ca="1">IFERROR(_xlfn.IFS(OR(F164="",LEFT(Methode_Keuze,4)="Geen",Methode_Keuze=""),"",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17" t="str" cm="1">
        <f t="array" aca="1" ref="X164" ca="1">IFERROR(_xlfn.IFS(OR(F164="",LEFT(Methode_Keuze,4)="Geen",Methode_Keuze=""),"",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26"/>
      <c r="Z164" s="319"/>
      <c r="AA164" s="32" t="str" cm="1">
        <f t="array" ref="AA164">IFERROR(IF(INDEX(SubsidieTabel!$AD$1:$AG$12,MATCH($F164,SubsidieTabel!$AD$1:$AD$12,0),IFERROR(MATCH(Methode_Keuze,SubsidieTabel!$AD$1:$AG$1,0),2))&lt;&gt;1=TRUE,"ja",""),"")</f>
        <v/>
      </c>
    </row>
    <row r="165" spans="1:27" x14ac:dyDescent="0.25">
      <c r="A165" s="320"/>
      <c r="B165" s="321" t="str">
        <f>IF(A165&lt;&gt;"",_xlfn.MAXIFS($B$1:B164,$A$1:A164,A165)+1,"")</f>
        <v/>
      </c>
      <c r="C165" s="299"/>
      <c r="D165" s="299"/>
      <c r="E165" s="299"/>
      <c r="F165" s="299"/>
      <c r="G165" s="330"/>
      <c r="H165" s="328"/>
      <c r="I165" s="329"/>
      <c r="J165" s="329"/>
      <c r="K165" s="322"/>
      <c r="L165" s="322"/>
      <c r="M165" s="323" t="str">
        <f>IFERROR(VLOOKUP(H165,Lijsten!$H$1:$I$100,2,0),"")</f>
        <v/>
      </c>
      <c r="N165" s="323" t="str">
        <f ca="1">IFERROR(IF(VLOOKUP(F165,Kostentypen!$A$3:$E$21,3,0)=0,"",IF(OR(F165="Arbeidskosten",F165="Vergoeding"),VLOOKUP(G165,Tb_KostenTypen[],2,0),VLOOKUP(F165,Kostentypen!$A$3:$E$20,3,0))),"")</f>
        <v/>
      </c>
      <c r="O165" s="324"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4"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3"/>
      <c r="R165" s="363"/>
      <c r="S165" s="325"/>
      <c r="T165" s="325"/>
      <c r="U165" s="317" t="str" cm="1">
        <f t="array" aca="1" ref="U165" ca="1">IFERROR(IF(AA165&lt;&gt;"ja",_xlfn.IFNA(_xlfn.IFS(AND(O165&lt;&gt;"",F165&lt;&gt;"",RIGHT($N165,6)="tarief",F165="Vergoeding"),SUM(O165)*FLOOR(SUM(Q165),0.0001),AND(O165&lt;&gt;"",F165&lt;&gt;"",RIGHT($N165,6)="tarief"),SUM(O165)*FLOOR(SUM(Q165),0.01),S165&gt;0,IF(F165&lt;&gt;"",FLOOR(SUM(S165),0.01),"")),""),""),"")</f>
        <v/>
      </c>
      <c r="V165" s="317" t="str" cm="1">
        <f t="array" aca="1" ref="V165" ca="1">IFERROR(IF(AA165&lt;&gt;"ja",_xlfn.IFNA(_xlfn.IFS(AND(P165&lt;&gt;"",R165&lt;&gt;"",RIGHT($N165,6)="tarief",F165="Vergoeding"),SUM(P165)*FLOOR(SUM(R165),0.0001),AND(P165&lt;&gt;"",R165&lt;&gt;"",RIGHT($N165,6)="tarief"),P165*FLOOR(R165,0.01),T165&gt;0,FLOOR(SUM(T165),0.01)),""),""),"")</f>
        <v/>
      </c>
      <c r="W165" s="317" t="str" cm="1">
        <f t="array" aca="1" ref="W165" ca="1">IFERROR(_xlfn.IFS(OR(F165="",LEFT(Methode_Keuze,4)="Geen",Methode_Keuze=""),"",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17" t="str" cm="1">
        <f t="array" aca="1" ref="X165" ca="1">IFERROR(_xlfn.IFS(OR(F165="",LEFT(Methode_Keuze,4)="Geen",Methode_Keuze=""),"",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26"/>
      <c r="Z165" s="319"/>
      <c r="AA165" s="32" t="str" cm="1">
        <f t="array" ref="AA165">IFERROR(IF(INDEX(SubsidieTabel!$AD$1:$AG$12,MATCH($F165,SubsidieTabel!$AD$1:$AD$12,0),IFERROR(MATCH(Methode_Keuze,SubsidieTabel!$AD$1:$AG$1,0),2))&lt;&gt;1=TRUE,"ja",""),"")</f>
        <v/>
      </c>
    </row>
    <row r="166" spans="1:27" x14ac:dyDescent="0.25">
      <c r="A166" s="320"/>
      <c r="B166" s="321" t="str">
        <f>IF(A166&lt;&gt;"",_xlfn.MAXIFS($B$1:B165,$A$1:A165,A166)+1,"")</f>
        <v/>
      </c>
      <c r="C166" s="299"/>
      <c r="D166" s="299"/>
      <c r="E166" s="299"/>
      <c r="F166" s="299"/>
      <c r="G166" s="330"/>
      <c r="H166" s="328"/>
      <c r="I166" s="329"/>
      <c r="J166" s="329"/>
      <c r="K166" s="322"/>
      <c r="L166" s="322"/>
      <c r="M166" s="323" t="str">
        <f>IFERROR(VLOOKUP(H166,Lijsten!$H$1:$I$100,2,0),"")</f>
        <v/>
      </c>
      <c r="N166" s="323" t="str">
        <f ca="1">IFERROR(IF(VLOOKUP(F166,Kostentypen!$A$3:$E$21,3,0)=0,"",IF(OR(F166="Arbeidskosten",F166="Vergoeding"),VLOOKUP(G166,Tb_KostenTypen[],2,0),VLOOKUP(F166,Kostentypen!$A$3:$E$20,3,0))),"")</f>
        <v/>
      </c>
      <c r="O166" s="324"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4"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3"/>
      <c r="R166" s="363"/>
      <c r="S166" s="325"/>
      <c r="T166" s="325"/>
      <c r="U166" s="317" t="str" cm="1">
        <f t="array" aca="1" ref="U166" ca="1">IFERROR(IF(AA166&lt;&gt;"ja",_xlfn.IFNA(_xlfn.IFS(AND(O166&lt;&gt;"",F166&lt;&gt;"",RIGHT($N166,6)="tarief",F166="Vergoeding"),SUM(O166)*FLOOR(SUM(Q166),0.0001),AND(O166&lt;&gt;"",F166&lt;&gt;"",RIGHT($N166,6)="tarief"),SUM(O166)*FLOOR(SUM(Q166),0.01),S166&gt;0,IF(F166&lt;&gt;"",FLOOR(SUM(S166),0.01),"")),""),""),"")</f>
        <v/>
      </c>
      <c r="V166" s="317" t="str" cm="1">
        <f t="array" aca="1" ref="V166" ca="1">IFERROR(IF(AA166&lt;&gt;"ja",_xlfn.IFNA(_xlfn.IFS(AND(P166&lt;&gt;"",R166&lt;&gt;"",RIGHT($N166,6)="tarief",F166="Vergoeding"),SUM(P166)*FLOOR(SUM(R166),0.0001),AND(P166&lt;&gt;"",R166&lt;&gt;"",RIGHT($N166,6)="tarief"),P166*FLOOR(R166,0.01),T166&gt;0,FLOOR(SUM(T166),0.01)),""),""),"")</f>
        <v/>
      </c>
      <c r="W166" s="317" t="str" cm="1">
        <f t="array" aca="1" ref="W166" ca="1">IFERROR(_xlfn.IFS(OR(F166="",LEFT(Methode_Keuze,4)="Geen",Methode_Keuze=""),"",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17" t="str" cm="1">
        <f t="array" aca="1" ref="X166" ca="1">IFERROR(_xlfn.IFS(OR(F166="",LEFT(Methode_Keuze,4)="Geen",Methode_Keuze=""),"",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26"/>
      <c r="Z166" s="319"/>
      <c r="AA166" s="32" t="str" cm="1">
        <f t="array" ref="AA166">IFERROR(IF(INDEX(SubsidieTabel!$AD$1:$AG$12,MATCH($F166,SubsidieTabel!$AD$1:$AD$12,0),IFERROR(MATCH(Methode_Keuze,SubsidieTabel!$AD$1:$AG$1,0),2))&lt;&gt;1=TRUE,"ja",""),"")</f>
        <v/>
      </c>
    </row>
    <row r="167" spans="1:27" x14ac:dyDescent="0.25">
      <c r="A167" s="320"/>
      <c r="B167" s="321" t="str">
        <f>IF(A167&lt;&gt;"",_xlfn.MAXIFS($B$1:B166,$A$1:A166,A167)+1,"")</f>
        <v/>
      </c>
      <c r="C167" s="299"/>
      <c r="D167" s="299"/>
      <c r="E167" s="299"/>
      <c r="F167" s="299"/>
      <c r="G167" s="330"/>
      <c r="H167" s="328"/>
      <c r="I167" s="329"/>
      <c r="J167" s="329"/>
      <c r="K167" s="322"/>
      <c r="L167" s="322"/>
      <c r="M167" s="323" t="str">
        <f>IFERROR(VLOOKUP(H167,Lijsten!$H$1:$I$100,2,0),"")</f>
        <v/>
      </c>
      <c r="N167" s="323" t="str">
        <f ca="1">IFERROR(IF(VLOOKUP(F167,Kostentypen!$A$3:$E$21,3,0)=0,"",IF(OR(F167="Arbeidskosten",F167="Vergoeding"),VLOOKUP(G167,Tb_KostenTypen[],2,0),VLOOKUP(F167,Kostentypen!$A$3:$E$20,3,0))),"")</f>
        <v/>
      </c>
      <c r="O167" s="324"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4"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3"/>
      <c r="R167" s="363"/>
      <c r="S167" s="325"/>
      <c r="T167" s="325"/>
      <c r="U167" s="317" t="str" cm="1">
        <f t="array" aca="1" ref="U167" ca="1">IFERROR(IF(AA167&lt;&gt;"ja",_xlfn.IFNA(_xlfn.IFS(AND(O167&lt;&gt;"",F167&lt;&gt;"",RIGHT($N167,6)="tarief",F167="Vergoeding"),SUM(O167)*FLOOR(SUM(Q167),0.0001),AND(O167&lt;&gt;"",F167&lt;&gt;"",RIGHT($N167,6)="tarief"),SUM(O167)*FLOOR(SUM(Q167),0.01),S167&gt;0,IF(F167&lt;&gt;"",FLOOR(SUM(S167),0.01),"")),""),""),"")</f>
        <v/>
      </c>
      <c r="V167" s="317" t="str" cm="1">
        <f t="array" aca="1" ref="V167" ca="1">IFERROR(IF(AA167&lt;&gt;"ja",_xlfn.IFNA(_xlfn.IFS(AND(P167&lt;&gt;"",R167&lt;&gt;"",RIGHT($N167,6)="tarief",F167="Vergoeding"),SUM(P167)*FLOOR(SUM(R167),0.0001),AND(P167&lt;&gt;"",R167&lt;&gt;"",RIGHT($N167,6)="tarief"),P167*FLOOR(R167,0.01),T167&gt;0,FLOOR(SUM(T167),0.01)),""),""),"")</f>
        <v/>
      </c>
      <c r="W167" s="317" t="str" cm="1">
        <f t="array" aca="1" ref="W167" ca="1">IFERROR(_xlfn.IFS(OR(F167="",LEFT(Methode_Keuze,4)="Geen",Methode_Keuze=""),"",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17" t="str" cm="1">
        <f t="array" aca="1" ref="X167" ca="1">IFERROR(_xlfn.IFS(OR(F167="",LEFT(Methode_Keuze,4)="Geen",Methode_Keuze=""),"",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26"/>
      <c r="Z167" s="319"/>
      <c r="AA167" s="32" t="str" cm="1">
        <f t="array" ref="AA167">IFERROR(IF(INDEX(SubsidieTabel!$AD$1:$AG$12,MATCH($F167,SubsidieTabel!$AD$1:$AD$12,0),IFERROR(MATCH(Methode_Keuze,SubsidieTabel!$AD$1:$AG$1,0),2))&lt;&gt;1=TRUE,"ja",""),"")</f>
        <v/>
      </c>
    </row>
    <row r="168" spans="1:27" x14ac:dyDescent="0.25">
      <c r="A168" s="320"/>
      <c r="B168" s="321" t="str">
        <f>IF(A168&lt;&gt;"",_xlfn.MAXIFS($B$1:B167,$A$1:A167,A168)+1,"")</f>
        <v/>
      </c>
      <c r="C168" s="299"/>
      <c r="D168" s="299"/>
      <c r="E168" s="299"/>
      <c r="F168" s="299"/>
      <c r="G168" s="330"/>
      <c r="H168" s="328"/>
      <c r="I168" s="329"/>
      <c r="J168" s="329"/>
      <c r="K168" s="322"/>
      <c r="L168" s="322"/>
      <c r="M168" s="323" t="str">
        <f>IFERROR(VLOOKUP(H168,Lijsten!$H$1:$I$100,2,0),"")</f>
        <v/>
      </c>
      <c r="N168" s="323" t="str">
        <f ca="1">IFERROR(IF(VLOOKUP(F168,Kostentypen!$A$3:$E$21,3,0)=0,"",IF(OR(F168="Arbeidskosten",F168="Vergoeding"),VLOOKUP(G168,Tb_KostenTypen[],2,0),VLOOKUP(F168,Kostentypen!$A$3:$E$20,3,0))),"")</f>
        <v/>
      </c>
      <c r="O168" s="324"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4"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3"/>
      <c r="R168" s="363"/>
      <c r="S168" s="325"/>
      <c r="T168" s="325"/>
      <c r="U168" s="317" t="str" cm="1">
        <f t="array" aca="1" ref="U168" ca="1">IFERROR(IF(AA168&lt;&gt;"ja",_xlfn.IFNA(_xlfn.IFS(AND(O168&lt;&gt;"",F168&lt;&gt;"",RIGHT($N168,6)="tarief",F168="Vergoeding"),SUM(O168)*FLOOR(SUM(Q168),0.0001),AND(O168&lt;&gt;"",F168&lt;&gt;"",RIGHT($N168,6)="tarief"),SUM(O168)*FLOOR(SUM(Q168),0.01),S168&gt;0,IF(F168&lt;&gt;"",FLOOR(SUM(S168),0.01),"")),""),""),"")</f>
        <v/>
      </c>
      <c r="V168" s="317" t="str" cm="1">
        <f t="array" aca="1" ref="V168" ca="1">IFERROR(IF(AA168&lt;&gt;"ja",_xlfn.IFNA(_xlfn.IFS(AND(P168&lt;&gt;"",R168&lt;&gt;"",RIGHT($N168,6)="tarief",F168="Vergoeding"),SUM(P168)*FLOOR(SUM(R168),0.0001),AND(P168&lt;&gt;"",R168&lt;&gt;"",RIGHT($N168,6)="tarief"),P168*FLOOR(R168,0.01),T168&gt;0,FLOOR(SUM(T168),0.01)),""),""),"")</f>
        <v/>
      </c>
      <c r="W168" s="317" t="str" cm="1">
        <f t="array" aca="1" ref="W168" ca="1">IFERROR(_xlfn.IFS(OR(F168="",LEFT(Methode_Keuze,4)="Geen",Methode_Keuze=""),"",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17" t="str" cm="1">
        <f t="array" aca="1" ref="X168" ca="1">IFERROR(_xlfn.IFS(OR(F168="",LEFT(Methode_Keuze,4)="Geen",Methode_Keuze=""),"",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26"/>
      <c r="Z168" s="319"/>
      <c r="AA168" s="32" t="str" cm="1">
        <f t="array" ref="AA168">IFERROR(IF(INDEX(SubsidieTabel!$AD$1:$AG$12,MATCH($F168,SubsidieTabel!$AD$1:$AD$12,0),IFERROR(MATCH(Methode_Keuze,SubsidieTabel!$AD$1:$AG$1,0),2))&lt;&gt;1=TRUE,"ja",""),"")</f>
        <v/>
      </c>
    </row>
    <row r="169" spans="1:27" x14ac:dyDescent="0.25">
      <c r="A169" s="320"/>
      <c r="B169" s="321" t="str">
        <f>IF(A169&lt;&gt;"",_xlfn.MAXIFS($B$1:B168,$A$1:A168,A169)+1,"")</f>
        <v/>
      </c>
      <c r="C169" s="299"/>
      <c r="D169" s="299"/>
      <c r="E169" s="299"/>
      <c r="F169" s="299"/>
      <c r="G169" s="330"/>
      <c r="H169" s="328"/>
      <c r="I169" s="329"/>
      <c r="J169" s="329"/>
      <c r="K169" s="322"/>
      <c r="L169" s="322"/>
      <c r="M169" s="323" t="str">
        <f>IFERROR(VLOOKUP(H169,Lijsten!$H$1:$I$100,2,0),"")</f>
        <v/>
      </c>
      <c r="N169" s="323" t="str">
        <f ca="1">IFERROR(IF(VLOOKUP(F169,Kostentypen!$A$3:$E$21,3,0)=0,"",IF(OR(F169="Arbeidskosten",F169="Vergoeding"),VLOOKUP(G169,Tb_KostenTypen[],2,0),VLOOKUP(F169,Kostentypen!$A$3:$E$20,3,0))),"")</f>
        <v/>
      </c>
      <c r="O169" s="324"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4"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3"/>
      <c r="R169" s="363"/>
      <c r="S169" s="325"/>
      <c r="T169" s="325"/>
      <c r="U169" s="317" t="str" cm="1">
        <f t="array" aca="1" ref="U169" ca="1">IFERROR(IF(AA169&lt;&gt;"ja",_xlfn.IFNA(_xlfn.IFS(AND(O169&lt;&gt;"",F169&lt;&gt;"",RIGHT($N169,6)="tarief",F169="Vergoeding"),SUM(O169)*FLOOR(SUM(Q169),0.0001),AND(O169&lt;&gt;"",F169&lt;&gt;"",RIGHT($N169,6)="tarief"),SUM(O169)*FLOOR(SUM(Q169),0.01),S169&gt;0,IF(F169&lt;&gt;"",FLOOR(SUM(S169),0.01),"")),""),""),"")</f>
        <v/>
      </c>
      <c r="V169" s="317" t="str" cm="1">
        <f t="array" aca="1" ref="V169" ca="1">IFERROR(IF(AA169&lt;&gt;"ja",_xlfn.IFNA(_xlfn.IFS(AND(P169&lt;&gt;"",R169&lt;&gt;"",RIGHT($N169,6)="tarief",F169="Vergoeding"),SUM(P169)*FLOOR(SUM(R169),0.0001),AND(P169&lt;&gt;"",R169&lt;&gt;"",RIGHT($N169,6)="tarief"),P169*FLOOR(R169,0.01),T169&gt;0,FLOOR(SUM(T169),0.01)),""),""),"")</f>
        <v/>
      </c>
      <c r="W169" s="317" t="str" cm="1">
        <f t="array" aca="1" ref="W169" ca="1">IFERROR(_xlfn.IFS(OR(F169="",LEFT(Methode_Keuze,4)="Geen",Methode_Keuze=""),"",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17" t="str" cm="1">
        <f t="array" aca="1" ref="X169" ca="1">IFERROR(_xlfn.IFS(OR(F169="",LEFT(Methode_Keuze,4)="Geen",Methode_Keuze=""),"",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26"/>
      <c r="Z169" s="319"/>
      <c r="AA169" s="32" t="str" cm="1">
        <f t="array" ref="AA169">IFERROR(IF(INDEX(SubsidieTabel!$AD$1:$AG$12,MATCH($F169,SubsidieTabel!$AD$1:$AD$12,0),IFERROR(MATCH(Methode_Keuze,SubsidieTabel!$AD$1:$AG$1,0),2))&lt;&gt;1=TRUE,"ja",""),"")</f>
        <v/>
      </c>
    </row>
    <row r="170" spans="1:27" x14ac:dyDescent="0.25">
      <c r="A170" s="320"/>
      <c r="B170" s="321" t="str">
        <f>IF(A170&lt;&gt;"",_xlfn.MAXIFS($B$1:B169,$A$1:A169,A170)+1,"")</f>
        <v/>
      </c>
      <c r="C170" s="299"/>
      <c r="D170" s="299"/>
      <c r="E170" s="299"/>
      <c r="F170" s="299"/>
      <c r="G170" s="330"/>
      <c r="H170" s="328"/>
      <c r="I170" s="329"/>
      <c r="J170" s="329"/>
      <c r="K170" s="322"/>
      <c r="L170" s="322"/>
      <c r="M170" s="323" t="str">
        <f>IFERROR(VLOOKUP(H170,Lijsten!$H$1:$I$100,2,0),"")</f>
        <v/>
      </c>
      <c r="N170" s="323" t="str">
        <f ca="1">IFERROR(IF(VLOOKUP(F170,Kostentypen!$A$3:$E$21,3,0)=0,"",IF(OR(F170="Arbeidskosten",F170="Vergoeding"),VLOOKUP(G170,Tb_KostenTypen[],2,0),VLOOKUP(F170,Kostentypen!$A$3:$E$20,3,0))),"")</f>
        <v/>
      </c>
      <c r="O170" s="324"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4"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3"/>
      <c r="R170" s="363"/>
      <c r="S170" s="325"/>
      <c r="T170" s="325"/>
      <c r="U170" s="317" t="str" cm="1">
        <f t="array" aca="1" ref="U170" ca="1">IFERROR(IF(AA170&lt;&gt;"ja",_xlfn.IFNA(_xlfn.IFS(AND(O170&lt;&gt;"",F170&lt;&gt;"",RIGHT($N170,6)="tarief",F170="Vergoeding"),SUM(O170)*FLOOR(SUM(Q170),0.0001),AND(O170&lt;&gt;"",F170&lt;&gt;"",RIGHT($N170,6)="tarief"),SUM(O170)*FLOOR(SUM(Q170),0.01),S170&gt;0,IF(F170&lt;&gt;"",FLOOR(SUM(S170),0.01),"")),""),""),"")</f>
        <v/>
      </c>
      <c r="V170" s="317" t="str" cm="1">
        <f t="array" aca="1" ref="V170" ca="1">IFERROR(IF(AA170&lt;&gt;"ja",_xlfn.IFNA(_xlfn.IFS(AND(P170&lt;&gt;"",R170&lt;&gt;"",RIGHT($N170,6)="tarief",F170="Vergoeding"),SUM(P170)*FLOOR(SUM(R170),0.0001),AND(P170&lt;&gt;"",R170&lt;&gt;"",RIGHT($N170,6)="tarief"),P170*FLOOR(R170,0.01),T170&gt;0,FLOOR(SUM(T170),0.01)),""),""),"")</f>
        <v/>
      </c>
      <c r="W170" s="317" t="str" cm="1">
        <f t="array" aca="1" ref="W170" ca="1">IFERROR(_xlfn.IFS(OR(F170="",LEFT(Methode_Keuze,4)="Geen",Methode_Keuze=""),"",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17" t="str" cm="1">
        <f t="array" aca="1" ref="X170" ca="1">IFERROR(_xlfn.IFS(OR(F170="",LEFT(Methode_Keuze,4)="Geen",Methode_Keuze=""),"",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26"/>
      <c r="Z170" s="319"/>
      <c r="AA170" s="32" t="str" cm="1">
        <f t="array" ref="AA170">IFERROR(IF(INDEX(SubsidieTabel!$AD$1:$AG$12,MATCH($F170,SubsidieTabel!$AD$1:$AD$12,0),IFERROR(MATCH(Methode_Keuze,SubsidieTabel!$AD$1:$AG$1,0),2))&lt;&gt;1=TRUE,"ja",""),"")</f>
        <v/>
      </c>
    </row>
    <row r="171" spans="1:27" x14ac:dyDescent="0.25">
      <c r="A171" s="320"/>
      <c r="B171" s="321" t="str">
        <f>IF(A171&lt;&gt;"",_xlfn.MAXIFS($B$1:B170,$A$1:A170,A171)+1,"")</f>
        <v/>
      </c>
      <c r="C171" s="299"/>
      <c r="D171" s="299"/>
      <c r="E171" s="299"/>
      <c r="F171" s="299"/>
      <c r="G171" s="330"/>
      <c r="H171" s="328"/>
      <c r="I171" s="329"/>
      <c r="J171" s="329"/>
      <c r="K171" s="322"/>
      <c r="L171" s="322"/>
      <c r="M171" s="323" t="str">
        <f>IFERROR(VLOOKUP(H171,Lijsten!$H$1:$I$100,2,0),"")</f>
        <v/>
      </c>
      <c r="N171" s="323" t="str">
        <f ca="1">IFERROR(IF(VLOOKUP(F171,Kostentypen!$A$3:$E$21,3,0)=0,"",IF(OR(F171="Arbeidskosten",F171="Vergoeding"),VLOOKUP(G171,Tb_KostenTypen[],2,0),VLOOKUP(F171,Kostentypen!$A$3:$E$20,3,0))),"")</f>
        <v/>
      </c>
      <c r="O171" s="324"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4"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3"/>
      <c r="R171" s="363"/>
      <c r="S171" s="325"/>
      <c r="T171" s="325"/>
      <c r="U171" s="317" t="str" cm="1">
        <f t="array" aca="1" ref="U171" ca="1">IFERROR(IF(AA171&lt;&gt;"ja",_xlfn.IFNA(_xlfn.IFS(AND(O171&lt;&gt;"",F171&lt;&gt;"",RIGHT($N171,6)="tarief",F171="Vergoeding"),SUM(O171)*FLOOR(SUM(Q171),0.0001),AND(O171&lt;&gt;"",F171&lt;&gt;"",RIGHT($N171,6)="tarief"),SUM(O171)*FLOOR(SUM(Q171),0.01),S171&gt;0,IF(F171&lt;&gt;"",FLOOR(SUM(S171),0.01),"")),""),""),"")</f>
        <v/>
      </c>
      <c r="V171" s="317" t="str" cm="1">
        <f t="array" aca="1" ref="V171" ca="1">IFERROR(IF(AA171&lt;&gt;"ja",_xlfn.IFNA(_xlfn.IFS(AND(P171&lt;&gt;"",R171&lt;&gt;"",RIGHT($N171,6)="tarief",F171="Vergoeding"),SUM(P171)*FLOOR(SUM(R171),0.0001),AND(P171&lt;&gt;"",R171&lt;&gt;"",RIGHT($N171,6)="tarief"),P171*FLOOR(R171,0.01),T171&gt;0,FLOOR(SUM(T171),0.01)),""),""),"")</f>
        <v/>
      </c>
      <c r="W171" s="317" t="str" cm="1">
        <f t="array" aca="1" ref="W171" ca="1">IFERROR(_xlfn.IFS(OR(F171="",LEFT(Methode_Keuze,4)="Geen",Methode_Keuze=""),"",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17" t="str" cm="1">
        <f t="array" aca="1" ref="X171" ca="1">IFERROR(_xlfn.IFS(OR(F171="",LEFT(Methode_Keuze,4)="Geen",Methode_Keuze=""),"",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26"/>
      <c r="Z171" s="319"/>
      <c r="AA171" s="32" t="str" cm="1">
        <f t="array" ref="AA171">IFERROR(IF(INDEX(SubsidieTabel!$AD$1:$AG$12,MATCH($F171,SubsidieTabel!$AD$1:$AD$12,0),IFERROR(MATCH(Methode_Keuze,SubsidieTabel!$AD$1:$AG$1,0),2))&lt;&gt;1=TRUE,"ja",""),"")</f>
        <v/>
      </c>
    </row>
    <row r="172" spans="1:27" x14ac:dyDescent="0.25">
      <c r="A172" s="320"/>
      <c r="B172" s="321" t="str">
        <f>IF(A172&lt;&gt;"",_xlfn.MAXIFS($B$1:B171,$A$1:A171,A172)+1,"")</f>
        <v/>
      </c>
      <c r="C172" s="299"/>
      <c r="D172" s="299"/>
      <c r="E172" s="299"/>
      <c r="F172" s="299"/>
      <c r="G172" s="330"/>
      <c r="H172" s="328"/>
      <c r="I172" s="329"/>
      <c r="J172" s="329"/>
      <c r="K172" s="322"/>
      <c r="L172" s="322"/>
      <c r="M172" s="323" t="str">
        <f>IFERROR(VLOOKUP(H172,Lijsten!$H$1:$I$100,2,0),"")</f>
        <v/>
      </c>
      <c r="N172" s="323" t="str">
        <f ca="1">IFERROR(IF(VLOOKUP(F172,Kostentypen!$A$3:$E$21,3,0)=0,"",IF(OR(F172="Arbeidskosten",F172="Vergoeding"),VLOOKUP(G172,Tb_KostenTypen[],2,0),VLOOKUP(F172,Kostentypen!$A$3:$E$20,3,0))),"")</f>
        <v/>
      </c>
      <c r="O172" s="324"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4"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3"/>
      <c r="R172" s="363"/>
      <c r="S172" s="325"/>
      <c r="T172" s="325"/>
      <c r="U172" s="317" t="str" cm="1">
        <f t="array" aca="1" ref="U172" ca="1">IFERROR(IF(AA172&lt;&gt;"ja",_xlfn.IFNA(_xlfn.IFS(AND(O172&lt;&gt;"",F172&lt;&gt;"",RIGHT($N172,6)="tarief",F172="Vergoeding"),SUM(O172)*FLOOR(SUM(Q172),0.0001),AND(O172&lt;&gt;"",F172&lt;&gt;"",RIGHT($N172,6)="tarief"),SUM(O172)*FLOOR(SUM(Q172),0.01),S172&gt;0,IF(F172&lt;&gt;"",FLOOR(SUM(S172),0.01),"")),""),""),"")</f>
        <v/>
      </c>
      <c r="V172" s="317" t="str" cm="1">
        <f t="array" aca="1" ref="V172" ca="1">IFERROR(IF(AA172&lt;&gt;"ja",_xlfn.IFNA(_xlfn.IFS(AND(P172&lt;&gt;"",R172&lt;&gt;"",RIGHT($N172,6)="tarief",F172="Vergoeding"),SUM(P172)*FLOOR(SUM(R172),0.0001),AND(P172&lt;&gt;"",R172&lt;&gt;"",RIGHT($N172,6)="tarief"),P172*FLOOR(R172,0.01),T172&gt;0,FLOOR(SUM(T172),0.01)),""),""),"")</f>
        <v/>
      </c>
      <c r="W172" s="317" t="str" cm="1">
        <f t="array" aca="1" ref="W172" ca="1">IFERROR(_xlfn.IFS(OR(F172="",LEFT(Methode_Keuze,4)="Geen",Methode_Keuze=""),"",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17" t="str" cm="1">
        <f t="array" aca="1" ref="X172" ca="1">IFERROR(_xlfn.IFS(OR(F172="",LEFT(Methode_Keuze,4)="Geen",Methode_Keuze=""),"",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26"/>
      <c r="Z172" s="319"/>
      <c r="AA172" s="32" t="str" cm="1">
        <f t="array" ref="AA172">IFERROR(IF(INDEX(SubsidieTabel!$AD$1:$AG$12,MATCH($F172,SubsidieTabel!$AD$1:$AD$12,0),IFERROR(MATCH(Methode_Keuze,SubsidieTabel!$AD$1:$AG$1,0),2))&lt;&gt;1=TRUE,"ja",""),"")</f>
        <v/>
      </c>
    </row>
    <row r="173" spans="1:27" x14ac:dyDescent="0.25">
      <c r="A173" s="320"/>
      <c r="B173" s="321" t="str">
        <f>IF(A173&lt;&gt;"",_xlfn.MAXIFS($B$1:B172,$A$1:A172,A173)+1,"")</f>
        <v/>
      </c>
      <c r="C173" s="299"/>
      <c r="D173" s="299"/>
      <c r="E173" s="299"/>
      <c r="F173" s="299"/>
      <c r="G173" s="330"/>
      <c r="H173" s="328"/>
      <c r="I173" s="329"/>
      <c r="J173" s="329"/>
      <c r="K173" s="322"/>
      <c r="L173" s="322"/>
      <c r="M173" s="323" t="str">
        <f>IFERROR(VLOOKUP(H173,Lijsten!$H$1:$I$100,2,0),"")</f>
        <v/>
      </c>
      <c r="N173" s="323" t="str">
        <f ca="1">IFERROR(IF(VLOOKUP(F173,Kostentypen!$A$3:$E$21,3,0)=0,"",IF(OR(F173="Arbeidskosten",F173="Vergoeding"),VLOOKUP(G173,Tb_KostenTypen[],2,0),VLOOKUP(F173,Kostentypen!$A$3:$E$20,3,0))),"")</f>
        <v/>
      </c>
      <c r="O173" s="324"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4"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3"/>
      <c r="R173" s="363"/>
      <c r="S173" s="325"/>
      <c r="T173" s="325"/>
      <c r="U173" s="317" t="str" cm="1">
        <f t="array" aca="1" ref="U173" ca="1">IFERROR(IF(AA173&lt;&gt;"ja",_xlfn.IFNA(_xlfn.IFS(AND(O173&lt;&gt;"",F173&lt;&gt;"",RIGHT($N173,6)="tarief",F173="Vergoeding"),SUM(O173)*FLOOR(SUM(Q173),0.0001),AND(O173&lt;&gt;"",F173&lt;&gt;"",RIGHT($N173,6)="tarief"),SUM(O173)*FLOOR(SUM(Q173),0.01),S173&gt;0,IF(F173&lt;&gt;"",FLOOR(SUM(S173),0.01),"")),""),""),"")</f>
        <v/>
      </c>
      <c r="V173" s="317" t="str" cm="1">
        <f t="array" aca="1" ref="V173" ca="1">IFERROR(IF(AA173&lt;&gt;"ja",_xlfn.IFNA(_xlfn.IFS(AND(P173&lt;&gt;"",R173&lt;&gt;"",RIGHT($N173,6)="tarief",F173="Vergoeding"),SUM(P173)*FLOOR(SUM(R173),0.0001),AND(P173&lt;&gt;"",R173&lt;&gt;"",RIGHT($N173,6)="tarief"),P173*FLOOR(R173,0.01),T173&gt;0,FLOOR(SUM(T173),0.01)),""),""),"")</f>
        <v/>
      </c>
      <c r="W173" s="317" t="str" cm="1">
        <f t="array" aca="1" ref="W173" ca="1">IFERROR(_xlfn.IFS(OR(F173="",LEFT(Methode_Keuze,4)="Geen",Methode_Keuze=""),"",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17" t="str" cm="1">
        <f t="array" aca="1" ref="X173" ca="1">IFERROR(_xlfn.IFS(OR(F173="",LEFT(Methode_Keuze,4)="Geen",Methode_Keuze=""),"",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26"/>
      <c r="Z173" s="319"/>
      <c r="AA173" s="32" t="str" cm="1">
        <f t="array" ref="AA173">IFERROR(IF(INDEX(SubsidieTabel!$AD$1:$AG$12,MATCH($F173,SubsidieTabel!$AD$1:$AD$12,0),IFERROR(MATCH(Methode_Keuze,SubsidieTabel!$AD$1:$AG$1,0),2))&lt;&gt;1=TRUE,"ja",""),"")</f>
        <v/>
      </c>
    </row>
    <row r="174" spans="1:27" x14ac:dyDescent="0.25">
      <c r="A174" s="320"/>
      <c r="B174" s="321" t="str">
        <f>IF(A174&lt;&gt;"",_xlfn.MAXIFS($B$1:B173,$A$1:A173,A174)+1,"")</f>
        <v/>
      </c>
      <c r="C174" s="299"/>
      <c r="D174" s="299"/>
      <c r="E174" s="299"/>
      <c r="F174" s="299"/>
      <c r="G174" s="330"/>
      <c r="H174" s="328"/>
      <c r="I174" s="329"/>
      <c r="J174" s="329"/>
      <c r="K174" s="322"/>
      <c r="L174" s="322"/>
      <c r="M174" s="323" t="str">
        <f>IFERROR(VLOOKUP(H174,Lijsten!$H$1:$I$100,2,0),"")</f>
        <v/>
      </c>
      <c r="N174" s="323" t="str">
        <f ca="1">IFERROR(IF(VLOOKUP(F174,Kostentypen!$A$3:$E$21,3,0)=0,"",IF(OR(F174="Arbeidskosten",F174="Vergoeding"),VLOOKUP(G174,Tb_KostenTypen[],2,0),VLOOKUP(F174,Kostentypen!$A$3:$E$20,3,0))),"")</f>
        <v/>
      </c>
      <c r="O174" s="324"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4"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3"/>
      <c r="R174" s="363"/>
      <c r="S174" s="325"/>
      <c r="T174" s="325"/>
      <c r="U174" s="317" t="str" cm="1">
        <f t="array" aca="1" ref="U174" ca="1">IFERROR(IF(AA174&lt;&gt;"ja",_xlfn.IFNA(_xlfn.IFS(AND(O174&lt;&gt;"",F174&lt;&gt;"",RIGHT($N174,6)="tarief",F174="Vergoeding"),SUM(O174)*FLOOR(SUM(Q174),0.0001),AND(O174&lt;&gt;"",F174&lt;&gt;"",RIGHT($N174,6)="tarief"),SUM(O174)*FLOOR(SUM(Q174),0.01),S174&gt;0,IF(F174&lt;&gt;"",FLOOR(SUM(S174),0.01),"")),""),""),"")</f>
        <v/>
      </c>
      <c r="V174" s="317" t="str" cm="1">
        <f t="array" aca="1" ref="V174" ca="1">IFERROR(IF(AA174&lt;&gt;"ja",_xlfn.IFNA(_xlfn.IFS(AND(P174&lt;&gt;"",R174&lt;&gt;"",RIGHT($N174,6)="tarief",F174="Vergoeding"),SUM(P174)*FLOOR(SUM(R174),0.0001),AND(P174&lt;&gt;"",R174&lt;&gt;"",RIGHT($N174,6)="tarief"),P174*FLOOR(R174,0.01),T174&gt;0,FLOOR(SUM(T174),0.01)),""),""),"")</f>
        <v/>
      </c>
      <c r="W174" s="317" t="str" cm="1">
        <f t="array" aca="1" ref="W174" ca="1">IFERROR(_xlfn.IFS(OR(F174="",LEFT(Methode_Keuze,4)="Geen",Methode_Keuze=""),"",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17" t="str" cm="1">
        <f t="array" aca="1" ref="X174" ca="1">IFERROR(_xlfn.IFS(OR(F174="",LEFT(Methode_Keuze,4)="Geen",Methode_Keuze=""),"",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26"/>
      <c r="Z174" s="319"/>
      <c r="AA174" s="32" t="str" cm="1">
        <f t="array" ref="AA174">IFERROR(IF(INDEX(SubsidieTabel!$AD$1:$AG$12,MATCH($F174,SubsidieTabel!$AD$1:$AD$12,0),IFERROR(MATCH(Methode_Keuze,SubsidieTabel!$AD$1:$AG$1,0),2))&lt;&gt;1=TRUE,"ja",""),"")</f>
        <v/>
      </c>
    </row>
    <row r="175" spans="1:27" x14ac:dyDescent="0.25">
      <c r="A175" s="320"/>
      <c r="B175" s="321" t="str">
        <f>IF(A175&lt;&gt;"",_xlfn.MAXIFS($B$1:B174,$A$1:A174,A175)+1,"")</f>
        <v/>
      </c>
      <c r="C175" s="299"/>
      <c r="D175" s="299"/>
      <c r="E175" s="299"/>
      <c r="F175" s="299"/>
      <c r="G175" s="330"/>
      <c r="H175" s="328"/>
      <c r="I175" s="329"/>
      <c r="J175" s="329"/>
      <c r="K175" s="322"/>
      <c r="L175" s="322"/>
      <c r="M175" s="323" t="str">
        <f>IFERROR(VLOOKUP(H175,Lijsten!$H$1:$I$100,2,0),"")</f>
        <v/>
      </c>
      <c r="N175" s="323" t="str">
        <f ca="1">IFERROR(IF(VLOOKUP(F175,Kostentypen!$A$3:$E$21,3,0)=0,"",IF(OR(F175="Arbeidskosten",F175="Vergoeding"),VLOOKUP(G175,Tb_KostenTypen[],2,0),VLOOKUP(F175,Kostentypen!$A$3:$E$20,3,0))),"")</f>
        <v/>
      </c>
      <c r="O175" s="324"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4"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3"/>
      <c r="R175" s="363"/>
      <c r="S175" s="325"/>
      <c r="T175" s="325"/>
      <c r="U175" s="317" t="str" cm="1">
        <f t="array" aca="1" ref="U175" ca="1">IFERROR(IF(AA175&lt;&gt;"ja",_xlfn.IFNA(_xlfn.IFS(AND(O175&lt;&gt;"",F175&lt;&gt;"",RIGHT($N175,6)="tarief",F175="Vergoeding"),SUM(O175)*FLOOR(SUM(Q175),0.0001),AND(O175&lt;&gt;"",F175&lt;&gt;"",RIGHT($N175,6)="tarief"),SUM(O175)*FLOOR(SUM(Q175),0.01),S175&gt;0,IF(F175&lt;&gt;"",FLOOR(SUM(S175),0.01),"")),""),""),"")</f>
        <v/>
      </c>
      <c r="V175" s="317" t="str" cm="1">
        <f t="array" aca="1" ref="V175" ca="1">IFERROR(IF(AA175&lt;&gt;"ja",_xlfn.IFNA(_xlfn.IFS(AND(P175&lt;&gt;"",R175&lt;&gt;"",RIGHT($N175,6)="tarief",F175="Vergoeding"),SUM(P175)*FLOOR(SUM(R175),0.0001),AND(P175&lt;&gt;"",R175&lt;&gt;"",RIGHT($N175,6)="tarief"),P175*FLOOR(R175,0.01),T175&gt;0,FLOOR(SUM(T175),0.01)),""),""),"")</f>
        <v/>
      </c>
      <c r="W175" s="317" t="str" cm="1">
        <f t="array" aca="1" ref="W175" ca="1">IFERROR(_xlfn.IFS(OR(F175="",LEFT(Methode_Keuze,4)="Geen",Methode_Keuze=""),"",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17" t="str" cm="1">
        <f t="array" aca="1" ref="X175" ca="1">IFERROR(_xlfn.IFS(OR(F175="",LEFT(Methode_Keuze,4)="Geen",Methode_Keuze=""),"",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26"/>
      <c r="Z175" s="319"/>
      <c r="AA175" s="32" t="str" cm="1">
        <f t="array" ref="AA175">IFERROR(IF(INDEX(SubsidieTabel!$AD$1:$AG$12,MATCH($F175,SubsidieTabel!$AD$1:$AD$12,0),IFERROR(MATCH(Methode_Keuze,SubsidieTabel!$AD$1:$AG$1,0),2))&lt;&gt;1=TRUE,"ja",""),"")</f>
        <v/>
      </c>
    </row>
    <row r="176" spans="1:27" x14ac:dyDescent="0.25">
      <c r="A176" s="320"/>
      <c r="B176" s="321" t="str">
        <f>IF(A176&lt;&gt;"",_xlfn.MAXIFS($B$1:B175,$A$1:A175,A176)+1,"")</f>
        <v/>
      </c>
      <c r="C176" s="299"/>
      <c r="D176" s="299"/>
      <c r="E176" s="299"/>
      <c r="F176" s="299"/>
      <c r="G176" s="330"/>
      <c r="H176" s="328"/>
      <c r="I176" s="329"/>
      <c r="J176" s="329"/>
      <c r="K176" s="322"/>
      <c r="L176" s="322"/>
      <c r="M176" s="323" t="str">
        <f>IFERROR(VLOOKUP(H176,Lijsten!$H$1:$I$100,2,0),"")</f>
        <v/>
      </c>
      <c r="N176" s="323" t="str">
        <f ca="1">IFERROR(IF(VLOOKUP(F176,Kostentypen!$A$3:$E$21,3,0)=0,"",IF(OR(F176="Arbeidskosten",F176="Vergoeding"),VLOOKUP(G176,Tb_KostenTypen[],2,0),VLOOKUP(F176,Kostentypen!$A$3:$E$20,3,0))),"")</f>
        <v/>
      </c>
      <c r="O176" s="324"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4"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3"/>
      <c r="R176" s="363"/>
      <c r="S176" s="325"/>
      <c r="T176" s="325"/>
      <c r="U176" s="317" t="str" cm="1">
        <f t="array" aca="1" ref="U176" ca="1">IFERROR(IF(AA176&lt;&gt;"ja",_xlfn.IFNA(_xlfn.IFS(AND(O176&lt;&gt;"",F176&lt;&gt;"",RIGHT($N176,6)="tarief",F176="Vergoeding"),SUM(O176)*FLOOR(SUM(Q176),0.0001),AND(O176&lt;&gt;"",F176&lt;&gt;"",RIGHT($N176,6)="tarief"),SUM(O176)*FLOOR(SUM(Q176),0.01),S176&gt;0,IF(F176&lt;&gt;"",FLOOR(SUM(S176),0.01),"")),""),""),"")</f>
        <v/>
      </c>
      <c r="V176" s="317" t="str" cm="1">
        <f t="array" aca="1" ref="V176" ca="1">IFERROR(IF(AA176&lt;&gt;"ja",_xlfn.IFNA(_xlfn.IFS(AND(P176&lt;&gt;"",R176&lt;&gt;"",RIGHT($N176,6)="tarief",F176="Vergoeding"),SUM(P176)*FLOOR(SUM(R176),0.0001),AND(P176&lt;&gt;"",R176&lt;&gt;"",RIGHT($N176,6)="tarief"),P176*FLOOR(R176,0.01),T176&gt;0,FLOOR(SUM(T176),0.01)),""),""),"")</f>
        <v/>
      </c>
      <c r="W176" s="317" t="str" cm="1">
        <f t="array" aca="1" ref="W176" ca="1">IFERROR(_xlfn.IFS(OR(F176="",LEFT(Methode_Keuze,4)="Geen",Methode_Keuze=""),"",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17" t="str" cm="1">
        <f t="array" aca="1" ref="X176" ca="1">IFERROR(_xlfn.IFS(OR(F176="",LEFT(Methode_Keuze,4)="Geen",Methode_Keuze=""),"",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26"/>
      <c r="Z176" s="319"/>
      <c r="AA176" s="32" t="str" cm="1">
        <f t="array" ref="AA176">IFERROR(IF(INDEX(SubsidieTabel!$AD$1:$AG$12,MATCH($F176,SubsidieTabel!$AD$1:$AD$12,0),IFERROR(MATCH(Methode_Keuze,SubsidieTabel!$AD$1:$AG$1,0),2))&lt;&gt;1=TRUE,"ja",""),"")</f>
        <v/>
      </c>
    </row>
    <row r="177" spans="1:27" x14ac:dyDescent="0.25">
      <c r="A177" s="320"/>
      <c r="B177" s="321" t="str">
        <f>IF(A177&lt;&gt;"",_xlfn.MAXIFS($B$1:B176,$A$1:A176,A177)+1,"")</f>
        <v/>
      </c>
      <c r="C177" s="299"/>
      <c r="D177" s="299"/>
      <c r="E177" s="299"/>
      <c r="F177" s="299"/>
      <c r="G177" s="330"/>
      <c r="H177" s="328"/>
      <c r="I177" s="329"/>
      <c r="J177" s="329"/>
      <c r="K177" s="322"/>
      <c r="L177" s="322"/>
      <c r="M177" s="323" t="str">
        <f>IFERROR(VLOOKUP(H177,Lijsten!$H$1:$I$100,2,0),"")</f>
        <v/>
      </c>
      <c r="N177" s="323" t="str">
        <f ca="1">IFERROR(IF(VLOOKUP(F177,Kostentypen!$A$3:$E$21,3,0)=0,"",IF(OR(F177="Arbeidskosten",F177="Vergoeding"),VLOOKUP(G177,Tb_KostenTypen[],2,0),VLOOKUP(F177,Kostentypen!$A$3:$E$20,3,0))),"")</f>
        <v/>
      </c>
      <c r="O177" s="324"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4"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3"/>
      <c r="R177" s="363"/>
      <c r="S177" s="325"/>
      <c r="T177" s="325"/>
      <c r="U177" s="317" t="str" cm="1">
        <f t="array" aca="1" ref="U177" ca="1">IFERROR(IF(AA177&lt;&gt;"ja",_xlfn.IFNA(_xlfn.IFS(AND(O177&lt;&gt;"",F177&lt;&gt;"",RIGHT($N177,6)="tarief",F177="Vergoeding"),SUM(O177)*FLOOR(SUM(Q177),0.0001),AND(O177&lt;&gt;"",F177&lt;&gt;"",RIGHT($N177,6)="tarief"),SUM(O177)*FLOOR(SUM(Q177),0.01),S177&gt;0,IF(F177&lt;&gt;"",FLOOR(SUM(S177),0.01),"")),""),""),"")</f>
        <v/>
      </c>
      <c r="V177" s="317" t="str" cm="1">
        <f t="array" aca="1" ref="V177" ca="1">IFERROR(IF(AA177&lt;&gt;"ja",_xlfn.IFNA(_xlfn.IFS(AND(P177&lt;&gt;"",R177&lt;&gt;"",RIGHT($N177,6)="tarief",F177="Vergoeding"),SUM(P177)*FLOOR(SUM(R177),0.0001),AND(P177&lt;&gt;"",R177&lt;&gt;"",RIGHT($N177,6)="tarief"),P177*FLOOR(R177,0.01),T177&gt;0,FLOOR(SUM(T177),0.01)),""),""),"")</f>
        <v/>
      </c>
      <c r="W177" s="317" t="str" cm="1">
        <f t="array" aca="1" ref="W177" ca="1">IFERROR(_xlfn.IFS(OR(F177="",LEFT(Methode_Keuze,4)="Geen",Methode_Keuze=""),"",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17" t="str" cm="1">
        <f t="array" aca="1" ref="X177" ca="1">IFERROR(_xlfn.IFS(OR(F177="",LEFT(Methode_Keuze,4)="Geen",Methode_Keuze=""),"",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26"/>
      <c r="Z177" s="319"/>
      <c r="AA177" s="32" t="str" cm="1">
        <f t="array" ref="AA177">IFERROR(IF(INDEX(SubsidieTabel!$AD$1:$AG$12,MATCH($F177,SubsidieTabel!$AD$1:$AD$12,0),IFERROR(MATCH(Methode_Keuze,SubsidieTabel!$AD$1:$AG$1,0),2))&lt;&gt;1=TRUE,"ja",""),"")</f>
        <v/>
      </c>
    </row>
    <row r="178" spans="1:27" x14ac:dyDescent="0.25">
      <c r="A178" s="320"/>
      <c r="B178" s="321" t="str">
        <f>IF(A178&lt;&gt;"",_xlfn.MAXIFS($B$1:B177,$A$1:A177,A178)+1,"")</f>
        <v/>
      </c>
      <c r="C178" s="299"/>
      <c r="D178" s="299"/>
      <c r="E178" s="299"/>
      <c r="F178" s="299"/>
      <c r="G178" s="330"/>
      <c r="H178" s="328"/>
      <c r="I178" s="329"/>
      <c r="J178" s="329"/>
      <c r="K178" s="322"/>
      <c r="L178" s="322"/>
      <c r="M178" s="323" t="str">
        <f>IFERROR(VLOOKUP(H178,Lijsten!$H$1:$I$100,2,0),"")</f>
        <v/>
      </c>
      <c r="N178" s="323" t="str">
        <f ca="1">IFERROR(IF(VLOOKUP(F178,Kostentypen!$A$3:$E$21,3,0)=0,"",IF(OR(F178="Arbeidskosten",F178="Vergoeding"),VLOOKUP(G178,Tb_KostenTypen[],2,0),VLOOKUP(F178,Kostentypen!$A$3:$E$20,3,0))),"")</f>
        <v/>
      </c>
      <c r="O178" s="324"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4"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3"/>
      <c r="R178" s="363"/>
      <c r="S178" s="325"/>
      <c r="T178" s="325"/>
      <c r="U178" s="317" t="str" cm="1">
        <f t="array" aca="1" ref="U178" ca="1">IFERROR(IF(AA178&lt;&gt;"ja",_xlfn.IFNA(_xlfn.IFS(AND(O178&lt;&gt;"",F178&lt;&gt;"",RIGHT($N178,6)="tarief",F178="Vergoeding"),SUM(O178)*FLOOR(SUM(Q178),0.0001),AND(O178&lt;&gt;"",F178&lt;&gt;"",RIGHT($N178,6)="tarief"),SUM(O178)*FLOOR(SUM(Q178),0.01),S178&gt;0,IF(F178&lt;&gt;"",FLOOR(SUM(S178),0.01),"")),""),""),"")</f>
        <v/>
      </c>
      <c r="V178" s="317" t="str" cm="1">
        <f t="array" aca="1" ref="V178" ca="1">IFERROR(IF(AA178&lt;&gt;"ja",_xlfn.IFNA(_xlfn.IFS(AND(P178&lt;&gt;"",R178&lt;&gt;"",RIGHT($N178,6)="tarief",F178="Vergoeding"),SUM(P178)*FLOOR(SUM(R178),0.0001),AND(P178&lt;&gt;"",R178&lt;&gt;"",RIGHT($N178,6)="tarief"),P178*FLOOR(R178,0.01),T178&gt;0,FLOOR(SUM(T178),0.01)),""),""),"")</f>
        <v/>
      </c>
      <c r="W178" s="317" t="str" cm="1">
        <f t="array" aca="1" ref="W178" ca="1">IFERROR(_xlfn.IFS(OR(F178="",LEFT(Methode_Keuze,4)="Geen",Methode_Keuze=""),"",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17" t="str" cm="1">
        <f t="array" aca="1" ref="X178" ca="1">IFERROR(_xlfn.IFS(OR(F178="",LEFT(Methode_Keuze,4)="Geen",Methode_Keuze=""),"",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26"/>
      <c r="Z178" s="319"/>
      <c r="AA178" s="32" t="str" cm="1">
        <f t="array" ref="AA178">IFERROR(IF(INDEX(SubsidieTabel!$AD$1:$AG$12,MATCH($F178,SubsidieTabel!$AD$1:$AD$12,0),IFERROR(MATCH(Methode_Keuze,SubsidieTabel!$AD$1:$AG$1,0),2))&lt;&gt;1=TRUE,"ja",""),"")</f>
        <v/>
      </c>
    </row>
    <row r="179" spans="1:27" x14ac:dyDescent="0.25">
      <c r="A179" s="320"/>
      <c r="B179" s="321" t="str">
        <f>IF(A179&lt;&gt;"",_xlfn.MAXIFS($B$1:B178,$A$1:A178,A179)+1,"")</f>
        <v/>
      </c>
      <c r="C179" s="299"/>
      <c r="D179" s="299"/>
      <c r="E179" s="299"/>
      <c r="F179" s="299"/>
      <c r="G179" s="330"/>
      <c r="H179" s="328"/>
      <c r="I179" s="329"/>
      <c r="J179" s="329"/>
      <c r="K179" s="322"/>
      <c r="L179" s="322"/>
      <c r="M179" s="323" t="str">
        <f>IFERROR(VLOOKUP(H179,Lijsten!$H$1:$I$100,2,0),"")</f>
        <v/>
      </c>
      <c r="N179" s="323" t="str">
        <f ca="1">IFERROR(IF(VLOOKUP(F179,Kostentypen!$A$3:$E$21,3,0)=0,"",IF(OR(F179="Arbeidskosten",F179="Vergoeding"),VLOOKUP(G179,Tb_KostenTypen[],2,0),VLOOKUP(F179,Kostentypen!$A$3:$E$20,3,0))),"")</f>
        <v/>
      </c>
      <c r="O179" s="324"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4"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3"/>
      <c r="R179" s="363"/>
      <c r="S179" s="325"/>
      <c r="T179" s="325"/>
      <c r="U179" s="317" t="str" cm="1">
        <f t="array" aca="1" ref="U179" ca="1">IFERROR(IF(AA179&lt;&gt;"ja",_xlfn.IFNA(_xlfn.IFS(AND(O179&lt;&gt;"",F179&lt;&gt;"",RIGHT($N179,6)="tarief",F179="Vergoeding"),SUM(O179)*FLOOR(SUM(Q179),0.0001),AND(O179&lt;&gt;"",F179&lt;&gt;"",RIGHT($N179,6)="tarief"),SUM(O179)*FLOOR(SUM(Q179),0.01),S179&gt;0,IF(F179&lt;&gt;"",FLOOR(SUM(S179),0.01),"")),""),""),"")</f>
        <v/>
      </c>
      <c r="V179" s="317" t="str" cm="1">
        <f t="array" aca="1" ref="V179" ca="1">IFERROR(IF(AA179&lt;&gt;"ja",_xlfn.IFNA(_xlfn.IFS(AND(P179&lt;&gt;"",R179&lt;&gt;"",RIGHT($N179,6)="tarief",F179="Vergoeding"),SUM(P179)*FLOOR(SUM(R179),0.0001),AND(P179&lt;&gt;"",R179&lt;&gt;"",RIGHT($N179,6)="tarief"),P179*FLOOR(R179,0.01),T179&gt;0,FLOOR(SUM(T179),0.01)),""),""),"")</f>
        <v/>
      </c>
      <c r="W179" s="317" t="str" cm="1">
        <f t="array" aca="1" ref="W179" ca="1">IFERROR(_xlfn.IFS(OR(F179="",LEFT(Methode_Keuze,4)="Geen",Methode_Keuze=""),"",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17" t="str" cm="1">
        <f t="array" aca="1" ref="X179" ca="1">IFERROR(_xlfn.IFS(OR(F179="",LEFT(Methode_Keuze,4)="Geen",Methode_Keuze=""),"",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26"/>
      <c r="Z179" s="319"/>
      <c r="AA179" s="32" t="str" cm="1">
        <f t="array" ref="AA179">IFERROR(IF(INDEX(SubsidieTabel!$AD$1:$AG$12,MATCH($F179,SubsidieTabel!$AD$1:$AD$12,0),IFERROR(MATCH(Methode_Keuze,SubsidieTabel!$AD$1:$AG$1,0),2))&lt;&gt;1=TRUE,"ja",""),"")</f>
        <v/>
      </c>
    </row>
    <row r="180" spans="1:27" x14ac:dyDescent="0.25">
      <c r="A180" s="320"/>
      <c r="B180" s="321" t="str">
        <f>IF(A180&lt;&gt;"",_xlfn.MAXIFS($B$1:B179,$A$1:A179,A180)+1,"")</f>
        <v/>
      </c>
      <c r="C180" s="299"/>
      <c r="D180" s="299"/>
      <c r="E180" s="299"/>
      <c r="F180" s="299"/>
      <c r="G180" s="330"/>
      <c r="H180" s="328"/>
      <c r="I180" s="329"/>
      <c r="J180" s="329"/>
      <c r="K180" s="322"/>
      <c r="L180" s="322"/>
      <c r="M180" s="323" t="str">
        <f>IFERROR(VLOOKUP(H180,Lijsten!$H$1:$I$100,2,0),"")</f>
        <v/>
      </c>
      <c r="N180" s="323" t="str">
        <f ca="1">IFERROR(IF(VLOOKUP(F180,Kostentypen!$A$3:$E$21,3,0)=0,"",IF(OR(F180="Arbeidskosten",F180="Vergoeding"),VLOOKUP(G180,Tb_KostenTypen[],2,0),VLOOKUP(F180,Kostentypen!$A$3:$E$20,3,0))),"")</f>
        <v/>
      </c>
      <c r="O180" s="324"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4"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3"/>
      <c r="R180" s="363"/>
      <c r="S180" s="325"/>
      <c r="T180" s="325"/>
      <c r="U180" s="317" t="str" cm="1">
        <f t="array" aca="1" ref="U180" ca="1">IFERROR(IF(AA180&lt;&gt;"ja",_xlfn.IFNA(_xlfn.IFS(AND(O180&lt;&gt;"",F180&lt;&gt;"",RIGHT($N180,6)="tarief",F180="Vergoeding"),SUM(O180)*FLOOR(SUM(Q180),0.0001),AND(O180&lt;&gt;"",F180&lt;&gt;"",RIGHT($N180,6)="tarief"),SUM(O180)*FLOOR(SUM(Q180),0.01),S180&gt;0,IF(F180&lt;&gt;"",FLOOR(SUM(S180),0.01),"")),""),""),"")</f>
        <v/>
      </c>
      <c r="V180" s="317" t="str" cm="1">
        <f t="array" aca="1" ref="V180" ca="1">IFERROR(IF(AA180&lt;&gt;"ja",_xlfn.IFNA(_xlfn.IFS(AND(P180&lt;&gt;"",R180&lt;&gt;"",RIGHT($N180,6)="tarief",F180="Vergoeding"),SUM(P180)*FLOOR(SUM(R180),0.0001),AND(P180&lt;&gt;"",R180&lt;&gt;"",RIGHT($N180,6)="tarief"),P180*FLOOR(R180,0.01),T180&gt;0,FLOOR(SUM(T180),0.01)),""),""),"")</f>
        <v/>
      </c>
      <c r="W180" s="317" t="str" cm="1">
        <f t="array" aca="1" ref="W180" ca="1">IFERROR(_xlfn.IFS(OR(F180="",LEFT(Methode_Keuze,4)="Geen",Methode_Keuze=""),"",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17" t="str" cm="1">
        <f t="array" aca="1" ref="X180" ca="1">IFERROR(_xlfn.IFS(OR(F180="",LEFT(Methode_Keuze,4)="Geen",Methode_Keuze=""),"",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26"/>
      <c r="Z180" s="319"/>
      <c r="AA180" s="32" t="str" cm="1">
        <f t="array" ref="AA180">IFERROR(IF(INDEX(SubsidieTabel!$AD$1:$AG$12,MATCH($F180,SubsidieTabel!$AD$1:$AD$12,0),IFERROR(MATCH(Methode_Keuze,SubsidieTabel!$AD$1:$AG$1,0),2))&lt;&gt;1=TRUE,"ja",""),"")</f>
        <v/>
      </c>
    </row>
    <row r="181" spans="1:27" x14ac:dyDescent="0.25">
      <c r="A181" s="320"/>
      <c r="B181" s="321" t="str">
        <f>IF(A181&lt;&gt;"",_xlfn.MAXIFS($B$1:B180,$A$1:A180,A181)+1,"")</f>
        <v/>
      </c>
      <c r="C181" s="299"/>
      <c r="D181" s="299"/>
      <c r="E181" s="299"/>
      <c r="F181" s="299"/>
      <c r="G181" s="330"/>
      <c r="H181" s="328"/>
      <c r="I181" s="329"/>
      <c r="J181" s="329"/>
      <c r="K181" s="322"/>
      <c r="L181" s="322"/>
      <c r="M181" s="323" t="str">
        <f>IFERROR(VLOOKUP(H181,Lijsten!$H$1:$I$100,2,0),"")</f>
        <v/>
      </c>
      <c r="N181" s="323" t="str">
        <f ca="1">IFERROR(IF(VLOOKUP(F181,Kostentypen!$A$3:$E$21,3,0)=0,"",IF(OR(F181="Arbeidskosten",F181="Vergoeding"),VLOOKUP(G181,Tb_KostenTypen[],2,0),VLOOKUP(F181,Kostentypen!$A$3:$E$20,3,0))),"")</f>
        <v/>
      </c>
      <c r="O181" s="324"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4"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3"/>
      <c r="R181" s="363"/>
      <c r="S181" s="325"/>
      <c r="T181" s="325"/>
      <c r="U181" s="317" t="str" cm="1">
        <f t="array" aca="1" ref="U181" ca="1">IFERROR(IF(AA181&lt;&gt;"ja",_xlfn.IFNA(_xlfn.IFS(AND(O181&lt;&gt;"",F181&lt;&gt;"",RIGHT($N181,6)="tarief",F181="Vergoeding"),SUM(O181)*FLOOR(SUM(Q181),0.0001),AND(O181&lt;&gt;"",F181&lt;&gt;"",RIGHT($N181,6)="tarief"),SUM(O181)*FLOOR(SUM(Q181),0.01),S181&gt;0,IF(F181&lt;&gt;"",FLOOR(SUM(S181),0.01),"")),""),""),"")</f>
        <v/>
      </c>
      <c r="V181" s="317" t="str" cm="1">
        <f t="array" aca="1" ref="V181" ca="1">IFERROR(IF(AA181&lt;&gt;"ja",_xlfn.IFNA(_xlfn.IFS(AND(P181&lt;&gt;"",R181&lt;&gt;"",RIGHT($N181,6)="tarief",F181="Vergoeding"),SUM(P181)*FLOOR(SUM(R181),0.0001),AND(P181&lt;&gt;"",R181&lt;&gt;"",RIGHT($N181,6)="tarief"),P181*FLOOR(R181,0.01),T181&gt;0,FLOOR(SUM(T181),0.01)),""),""),"")</f>
        <v/>
      </c>
      <c r="W181" s="317" t="str" cm="1">
        <f t="array" aca="1" ref="W181" ca="1">IFERROR(_xlfn.IFS(OR(F181="",LEFT(Methode_Keuze,4)="Geen",Methode_Keuze=""),"",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17" t="str" cm="1">
        <f t="array" aca="1" ref="X181" ca="1">IFERROR(_xlfn.IFS(OR(F181="",LEFT(Methode_Keuze,4)="Geen",Methode_Keuze=""),"",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26"/>
      <c r="Z181" s="319"/>
      <c r="AA181" s="32" t="str" cm="1">
        <f t="array" ref="AA181">IFERROR(IF(INDEX(SubsidieTabel!$AD$1:$AG$12,MATCH($F181,SubsidieTabel!$AD$1:$AD$12,0),IFERROR(MATCH(Methode_Keuze,SubsidieTabel!$AD$1:$AG$1,0),2))&lt;&gt;1=TRUE,"ja",""),"")</f>
        <v/>
      </c>
    </row>
    <row r="182" spans="1:27" x14ac:dyDescent="0.25">
      <c r="A182" s="320"/>
      <c r="B182" s="321" t="str">
        <f>IF(A182&lt;&gt;"",_xlfn.MAXIFS($B$1:B181,$A$1:A181,A182)+1,"")</f>
        <v/>
      </c>
      <c r="C182" s="299"/>
      <c r="D182" s="299"/>
      <c r="E182" s="299"/>
      <c r="F182" s="299"/>
      <c r="G182" s="330"/>
      <c r="H182" s="328"/>
      <c r="I182" s="329"/>
      <c r="J182" s="329"/>
      <c r="K182" s="322"/>
      <c r="L182" s="322"/>
      <c r="M182" s="323" t="str">
        <f>IFERROR(VLOOKUP(H182,Lijsten!$H$1:$I$100,2,0),"")</f>
        <v/>
      </c>
      <c r="N182" s="323" t="str">
        <f ca="1">IFERROR(IF(VLOOKUP(F182,Kostentypen!$A$3:$E$21,3,0)=0,"",IF(OR(F182="Arbeidskosten",F182="Vergoeding"),VLOOKUP(G182,Tb_KostenTypen[],2,0),VLOOKUP(F182,Kostentypen!$A$3:$E$20,3,0))),"")</f>
        <v/>
      </c>
      <c r="O182" s="324"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4"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3"/>
      <c r="R182" s="363"/>
      <c r="S182" s="325"/>
      <c r="T182" s="325"/>
      <c r="U182" s="317" t="str" cm="1">
        <f t="array" aca="1" ref="U182" ca="1">IFERROR(IF(AA182&lt;&gt;"ja",_xlfn.IFNA(_xlfn.IFS(AND(O182&lt;&gt;"",F182&lt;&gt;"",RIGHT($N182,6)="tarief",F182="Vergoeding"),SUM(O182)*FLOOR(SUM(Q182),0.0001),AND(O182&lt;&gt;"",F182&lt;&gt;"",RIGHT($N182,6)="tarief"),SUM(O182)*FLOOR(SUM(Q182),0.01),S182&gt;0,IF(F182&lt;&gt;"",FLOOR(SUM(S182),0.01),"")),""),""),"")</f>
        <v/>
      </c>
      <c r="V182" s="317" t="str" cm="1">
        <f t="array" aca="1" ref="V182" ca="1">IFERROR(IF(AA182&lt;&gt;"ja",_xlfn.IFNA(_xlfn.IFS(AND(P182&lt;&gt;"",R182&lt;&gt;"",RIGHT($N182,6)="tarief",F182="Vergoeding"),SUM(P182)*FLOOR(SUM(R182),0.0001),AND(P182&lt;&gt;"",R182&lt;&gt;"",RIGHT($N182,6)="tarief"),P182*FLOOR(R182,0.01),T182&gt;0,FLOOR(SUM(T182),0.01)),""),""),"")</f>
        <v/>
      </c>
      <c r="W182" s="317" t="str" cm="1">
        <f t="array" aca="1" ref="W182" ca="1">IFERROR(_xlfn.IFS(OR(F182="",LEFT(Methode_Keuze,4)="Geen",Methode_Keuze=""),"",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17" t="str" cm="1">
        <f t="array" aca="1" ref="X182" ca="1">IFERROR(_xlfn.IFS(OR(F182="",LEFT(Methode_Keuze,4)="Geen",Methode_Keuze=""),"",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26"/>
      <c r="Z182" s="319"/>
      <c r="AA182" s="32" t="str" cm="1">
        <f t="array" ref="AA182">IFERROR(IF(INDEX(SubsidieTabel!$AD$1:$AG$12,MATCH($F182,SubsidieTabel!$AD$1:$AD$12,0),IFERROR(MATCH(Methode_Keuze,SubsidieTabel!$AD$1:$AG$1,0),2))&lt;&gt;1=TRUE,"ja",""),"")</f>
        <v/>
      </c>
    </row>
    <row r="183" spans="1:27" x14ac:dyDescent="0.25">
      <c r="A183" s="320"/>
      <c r="B183" s="321" t="str">
        <f>IF(A183&lt;&gt;"",_xlfn.MAXIFS($B$1:B182,$A$1:A182,A183)+1,"")</f>
        <v/>
      </c>
      <c r="C183" s="299"/>
      <c r="D183" s="299"/>
      <c r="E183" s="299"/>
      <c r="F183" s="299"/>
      <c r="G183" s="330"/>
      <c r="H183" s="328"/>
      <c r="I183" s="329"/>
      <c r="J183" s="329"/>
      <c r="K183" s="322"/>
      <c r="L183" s="322"/>
      <c r="M183" s="323" t="str">
        <f>IFERROR(VLOOKUP(H183,Lijsten!$H$1:$I$100,2,0),"")</f>
        <v/>
      </c>
      <c r="N183" s="323" t="str">
        <f ca="1">IFERROR(IF(VLOOKUP(F183,Kostentypen!$A$3:$E$21,3,0)=0,"",IF(OR(F183="Arbeidskosten",F183="Vergoeding"),VLOOKUP(G183,Tb_KostenTypen[],2,0),VLOOKUP(F183,Kostentypen!$A$3:$E$20,3,0))),"")</f>
        <v/>
      </c>
      <c r="O183" s="324"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4"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3"/>
      <c r="R183" s="363"/>
      <c r="S183" s="325"/>
      <c r="T183" s="325"/>
      <c r="U183" s="317" t="str" cm="1">
        <f t="array" aca="1" ref="U183" ca="1">IFERROR(IF(AA183&lt;&gt;"ja",_xlfn.IFNA(_xlfn.IFS(AND(O183&lt;&gt;"",F183&lt;&gt;"",RIGHT($N183,6)="tarief",F183="Vergoeding"),SUM(O183)*FLOOR(SUM(Q183),0.0001),AND(O183&lt;&gt;"",F183&lt;&gt;"",RIGHT($N183,6)="tarief"),SUM(O183)*FLOOR(SUM(Q183),0.01),S183&gt;0,IF(F183&lt;&gt;"",FLOOR(SUM(S183),0.01),"")),""),""),"")</f>
        <v/>
      </c>
      <c r="V183" s="317" t="str" cm="1">
        <f t="array" aca="1" ref="V183" ca="1">IFERROR(IF(AA183&lt;&gt;"ja",_xlfn.IFNA(_xlfn.IFS(AND(P183&lt;&gt;"",R183&lt;&gt;"",RIGHT($N183,6)="tarief",F183="Vergoeding"),SUM(P183)*FLOOR(SUM(R183),0.0001),AND(P183&lt;&gt;"",R183&lt;&gt;"",RIGHT($N183,6)="tarief"),P183*FLOOR(R183,0.01),T183&gt;0,FLOOR(SUM(T183),0.01)),""),""),"")</f>
        <v/>
      </c>
      <c r="W183" s="317" t="str" cm="1">
        <f t="array" aca="1" ref="W183" ca="1">IFERROR(_xlfn.IFS(OR(F183="",LEFT(Methode_Keuze,4)="Geen",Methode_Keuze=""),"",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17" t="str" cm="1">
        <f t="array" aca="1" ref="X183" ca="1">IFERROR(_xlfn.IFS(OR(F183="",LEFT(Methode_Keuze,4)="Geen",Methode_Keuze=""),"",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26"/>
      <c r="Z183" s="319"/>
      <c r="AA183" s="32" t="str" cm="1">
        <f t="array" ref="AA183">IFERROR(IF(INDEX(SubsidieTabel!$AD$1:$AG$12,MATCH($F183,SubsidieTabel!$AD$1:$AD$12,0),IFERROR(MATCH(Methode_Keuze,SubsidieTabel!$AD$1:$AG$1,0),2))&lt;&gt;1=TRUE,"ja",""),"")</f>
        <v/>
      </c>
    </row>
    <row r="184" spans="1:27" x14ac:dyDescent="0.25">
      <c r="A184" s="320"/>
      <c r="B184" s="321" t="str">
        <f>IF(A184&lt;&gt;"",_xlfn.MAXIFS($B$1:B183,$A$1:A183,A184)+1,"")</f>
        <v/>
      </c>
      <c r="C184" s="299"/>
      <c r="D184" s="299"/>
      <c r="E184" s="299"/>
      <c r="F184" s="299"/>
      <c r="G184" s="330"/>
      <c r="H184" s="328"/>
      <c r="I184" s="329"/>
      <c r="J184" s="329"/>
      <c r="K184" s="322"/>
      <c r="L184" s="322"/>
      <c r="M184" s="323" t="str">
        <f>IFERROR(VLOOKUP(H184,Lijsten!$H$1:$I$100,2,0),"")</f>
        <v/>
      </c>
      <c r="N184" s="323" t="str">
        <f ca="1">IFERROR(IF(VLOOKUP(F184,Kostentypen!$A$3:$E$21,3,0)=0,"",IF(OR(F184="Arbeidskosten",F184="Vergoeding"),VLOOKUP(G184,Tb_KostenTypen[],2,0),VLOOKUP(F184,Kostentypen!$A$3:$E$20,3,0))),"")</f>
        <v/>
      </c>
      <c r="O184" s="324"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4"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3"/>
      <c r="R184" s="363"/>
      <c r="S184" s="325"/>
      <c r="T184" s="325"/>
      <c r="U184" s="317" t="str" cm="1">
        <f t="array" aca="1" ref="U184" ca="1">IFERROR(IF(AA184&lt;&gt;"ja",_xlfn.IFNA(_xlfn.IFS(AND(O184&lt;&gt;"",F184&lt;&gt;"",RIGHT($N184,6)="tarief",F184="Vergoeding"),SUM(O184)*FLOOR(SUM(Q184),0.0001),AND(O184&lt;&gt;"",F184&lt;&gt;"",RIGHT($N184,6)="tarief"),SUM(O184)*FLOOR(SUM(Q184),0.01),S184&gt;0,IF(F184&lt;&gt;"",FLOOR(SUM(S184),0.01),"")),""),""),"")</f>
        <v/>
      </c>
      <c r="V184" s="317" t="str" cm="1">
        <f t="array" aca="1" ref="V184" ca="1">IFERROR(IF(AA184&lt;&gt;"ja",_xlfn.IFNA(_xlfn.IFS(AND(P184&lt;&gt;"",R184&lt;&gt;"",RIGHT($N184,6)="tarief",F184="Vergoeding"),SUM(P184)*FLOOR(SUM(R184),0.0001),AND(P184&lt;&gt;"",R184&lt;&gt;"",RIGHT($N184,6)="tarief"),P184*FLOOR(R184,0.01),T184&gt;0,FLOOR(SUM(T184),0.01)),""),""),"")</f>
        <v/>
      </c>
      <c r="W184" s="317" t="str" cm="1">
        <f t="array" aca="1" ref="W184" ca="1">IFERROR(_xlfn.IFS(OR(F184="",LEFT(Methode_Keuze,4)="Geen",Methode_Keuze=""),"",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17" t="str" cm="1">
        <f t="array" aca="1" ref="X184" ca="1">IFERROR(_xlfn.IFS(OR(F184="",LEFT(Methode_Keuze,4)="Geen",Methode_Keuze=""),"",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26"/>
      <c r="Z184" s="319"/>
      <c r="AA184" s="32" t="str" cm="1">
        <f t="array" ref="AA184">IFERROR(IF(INDEX(SubsidieTabel!$AD$1:$AG$12,MATCH($F184,SubsidieTabel!$AD$1:$AD$12,0),IFERROR(MATCH(Methode_Keuze,SubsidieTabel!$AD$1:$AG$1,0),2))&lt;&gt;1=TRUE,"ja",""),"")</f>
        <v/>
      </c>
    </row>
    <row r="185" spans="1:27" x14ac:dyDescent="0.25">
      <c r="A185" s="320"/>
      <c r="B185" s="321" t="str">
        <f>IF(A185&lt;&gt;"",_xlfn.MAXIFS($B$1:B184,$A$1:A184,A185)+1,"")</f>
        <v/>
      </c>
      <c r="C185" s="299"/>
      <c r="D185" s="299"/>
      <c r="E185" s="299"/>
      <c r="F185" s="299"/>
      <c r="G185" s="330"/>
      <c r="H185" s="328"/>
      <c r="I185" s="329"/>
      <c r="J185" s="329"/>
      <c r="K185" s="322"/>
      <c r="L185" s="322"/>
      <c r="M185" s="323" t="str">
        <f>IFERROR(VLOOKUP(H185,Lijsten!$H$1:$I$100,2,0),"")</f>
        <v/>
      </c>
      <c r="N185" s="323" t="str">
        <f ca="1">IFERROR(IF(VLOOKUP(F185,Kostentypen!$A$3:$E$21,3,0)=0,"",IF(OR(F185="Arbeidskosten",F185="Vergoeding"),VLOOKUP(G185,Tb_KostenTypen[],2,0),VLOOKUP(F185,Kostentypen!$A$3:$E$20,3,0))),"")</f>
        <v/>
      </c>
      <c r="O185" s="324"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4"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3"/>
      <c r="R185" s="363"/>
      <c r="S185" s="325"/>
      <c r="T185" s="325"/>
      <c r="U185" s="317" t="str" cm="1">
        <f t="array" aca="1" ref="U185" ca="1">IFERROR(IF(AA185&lt;&gt;"ja",_xlfn.IFNA(_xlfn.IFS(AND(O185&lt;&gt;"",F185&lt;&gt;"",RIGHT($N185,6)="tarief",F185="Vergoeding"),SUM(O185)*FLOOR(SUM(Q185),0.0001),AND(O185&lt;&gt;"",F185&lt;&gt;"",RIGHT($N185,6)="tarief"),SUM(O185)*FLOOR(SUM(Q185),0.01),S185&gt;0,IF(F185&lt;&gt;"",FLOOR(SUM(S185),0.01),"")),""),""),"")</f>
        <v/>
      </c>
      <c r="V185" s="317" t="str" cm="1">
        <f t="array" aca="1" ref="V185" ca="1">IFERROR(IF(AA185&lt;&gt;"ja",_xlfn.IFNA(_xlfn.IFS(AND(P185&lt;&gt;"",R185&lt;&gt;"",RIGHT($N185,6)="tarief",F185="Vergoeding"),SUM(P185)*FLOOR(SUM(R185),0.0001),AND(P185&lt;&gt;"",R185&lt;&gt;"",RIGHT($N185,6)="tarief"),P185*FLOOR(R185,0.01),T185&gt;0,FLOOR(SUM(T185),0.01)),""),""),"")</f>
        <v/>
      </c>
      <c r="W185" s="317" t="str" cm="1">
        <f t="array" aca="1" ref="W185" ca="1">IFERROR(_xlfn.IFS(OR(F185="",LEFT(Methode_Keuze,4)="Geen",Methode_Keuze=""),"",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17" t="str" cm="1">
        <f t="array" aca="1" ref="X185" ca="1">IFERROR(_xlfn.IFS(OR(F185="",LEFT(Methode_Keuze,4)="Geen",Methode_Keuze=""),"",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26"/>
      <c r="Z185" s="319"/>
      <c r="AA185" s="32" t="str" cm="1">
        <f t="array" ref="AA185">IFERROR(IF(INDEX(SubsidieTabel!$AD$1:$AG$12,MATCH($F185,SubsidieTabel!$AD$1:$AD$12,0),IFERROR(MATCH(Methode_Keuze,SubsidieTabel!$AD$1:$AG$1,0),2))&lt;&gt;1=TRUE,"ja",""),"")</f>
        <v/>
      </c>
    </row>
    <row r="186" spans="1:27" x14ac:dyDescent="0.25">
      <c r="A186" s="320"/>
      <c r="B186" s="321" t="str">
        <f>IF(A186&lt;&gt;"",_xlfn.MAXIFS($B$1:B185,$A$1:A185,A186)+1,"")</f>
        <v/>
      </c>
      <c r="C186" s="299"/>
      <c r="D186" s="299"/>
      <c r="E186" s="299"/>
      <c r="F186" s="299"/>
      <c r="G186" s="330"/>
      <c r="H186" s="328"/>
      <c r="I186" s="329"/>
      <c r="J186" s="329"/>
      <c r="K186" s="322"/>
      <c r="L186" s="322"/>
      <c r="M186" s="323" t="str">
        <f>IFERROR(VLOOKUP(H186,Lijsten!$H$1:$I$100,2,0),"")</f>
        <v/>
      </c>
      <c r="N186" s="323" t="str">
        <f ca="1">IFERROR(IF(VLOOKUP(F186,Kostentypen!$A$3:$E$21,3,0)=0,"",IF(OR(F186="Arbeidskosten",F186="Vergoeding"),VLOOKUP(G186,Tb_KostenTypen[],2,0),VLOOKUP(F186,Kostentypen!$A$3:$E$20,3,0))),"")</f>
        <v/>
      </c>
      <c r="O186" s="324"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4"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3"/>
      <c r="R186" s="363"/>
      <c r="S186" s="325"/>
      <c r="T186" s="325"/>
      <c r="U186" s="317" t="str" cm="1">
        <f t="array" aca="1" ref="U186" ca="1">IFERROR(IF(AA186&lt;&gt;"ja",_xlfn.IFNA(_xlfn.IFS(AND(O186&lt;&gt;"",F186&lt;&gt;"",RIGHT($N186,6)="tarief",F186="Vergoeding"),SUM(O186)*FLOOR(SUM(Q186),0.0001),AND(O186&lt;&gt;"",F186&lt;&gt;"",RIGHT($N186,6)="tarief"),SUM(O186)*FLOOR(SUM(Q186),0.01),S186&gt;0,IF(F186&lt;&gt;"",FLOOR(SUM(S186),0.01),"")),""),""),"")</f>
        <v/>
      </c>
      <c r="V186" s="317" t="str" cm="1">
        <f t="array" aca="1" ref="V186" ca="1">IFERROR(IF(AA186&lt;&gt;"ja",_xlfn.IFNA(_xlfn.IFS(AND(P186&lt;&gt;"",R186&lt;&gt;"",RIGHT($N186,6)="tarief",F186="Vergoeding"),SUM(P186)*FLOOR(SUM(R186),0.0001),AND(P186&lt;&gt;"",R186&lt;&gt;"",RIGHT($N186,6)="tarief"),P186*FLOOR(R186,0.01),T186&gt;0,FLOOR(SUM(T186),0.01)),""),""),"")</f>
        <v/>
      </c>
      <c r="W186" s="317" t="str" cm="1">
        <f t="array" aca="1" ref="W186" ca="1">IFERROR(_xlfn.IFS(OR(F186="",LEFT(Methode_Keuze,4)="Geen",Methode_Keuze=""),"",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17" t="str" cm="1">
        <f t="array" aca="1" ref="X186" ca="1">IFERROR(_xlfn.IFS(OR(F186="",LEFT(Methode_Keuze,4)="Geen",Methode_Keuze=""),"",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26"/>
      <c r="Z186" s="319"/>
      <c r="AA186" s="32" t="str" cm="1">
        <f t="array" ref="AA186">IFERROR(IF(INDEX(SubsidieTabel!$AD$1:$AG$12,MATCH($F186,SubsidieTabel!$AD$1:$AD$12,0),IFERROR(MATCH(Methode_Keuze,SubsidieTabel!$AD$1:$AG$1,0),2))&lt;&gt;1=TRUE,"ja",""),"")</f>
        <v/>
      </c>
    </row>
    <row r="187" spans="1:27" x14ac:dyDescent="0.25">
      <c r="A187" s="320"/>
      <c r="B187" s="321" t="str">
        <f>IF(A187&lt;&gt;"",_xlfn.MAXIFS($B$1:B186,$A$1:A186,A187)+1,"")</f>
        <v/>
      </c>
      <c r="C187" s="299"/>
      <c r="D187" s="299"/>
      <c r="E187" s="299"/>
      <c r="F187" s="299"/>
      <c r="G187" s="330"/>
      <c r="H187" s="328"/>
      <c r="I187" s="329"/>
      <c r="J187" s="329"/>
      <c r="K187" s="322"/>
      <c r="L187" s="322"/>
      <c r="M187" s="323" t="str">
        <f>IFERROR(VLOOKUP(H187,Lijsten!$H$1:$I$100,2,0),"")</f>
        <v/>
      </c>
      <c r="N187" s="323" t="str">
        <f ca="1">IFERROR(IF(VLOOKUP(F187,Kostentypen!$A$3:$E$21,3,0)=0,"",IF(OR(F187="Arbeidskosten",F187="Vergoeding"),VLOOKUP(G187,Tb_KostenTypen[],2,0),VLOOKUP(F187,Kostentypen!$A$3:$E$20,3,0))),"")</f>
        <v/>
      </c>
      <c r="O187" s="324"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4"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3"/>
      <c r="R187" s="363"/>
      <c r="S187" s="325"/>
      <c r="T187" s="325"/>
      <c r="U187" s="317" t="str" cm="1">
        <f t="array" aca="1" ref="U187" ca="1">IFERROR(IF(AA187&lt;&gt;"ja",_xlfn.IFNA(_xlfn.IFS(AND(O187&lt;&gt;"",F187&lt;&gt;"",RIGHT($N187,6)="tarief",F187="Vergoeding"),SUM(O187)*FLOOR(SUM(Q187),0.0001),AND(O187&lt;&gt;"",F187&lt;&gt;"",RIGHT($N187,6)="tarief"),SUM(O187)*FLOOR(SUM(Q187),0.01),S187&gt;0,IF(F187&lt;&gt;"",FLOOR(SUM(S187),0.01),"")),""),""),"")</f>
        <v/>
      </c>
      <c r="V187" s="317" t="str" cm="1">
        <f t="array" aca="1" ref="V187" ca="1">IFERROR(IF(AA187&lt;&gt;"ja",_xlfn.IFNA(_xlfn.IFS(AND(P187&lt;&gt;"",R187&lt;&gt;"",RIGHT($N187,6)="tarief",F187="Vergoeding"),SUM(P187)*FLOOR(SUM(R187),0.0001),AND(P187&lt;&gt;"",R187&lt;&gt;"",RIGHT($N187,6)="tarief"),P187*FLOOR(R187,0.01),T187&gt;0,FLOOR(SUM(T187),0.01)),""),""),"")</f>
        <v/>
      </c>
      <c r="W187" s="317" t="str" cm="1">
        <f t="array" aca="1" ref="W187" ca="1">IFERROR(_xlfn.IFS(OR(F187="",LEFT(Methode_Keuze,4)="Geen",Methode_Keuze=""),"",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17" t="str" cm="1">
        <f t="array" aca="1" ref="X187" ca="1">IFERROR(_xlfn.IFS(OR(F187="",LEFT(Methode_Keuze,4)="Geen",Methode_Keuze=""),"",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26"/>
      <c r="Z187" s="319"/>
      <c r="AA187" s="32" t="str" cm="1">
        <f t="array" ref="AA187">IFERROR(IF(INDEX(SubsidieTabel!$AD$1:$AG$12,MATCH($F187,SubsidieTabel!$AD$1:$AD$12,0),IFERROR(MATCH(Methode_Keuze,SubsidieTabel!$AD$1:$AG$1,0),2))&lt;&gt;1=TRUE,"ja",""),"")</f>
        <v/>
      </c>
    </row>
    <row r="188" spans="1:27" x14ac:dyDescent="0.25">
      <c r="A188" s="320"/>
      <c r="B188" s="321" t="str">
        <f>IF(A188&lt;&gt;"",_xlfn.MAXIFS($B$1:B187,$A$1:A187,A188)+1,"")</f>
        <v/>
      </c>
      <c r="C188" s="299"/>
      <c r="D188" s="299"/>
      <c r="E188" s="299"/>
      <c r="F188" s="299"/>
      <c r="G188" s="330"/>
      <c r="H188" s="328"/>
      <c r="I188" s="329"/>
      <c r="J188" s="329"/>
      <c r="K188" s="322"/>
      <c r="L188" s="322"/>
      <c r="M188" s="323" t="str">
        <f>IFERROR(VLOOKUP(H188,Lijsten!$H$1:$I$100,2,0),"")</f>
        <v/>
      </c>
      <c r="N188" s="323" t="str">
        <f ca="1">IFERROR(IF(VLOOKUP(F188,Kostentypen!$A$3:$E$21,3,0)=0,"",IF(OR(F188="Arbeidskosten",F188="Vergoeding"),VLOOKUP(G188,Tb_KostenTypen[],2,0),VLOOKUP(F188,Kostentypen!$A$3:$E$20,3,0))),"")</f>
        <v/>
      </c>
      <c r="O188" s="324"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4"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3"/>
      <c r="R188" s="363"/>
      <c r="S188" s="325"/>
      <c r="T188" s="325"/>
      <c r="U188" s="317" t="str" cm="1">
        <f t="array" aca="1" ref="U188" ca="1">IFERROR(IF(AA188&lt;&gt;"ja",_xlfn.IFNA(_xlfn.IFS(AND(O188&lt;&gt;"",F188&lt;&gt;"",RIGHT($N188,6)="tarief",F188="Vergoeding"),SUM(O188)*FLOOR(SUM(Q188),0.0001),AND(O188&lt;&gt;"",F188&lt;&gt;"",RIGHT($N188,6)="tarief"),SUM(O188)*FLOOR(SUM(Q188),0.01),S188&gt;0,IF(F188&lt;&gt;"",FLOOR(SUM(S188),0.01),"")),""),""),"")</f>
        <v/>
      </c>
      <c r="V188" s="317" t="str" cm="1">
        <f t="array" aca="1" ref="V188" ca="1">IFERROR(IF(AA188&lt;&gt;"ja",_xlfn.IFNA(_xlfn.IFS(AND(P188&lt;&gt;"",R188&lt;&gt;"",RIGHT($N188,6)="tarief",F188="Vergoeding"),SUM(P188)*FLOOR(SUM(R188),0.0001),AND(P188&lt;&gt;"",R188&lt;&gt;"",RIGHT($N188,6)="tarief"),P188*FLOOR(R188,0.01),T188&gt;0,FLOOR(SUM(T188),0.01)),""),""),"")</f>
        <v/>
      </c>
      <c r="W188" s="317" t="str" cm="1">
        <f t="array" aca="1" ref="W188" ca="1">IFERROR(_xlfn.IFS(OR(F188="",LEFT(Methode_Keuze,4)="Geen",Methode_Keuze=""),"",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17" t="str" cm="1">
        <f t="array" aca="1" ref="X188" ca="1">IFERROR(_xlfn.IFS(OR(F188="",LEFT(Methode_Keuze,4)="Geen",Methode_Keuze=""),"",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26"/>
      <c r="Z188" s="319"/>
      <c r="AA188" s="32" t="str" cm="1">
        <f t="array" ref="AA188">IFERROR(IF(INDEX(SubsidieTabel!$AD$1:$AG$12,MATCH($F188,SubsidieTabel!$AD$1:$AD$12,0),IFERROR(MATCH(Methode_Keuze,SubsidieTabel!$AD$1:$AG$1,0),2))&lt;&gt;1=TRUE,"ja",""),"")</f>
        <v/>
      </c>
    </row>
    <row r="189" spans="1:27" x14ac:dyDescent="0.25">
      <c r="A189" s="320"/>
      <c r="B189" s="321" t="str">
        <f>IF(A189&lt;&gt;"",_xlfn.MAXIFS($B$1:B188,$A$1:A188,A189)+1,"")</f>
        <v/>
      </c>
      <c r="C189" s="299"/>
      <c r="D189" s="299"/>
      <c r="E189" s="299"/>
      <c r="F189" s="299"/>
      <c r="G189" s="330"/>
      <c r="H189" s="328"/>
      <c r="I189" s="329"/>
      <c r="J189" s="329"/>
      <c r="K189" s="322"/>
      <c r="L189" s="322"/>
      <c r="M189" s="323" t="str">
        <f>IFERROR(VLOOKUP(H189,Lijsten!$H$1:$I$100,2,0),"")</f>
        <v/>
      </c>
      <c r="N189" s="323" t="str">
        <f ca="1">IFERROR(IF(VLOOKUP(F189,Kostentypen!$A$3:$E$21,3,0)=0,"",IF(OR(F189="Arbeidskosten",F189="Vergoeding"),VLOOKUP(G189,Tb_KostenTypen[],2,0),VLOOKUP(F189,Kostentypen!$A$3:$E$20,3,0))),"")</f>
        <v/>
      </c>
      <c r="O189" s="324"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4"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3"/>
      <c r="R189" s="363"/>
      <c r="S189" s="325"/>
      <c r="T189" s="325"/>
      <c r="U189" s="317" t="str" cm="1">
        <f t="array" aca="1" ref="U189" ca="1">IFERROR(IF(AA189&lt;&gt;"ja",_xlfn.IFNA(_xlfn.IFS(AND(O189&lt;&gt;"",F189&lt;&gt;"",RIGHT($N189,6)="tarief",F189="Vergoeding"),SUM(O189)*FLOOR(SUM(Q189),0.0001),AND(O189&lt;&gt;"",F189&lt;&gt;"",RIGHT($N189,6)="tarief"),SUM(O189)*FLOOR(SUM(Q189),0.01),S189&gt;0,IF(F189&lt;&gt;"",FLOOR(SUM(S189),0.01),"")),""),""),"")</f>
        <v/>
      </c>
      <c r="V189" s="317" t="str" cm="1">
        <f t="array" aca="1" ref="V189" ca="1">IFERROR(IF(AA189&lt;&gt;"ja",_xlfn.IFNA(_xlfn.IFS(AND(P189&lt;&gt;"",R189&lt;&gt;"",RIGHT($N189,6)="tarief",F189="Vergoeding"),SUM(P189)*FLOOR(SUM(R189),0.0001),AND(P189&lt;&gt;"",R189&lt;&gt;"",RIGHT($N189,6)="tarief"),P189*FLOOR(R189,0.01),T189&gt;0,FLOOR(SUM(T189),0.01)),""),""),"")</f>
        <v/>
      </c>
      <c r="W189" s="317" t="str" cm="1">
        <f t="array" aca="1" ref="W189" ca="1">IFERROR(_xlfn.IFS(OR(F189="",LEFT(Methode_Keuze,4)="Geen",Methode_Keuze=""),"",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17" t="str" cm="1">
        <f t="array" aca="1" ref="X189" ca="1">IFERROR(_xlfn.IFS(OR(F189="",LEFT(Methode_Keuze,4)="Geen",Methode_Keuze=""),"",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26"/>
      <c r="Z189" s="319"/>
      <c r="AA189" s="32" t="str" cm="1">
        <f t="array" ref="AA189">IFERROR(IF(INDEX(SubsidieTabel!$AD$1:$AG$12,MATCH($F189,SubsidieTabel!$AD$1:$AD$12,0),IFERROR(MATCH(Methode_Keuze,SubsidieTabel!$AD$1:$AG$1,0),2))&lt;&gt;1=TRUE,"ja",""),"")</f>
        <v/>
      </c>
    </row>
    <row r="190" spans="1:27" x14ac:dyDescent="0.25">
      <c r="A190" s="320"/>
      <c r="B190" s="321" t="str">
        <f>IF(A190&lt;&gt;"",_xlfn.MAXIFS($B$1:B189,$A$1:A189,A190)+1,"")</f>
        <v/>
      </c>
      <c r="C190" s="299"/>
      <c r="D190" s="299"/>
      <c r="E190" s="299"/>
      <c r="F190" s="299"/>
      <c r="G190" s="330"/>
      <c r="H190" s="328"/>
      <c r="I190" s="329"/>
      <c r="J190" s="329"/>
      <c r="K190" s="322"/>
      <c r="L190" s="322"/>
      <c r="M190" s="323" t="str">
        <f>IFERROR(VLOOKUP(H190,Lijsten!$H$1:$I$100,2,0),"")</f>
        <v/>
      </c>
      <c r="N190" s="323" t="str">
        <f ca="1">IFERROR(IF(VLOOKUP(F190,Kostentypen!$A$3:$E$21,3,0)=0,"",IF(OR(F190="Arbeidskosten",F190="Vergoeding"),VLOOKUP(G190,Tb_KostenTypen[],2,0),VLOOKUP(F190,Kostentypen!$A$3:$E$20,3,0))),"")</f>
        <v/>
      </c>
      <c r="O190" s="324"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4"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3"/>
      <c r="R190" s="363"/>
      <c r="S190" s="325"/>
      <c r="T190" s="325"/>
      <c r="U190" s="317" t="str" cm="1">
        <f t="array" aca="1" ref="U190" ca="1">IFERROR(IF(AA190&lt;&gt;"ja",_xlfn.IFNA(_xlfn.IFS(AND(O190&lt;&gt;"",F190&lt;&gt;"",RIGHT($N190,6)="tarief",F190="Vergoeding"),SUM(O190)*FLOOR(SUM(Q190),0.0001),AND(O190&lt;&gt;"",F190&lt;&gt;"",RIGHT($N190,6)="tarief"),SUM(O190)*FLOOR(SUM(Q190),0.01),S190&gt;0,IF(F190&lt;&gt;"",FLOOR(SUM(S190),0.01),"")),""),""),"")</f>
        <v/>
      </c>
      <c r="V190" s="317" t="str" cm="1">
        <f t="array" aca="1" ref="V190" ca="1">IFERROR(IF(AA190&lt;&gt;"ja",_xlfn.IFNA(_xlfn.IFS(AND(P190&lt;&gt;"",R190&lt;&gt;"",RIGHT($N190,6)="tarief",F190="Vergoeding"),SUM(P190)*FLOOR(SUM(R190),0.0001),AND(P190&lt;&gt;"",R190&lt;&gt;"",RIGHT($N190,6)="tarief"),P190*FLOOR(R190,0.01),T190&gt;0,FLOOR(SUM(T190),0.01)),""),""),"")</f>
        <v/>
      </c>
      <c r="W190" s="317" t="str" cm="1">
        <f t="array" aca="1" ref="W190" ca="1">IFERROR(_xlfn.IFS(OR(F190="",LEFT(Methode_Keuze,4)="Geen",Methode_Keuze=""),"",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17" t="str" cm="1">
        <f t="array" aca="1" ref="X190" ca="1">IFERROR(_xlfn.IFS(OR(F190="",LEFT(Methode_Keuze,4)="Geen",Methode_Keuze=""),"",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26"/>
      <c r="Z190" s="319"/>
      <c r="AA190" s="32" t="str" cm="1">
        <f t="array" ref="AA190">IFERROR(IF(INDEX(SubsidieTabel!$AD$1:$AG$12,MATCH($F190,SubsidieTabel!$AD$1:$AD$12,0),IFERROR(MATCH(Methode_Keuze,SubsidieTabel!$AD$1:$AG$1,0),2))&lt;&gt;1=TRUE,"ja",""),"")</f>
        <v/>
      </c>
    </row>
    <row r="191" spans="1:27" x14ac:dyDescent="0.25">
      <c r="A191" s="320"/>
      <c r="B191" s="321" t="str">
        <f>IF(A191&lt;&gt;"",_xlfn.MAXIFS($B$1:B190,$A$1:A190,A191)+1,"")</f>
        <v/>
      </c>
      <c r="C191" s="299"/>
      <c r="D191" s="299"/>
      <c r="E191" s="299"/>
      <c r="F191" s="299"/>
      <c r="G191" s="330"/>
      <c r="H191" s="328"/>
      <c r="I191" s="329"/>
      <c r="J191" s="329"/>
      <c r="K191" s="322"/>
      <c r="L191" s="322"/>
      <c r="M191" s="323" t="str">
        <f>IFERROR(VLOOKUP(H191,Lijsten!$H$1:$I$100,2,0),"")</f>
        <v/>
      </c>
      <c r="N191" s="323" t="str">
        <f ca="1">IFERROR(IF(VLOOKUP(F191,Kostentypen!$A$3:$E$21,3,0)=0,"",IF(OR(F191="Arbeidskosten",F191="Vergoeding"),VLOOKUP(G191,Tb_KostenTypen[],2,0),VLOOKUP(F191,Kostentypen!$A$3:$E$20,3,0))),"")</f>
        <v/>
      </c>
      <c r="O191" s="324"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4"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3"/>
      <c r="R191" s="363"/>
      <c r="S191" s="325"/>
      <c r="T191" s="325"/>
      <c r="U191" s="317" t="str" cm="1">
        <f t="array" aca="1" ref="U191" ca="1">IFERROR(IF(AA191&lt;&gt;"ja",_xlfn.IFNA(_xlfn.IFS(AND(O191&lt;&gt;"",F191&lt;&gt;"",RIGHT($N191,6)="tarief",F191="Vergoeding"),SUM(O191)*FLOOR(SUM(Q191),0.0001),AND(O191&lt;&gt;"",F191&lt;&gt;"",RIGHT($N191,6)="tarief"),SUM(O191)*FLOOR(SUM(Q191),0.01),S191&gt;0,IF(F191&lt;&gt;"",FLOOR(SUM(S191),0.01),"")),""),""),"")</f>
        <v/>
      </c>
      <c r="V191" s="317" t="str" cm="1">
        <f t="array" aca="1" ref="V191" ca="1">IFERROR(IF(AA191&lt;&gt;"ja",_xlfn.IFNA(_xlfn.IFS(AND(P191&lt;&gt;"",R191&lt;&gt;"",RIGHT($N191,6)="tarief",F191="Vergoeding"),SUM(P191)*FLOOR(SUM(R191),0.0001),AND(P191&lt;&gt;"",R191&lt;&gt;"",RIGHT($N191,6)="tarief"),P191*FLOOR(R191,0.01),T191&gt;0,FLOOR(SUM(T191),0.01)),""),""),"")</f>
        <v/>
      </c>
      <c r="W191" s="317" t="str" cm="1">
        <f t="array" aca="1" ref="W191" ca="1">IFERROR(_xlfn.IFS(OR(F191="",LEFT(Methode_Keuze,4)="Geen",Methode_Keuze=""),"",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17" t="str" cm="1">
        <f t="array" aca="1" ref="X191" ca="1">IFERROR(_xlfn.IFS(OR(F191="",LEFT(Methode_Keuze,4)="Geen",Methode_Keuze=""),"",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26"/>
      <c r="Z191" s="319"/>
      <c r="AA191" s="32" t="str" cm="1">
        <f t="array" ref="AA191">IFERROR(IF(INDEX(SubsidieTabel!$AD$1:$AG$12,MATCH($F191,SubsidieTabel!$AD$1:$AD$12,0),IFERROR(MATCH(Methode_Keuze,SubsidieTabel!$AD$1:$AG$1,0),2))&lt;&gt;1=TRUE,"ja",""),"")</f>
        <v/>
      </c>
    </row>
    <row r="192" spans="1:27" x14ac:dyDescent="0.25">
      <c r="A192" s="320"/>
      <c r="B192" s="321" t="str">
        <f>IF(A192&lt;&gt;"",_xlfn.MAXIFS($B$1:B191,$A$1:A191,A192)+1,"")</f>
        <v/>
      </c>
      <c r="C192" s="299"/>
      <c r="D192" s="299"/>
      <c r="E192" s="299"/>
      <c r="F192" s="299"/>
      <c r="G192" s="330"/>
      <c r="H192" s="328"/>
      <c r="I192" s="329"/>
      <c r="J192" s="329"/>
      <c r="K192" s="322"/>
      <c r="L192" s="322"/>
      <c r="M192" s="323" t="str">
        <f>IFERROR(VLOOKUP(H192,Lijsten!$H$1:$I$100,2,0),"")</f>
        <v/>
      </c>
      <c r="N192" s="323" t="str">
        <f ca="1">IFERROR(IF(VLOOKUP(F192,Kostentypen!$A$3:$E$21,3,0)=0,"",IF(OR(F192="Arbeidskosten",F192="Vergoeding"),VLOOKUP(G192,Tb_KostenTypen[],2,0),VLOOKUP(F192,Kostentypen!$A$3:$E$20,3,0))),"")</f>
        <v/>
      </c>
      <c r="O192" s="324"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4"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3"/>
      <c r="R192" s="363"/>
      <c r="S192" s="325"/>
      <c r="T192" s="325"/>
      <c r="U192" s="317" t="str" cm="1">
        <f t="array" aca="1" ref="U192" ca="1">IFERROR(IF(AA192&lt;&gt;"ja",_xlfn.IFNA(_xlfn.IFS(AND(O192&lt;&gt;"",F192&lt;&gt;"",RIGHT($N192,6)="tarief",F192="Vergoeding"),SUM(O192)*FLOOR(SUM(Q192),0.0001),AND(O192&lt;&gt;"",F192&lt;&gt;"",RIGHT($N192,6)="tarief"),SUM(O192)*FLOOR(SUM(Q192),0.01),S192&gt;0,IF(F192&lt;&gt;"",FLOOR(SUM(S192),0.01),"")),""),""),"")</f>
        <v/>
      </c>
      <c r="V192" s="317" t="str" cm="1">
        <f t="array" aca="1" ref="V192" ca="1">IFERROR(IF(AA192&lt;&gt;"ja",_xlfn.IFNA(_xlfn.IFS(AND(P192&lt;&gt;"",R192&lt;&gt;"",RIGHT($N192,6)="tarief",F192="Vergoeding"),SUM(P192)*FLOOR(SUM(R192),0.0001),AND(P192&lt;&gt;"",R192&lt;&gt;"",RIGHT($N192,6)="tarief"),P192*FLOOR(R192,0.01),T192&gt;0,FLOOR(SUM(T192),0.01)),""),""),"")</f>
        <v/>
      </c>
      <c r="W192" s="317" t="str" cm="1">
        <f t="array" aca="1" ref="W192" ca="1">IFERROR(_xlfn.IFS(OR(F192="",LEFT(Methode_Keuze,4)="Geen",Methode_Keuze=""),"",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17" t="str" cm="1">
        <f t="array" aca="1" ref="X192" ca="1">IFERROR(_xlfn.IFS(OR(F192="",LEFT(Methode_Keuze,4)="Geen",Methode_Keuze=""),"",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26"/>
      <c r="Z192" s="319"/>
      <c r="AA192" s="32" t="str" cm="1">
        <f t="array" ref="AA192">IFERROR(IF(INDEX(SubsidieTabel!$AD$1:$AG$12,MATCH($F192,SubsidieTabel!$AD$1:$AD$12,0),IFERROR(MATCH(Methode_Keuze,SubsidieTabel!$AD$1:$AG$1,0),2))&lt;&gt;1=TRUE,"ja",""),"")</f>
        <v/>
      </c>
    </row>
    <row r="193" spans="1:27" x14ac:dyDescent="0.25">
      <c r="A193" s="320"/>
      <c r="B193" s="321" t="str">
        <f>IF(A193&lt;&gt;"",_xlfn.MAXIFS($B$1:B192,$A$1:A192,A193)+1,"")</f>
        <v/>
      </c>
      <c r="C193" s="299"/>
      <c r="D193" s="299"/>
      <c r="E193" s="299"/>
      <c r="F193" s="299"/>
      <c r="G193" s="330"/>
      <c r="H193" s="328"/>
      <c r="I193" s="329"/>
      <c r="J193" s="329"/>
      <c r="K193" s="322"/>
      <c r="L193" s="322"/>
      <c r="M193" s="323" t="str">
        <f>IFERROR(VLOOKUP(H193,Lijsten!$H$1:$I$100,2,0),"")</f>
        <v/>
      </c>
      <c r="N193" s="323" t="str">
        <f ca="1">IFERROR(IF(VLOOKUP(F193,Kostentypen!$A$3:$E$21,3,0)=0,"",IF(OR(F193="Arbeidskosten",F193="Vergoeding"),VLOOKUP(G193,Tb_KostenTypen[],2,0),VLOOKUP(F193,Kostentypen!$A$3:$E$20,3,0))),"")</f>
        <v/>
      </c>
      <c r="O193" s="324"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4"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3"/>
      <c r="R193" s="363"/>
      <c r="S193" s="325"/>
      <c r="T193" s="325"/>
      <c r="U193" s="317" t="str" cm="1">
        <f t="array" aca="1" ref="U193" ca="1">IFERROR(IF(AA193&lt;&gt;"ja",_xlfn.IFNA(_xlfn.IFS(AND(O193&lt;&gt;"",F193&lt;&gt;"",RIGHT($N193,6)="tarief",F193="Vergoeding"),SUM(O193)*FLOOR(SUM(Q193),0.0001),AND(O193&lt;&gt;"",F193&lt;&gt;"",RIGHT($N193,6)="tarief"),SUM(O193)*FLOOR(SUM(Q193),0.01),S193&gt;0,IF(F193&lt;&gt;"",FLOOR(SUM(S193),0.01),"")),""),""),"")</f>
        <v/>
      </c>
      <c r="V193" s="317" t="str" cm="1">
        <f t="array" aca="1" ref="V193" ca="1">IFERROR(IF(AA193&lt;&gt;"ja",_xlfn.IFNA(_xlfn.IFS(AND(P193&lt;&gt;"",R193&lt;&gt;"",RIGHT($N193,6)="tarief",F193="Vergoeding"),SUM(P193)*FLOOR(SUM(R193),0.0001),AND(P193&lt;&gt;"",R193&lt;&gt;"",RIGHT($N193,6)="tarief"),P193*FLOOR(R193,0.01),T193&gt;0,FLOOR(SUM(T193),0.01)),""),""),"")</f>
        <v/>
      </c>
      <c r="W193" s="317" t="str" cm="1">
        <f t="array" aca="1" ref="W193" ca="1">IFERROR(_xlfn.IFS(OR(F193="",LEFT(Methode_Keuze,4)="Geen",Methode_Keuze=""),"",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17" t="str" cm="1">
        <f t="array" aca="1" ref="X193" ca="1">IFERROR(_xlfn.IFS(OR(F193="",LEFT(Methode_Keuze,4)="Geen",Methode_Keuze=""),"",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26"/>
      <c r="Z193" s="319"/>
      <c r="AA193" s="32" t="str" cm="1">
        <f t="array" ref="AA193">IFERROR(IF(INDEX(SubsidieTabel!$AD$1:$AG$12,MATCH($F193,SubsidieTabel!$AD$1:$AD$12,0),IFERROR(MATCH(Methode_Keuze,SubsidieTabel!$AD$1:$AG$1,0),2))&lt;&gt;1=TRUE,"ja",""),"")</f>
        <v/>
      </c>
    </row>
    <row r="194" spans="1:27" x14ac:dyDescent="0.25">
      <c r="A194" s="320"/>
      <c r="B194" s="321" t="str">
        <f>IF(A194&lt;&gt;"",_xlfn.MAXIFS($B$1:B193,$A$1:A193,A194)+1,"")</f>
        <v/>
      </c>
      <c r="C194" s="299"/>
      <c r="D194" s="299"/>
      <c r="E194" s="299"/>
      <c r="F194" s="299"/>
      <c r="G194" s="330"/>
      <c r="H194" s="328"/>
      <c r="I194" s="329"/>
      <c r="J194" s="329"/>
      <c r="K194" s="322"/>
      <c r="L194" s="322"/>
      <c r="M194" s="323" t="str">
        <f>IFERROR(VLOOKUP(H194,Lijsten!$H$1:$I$100,2,0),"")</f>
        <v/>
      </c>
      <c r="N194" s="323" t="str">
        <f ca="1">IFERROR(IF(VLOOKUP(F194,Kostentypen!$A$3:$E$21,3,0)=0,"",IF(OR(F194="Arbeidskosten",F194="Vergoeding"),VLOOKUP(G194,Tb_KostenTypen[],2,0),VLOOKUP(F194,Kostentypen!$A$3:$E$20,3,0))),"")</f>
        <v/>
      </c>
      <c r="O194" s="324"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4"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3"/>
      <c r="R194" s="363"/>
      <c r="S194" s="325"/>
      <c r="T194" s="325"/>
      <c r="U194" s="317" t="str" cm="1">
        <f t="array" aca="1" ref="U194" ca="1">IFERROR(IF(AA194&lt;&gt;"ja",_xlfn.IFNA(_xlfn.IFS(AND(O194&lt;&gt;"",F194&lt;&gt;"",RIGHT($N194,6)="tarief",F194="Vergoeding"),SUM(O194)*FLOOR(SUM(Q194),0.0001),AND(O194&lt;&gt;"",F194&lt;&gt;"",RIGHT($N194,6)="tarief"),SUM(O194)*FLOOR(SUM(Q194),0.01),S194&gt;0,IF(F194&lt;&gt;"",FLOOR(SUM(S194),0.01),"")),""),""),"")</f>
        <v/>
      </c>
      <c r="V194" s="317" t="str" cm="1">
        <f t="array" aca="1" ref="V194" ca="1">IFERROR(IF(AA194&lt;&gt;"ja",_xlfn.IFNA(_xlfn.IFS(AND(P194&lt;&gt;"",R194&lt;&gt;"",RIGHT($N194,6)="tarief",F194="Vergoeding"),SUM(P194)*FLOOR(SUM(R194),0.0001),AND(P194&lt;&gt;"",R194&lt;&gt;"",RIGHT($N194,6)="tarief"),P194*FLOOR(R194,0.01),T194&gt;0,FLOOR(SUM(T194),0.01)),""),""),"")</f>
        <v/>
      </c>
      <c r="W194" s="317" t="str" cm="1">
        <f t="array" aca="1" ref="W194" ca="1">IFERROR(_xlfn.IFS(OR(F194="",LEFT(Methode_Keuze,4)="Geen",Methode_Keuze=""),"",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17" t="str" cm="1">
        <f t="array" aca="1" ref="X194" ca="1">IFERROR(_xlfn.IFS(OR(F194="",LEFT(Methode_Keuze,4)="Geen",Methode_Keuze=""),"",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26"/>
      <c r="Z194" s="319"/>
      <c r="AA194" s="32" t="str" cm="1">
        <f t="array" ref="AA194">IFERROR(IF(INDEX(SubsidieTabel!$AD$1:$AG$12,MATCH($F194,SubsidieTabel!$AD$1:$AD$12,0),IFERROR(MATCH(Methode_Keuze,SubsidieTabel!$AD$1:$AG$1,0),2))&lt;&gt;1=TRUE,"ja",""),"")</f>
        <v/>
      </c>
    </row>
    <row r="195" spans="1:27" x14ac:dyDescent="0.25">
      <c r="A195" s="320"/>
      <c r="B195" s="321" t="str">
        <f>IF(A195&lt;&gt;"",_xlfn.MAXIFS($B$1:B194,$A$1:A194,A195)+1,"")</f>
        <v/>
      </c>
      <c r="C195" s="299"/>
      <c r="D195" s="299"/>
      <c r="E195" s="299"/>
      <c r="F195" s="299"/>
      <c r="G195" s="330"/>
      <c r="H195" s="328"/>
      <c r="I195" s="329"/>
      <c r="J195" s="329"/>
      <c r="K195" s="322"/>
      <c r="L195" s="322"/>
      <c r="M195" s="323" t="str">
        <f>IFERROR(VLOOKUP(H195,Lijsten!$H$1:$I$100,2,0),"")</f>
        <v/>
      </c>
      <c r="N195" s="323" t="str">
        <f ca="1">IFERROR(IF(VLOOKUP(F195,Kostentypen!$A$3:$E$21,3,0)=0,"",IF(OR(F195="Arbeidskosten",F195="Vergoeding"),VLOOKUP(G195,Tb_KostenTypen[],2,0),VLOOKUP(F195,Kostentypen!$A$3:$E$20,3,0))),"")</f>
        <v/>
      </c>
      <c r="O195" s="324"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4"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3"/>
      <c r="R195" s="363"/>
      <c r="S195" s="325"/>
      <c r="T195" s="325"/>
      <c r="U195" s="317" t="str" cm="1">
        <f t="array" aca="1" ref="U195" ca="1">IFERROR(IF(AA195&lt;&gt;"ja",_xlfn.IFNA(_xlfn.IFS(AND(O195&lt;&gt;"",F195&lt;&gt;"",RIGHT($N195,6)="tarief",F195="Vergoeding"),SUM(O195)*FLOOR(SUM(Q195),0.0001),AND(O195&lt;&gt;"",F195&lt;&gt;"",RIGHT($N195,6)="tarief"),SUM(O195)*FLOOR(SUM(Q195),0.01),S195&gt;0,IF(F195&lt;&gt;"",FLOOR(SUM(S195),0.01),"")),""),""),"")</f>
        <v/>
      </c>
      <c r="V195" s="317" t="str" cm="1">
        <f t="array" aca="1" ref="V195" ca="1">IFERROR(IF(AA195&lt;&gt;"ja",_xlfn.IFNA(_xlfn.IFS(AND(P195&lt;&gt;"",R195&lt;&gt;"",RIGHT($N195,6)="tarief",F195="Vergoeding"),SUM(P195)*FLOOR(SUM(R195),0.0001),AND(P195&lt;&gt;"",R195&lt;&gt;"",RIGHT($N195,6)="tarief"),P195*FLOOR(R195,0.01),T195&gt;0,FLOOR(SUM(T195),0.01)),""),""),"")</f>
        <v/>
      </c>
      <c r="W195" s="317" t="str" cm="1">
        <f t="array" aca="1" ref="W195" ca="1">IFERROR(_xlfn.IFS(OR(F195="",LEFT(Methode_Keuze,4)="Geen",Methode_Keuze=""),"",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17" t="str" cm="1">
        <f t="array" aca="1" ref="X195" ca="1">IFERROR(_xlfn.IFS(OR(F195="",LEFT(Methode_Keuze,4)="Geen",Methode_Keuze=""),"",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26"/>
      <c r="Z195" s="319"/>
      <c r="AA195" s="32" t="str" cm="1">
        <f t="array" ref="AA195">IFERROR(IF(INDEX(SubsidieTabel!$AD$1:$AG$12,MATCH($F195,SubsidieTabel!$AD$1:$AD$12,0),IFERROR(MATCH(Methode_Keuze,SubsidieTabel!$AD$1:$AG$1,0),2))&lt;&gt;1=TRUE,"ja",""),"")</f>
        <v/>
      </c>
    </row>
    <row r="196" spans="1:27" x14ac:dyDescent="0.25">
      <c r="A196" s="320"/>
      <c r="B196" s="321" t="str">
        <f>IF(A196&lt;&gt;"",_xlfn.MAXIFS($B$1:B195,$A$1:A195,A196)+1,"")</f>
        <v/>
      </c>
      <c r="C196" s="299"/>
      <c r="D196" s="299"/>
      <c r="E196" s="299"/>
      <c r="F196" s="299"/>
      <c r="G196" s="330"/>
      <c r="H196" s="328"/>
      <c r="I196" s="329"/>
      <c r="J196" s="329"/>
      <c r="K196" s="322"/>
      <c r="L196" s="322"/>
      <c r="M196" s="323" t="str">
        <f>IFERROR(VLOOKUP(H196,Lijsten!$H$1:$I$100,2,0),"")</f>
        <v/>
      </c>
      <c r="N196" s="323" t="str">
        <f ca="1">IFERROR(IF(VLOOKUP(F196,Kostentypen!$A$3:$E$21,3,0)=0,"",IF(OR(F196="Arbeidskosten",F196="Vergoeding"),VLOOKUP(G196,Tb_KostenTypen[],2,0),VLOOKUP(F196,Kostentypen!$A$3:$E$20,3,0))),"")</f>
        <v/>
      </c>
      <c r="O196" s="324"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4"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3"/>
      <c r="R196" s="363"/>
      <c r="S196" s="325"/>
      <c r="T196" s="325"/>
      <c r="U196" s="317" t="str" cm="1">
        <f t="array" aca="1" ref="U196" ca="1">IFERROR(IF(AA196&lt;&gt;"ja",_xlfn.IFNA(_xlfn.IFS(AND(O196&lt;&gt;"",F196&lt;&gt;"",RIGHT($N196,6)="tarief",F196="Vergoeding"),SUM(O196)*FLOOR(SUM(Q196),0.0001),AND(O196&lt;&gt;"",F196&lt;&gt;"",RIGHT($N196,6)="tarief"),SUM(O196)*FLOOR(SUM(Q196),0.01),S196&gt;0,IF(F196&lt;&gt;"",FLOOR(SUM(S196),0.01),"")),""),""),"")</f>
        <v/>
      </c>
      <c r="V196" s="317" t="str" cm="1">
        <f t="array" aca="1" ref="V196" ca="1">IFERROR(IF(AA196&lt;&gt;"ja",_xlfn.IFNA(_xlfn.IFS(AND(P196&lt;&gt;"",R196&lt;&gt;"",RIGHT($N196,6)="tarief",F196="Vergoeding"),SUM(P196)*FLOOR(SUM(R196),0.0001),AND(P196&lt;&gt;"",R196&lt;&gt;"",RIGHT($N196,6)="tarief"),P196*FLOOR(R196,0.01),T196&gt;0,FLOOR(SUM(T196),0.01)),""),""),"")</f>
        <v/>
      </c>
      <c r="W196" s="317" t="str" cm="1">
        <f t="array" aca="1" ref="W196" ca="1">IFERROR(_xlfn.IFS(OR(F196="",LEFT(Methode_Keuze,4)="Geen",Methode_Keuze=""),"",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17" t="str" cm="1">
        <f t="array" aca="1" ref="X196" ca="1">IFERROR(_xlfn.IFS(OR(F196="",LEFT(Methode_Keuze,4)="Geen",Methode_Keuze=""),"",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26"/>
      <c r="Z196" s="319"/>
      <c r="AA196" s="32" t="str" cm="1">
        <f t="array" ref="AA196">IFERROR(IF(INDEX(SubsidieTabel!$AD$1:$AG$12,MATCH($F196,SubsidieTabel!$AD$1:$AD$12,0),IFERROR(MATCH(Methode_Keuze,SubsidieTabel!$AD$1:$AG$1,0),2))&lt;&gt;1=TRUE,"ja",""),"")</f>
        <v/>
      </c>
    </row>
    <row r="197" spans="1:27" x14ac:dyDescent="0.25">
      <c r="A197" s="320"/>
      <c r="B197" s="321" t="str">
        <f>IF(A197&lt;&gt;"",_xlfn.MAXIFS($B$1:B196,$A$1:A196,A197)+1,"")</f>
        <v/>
      </c>
      <c r="C197" s="299"/>
      <c r="D197" s="299"/>
      <c r="E197" s="299"/>
      <c r="F197" s="299"/>
      <c r="G197" s="330"/>
      <c r="H197" s="328"/>
      <c r="I197" s="329"/>
      <c r="J197" s="329"/>
      <c r="K197" s="322"/>
      <c r="L197" s="322"/>
      <c r="M197" s="323" t="str">
        <f>IFERROR(VLOOKUP(H197,Lijsten!$H$1:$I$100,2,0),"")</f>
        <v/>
      </c>
      <c r="N197" s="323" t="str">
        <f ca="1">IFERROR(IF(VLOOKUP(F197,Kostentypen!$A$3:$E$21,3,0)=0,"",IF(OR(F197="Arbeidskosten",F197="Vergoeding"),VLOOKUP(G197,Tb_KostenTypen[],2,0),VLOOKUP(F197,Kostentypen!$A$3:$E$20,3,0))),"")</f>
        <v/>
      </c>
      <c r="O197" s="324"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4"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3"/>
      <c r="R197" s="363"/>
      <c r="S197" s="325"/>
      <c r="T197" s="325"/>
      <c r="U197" s="317" t="str" cm="1">
        <f t="array" aca="1" ref="U197" ca="1">IFERROR(IF(AA197&lt;&gt;"ja",_xlfn.IFNA(_xlfn.IFS(AND(O197&lt;&gt;"",F197&lt;&gt;"",RIGHT($N197,6)="tarief",F197="Vergoeding"),SUM(O197)*FLOOR(SUM(Q197),0.0001),AND(O197&lt;&gt;"",F197&lt;&gt;"",RIGHT($N197,6)="tarief"),SUM(O197)*FLOOR(SUM(Q197),0.01),S197&gt;0,IF(F197&lt;&gt;"",FLOOR(SUM(S197),0.01),"")),""),""),"")</f>
        <v/>
      </c>
      <c r="V197" s="317" t="str" cm="1">
        <f t="array" aca="1" ref="V197" ca="1">IFERROR(IF(AA197&lt;&gt;"ja",_xlfn.IFNA(_xlfn.IFS(AND(P197&lt;&gt;"",R197&lt;&gt;"",RIGHT($N197,6)="tarief",F197="Vergoeding"),SUM(P197)*FLOOR(SUM(R197),0.0001),AND(P197&lt;&gt;"",R197&lt;&gt;"",RIGHT($N197,6)="tarief"),P197*FLOOR(R197,0.01),T197&gt;0,FLOOR(SUM(T197),0.01)),""),""),"")</f>
        <v/>
      </c>
      <c r="W197" s="317" t="str" cm="1">
        <f t="array" aca="1" ref="W197" ca="1">IFERROR(_xlfn.IFS(OR(F197="",LEFT(Methode_Keuze,4)="Geen",Methode_Keuze=""),"",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17" t="str" cm="1">
        <f t="array" aca="1" ref="X197" ca="1">IFERROR(_xlfn.IFS(OR(F197="",LEFT(Methode_Keuze,4)="Geen",Methode_Keuze=""),"",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26"/>
      <c r="Z197" s="319"/>
      <c r="AA197" s="32" t="str" cm="1">
        <f t="array" ref="AA197">IFERROR(IF(INDEX(SubsidieTabel!$AD$1:$AG$12,MATCH($F197,SubsidieTabel!$AD$1:$AD$12,0),IFERROR(MATCH(Methode_Keuze,SubsidieTabel!$AD$1:$AG$1,0),2))&lt;&gt;1=TRUE,"ja",""),"")</f>
        <v/>
      </c>
    </row>
    <row r="198" spans="1:27" x14ac:dyDescent="0.25">
      <c r="A198" s="320"/>
      <c r="B198" s="321" t="str">
        <f>IF(A198&lt;&gt;"",_xlfn.MAXIFS($B$1:B197,$A$1:A197,A198)+1,"")</f>
        <v/>
      </c>
      <c r="C198" s="299"/>
      <c r="D198" s="299"/>
      <c r="E198" s="299"/>
      <c r="F198" s="299"/>
      <c r="G198" s="330"/>
      <c r="H198" s="328"/>
      <c r="I198" s="329"/>
      <c r="J198" s="329"/>
      <c r="K198" s="322"/>
      <c r="L198" s="322"/>
      <c r="M198" s="323" t="str">
        <f>IFERROR(VLOOKUP(H198,Lijsten!$H$1:$I$100,2,0),"")</f>
        <v/>
      </c>
      <c r="N198" s="323" t="str">
        <f ca="1">IFERROR(IF(VLOOKUP(F198,Kostentypen!$A$3:$E$21,3,0)=0,"",IF(OR(F198="Arbeidskosten",F198="Vergoeding"),VLOOKUP(G198,Tb_KostenTypen[],2,0),VLOOKUP(F198,Kostentypen!$A$3:$E$20,3,0))),"")</f>
        <v/>
      </c>
      <c r="O198" s="324"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4"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3"/>
      <c r="R198" s="363"/>
      <c r="S198" s="325"/>
      <c r="T198" s="325"/>
      <c r="U198" s="317" t="str" cm="1">
        <f t="array" aca="1" ref="U198" ca="1">IFERROR(IF(AA198&lt;&gt;"ja",_xlfn.IFNA(_xlfn.IFS(AND(O198&lt;&gt;"",F198&lt;&gt;"",RIGHT($N198,6)="tarief",F198="Vergoeding"),SUM(O198)*FLOOR(SUM(Q198),0.0001),AND(O198&lt;&gt;"",F198&lt;&gt;"",RIGHT($N198,6)="tarief"),SUM(O198)*FLOOR(SUM(Q198),0.01),S198&gt;0,IF(F198&lt;&gt;"",FLOOR(SUM(S198),0.01),"")),""),""),"")</f>
        <v/>
      </c>
      <c r="V198" s="317" t="str" cm="1">
        <f t="array" aca="1" ref="V198" ca="1">IFERROR(IF(AA198&lt;&gt;"ja",_xlfn.IFNA(_xlfn.IFS(AND(P198&lt;&gt;"",R198&lt;&gt;"",RIGHT($N198,6)="tarief",F198="Vergoeding"),SUM(P198)*FLOOR(SUM(R198),0.0001),AND(P198&lt;&gt;"",R198&lt;&gt;"",RIGHT($N198,6)="tarief"),P198*FLOOR(R198,0.01),T198&gt;0,FLOOR(SUM(T198),0.01)),""),""),"")</f>
        <v/>
      </c>
      <c r="W198" s="317" t="str" cm="1">
        <f t="array" aca="1" ref="W198" ca="1">IFERROR(_xlfn.IFS(OR(F198="",LEFT(Methode_Keuze,4)="Geen",Methode_Keuze=""),"",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17" t="str" cm="1">
        <f t="array" aca="1" ref="X198" ca="1">IFERROR(_xlfn.IFS(OR(F198="",LEFT(Methode_Keuze,4)="Geen",Methode_Keuze=""),"",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26"/>
      <c r="Z198" s="319"/>
      <c r="AA198" s="32" t="str" cm="1">
        <f t="array" ref="AA198">IFERROR(IF(INDEX(SubsidieTabel!$AD$1:$AG$12,MATCH($F198,SubsidieTabel!$AD$1:$AD$12,0),IFERROR(MATCH(Methode_Keuze,SubsidieTabel!$AD$1:$AG$1,0),2))&lt;&gt;1=TRUE,"ja",""),"")</f>
        <v/>
      </c>
    </row>
    <row r="199" spans="1:27" x14ac:dyDescent="0.25">
      <c r="A199" s="320"/>
      <c r="B199" s="321" t="str">
        <f>IF(A199&lt;&gt;"",_xlfn.MAXIFS($B$1:B198,$A$1:A198,A199)+1,"")</f>
        <v/>
      </c>
      <c r="C199" s="299"/>
      <c r="D199" s="299"/>
      <c r="E199" s="299"/>
      <c r="F199" s="299"/>
      <c r="G199" s="330"/>
      <c r="H199" s="328"/>
      <c r="I199" s="329"/>
      <c r="J199" s="329"/>
      <c r="K199" s="322"/>
      <c r="L199" s="322"/>
      <c r="M199" s="323" t="str">
        <f>IFERROR(VLOOKUP(H199,Lijsten!$H$1:$I$100,2,0),"")</f>
        <v/>
      </c>
      <c r="N199" s="323" t="str">
        <f ca="1">IFERROR(IF(VLOOKUP(F199,Kostentypen!$A$3:$E$21,3,0)=0,"",IF(OR(F199="Arbeidskosten",F199="Vergoeding"),VLOOKUP(G199,Tb_KostenTypen[],2,0),VLOOKUP(F199,Kostentypen!$A$3:$E$20,3,0))),"")</f>
        <v/>
      </c>
      <c r="O199" s="324"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4"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3"/>
      <c r="R199" s="363"/>
      <c r="S199" s="325"/>
      <c r="T199" s="325"/>
      <c r="U199" s="317" t="str" cm="1">
        <f t="array" aca="1" ref="U199" ca="1">IFERROR(IF(AA199&lt;&gt;"ja",_xlfn.IFNA(_xlfn.IFS(AND(O199&lt;&gt;"",F199&lt;&gt;"",RIGHT($N199,6)="tarief",F199="Vergoeding"),SUM(O199)*FLOOR(SUM(Q199),0.0001),AND(O199&lt;&gt;"",F199&lt;&gt;"",RIGHT($N199,6)="tarief"),SUM(O199)*FLOOR(SUM(Q199),0.01),S199&gt;0,IF(F199&lt;&gt;"",FLOOR(SUM(S199),0.01),"")),""),""),"")</f>
        <v/>
      </c>
      <c r="V199" s="317" t="str" cm="1">
        <f t="array" aca="1" ref="V199" ca="1">IFERROR(IF(AA199&lt;&gt;"ja",_xlfn.IFNA(_xlfn.IFS(AND(P199&lt;&gt;"",R199&lt;&gt;"",RIGHT($N199,6)="tarief",F199="Vergoeding"),SUM(P199)*FLOOR(SUM(R199),0.0001),AND(P199&lt;&gt;"",R199&lt;&gt;"",RIGHT($N199,6)="tarief"),P199*FLOOR(R199,0.01),T199&gt;0,FLOOR(SUM(T199),0.01)),""),""),"")</f>
        <v/>
      </c>
      <c r="W199" s="317" t="str" cm="1">
        <f t="array" aca="1" ref="W199" ca="1">IFERROR(_xlfn.IFS(OR(F199="",LEFT(Methode_Keuze,4)="Geen",Methode_Keuze=""),"",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17" t="str" cm="1">
        <f t="array" aca="1" ref="X199" ca="1">IFERROR(_xlfn.IFS(OR(F199="",LEFT(Methode_Keuze,4)="Geen",Methode_Keuze=""),"",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26"/>
      <c r="Z199" s="319"/>
      <c r="AA199" s="32" t="str" cm="1">
        <f t="array" ref="AA199">IFERROR(IF(INDEX(SubsidieTabel!$AD$1:$AG$12,MATCH($F199,SubsidieTabel!$AD$1:$AD$12,0),IFERROR(MATCH(Methode_Keuze,SubsidieTabel!$AD$1:$AG$1,0),2))&lt;&gt;1=TRUE,"ja",""),"")</f>
        <v/>
      </c>
    </row>
    <row r="200" spans="1:27" x14ac:dyDescent="0.25">
      <c r="A200" s="320"/>
      <c r="B200" s="321" t="str">
        <f>IF(A200&lt;&gt;"",_xlfn.MAXIFS($B$1:B199,$A$1:A199,A200)+1,"")</f>
        <v/>
      </c>
      <c r="C200" s="299"/>
      <c r="D200" s="299"/>
      <c r="E200" s="299"/>
      <c r="F200" s="299"/>
      <c r="G200" s="330"/>
      <c r="H200" s="328"/>
      <c r="I200" s="329"/>
      <c r="J200" s="329"/>
      <c r="K200" s="322"/>
      <c r="L200" s="322"/>
      <c r="M200" s="323" t="str">
        <f>IFERROR(VLOOKUP(H200,Lijsten!$H$1:$I$100,2,0),"")</f>
        <v/>
      </c>
      <c r="N200" s="323" t="str">
        <f ca="1">IFERROR(IF(VLOOKUP(F200,Kostentypen!$A$3:$E$21,3,0)=0,"",IF(OR(F200="Arbeidskosten",F200="Vergoeding"),VLOOKUP(G200,Tb_KostenTypen[],2,0),VLOOKUP(F200,Kostentypen!$A$3:$E$20,3,0))),"")</f>
        <v/>
      </c>
      <c r="O200" s="324"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4"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3"/>
      <c r="R200" s="363"/>
      <c r="S200" s="325"/>
      <c r="T200" s="325"/>
      <c r="U200" s="317" t="str" cm="1">
        <f t="array" aca="1" ref="U200" ca="1">IFERROR(IF(AA200&lt;&gt;"ja",_xlfn.IFNA(_xlfn.IFS(AND(O200&lt;&gt;"",F200&lt;&gt;"",RIGHT($N200,6)="tarief",F200="Vergoeding"),SUM(O200)*FLOOR(SUM(Q200),0.0001),AND(O200&lt;&gt;"",F200&lt;&gt;"",RIGHT($N200,6)="tarief"),SUM(O200)*FLOOR(SUM(Q200),0.01),S200&gt;0,IF(F200&lt;&gt;"",FLOOR(SUM(S200),0.01),"")),""),""),"")</f>
        <v/>
      </c>
      <c r="V200" s="317" t="str" cm="1">
        <f t="array" aca="1" ref="V200" ca="1">IFERROR(IF(AA200&lt;&gt;"ja",_xlfn.IFNA(_xlfn.IFS(AND(P200&lt;&gt;"",R200&lt;&gt;"",RIGHT($N200,6)="tarief",F200="Vergoeding"),SUM(P200)*FLOOR(SUM(R200),0.0001),AND(P200&lt;&gt;"",R200&lt;&gt;"",RIGHT($N200,6)="tarief"),P200*FLOOR(R200,0.01),T200&gt;0,FLOOR(SUM(T200),0.01)),""),""),"")</f>
        <v/>
      </c>
      <c r="W200" s="317" t="str" cm="1">
        <f t="array" aca="1" ref="W200" ca="1">IFERROR(_xlfn.IFS(OR(F200="",LEFT(Methode_Keuze,4)="Geen",Methode_Keuze=""),"",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17" t="str" cm="1">
        <f t="array" aca="1" ref="X200" ca="1">IFERROR(_xlfn.IFS(OR(F200="",LEFT(Methode_Keuze,4)="Geen",Methode_Keuze=""),"",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26"/>
      <c r="Z200" s="319"/>
      <c r="AA200" s="32" t="str" cm="1">
        <f t="array" ref="AA200">IFERROR(IF(INDEX(SubsidieTabel!$AD$1:$AG$12,MATCH($F200,SubsidieTabel!$AD$1:$AD$12,0),IFERROR(MATCH(Methode_Keuze,SubsidieTabel!$AD$1:$AG$1,0),2))&lt;&gt;1=TRUE,"ja",""),"")</f>
        <v/>
      </c>
    </row>
    <row r="201" spans="1:27" x14ac:dyDescent="0.25">
      <c r="A201" s="320"/>
      <c r="B201" s="321" t="str">
        <f>IF(A201&lt;&gt;"",_xlfn.MAXIFS($B$1:B200,$A$1:A200,A201)+1,"")</f>
        <v/>
      </c>
      <c r="C201" s="299"/>
      <c r="D201" s="299"/>
      <c r="E201" s="299"/>
      <c r="F201" s="299"/>
      <c r="G201" s="330"/>
      <c r="H201" s="328"/>
      <c r="I201" s="329"/>
      <c r="J201" s="329"/>
      <c r="K201" s="322"/>
      <c r="L201" s="322"/>
      <c r="M201" s="323" t="str">
        <f>IFERROR(VLOOKUP(H201,Lijsten!$H$1:$I$100,2,0),"")</f>
        <v/>
      </c>
      <c r="N201" s="323" t="str">
        <f ca="1">IFERROR(IF(VLOOKUP(F201,Kostentypen!$A$3:$E$21,3,0)=0,"",IF(OR(F201="Arbeidskosten",F201="Vergoeding"),VLOOKUP(G201,Tb_KostenTypen[],2,0),VLOOKUP(F201,Kostentypen!$A$3:$E$20,3,0))),"")</f>
        <v/>
      </c>
      <c r="O201" s="324"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4"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3"/>
      <c r="R201" s="363"/>
      <c r="S201" s="325"/>
      <c r="T201" s="325"/>
      <c r="U201" s="317" t="str" cm="1">
        <f t="array" aca="1" ref="U201" ca="1">IFERROR(IF(AA201&lt;&gt;"ja",_xlfn.IFNA(_xlfn.IFS(AND(O201&lt;&gt;"",F201&lt;&gt;"",RIGHT($N201,6)="tarief",F201="Vergoeding"),SUM(O201)*FLOOR(SUM(Q201),0.0001),AND(O201&lt;&gt;"",F201&lt;&gt;"",RIGHT($N201,6)="tarief"),SUM(O201)*FLOOR(SUM(Q201),0.01),S201&gt;0,IF(F201&lt;&gt;"",FLOOR(SUM(S201),0.01),"")),""),""),"")</f>
        <v/>
      </c>
      <c r="V201" s="317" t="str" cm="1">
        <f t="array" aca="1" ref="V201" ca="1">IFERROR(IF(AA201&lt;&gt;"ja",_xlfn.IFNA(_xlfn.IFS(AND(P201&lt;&gt;"",R201&lt;&gt;"",RIGHT($N201,6)="tarief",F201="Vergoeding"),SUM(P201)*FLOOR(SUM(R201),0.0001),AND(P201&lt;&gt;"",R201&lt;&gt;"",RIGHT($N201,6)="tarief"),P201*FLOOR(R201,0.01),T201&gt;0,FLOOR(SUM(T201),0.01)),""),""),"")</f>
        <v/>
      </c>
      <c r="W201" s="317" t="str" cm="1">
        <f t="array" aca="1" ref="W201" ca="1">IFERROR(_xlfn.IFS(OR(F201="",LEFT(Methode_Keuze,4)="Geen",Methode_Keuze=""),"",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17" t="str" cm="1">
        <f t="array" aca="1" ref="X201" ca="1">IFERROR(_xlfn.IFS(OR(F201="",LEFT(Methode_Keuze,4)="Geen",Methode_Keuze=""),"",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26"/>
      <c r="Z201" s="319"/>
      <c r="AA201" s="32" t="str" cm="1">
        <f t="array" ref="AA201">IFERROR(IF(INDEX(SubsidieTabel!$AD$1:$AG$12,MATCH($F201,SubsidieTabel!$AD$1:$AD$12,0),IFERROR(MATCH(Methode_Keuze,SubsidieTabel!$AD$1:$AG$1,0),2))&lt;&gt;1=TRUE,"ja",""),"")</f>
        <v/>
      </c>
    </row>
    <row r="202" spans="1:27" x14ac:dyDescent="0.25">
      <c r="A202" s="320"/>
      <c r="B202" s="321" t="str">
        <f>IF(A202&lt;&gt;"",_xlfn.MAXIFS($B$1:B201,$A$1:A201,A202)+1,"")</f>
        <v/>
      </c>
      <c r="C202" s="299"/>
      <c r="D202" s="299"/>
      <c r="E202" s="299"/>
      <c r="F202" s="299"/>
      <c r="G202" s="330"/>
      <c r="H202" s="328"/>
      <c r="I202" s="329"/>
      <c r="J202" s="329"/>
      <c r="K202" s="322"/>
      <c r="L202" s="322"/>
      <c r="M202" s="323" t="str">
        <f>IFERROR(VLOOKUP(H202,Lijsten!$H$1:$I$100,2,0),"")</f>
        <v/>
      </c>
      <c r="N202" s="323" t="str">
        <f ca="1">IFERROR(IF(VLOOKUP(F202,Kostentypen!$A$3:$E$21,3,0)=0,"",IF(OR(F202="Arbeidskosten",F202="Vergoeding"),VLOOKUP(G202,Tb_KostenTypen[],2,0),VLOOKUP(F202,Kostentypen!$A$3:$E$20,3,0))),"")</f>
        <v/>
      </c>
      <c r="O202" s="324"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4"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3"/>
      <c r="R202" s="363"/>
      <c r="S202" s="325"/>
      <c r="T202" s="325"/>
      <c r="U202" s="317" t="str" cm="1">
        <f t="array" aca="1" ref="U202" ca="1">IFERROR(IF(AA202&lt;&gt;"ja",_xlfn.IFNA(_xlfn.IFS(AND(O202&lt;&gt;"",F202&lt;&gt;"",RIGHT($N202,6)="tarief",F202="Vergoeding"),SUM(O202)*FLOOR(SUM(Q202),0.0001),AND(O202&lt;&gt;"",F202&lt;&gt;"",RIGHT($N202,6)="tarief"),SUM(O202)*FLOOR(SUM(Q202),0.01),S202&gt;0,IF(F202&lt;&gt;"",FLOOR(SUM(S202),0.01),"")),""),""),"")</f>
        <v/>
      </c>
      <c r="V202" s="317" t="str" cm="1">
        <f t="array" aca="1" ref="V202" ca="1">IFERROR(IF(AA202&lt;&gt;"ja",_xlfn.IFNA(_xlfn.IFS(AND(P202&lt;&gt;"",R202&lt;&gt;"",RIGHT($N202,6)="tarief",F202="Vergoeding"),SUM(P202)*FLOOR(SUM(R202),0.0001),AND(P202&lt;&gt;"",R202&lt;&gt;"",RIGHT($N202,6)="tarief"),P202*FLOOR(R202,0.01),T202&gt;0,FLOOR(SUM(T202),0.01)),""),""),"")</f>
        <v/>
      </c>
      <c r="W202" s="317" t="str" cm="1">
        <f t="array" aca="1" ref="W202" ca="1">IFERROR(_xlfn.IFS(OR(F202="",LEFT(Methode_Keuze,4)="Geen",Methode_Keuze=""),"",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17" t="str" cm="1">
        <f t="array" aca="1" ref="X202" ca="1">IFERROR(_xlfn.IFS(OR(F202="",LEFT(Methode_Keuze,4)="Geen",Methode_Keuze=""),"",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26"/>
      <c r="Z202" s="319"/>
      <c r="AA202" s="32" t="str" cm="1">
        <f t="array" ref="AA202">IFERROR(IF(INDEX(SubsidieTabel!$AD$1:$AG$12,MATCH($F202,SubsidieTabel!$AD$1:$AD$12,0),IFERROR(MATCH(Methode_Keuze,SubsidieTabel!$AD$1:$AG$1,0),2))&lt;&gt;1=TRUE,"ja",""),"")</f>
        <v/>
      </c>
    </row>
    <row r="203" spans="1:27" x14ac:dyDescent="0.25">
      <c r="A203" s="320"/>
      <c r="B203" s="321" t="str">
        <f>IF(A203&lt;&gt;"",_xlfn.MAXIFS($B$1:B202,$A$1:A202,A203)+1,"")</f>
        <v/>
      </c>
      <c r="C203" s="299"/>
      <c r="D203" s="299"/>
      <c r="E203" s="299"/>
      <c r="F203" s="299"/>
      <c r="G203" s="330"/>
      <c r="H203" s="328"/>
      <c r="I203" s="329"/>
      <c r="J203" s="329"/>
      <c r="K203" s="322"/>
      <c r="L203" s="322"/>
      <c r="M203" s="323" t="str">
        <f>IFERROR(VLOOKUP(H203,Lijsten!$H$1:$I$100,2,0),"")</f>
        <v/>
      </c>
      <c r="N203" s="323" t="str">
        <f ca="1">IFERROR(IF(VLOOKUP(F203,Kostentypen!$A$3:$E$21,3,0)=0,"",IF(OR(F203="Arbeidskosten",F203="Vergoeding"),VLOOKUP(G203,Tb_KostenTypen[],2,0),VLOOKUP(F203,Kostentypen!$A$3:$E$20,3,0))),"")</f>
        <v/>
      </c>
      <c r="O203" s="324"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4"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3"/>
      <c r="R203" s="363"/>
      <c r="S203" s="325"/>
      <c r="T203" s="325"/>
      <c r="U203" s="317" t="str" cm="1">
        <f t="array" aca="1" ref="U203" ca="1">IFERROR(IF(AA203&lt;&gt;"ja",_xlfn.IFNA(_xlfn.IFS(AND(O203&lt;&gt;"",F203&lt;&gt;"",RIGHT($N203,6)="tarief",F203="Vergoeding"),SUM(O203)*FLOOR(SUM(Q203),0.0001),AND(O203&lt;&gt;"",F203&lt;&gt;"",RIGHT($N203,6)="tarief"),SUM(O203)*FLOOR(SUM(Q203),0.01),S203&gt;0,IF(F203&lt;&gt;"",FLOOR(SUM(S203),0.01),"")),""),""),"")</f>
        <v/>
      </c>
      <c r="V203" s="317" t="str" cm="1">
        <f t="array" aca="1" ref="V203" ca="1">IFERROR(IF(AA203&lt;&gt;"ja",_xlfn.IFNA(_xlfn.IFS(AND(P203&lt;&gt;"",R203&lt;&gt;"",RIGHT($N203,6)="tarief",F203="Vergoeding"),SUM(P203)*FLOOR(SUM(R203),0.0001),AND(P203&lt;&gt;"",R203&lt;&gt;"",RIGHT($N203,6)="tarief"),P203*FLOOR(R203,0.01),T203&gt;0,FLOOR(SUM(T203),0.01)),""),""),"")</f>
        <v/>
      </c>
      <c r="W203" s="317" t="str" cm="1">
        <f t="array" aca="1" ref="W203" ca="1">IFERROR(_xlfn.IFS(OR(F203="",LEFT(Methode_Keuze,4)="Geen",Methode_Keuze=""),"",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17" t="str" cm="1">
        <f t="array" aca="1" ref="X203" ca="1">IFERROR(_xlfn.IFS(OR(F203="",LEFT(Methode_Keuze,4)="Geen",Methode_Keuze=""),"",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26"/>
      <c r="Z203" s="319"/>
      <c r="AA203" s="32" t="str" cm="1">
        <f t="array" ref="AA203">IFERROR(IF(INDEX(SubsidieTabel!$AD$1:$AG$12,MATCH($F203,SubsidieTabel!$AD$1:$AD$12,0),IFERROR(MATCH(Methode_Keuze,SubsidieTabel!$AD$1:$AG$1,0),2))&lt;&gt;1=TRUE,"ja",""),"")</f>
        <v/>
      </c>
    </row>
    <row r="204" spans="1:27" x14ac:dyDescent="0.25">
      <c r="A204" s="320"/>
      <c r="B204" s="321" t="str">
        <f>IF(A204&lt;&gt;"",_xlfn.MAXIFS($B$1:B203,$A$1:A203,A204)+1,"")</f>
        <v/>
      </c>
      <c r="C204" s="299"/>
      <c r="D204" s="299"/>
      <c r="E204" s="299"/>
      <c r="F204" s="299"/>
      <c r="G204" s="330"/>
      <c r="H204" s="328"/>
      <c r="I204" s="329"/>
      <c r="J204" s="329"/>
      <c r="K204" s="322"/>
      <c r="L204" s="322"/>
      <c r="M204" s="323" t="str">
        <f>IFERROR(VLOOKUP(H204,Lijsten!$H$1:$I$100,2,0),"")</f>
        <v/>
      </c>
      <c r="N204" s="323" t="str">
        <f ca="1">IFERROR(IF(VLOOKUP(F204,Kostentypen!$A$3:$E$21,3,0)=0,"",IF(OR(F204="Arbeidskosten",F204="Vergoeding"),VLOOKUP(G204,Tb_KostenTypen[],2,0),VLOOKUP(F204,Kostentypen!$A$3:$E$20,3,0))),"")</f>
        <v/>
      </c>
      <c r="O204" s="324"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4"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3"/>
      <c r="R204" s="363"/>
      <c r="S204" s="325"/>
      <c r="T204" s="325"/>
      <c r="U204" s="317" t="str" cm="1">
        <f t="array" aca="1" ref="U204" ca="1">IFERROR(IF(AA204&lt;&gt;"ja",_xlfn.IFNA(_xlfn.IFS(AND(O204&lt;&gt;"",F204&lt;&gt;"",RIGHT($N204,6)="tarief",F204="Vergoeding"),SUM(O204)*FLOOR(SUM(Q204),0.0001),AND(O204&lt;&gt;"",F204&lt;&gt;"",RIGHT($N204,6)="tarief"),SUM(O204)*FLOOR(SUM(Q204),0.01),S204&gt;0,IF(F204&lt;&gt;"",FLOOR(SUM(S204),0.01),"")),""),""),"")</f>
        <v/>
      </c>
      <c r="V204" s="317" t="str" cm="1">
        <f t="array" aca="1" ref="V204" ca="1">IFERROR(IF(AA204&lt;&gt;"ja",_xlfn.IFNA(_xlfn.IFS(AND(P204&lt;&gt;"",R204&lt;&gt;"",RIGHT($N204,6)="tarief",F204="Vergoeding"),SUM(P204)*FLOOR(SUM(R204),0.0001),AND(P204&lt;&gt;"",R204&lt;&gt;"",RIGHT($N204,6)="tarief"),P204*FLOOR(R204,0.01),T204&gt;0,FLOOR(SUM(T204),0.01)),""),""),"")</f>
        <v/>
      </c>
      <c r="W204" s="317" t="str" cm="1">
        <f t="array" aca="1" ref="W204" ca="1">IFERROR(_xlfn.IFS(OR(F204="",LEFT(Methode_Keuze,4)="Geen",Methode_Keuze=""),"",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17" t="str" cm="1">
        <f t="array" aca="1" ref="X204" ca="1">IFERROR(_xlfn.IFS(OR(F204="",LEFT(Methode_Keuze,4)="Geen",Methode_Keuze=""),"",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26"/>
      <c r="Z204" s="319"/>
      <c r="AA204" s="32" t="str" cm="1">
        <f t="array" ref="AA204">IFERROR(IF(INDEX(SubsidieTabel!$AD$1:$AG$12,MATCH($F204,SubsidieTabel!$AD$1:$AD$12,0),IFERROR(MATCH(Methode_Keuze,SubsidieTabel!$AD$1:$AG$1,0),2))&lt;&gt;1=TRUE,"ja",""),"")</f>
        <v/>
      </c>
    </row>
    <row r="205" spans="1:27" x14ac:dyDescent="0.25">
      <c r="A205" s="320"/>
      <c r="B205" s="321" t="str">
        <f>IF(A205&lt;&gt;"",_xlfn.MAXIFS($B$1:B204,$A$1:A204,A205)+1,"")</f>
        <v/>
      </c>
      <c r="C205" s="299"/>
      <c r="D205" s="299"/>
      <c r="E205" s="299"/>
      <c r="F205" s="299"/>
      <c r="G205" s="330"/>
      <c r="H205" s="328"/>
      <c r="I205" s="329"/>
      <c r="J205" s="329"/>
      <c r="K205" s="322"/>
      <c r="L205" s="322"/>
      <c r="M205" s="323" t="str">
        <f>IFERROR(VLOOKUP(H205,Lijsten!$H$1:$I$100,2,0),"")</f>
        <v/>
      </c>
      <c r="N205" s="323" t="str">
        <f ca="1">IFERROR(IF(VLOOKUP(F205,Kostentypen!$A$3:$E$21,3,0)=0,"",IF(OR(F205="Arbeidskosten",F205="Vergoeding"),VLOOKUP(G205,Tb_KostenTypen[],2,0),VLOOKUP(F205,Kostentypen!$A$3:$E$20,3,0))),"")</f>
        <v/>
      </c>
      <c r="O205" s="324"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4"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3"/>
      <c r="R205" s="363"/>
      <c r="S205" s="325"/>
      <c r="T205" s="325"/>
      <c r="U205" s="317" t="str" cm="1">
        <f t="array" aca="1" ref="U205" ca="1">IFERROR(IF(AA205&lt;&gt;"ja",_xlfn.IFNA(_xlfn.IFS(AND(O205&lt;&gt;"",F205&lt;&gt;"",RIGHT($N205,6)="tarief",F205="Vergoeding"),SUM(O205)*FLOOR(SUM(Q205),0.0001),AND(O205&lt;&gt;"",F205&lt;&gt;"",RIGHT($N205,6)="tarief"),SUM(O205)*FLOOR(SUM(Q205),0.01),S205&gt;0,IF(F205&lt;&gt;"",FLOOR(SUM(S205),0.01),"")),""),""),"")</f>
        <v/>
      </c>
      <c r="V205" s="317" t="str" cm="1">
        <f t="array" aca="1" ref="V205" ca="1">IFERROR(IF(AA205&lt;&gt;"ja",_xlfn.IFNA(_xlfn.IFS(AND(P205&lt;&gt;"",R205&lt;&gt;"",RIGHT($N205,6)="tarief",F205="Vergoeding"),SUM(P205)*FLOOR(SUM(R205),0.0001),AND(P205&lt;&gt;"",R205&lt;&gt;"",RIGHT($N205,6)="tarief"),P205*FLOOR(R205,0.01),T205&gt;0,FLOOR(SUM(T205),0.01)),""),""),"")</f>
        <v/>
      </c>
      <c r="W205" s="317" t="str" cm="1">
        <f t="array" aca="1" ref="W205" ca="1">IFERROR(_xlfn.IFS(OR(F205="",LEFT(Methode_Keuze,4)="Geen",Methode_Keuze=""),"",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17" t="str" cm="1">
        <f t="array" aca="1" ref="X205" ca="1">IFERROR(_xlfn.IFS(OR(F205="",LEFT(Methode_Keuze,4)="Geen",Methode_Keuze=""),"",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26"/>
      <c r="Z205" s="319"/>
      <c r="AA205" s="32" t="str" cm="1">
        <f t="array" ref="AA205">IFERROR(IF(INDEX(SubsidieTabel!$AD$1:$AG$12,MATCH($F205,SubsidieTabel!$AD$1:$AD$12,0),IFERROR(MATCH(Methode_Keuze,SubsidieTabel!$AD$1:$AG$1,0),2))&lt;&gt;1=TRUE,"ja",""),"")</f>
        <v/>
      </c>
    </row>
    <row r="206" spans="1:27" x14ac:dyDescent="0.25">
      <c r="A206" s="320"/>
      <c r="B206" s="321" t="str">
        <f>IF(A206&lt;&gt;"",_xlfn.MAXIFS($B$1:B205,$A$1:A205,A206)+1,"")</f>
        <v/>
      </c>
      <c r="C206" s="299"/>
      <c r="D206" s="299"/>
      <c r="E206" s="299"/>
      <c r="F206" s="299"/>
      <c r="G206" s="330"/>
      <c r="H206" s="328"/>
      <c r="I206" s="329"/>
      <c r="J206" s="329"/>
      <c r="K206" s="322"/>
      <c r="L206" s="322"/>
      <c r="M206" s="323" t="str">
        <f>IFERROR(VLOOKUP(H206,Lijsten!$H$1:$I$100,2,0),"")</f>
        <v/>
      </c>
      <c r="N206" s="323" t="str">
        <f ca="1">IFERROR(IF(VLOOKUP(F206,Kostentypen!$A$3:$E$21,3,0)=0,"",IF(OR(F206="Arbeidskosten",F206="Vergoeding"),VLOOKUP(G206,Tb_KostenTypen[],2,0),VLOOKUP(F206,Kostentypen!$A$3:$E$20,3,0))),"")</f>
        <v/>
      </c>
      <c r="O206" s="324"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4"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3"/>
      <c r="R206" s="363"/>
      <c r="S206" s="325"/>
      <c r="T206" s="325"/>
      <c r="U206" s="317" t="str" cm="1">
        <f t="array" aca="1" ref="U206" ca="1">IFERROR(IF(AA206&lt;&gt;"ja",_xlfn.IFNA(_xlfn.IFS(AND(O206&lt;&gt;"",F206&lt;&gt;"",RIGHT($N206,6)="tarief",F206="Vergoeding"),SUM(O206)*FLOOR(SUM(Q206),0.0001),AND(O206&lt;&gt;"",F206&lt;&gt;"",RIGHT($N206,6)="tarief"),SUM(O206)*FLOOR(SUM(Q206),0.01),S206&gt;0,IF(F206&lt;&gt;"",FLOOR(SUM(S206),0.01),"")),""),""),"")</f>
        <v/>
      </c>
      <c r="V206" s="317" t="str" cm="1">
        <f t="array" aca="1" ref="V206" ca="1">IFERROR(IF(AA206&lt;&gt;"ja",_xlfn.IFNA(_xlfn.IFS(AND(P206&lt;&gt;"",R206&lt;&gt;"",RIGHT($N206,6)="tarief",F206="Vergoeding"),SUM(P206)*FLOOR(SUM(R206),0.0001),AND(P206&lt;&gt;"",R206&lt;&gt;"",RIGHT($N206,6)="tarief"),P206*FLOOR(R206,0.01),T206&gt;0,FLOOR(SUM(T206),0.01)),""),""),"")</f>
        <v/>
      </c>
      <c r="W206" s="317" t="str" cm="1">
        <f t="array" aca="1" ref="W206" ca="1">IFERROR(_xlfn.IFS(OR(F206="",LEFT(Methode_Keuze,4)="Geen",Methode_Keuze=""),"",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17" t="str" cm="1">
        <f t="array" aca="1" ref="X206" ca="1">IFERROR(_xlfn.IFS(OR(F206="",LEFT(Methode_Keuze,4)="Geen",Methode_Keuze=""),"",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26"/>
      <c r="Z206" s="319"/>
      <c r="AA206" s="32" t="str" cm="1">
        <f t="array" ref="AA206">IFERROR(IF(INDEX(SubsidieTabel!$AD$1:$AG$12,MATCH($F206,SubsidieTabel!$AD$1:$AD$12,0),IFERROR(MATCH(Methode_Keuze,SubsidieTabel!$AD$1:$AG$1,0),2))&lt;&gt;1=TRUE,"ja",""),"")</f>
        <v/>
      </c>
    </row>
    <row r="207" spans="1:27" x14ac:dyDescent="0.25">
      <c r="A207" s="320"/>
      <c r="B207" s="321" t="str">
        <f>IF(A207&lt;&gt;"",_xlfn.MAXIFS($B$1:B206,$A$1:A206,A207)+1,"")</f>
        <v/>
      </c>
      <c r="C207" s="299"/>
      <c r="D207" s="299"/>
      <c r="E207" s="299"/>
      <c r="F207" s="299"/>
      <c r="G207" s="330"/>
      <c r="H207" s="328"/>
      <c r="I207" s="329"/>
      <c r="J207" s="329"/>
      <c r="K207" s="322"/>
      <c r="L207" s="322"/>
      <c r="M207" s="323" t="str">
        <f>IFERROR(VLOOKUP(H207,Lijsten!$H$1:$I$100,2,0),"")</f>
        <v/>
      </c>
      <c r="N207" s="323" t="str">
        <f ca="1">IFERROR(IF(VLOOKUP(F207,Kostentypen!$A$3:$E$21,3,0)=0,"",IF(OR(F207="Arbeidskosten",F207="Vergoeding"),VLOOKUP(G207,Tb_KostenTypen[],2,0),VLOOKUP(F207,Kostentypen!$A$3:$E$20,3,0))),"")</f>
        <v/>
      </c>
      <c r="O207" s="324"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4"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3"/>
      <c r="R207" s="363"/>
      <c r="S207" s="325"/>
      <c r="T207" s="325"/>
      <c r="U207" s="317" t="str" cm="1">
        <f t="array" aca="1" ref="U207" ca="1">IFERROR(IF(AA207&lt;&gt;"ja",_xlfn.IFNA(_xlfn.IFS(AND(O207&lt;&gt;"",F207&lt;&gt;"",RIGHT($N207,6)="tarief",F207="Vergoeding"),SUM(O207)*FLOOR(SUM(Q207),0.0001),AND(O207&lt;&gt;"",F207&lt;&gt;"",RIGHT($N207,6)="tarief"),SUM(O207)*FLOOR(SUM(Q207),0.01),S207&gt;0,IF(F207&lt;&gt;"",FLOOR(SUM(S207),0.01),"")),""),""),"")</f>
        <v/>
      </c>
      <c r="V207" s="317" t="str" cm="1">
        <f t="array" aca="1" ref="V207" ca="1">IFERROR(IF(AA207&lt;&gt;"ja",_xlfn.IFNA(_xlfn.IFS(AND(P207&lt;&gt;"",R207&lt;&gt;"",RIGHT($N207,6)="tarief",F207="Vergoeding"),SUM(P207)*FLOOR(SUM(R207),0.0001),AND(P207&lt;&gt;"",R207&lt;&gt;"",RIGHT($N207,6)="tarief"),P207*FLOOR(R207,0.01),T207&gt;0,FLOOR(SUM(T207),0.01)),""),""),"")</f>
        <v/>
      </c>
      <c r="W207" s="317" t="str" cm="1">
        <f t="array" aca="1" ref="W207" ca="1">IFERROR(_xlfn.IFS(OR(F207="",LEFT(Methode_Keuze,4)="Geen",Methode_Keuze=""),"",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17" t="str" cm="1">
        <f t="array" aca="1" ref="X207" ca="1">IFERROR(_xlfn.IFS(OR(F207="",LEFT(Methode_Keuze,4)="Geen",Methode_Keuze=""),"",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26"/>
      <c r="Z207" s="319"/>
      <c r="AA207" s="32" t="str" cm="1">
        <f t="array" ref="AA207">IFERROR(IF(INDEX(SubsidieTabel!$AD$1:$AG$12,MATCH($F207,SubsidieTabel!$AD$1:$AD$12,0),IFERROR(MATCH(Methode_Keuze,SubsidieTabel!$AD$1:$AG$1,0),2))&lt;&gt;1=TRUE,"ja",""),"")</f>
        <v/>
      </c>
    </row>
    <row r="208" spans="1:27" x14ac:dyDescent="0.25">
      <c r="A208" s="320"/>
      <c r="B208" s="321" t="str">
        <f>IF(A208&lt;&gt;"",_xlfn.MAXIFS($B$1:B207,$A$1:A207,A208)+1,"")</f>
        <v/>
      </c>
      <c r="C208" s="299"/>
      <c r="D208" s="299"/>
      <c r="E208" s="299"/>
      <c r="F208" s="299"/>
      <c r="G208" s="330"/>
      <c r="H208" s="328"/>
      <c r="I208" s="329"/>
      <c r="J208" s="329"/>
      <c r="K208" s="322"/>
      <c r="L208" s="322"/>
      <c r="M208" s="323" t="str">
        <f>IFERROR(VLOOKUP(H208,Lijsten!$H$1:$I$100,2,0),"")</f>
        <v/>
      </c>
      <c r="N208" s="323" t="str">
        <f ca="1">IFERROR(IF(VLOOKUP(F208,Kostentypen!$A$3:$E$21,3,0)=0,"",IF(OR(F208="Arbeidskosten",F208="Vergoeding"),VLOOKUP(G208,Tb_KostenTypen[],2,0),VLOOKUP(F208,Kostentypen!$A$3:$E$20,3,0))),"")</f>
        <v/>
      </c>
      <c r="O208" s="324"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4"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3"/>
      <c r="R208" s="363"/>
      <c r="S208" s="325"/>
      <c r="T208" s="325"/>
      <c r="U208" s="317" t="str" cm="1">
        <f t="array" aca="1" ref="U208" ca="1">IFERROR(IF(AA208&lt;&gt;"ja",_xlfn.IFNA(_xlfn.IFS(AND(O208&lt;&gt;"",F208&lt;&gt;"",RIGHT($N208,6)="tarief",F208="Vergoeding"),SUM(O208)*FLOOR(SUM(Q208),0.0001),AND(O208&lt;&gt;"",F208&lt;&gt;"",RIGHT($N208,6)="tarief"),SUM(O208)*FLOOR(SUM(Q208),0.01),S208&gt;0,IF(F208&lt;&gt;"",FLOOR(SUM(S208),0.01),"")),""),""),"")</f>
        <v/>
      </c>
      <c r="V208" s="317" t="str" cm="1">
        <f t="array" aca="1" ref="V208" ca="1">IFERROR(IF(AA208&lt;&gt;"ja",_xlfn.IFNA(_xlfn.IFS(AND(P208&lt;&gt;"",R208&lt;&gt;"",RIGHT($N208,6)="tarief",F208="Vergoeding"),SUM(P208)*FLOOR(SUM(R208),0.0001),AND(P208&lt;&gt;"",R208&lt;&gt;"",RIGHT($N208,6)="tarief"),P208*FLOOR(R208,0.01),T208&gt;0,FLOOR(SUM(T208),0.01)),""),""),"")</f>
        <v/>
      </c>
      <c r="W208" s="317" t="str" cm="1">
        <f t="array" aca="1" ref="W208" ca="1">IFERROR(_xlfn.IFS(OR(F208="",LEFT(Methode_Keuze,4)="Geen",Methode_Keuze=""),"",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17" t="str" cm="1">
        <f t="array" aca="1" ref="X208" ca="1">IFERROR(_xlfn.IFS(OR(F208="",LEFT(Methode_Keuze,4)="Geen",Methode_Keuze=""),"",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26"/>
      <c r="Z208" s="319"/>
      <c r="AA208" s="32" t="str" cm="1">
        <f t="array" ref="AA208">IFERROR(IF(INDEX(SubsidieTabel!$AD$1:$AG$12,MATCH($F208,SubsidieTabel!$AD$1:$AD$12,0),IFERROR(MATCH(Methode_Keuze,SubsidieTabel!$AD$1:$AG$1,0),2))&lt;&gt;1=TRUE,"ja",""),"")</f>
        <v/>
      </c>
    </row>
    <row r="209" spans="1:27" x14ac:dyDescent="0.25">
      <c r="A209" s="320"/>
      <c r="B209" s="321" t="str">
        <f>IF(A209&lt;&gt;"",_xlfn.MAXIFS($B$1:B208,$A$1:A208,A209)+1,"")</f>
        <v/>
      </c>
      <c r="C209" s="299"/>
      <c r="D209" s="299"/>
      <c r="E209" s="299"/>
      <c r="F209" s="299"/>
      <c r="G209" s="330"/>
      <c r="H209" s="328"/>
      <c r="I209" s="329"/>
      <c r="J209" s="329"/>
      <c r="K209" s="322"/>
      <c r="L209" s="322"/>
      <c r="M209" s="323" t="str">
        <f>IFERROR(VLOOKUP(H209,Lijsten!$H$1:$I$100,2,0),"")</f>
        <v/>
      </c>
      <c r="N209" s="323" t="str">
        <f ca="1">IFERROR(IF(VLOOKUP(F209,Kostentypen!$A$3:$E$21,3,0)=0,"",IF(OR(F209="Arbeidskosten",F209="Vergoeding"),VLOOKUP(G209,Tb_KostenTypen[],2,0),VLOOKUP(F209,Kostentypen!$A$3:$E$20,3,0))),"")</f>
        <v/>
      </c>
      <c r="O209" s="324"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4"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3"/>
      <c r="R209" s="363"/>
      <c r="S209" s="325"/>
      <c r="T209" s="325"/>
      <c r="U209" s="317" t="str" cm="1">
        <f t="array" aca="1" ref="U209" ca="1">IFERROR(IF(AA209&lt;&gt;"ja",_xlfn.IFNA(_xlfn.IFS(AND(O209&lt;&gt;"",F209&lt;&gt;"",RIGHT($N209,6)="tarief",F209="Vergoeding"),SUM(O209)*FLOOR(SUM(Q209),0.0001),AND(O209&lt;&gt;"",F209&lt;&gt;"",RIGHT($N209,6)="tarief"),SUM(O209)*FLOOR(SUM(Q209),0.01),S209&gt;0,IF(F209&lt;&gt;"",FLOOR(SUM(S209),0.01),"")),""),""),"")</f>
        <v/>
      </c>
      <c r="V209" s="317" t="str" cm="1">
        <f t="array" aca="1" ref="V209" ca="1">IFERROR(IF(AA209&lt;&gt;"ja",_xlfn.IFNA(_xlfn.IFS(AND(P209&lt;&gt;"",R209&lt;&gt;"",RIGHT($N209,6)="tarief",F209="Vergoeding"),SUM(P209)*FLOOR(SUM(R209),0.0001),AND(P209&lt;&gt;"",R209&lt;&gt;"",RIGHT($N209,6)="tarief"),P209*FLOOR(R209,0.01),T209&gt;0,FLOOR(SUM(T209),0.01)),""),""),"")</f>
        <v/>
      </c>
      <c r="W209" s="317" t="str" cm="1">
        <f t="array" aca="1" ref="W209" ca="1">IFERROR(_xlfn.IFS(OR(F209="",LEFT(Methode_Keuze,4)="Geen",Methode_Keuze=""),"",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17" t="str" cm="1">
        <f t="array" aca="1" ref="X209" ca="1">IFERROR(_xlfn.IFS(OR(F209="",LEFT(Methode_Keuze,4)="Geen",Methode_Keuze=""),"",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26"/>
      <c r="Z209" s="319"/>
      <c r="AA209" s="32" t="str" cm="1">
        <f t="array" ref="AA209">IFERROR(IF(INDEX(SubsidieTabel!$AD$1:$AG$12,MATCH($F209,SubsidieTabel!$AD$1:$AD$12,0),IFERROR(MATCH(Methode_Keuze,SubsidieTabel!$AD$1:$AG$1,0),2))&lt;&gt;1=TRUE,"ja",""),"")</f>
        <v/>
      </c>
    </row>
    <row r="210" spans="1:27" x14ac:dyDescent="0.25">
      <c r="A210" s="320"/>
      <c r="B210" s="321" t="str">
        <f>IF(A210&lt;&gt;"",_xlfn.MAXIFS($B$1:B209,$A$1:A209,A210)+1,"")</f>
        <v/>
      </c>
      <c r="C210" s="299"/>
      <c r="D210" s="299"/>
      <c r="E210" s="299"/>
      <c r="F210" s="299"/>
      <c r="G210" s="330"/>
      <c r="H210" s="328"/>
      <c r="I210" s="329"/>
      <c r="J210" s="329"/>
      <c r="K210" s="322"/>
      <c r="L210" s="322"/>
      <c r="M210" s="323" t="str">
        <f>IFERROR(VLOOKUP(H210,Lijsten!$H$1:$I$100,2,0),"")</f>
        <v/>
      </c>
      <c r="N210" s="323" t="str">
        <f ca="1">IFERROR(IF(VLOOKUP(F210,Kostentypen!$A$3:$E$21,3,0)=0,"",IF(OR(F210="Arbeidskosten",F210="Vergoeding"),VLOOKUP(G210,Tb_KostenTypen[],2,0),VLOOKUP(F210,Kostentypen!$A$3:$E$20,3,0))),"")</f>
        <v/>
      </c>
      <c r="O210" s="324"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4"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3"/>
      <c r="R210" s="363"/>
      <c r="S210" s="325"/>
      <c r="T210" s="325"/>
      <c r="U210" s="317" t="str" cm="1">
        <f t="array" aca="1" ref="U210" ca="1">IFERROR(IF(AA210&lt;&gt;"ja",_xlfn.IFNA(_xlfn.IFS(AND(O210&lt;&gt;"",F210&lt;&gt;"",RIGHT($N210,6)="tarief",F210="Vergoeding"),SUM(O210)*FLOOR(SUM(Q210),0.0001),AND(O210&lt;&gt;"",F210&lt;&gt;"",RIGHT($N210,6)="tarief"),SUM(O210)*FLOOR(SUM(Q210),0.01),S210&gt;0,IF(F210&lt;&gt;"",FLOOR(SUM(S210),0.01),"")),""),""),"")</f>
        <v/>
      </c>
      <c r="V210" s="317" t="str" cm="1">
        <f t="array" aca="1" ref="V210" ca="1">IFERROR(IF(AA210&lt;&gt;"ja",_xlfn.IFNA(_xlfn.IFS(AND(P210&lt;&gt;"",R210&lt;&gt;"",RIGHT($N210,6)="tarief",F210="Vergoeding"),SUM(P210)*FLOOR(SUM(R210),0.0001),AND(P210&lt;&gt;"",R210&lt;&gt;"",RIGHT($N210,6)="tarief"),P210*FLOOR(R210,0.01),T210&gt;0,FLOOR(SUM(T210),0.01)),""),""),"")</f>
        <v/>
      </c>
      <c r="W210" s="317" t="str" cm="1">
        <f t="array" aca="1" ref="W210" ca="1">IFERROR(_xlfn.IFS(OR(F210="",LEFT(Methode_Keuze,4)="Geen",Methode_Keuze=""),"",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17" t="str" cm="1">
        <f t="array" aca="1" ref="X210" ca="1">IFERROR(_xlfn.IFS(OR(F210="",LEFT(Methode_Keuze,4)="Geen",Methode_Keuze=""),"",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26"/>
      <c r="Z210" s="319"/>
      <c r="AA210" s="32" t="str" cm="1">
        <f t="array" ref="AA210">IFERROR(IF(INDEX(SubsidieTabel!$AD$1:$AG$12,MATCH($F210,SubsidieTabel!$AD$1:$AD$12,0),IFERROR(MATCH(Methode_Keuze,SubsidieTabel!$AD$1:$AG$1,0),2))&lt;&gt;1=TRUE,"ja",""),"")</f>
        <v/>
      </c>
    </row>
    <row r="211" spans="1:27" x14ac:dyDescent="0.25">
      <c r="A211" s="320"/>
      <c r="B211" s="321" t="str">
        <f>IF(A211&lt;&gt;"",_xlfn.MAXIFS($B$1:B210,$A$1:A210,A211)+1,"")</f>
        <v/>
      </c>
      <c r="C211" s="299"/>
      <c r="D211" s="299"/>
      <c r="E211" s="299"/>
      <c r="F211" s="299"/>
      <c r="G211" s="330"/>
      <c r="H211" s="328"/>
      <c r="I211" s="329"/>
      <c r="J211" s="329"/>
      <c r="K211" s="322"/>
      <c r="L211" s="322"/>
      <c r="M211" s="323" t="str">
        <f>IFERROR(VLOOKUP(H211,Lijsten!$H$1:$I$100,2,0),"")</f>
        <v/>
      </c>
      <c r="N211" s="323" t="str">
        <f ca="1">IFERROR(IF(VLOOKUP(F211,Kostentypen!$A$3:$E$21,3,0)=0,"",IF(OR(F211="Arbeidskosten",F211="Vergoeding"),VLOOKUP(G211,Tb_KostenTypen[],2,0),VLOOKUP(F211,Kostentypen!$A$3:$E$20,3,0))),"")</f>
        <v/>
      </c>
      <c r="O211" s="324"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4"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3"/>
      <c r="R211" s="363"/>
      <c r="S211" s="325"/>
      <c r="T211" s="325"/>
      <c r="U211" s="317" t="str" cm="1">
        <f t="array" aca="1" ref="U211" ca="1">IFERROR(IF(AA211&lt;&gt;"ja",_xlfn.IFNA(_xlfn.IFS(AND(O211&lt;&gt;"",F211&lt;&gt;"",RIGHT($N211,6)="tarief",F211="Vergoeding"),SUM(O211)*FLOOR(SUM(Q211),0.0001),AND(O211&lt;&gt;"",F211&lt;&gt;"",RIGHT($N211,6)="tarief"),SUM(O211)*FLOOR(SUM(Q211),0.01),S211&gt;0,IF(F211&lt;&gt;"",FLOOR(SUM(S211),0.01),"")),""),""),"")</f>
        <v/>
      </c>
      <c r="V211" s="317" t="str" cm="1">
        <f t="array" aca="1" ref="V211" ca="1">IFERROR(IF(AA211&lt;&gt;"ja",_xlfn.IFNA(_xlfn.IFS(AND(P211&lt;&gt;"",R211&lt;&gt;"",RIGHT($N211,6)="tarief",F211="Vergoeding"),SUM(P211)*FLOOR(SUM(R211),0.0001),AND(P211&lt;&gt;"",R211&lt;&gt;"",RIGHT($N211,6)="tarief"),P211*FLOOR(R211,0.01),T211&gt;0,FLOOR(SUM(T211),0.01)),""),""),"")</f>
        <v/>
      </c>
      <c r="W211" s="317" t="str" cm="1">
        <f t="array" aca="1" ref="W211" ca="1">IFERROR(_xlfn.IFS(OR(F211="",LEFT(Methode_Keuze,4)="Geen",Methode_Keuze=""),"",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17" t="str" cm="1">
        <f t="array" aca="1" ref="X211" ca="1">IFERROR(_xlfn.IFS(OR(F211="",LEFT(Methode_Keuze,4)="Geen",Methode_Keuze=""),"",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26"/>
      <c r="Z211" s="319"/>
      <c r="AA211" s="32" t="str" cm="1">
        <f t="array" ref="AA211">IFERROR(IF(INDEX(SubsidieTabel!$AD$1:$AG$12,MATCH($F211,SubsidieTabel!$AD$1:$AD$12,0),IFERROR(MATCH(Methode_Keuze,SubsidieTabel!$AD$1:$AG$1,0),2))&lt;&gt;1=TRUE,"ja",""),"")</f>
        <v/>
      </c>
    </row>
    <row r="212" spans="1:27" x14ac:dyDescent="0.25">
      <c r="A212" s="320"/>
      <c r="B212" s="321" t="str">
        <f>IF(A212&lt;&gt;"",_xlfn.MAXIFS($B$1:B211,$A$1:A211,A212)+1,"")</f>
        <v/>
      </c>
      <c r="C212" s="299"/>
      <c r="D212" s="299"/>
      <c r="E212" s="299"/>
      <c r="F212" s="299"/>
      <c r="G212" s="330"/>
      <c r="H212" s="328"/>
      <c r="I212" s="329"/>
      <c r="J212" s="329"/>
      <c r="K212" s="322"/>
      <c r="L212" s="322"/>
      <c r="M212" s="323" t="str">
        <f>IFERROR(VLOOKUP(H212,Lijsten!$H$1:$I$100,2,0),"")</f>
        <v/>
      </c>
      <c r="N212" s="323" t="str">
        <f ca="1">IFERROR(IF(VLOOKUP(F212,Kostentypen!$A$3:$E$21,3,0)=0,"",IF(OR(F212="Arbeidskosten",F212="Vergoeding"),VLOOKUP(G212,Tb_KostenTypen[],2,0),VLOOKUP(F212,Kostentypen!$A$3:$E$20,3,0))),"")</f>
        <v/>
      </c>
      <c r="O212" s="324"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4"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3"/>
      <c r="R212" s="363"/>
      <c r="S212" s="325"/>
      <c r="T212" s="325"/>
      <c r="U212" s="317" t="str" cm="1">
        <f t="array" aca="1" ref="U212" ca="1">IFERROR(IF(AA212&lt;&gt;"ja",_xlfn.IFNA(_xlfn.IFS(AND(O212&lt;&gt;"",F212&lt;&gt;"",RIGHT($N212,6)="tarief",F212="Vergoeding"),SUM(O212)*FLOOR(SUM(Q212),0.0001),AND(O212&lt;&gt;"",F212&lt;&gt;"",RIGHT($N212,6)="tarief"),SUM(O212)*FLOOR(SUM(Q212),0.01),S212&gt;0,IF(F212&lt;&gt;"",FLOOR(SUM(S212),0.01),"")),""),""),"")</f>
        <v/>
      </c>
      <c r="V212" s="317" t="str" cm="1">
        <f t="array" aca="1" ref="V212" ca="1">IFERROR(IF(AA212&lt;&gt;"ja",_xlfn.IFNA(_xlfn.IFS(AND(P212&lt;&gt;"",R212&lt;&gt;"",RIGHT($N212,6)="tarief",F212="Vergoeding"),SUM(P212)*FLOOR(SUM(R212),0.0001),AND(P212&lt;&gt;"",R212&lt;&gt;"",RIGHT($N212,6)="tarief"),P212*FLOOR(R212,0.01),T212&gt;0,FLOOR(SUM(T212),0.01)),""),""),"")</f>
        <v/>
      </c>
      <c r="W212" s="317" t="str" cm="1">
        <f t="array" aca="1" ref="W212" ca="1">IFERROR(_xlfn.IFS(OR(F212="",LEFT(Methode_Keuze,4)="Geen",Methode_Keuze=""),"",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17" t="str" cm="1">
        <f t="array" aca="1" ref="X212" ca="1">IFERROR(_xlfn.IFS(OR(F212="",LEFT(Methode_Keuze,4)="Geen",Methode_Keuze=""),"",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26"/>
      <c r="Z212" s="319"/>
      <c r="AA212" s="32" t="str" cm="1">
        <f t="array" ref="AA212">IFERROR(IF(INDEX(SubsidieTabel!$AD$1:$AG$12,MATCH($F212,SubsidieTabel!$AD$1:$AD$12,0),IFERROR(MATCH(Methode_Keuze,SubsidieTabel!$AD$1:$AG$1,0),2))&lt;&gt;1=TRUE,"ja",""),"")</f>
        <v/>
      </c>
    </row>
    <row r="213" spans="1:27" x14ac:dyDescent="0.25">
      <c r="A213" s="320"/>
      <c r="B213" s="321" t="str">
        <f>IF(A213&lt;&gt;"",_xlfn.MAXIFS($B$1:B212,$A$1:A212,A213)+1,"")</f>
        <v/>
      </c>
      <c r="C213" s="299"/>
      <c r="D213" s="299"/>
      <c r="E213" s="299"/>
      <c r="F213" s="299"/>
      <c r="G213" s="330"/>
      <c r="H213" s="328"/>
      <c r="I213" s="329"/>
      <c r="J213" s="329"/>
      <c r="K213" s="322"/>
      <c r="L213" s="322"/>
      <c r="M213" s="323" t="str">
        <f>IFERROR(VLOOKUP(H213,Lijsten!$H$1:$I$100,2,0),"")</f>
        <v/>
      </c>
      <c r="N213" s="323" t="str">
        <f ca="1">IFERROR(IF(VLOOKUP(F213,Kostentypen!$A$3:$E$21,3,0)=0,"",IF(OR(F213="Arbeidskosten",F213="Vergoeding"),VLOOKUP(G213,Tb_KostenTypen[],2,0),VLOOKUP(F213,Kostentypen!$A$3:$E$20,3,0))),"")</f>
        <v/>
      </c>
      <c r="O213" s="324"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4"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3"/>
      <c r="R213" s="363"/>
      <c r="S213" s="325"/>
      <c r="T213" s="325"/>
      <c r="U213" s="317" t="str" cm="1">
        <f t="array" aca="1" ref="U213" ca="1">IFERROR(IF(AA213&lt;&gt;"ja",_xlfn.IFNA(_xlfn.IFS(AND(O213&lt;&gt;"",F213&lt;&gt;"",RIGHT($N213,6)="tarief",F213="Vergoeding"),SUM(O213)*FLOOR(SUM(Q213),0.0001),AND(O213&lt;&gt;"",F213&lt;&gt;"",RIGHT($N213,6)="tarief"),SUM(O213)*FLOOR(SUM(Q213),0.01),S213&gt;0,IF(F213&lt;&gt;"",FLOOR(SUM(S213),0.01),"")),""),""),"")</f>
        <v/>
      </c>
      <c r="V213" s="317" t="str" cm="1">
        <f t="array" aca="1" ref="V213" ca="1">IFERROR(IF(AA213&lt;&gt;"ja",_xlfn.IFNA(_xlfn.IFS(AND(P213&lt;&gt;"",R213&lt;&gt;"",RIGHT($N213,6)="tarief",F213="Vergoeding"),SUM(P213)*FLOOR(SUM(R213),0.0001),AND(P213&lt;&gt;"",R213&lt;&gt;"",RIGHT($N213,6)="tarief"),P213*FLOOR(R213,0.01),T213&gt;0,FLOOR(SUM(T213),0.01)),""),""),"")</f>
        <v/>
      </c>
      <c r="W213" s="317" t="str" cm="1">
        <f t="array" aca="1" ref="W213" ca="1">IFERROR(_xlfn.IFS(OR(F213="",LEFT(Methode_Keuze,4)="Geen",Methode_Keuze=""),"",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17" t="str" cm="1">
        <f t="array" aca="1" ref="X213" ca="1">IFERROR(_xlfn.IFS(OR(F213="",LEFT(Methode_Keuze,4)="Geen",Methode_Keuze=""),"",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26"/>
      <c r="Z213" s="319"/>
      <c r="AA213" s="32" t="str" cm="1">
        <f t="array" ref="AA213">IFERROR(IF(INDEX(SubsidieTabel!$AD$1:$AG$12,MATCH($F213,SubsidieTabel!$AD$1:$AD$12,0),IFERROR(MATCH(Methode_Keuze,SubsidieTabel!$AD$1:$AG$1,0),2))&lt;&gt;1=TRUE,"ja",""),"")</f>
        <v/>
      </c>
    </row>
    <row r="214" spans="1:27" x14ac:dyDescent="0.25">
      <c r="A214" s="320"/>
      <c r="B214" s="321" t="str">
        <f>IF(A214&lt;&gt;"",_xlfn.MAXIFS($B$1:B213,$A$1:A213,A214)+1,"")</f>
        <v/>
      </c>
      <c r="C214" s="299"/>
      <c r="D214" s="299"/>
      <c r="E214" s="299"/>
      <c r="F214" s="299"/>
      <c r="G214" s="330"/>
      <c r="H214" s="328"/>
      <c r="I214" s="329"/>
      <c r="J214" s="329"/>
      <c r="K214" s="322"/>
      <c r="L214" s="322"/>
      <c r="M214" s="323" t="str">
        <f>IFERROR(VLOOKUP(H214,Lijsten!$H$1:$I$100,2,0),"")</f>
        <v/>
      </c>
      <c r="N214" s="323" t="str">
        <f ca="1">IFERROR(IF(VLOOKUP(F214,Kostentypen!$A$3:$E$21,3,0)=0,"",IF(OR(F214="Arbeidskosten",F214="Vergoeding"),VLOOKUP(G214,Tb_KostenTypen[],2,0),VLOOKUP(F214,Kostentypen!$A$3:$E$20,3,0))),"")</f>
        <v/>
      </c>
      <c r="O214" s="324"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4"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3"/>
      <c r="R214" s="363"/>
      <c r="S214" s="325"/>
      <c r="T214" s="325"/>
      <c r="U214" s="317" t="str" cm="1">
        <f t="array" aca="1" ref="U214" ca="1">IFERROR(IF(AA214&lt;&gt;"ja",_xlfn.IFNA(_xlfn.IFS(AND(O214&lt;&gt;"",F214&lt;&gt;"",RIGHT($N214,6)="tarief",F214="Vergoeding"),SUM(O214)*FLOOR(SUM(Q214),0.0001),AND(O214&lt;&gt;"",F214&lt;&gt;"",RIGHT($N214,6)="tarief"),SUM(O214)*FLOOR(SUM(Q214),0.01),S214&gt;0,IF(F214&lt;&gt;"",FLOOR(SUM(S214),0.01),"")),""),""),"")</f>
        <v/>
      </c>
      <c r="V214" s="317" t="str" cm="1">
        <f t="array" aca="1" ref="V214" ca="1">IFERROR(IF(AA214&lt;&gt;"ja",_xlfn.IFNA(_xlfn.IFS(AND(P214&lt;&gt;"",R214&lt;&gt;"",RIGHT($N214,6)="tarief",F214="Vergoeding"),SUM(P214)*FLOOR(SUM(R214),0.0001),AND(P214&lt;&gt;"",R214&lt;&gt;"",RIGHT($N214,6)="tarief"),P214*FLOOR(R214,0.01),T214&gt;0,FLOOR(SUM(T214),0.01)),""),""),"")</f>
        <v/>
      </c>
      <c r="W214" s="317" t="str" cm="1">
        <f t="array" aca="1" ref="W214" ca="1">IFERROR(_xlfn.IFS(OR(F214="",LEFT(Methode_Keuze,4)="Geen",Methode_Keuze=""),"",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17" t="str" cm="1">
        <f t="array" aca="1" ref="X214" ca="1">IFERROR(_xlfn.IFS(OR(F214="",LEFT(Methode_Keuze,4)="Geen",Methode_Keuze=""),"",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26"/>
      <c r="Z214" s="319"/>
      <c r="AA214" s="32" t="str" cm="1">
        <f t="array" ref="AA214">IFERROR(IF(INDEX(SubsidieTabel!$AD$1:$AG$12,MATCH($F214,SubsidieTabel!$AD$1:$AD$12,0),IFERROR(MATCH(Methode_Keuze,SubsidieTabel!$AD$1:$AG$1,0),2))&lt;&gt;1=TRUE,"ja",""),"")</f>
        <v/>
      </c>
    </row>
    <row r="215" spans="1:27" x14ac:dyDescent="0.25">
      <c r="A215" s="320"/>
      <c r="B215" s="321" t="str">
        <f>IF(A215&lt;&gt;"",_xlfn.MAXIFS($B$1:B214,$A$1:A214,A215)+1,"")</f>
        <v/>
      </c>
      <c r="C215" s="299"/>
      <c r="D215" s="299"/>
      <c r="E215" s="299"/>
      <c r="F215" s="299"/>
      <c r="G215" s="330"/>
      <c r="H215" s="328"/>
      <c r="I215" s="329"/>
      <c r="J215" s="329"/>
      <c r="K215" s="322"/>
      <c r="L215" s="322"/>
      <c r="M215" s="323" t="str">
        <f>IFERROR(VLOOKUP(H215,Lijsten!$H$1:$I$100,2,0),"")</f>
        <v/>
      </c>
      <c r="N215" s="323" t="str">
        <f ca="1">IFERROR(IF(VLOOKUP(F215,Kostentypen!$A$3:$E$21,3,0)=0,"",IF(OR(F215="Arbeidskosten",F215="Vergoeding"),VLOOKUP(G215,Tb_KostenTypen[],2,0),VLOOKUP(F215,Kostentypen!$A$3:$E$20,3,0))),"")</f>
        <v/>
      </c>
      <c r="O215" s="324"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4"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3"/>
      <c r="R215" s="363"/>
      <c r="S215" s="325"/>
      <c r="T215" s="325"/>
      <c r="U215" s="317" t="str" cm="1">
        <f t="array" aca="1" ref="U215" ca="1">IFERROR(IF(AA215&lt;&gt;"ja",_xlfn.IFNA(_xlfn.IFS(AND(O215&lt;&gt;"",F215&lt;&gt;"",RIGHT($N215,6)="tarief",F215="Vergoeding"),SUM(O215)*FLOOR(SUM(Q215),0.0001),AND(O215&lt;&gt;"",F215&lt;&gt;"",RIGHT($N215,6)="tarief"),SUM(O215)*FLOOR(SUM(Q215),0.01),S215&gt;0,IF(F215&lt;&gt;"",FLOOR(SUM(S215),0.01),"")),""),""),"")</f>
        <v/>
      </c>
      <c r="V215" s="317" t="str" cm="1">
        <f t="array" aca="1" ref="V215" ca="1">IFERROR(IF(AA215&lt;&gt;"ja",_xlfn.IFNA(_xlfn.IFS(AND(P215&lt;&gt;"",R215&lt;&gt;"",RIGHT($N215,6)="tarief",F215="Vergoeding"),SUM(P215)*FLOOR(SUM(R215),0.0001),AND(P215&lt;&gt;"",R215&lt;&gt;"",RIGHT($N215,6)="tarief"),P215*FLOOR(R215,0.01),T215&gt;0,FLOOR(SUM(T215),0.01)),""),""),"")</f>
        <v/>
      </c>
      <c r="W215" s="317" t="str" cm="1">
        <f t="array" aca="1" ref="W215" ca="1">IFERROR(_xlfn.IFS(OR(F215="",LEFT(Methode_Keuze,4)="Geen",Methode_Keuze=""),"",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17" t="str" cm="1">
        <f t="array" aca="1" ref="X215" ca="1">IFERROR(_xlfn.IFS(OR(F215="",LEFT(Methode_Keuze,4)="Geen",Methode_Keuze=""),"",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26"/>
      <c r="Z215" s="319"/>
      <c r="AA215" s="32" t="str" cm="1">
        <f t="array" ref="AA215">IFERROR(IF(INDEX(SubsidieTabel!$AD$1:$AG$12,MATCH($F215,SubsidieTabel!$AD$1:$AD$12,0),IFERROR(MATCH(Methode_Keuze,SubsidieTabel!$AD$1:$AG$1,0),2))&lt;&gt;1=TRUE,"ja",""),"")</f>
        <v/>
      </c>
    </row>
    <row r="216" spans="1:27" x14ac:dyDescent="0.25">
      <c r="A216" s="320"/>
      <c r="B216" s="321" t="str">
        <f>IF(A216&lt;&gt;"",_xlfn.MAXIFS($B$1:B215,$A$1:A215,A216)+1,"")</f>
        <v/>
      </c>
      <c r="C216" s="299"/>
      <c r="D216" s="299"/>
      <c r="E216" s="299"/>
      <c r="F216" s="299"/>
      <c r="G216" s="330"/>
      <c r="H216" s="328"/>
      <c r="I216" s="329"/>
      <c r="J216" s="329"/>
      <c r="K216" s="322"/>
      <c r="L216" s="322"/>
      <c r="M216" s="323" t="str">
        <f>IFERROR(VLOOKUP(H216,Lijsten!$H$1:$I$100,2,0),"")</f>
        <v/>
      </c>
      <c r="N216" s="323" t="str">
        <f ca="1">IFERROR(IF(VLOOKUP(F216,Kostentypen!$A$3:$E$21,3,0)=0,"",IF(OR(F216="Arbeidskosten",F216="Vergoeding"),VLOOKUP(G216,Tb_KostenTypen[],2,0),VLOOKUP(F216,Kostentypen!$A$3:$E$20,3,0))),"")</f>
        <v/>
      </c>
      <c r="O216" s="324"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4"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3"/>
      <c r="R216" s="363"/>
      <c r="S216" s="325"/>
      <c r="T216" s="325"/>
      <c r="U216" s="317" t="str" cm="1">
        <f t="array" aca="1" ref="U216" ca="1">IFERROR(IF(AA216&lt;&gt;"ja",_xlfn.IFNA(_xlfn.IFS(AND(O216&lt;&gt;"",F216&lt;&gt;"",RIGHT($N216,6)="tarief",F216="Vergoeding"),SUM(O216)*FLOOR(SUM(Q216),0.0001),AND(O216&lt;&gt;"",F216&lt;&gt;"",RIGHT($N216,6)="tarief"),SUM(O216)*FLOOR(SUM(Q216),0.01),S216&gt;0,IF(F216&lt;&gt;"",FLOOR(SUM(S216),0.01),"")),""),""),"")</f>
        <v/>
      </c>
      <c r="V216" s="317" t="str" cm="1">
        <f t="array" aca="1" ref="V216" ca="1">IFERROR(IF(AA216&lt;&gt;"ja",_xlfn.IFNA(_xlfn.IFS(AND(P216&lt;&gt;"",R216&lt;&gt;"",RIGHT($N216,6)="tarief",F216="Vergoeding"),SUM(P216)*FLOOR(SUM(R216),0.0001),AND(P216&lt;&gt;"",R216&lt;&gt;"",RIGHT($N216,6)="tarief"),P216*FLOOR(R216,0.01),T216&gt;0,FLOOR(SUM(T216),0.01)),""),""),"")</f>
        <v/>
      </c>
      <c r="W216" s="317" t="str" cm="1">
        <f t="array" aca="1" ref="W216" ca="1">IFERROR(_xlfn.IFS(OR(F216="",LEFT(Methode_Keuze,4)="Geen",Methode_Keuze=""),"",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17" t="str" cm="1">
        <f t="array" aca="1" ref="X216" ca="1">IFERROR(_xlfn.IFS(OR(F216="",LEFT(Methode_Keuze,4)="Geen",Methode_Keuze=""),"",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26"/>
      <c r="Z216" s="319"/>
      <c r="AA216" s="32" t="str" cm="1">
        <f t="array" ref="AA216">IFERROR(IF(INDEX(SubsidieTabel!$AD$1:$AG$12,MATCH($F216,SubsidieTabel!$AD$1:$AD$12,0),IFERROR(MATCH(Methode_Keuze,SubsidieTabel!$AD$1:$AG$1,0),2))&lt;&gt;1=TRUE,"ja",""),"")</f>
        <v/>
      </c>
    </row>
    <row r="217" spans="1:27" x14ac:dyDescent="0.25">
      <c r="A217" s="320"/>
      <c r="B217" s="321" t="str">
        <f>IF(A217&lt;&gt;"",_xlfn.MAXIFS($B$1:B216,$A$1:A216,A217)+1,"")</f>
        <v/>
      </c>
      <c r="C217" s="299"/>
      <c r="D217" s="299"/>
      <c r="E217" s="299"/>
      <c r="F217" s="299"/>
      <c r="G217" s="330"/>
      <c r="H217" s="328"/>
      <c r="I217" s="329"/>
      <c r="J217" s="329"/>
      <c r="K217" s="322"/>
      <c r="L217" s="322"/>
      <c r="M217" s="323" t="str">
        <f>IFERROR(VLOOKUP(H217,Lijsten!$H$1:$I$100,2,0),"")</f>
        <v/>
      </c>
      <c r="N217" s="323" t="str">
        <f ca="1">IFERROR(IF(VLOOKUP(F217,Kostentypen!$A$3:$E$21,3,0)=0,"",IF(OR(F217="Arbeidskosten",F217="Vergoeding"),VLOOKUP(G217,Tb_KostenTypen[],2,0),VLOOKUP(F217,Kostentypen!$A$3:$E$20,3,0))),"")</f>
        <v/>
      </c>
      <c r="O217" s="324"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4"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3"/>
      <c r="R217" s="363"/>
      <c r="S217" s="325"/>
      <c r="T217" s="325"/>
      <c r="U217" s="317" t="str" cm="1">
        <f t="array" aca="1" ref="U217" ca="1">IFERROR(IF(AA217&lt;&gt;"ja",_xlfn.IFNA(_xlfn.IFS(AND(O217&lt;&gt;"",F217&lt;&gt;"",RIGHT($N217,6)="tarief",F217="Vergoeding"),SUM(O217)*FLOOR(SUM(Q217),0.0001),AND(O217&lt;&gt;"",F217&lt;&gt;"",RIGHT($N217,6)="tarief"),SUM(O217)*FLOOR(SUM(Q217),0.01),S217&gt;0,IF(F217&lt;&gt;"",FLOOR(SUM(S217),0.01),"")),""),""),"")</f>
        <v/>
      </c>
      <c r="V217" s="317" t="str" cm="1">
        <f t="array" aca="1" ref="V217" ca="1">IFERROR(IF(AA217&lt;&gt;"ja",_xlfn.IFNA(_xlfn.IFS(AND(P217&lt;&gt;"",R217&lt;&gt;"",RIGHT($N217,6)="tarief",F217="Vergoeding"),SUM(P217)*FLOOR(SUM(R217),0.0001),AND(P217&lt;&gt;"",R217&lt;&gt;"",RIGHT($N217,6)="tarief"),P217*FLOOR(R217,0.01),T217&gt;0,FLOOR(SUM(T217),0.01)),""),""),"")</f>
        <v/>
      </c>
      <c r="W217" s="317" t="str" cm="1">
        <f t="array" aca="1" ref="W217" ca="1">IFERROR(_xlfn.IFS(OR(F217="",LEFT(Methode_Keuze,4)="Geen",Methode_Keuze=""),"",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17" t="str" cm="1">
        <f t="array" aca="1" ref="X217" ca="1">IFERROR(_xlfn.IFS(OR(F217="",LEFT(Methode_Keuze,4)="Geen",Methode_Keuze=""),"",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26"/>
      <c r="Z217" s="319"/>
      <c r="AA217" s="32" t="str" cm="1">
        <f t="array" ref="AA217">IFERROR(IF(INDEX(SubsidieTabel!$AD$1:$AG$12,MATCH($F217,SubsidieTabel!$AD$1:$AD$12,0),IFERROR(MATCH(Methode_Keuze,SubsidieTabel!$AD$1:$AG$1,0),2))&lt;&gt;1=TRUE,"ja",""),"")</f>
        <v/>
      </c>
    </row>
    <row r="218" spans="1:27" x14ac:dyDescent="0.25">
      <c r="A218" s="320"/>
      <c r="B218" s="321" t="str">
        <f>IF(A218&lt;&gt;"",_xlfn.MAXIFS($B$1:B217,$A$1:A217,A218)+1,"")</f>
        <v/>
      </c>
      <c r="C218" s="299"/>
      <c r="D218" s="299"/>
      <c r="E218" s="299"/>
      <c r="F218" s="299"/>
      <c r="G218" s="330"/>
      <c r="H218" s="328"/>
      <c r="I218" s="329"/>
      <c r="J218" s="329"/>
      <c r="K218" s="322"/>
      <c r="L218" s="322"/>
      <c r="M218" s="323" t="str">
        <f>IFERROR(VLOOKUP(H218,Lijsten!$H$1:$I$100,2,0),"")</f>
        <v/>
      </c>
      <c r="N218" s="323" t="str">
        <f ca="1">IFERROR(IF(VLOOKUP(F218,Kostentypen!$A$3:$E$21,3,0)=0,"",IF(OR(F218="Arbeidskosten",F218="Vergoeding"),VLOOKUP(G218,Tb_KostenTypen[],2,0),VLOOKUP(F218,Kostentypen!$A$3:$E$20,3,0))),"")</f>
        <v/>
      </c>
      <c r="O218" s="324"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4"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3"/>
      <c r="R218" s="363"/>
      <c r="S218" s="325"/>
      <c r="T218" s="325"/>
      <c r="U218" s="317" t="str" cm="1">
        <f t="array" aca="1" ref="U218" ca="1">IFERROR(IF(AA218&lt;&gt;"ja",_xlfn.IFNA(_xlfn.IFS(AND(O218&lt;&gt;"",F218&lt;&gt;"",RIGHT($N218,6)="tarief",F218="Vergoeding"),SUM(O218)*FLOOR(SUM(Q218),0.0001),AND(O218&lt;&gt;"",F218&lt;&gt;"",RIGHT($N218,6)="tarief"),SUM(O218)*FLOOR(SUM(Q218),0.01),S218&gt;0,IF(F218&lt;&gt;"",FLOOR(SUM(S218),0.01),"")),""),""),"")</f>
        <v/>
      </c>
      <c r="V218" s="317" t="str" cm="1">
        <f t="array" aca="1" ref="V218" ca="1">IFERROR(IF(AA218&lt;&gt;"ja",_xlfn.IFNA(_xlfn.IFS(AND(P218&lt;&gt;"",R218&lt;&gt;"",RIGHT($N218,6)="tarief",F218="Vergoeding"),SUM(P218)*FLOOR(SUM(R218),0.0001),AND(P218&lt;&gt;"",R218&lt;&gt;"",RIGHT($N218,6)="tarief"),P218*FLOOR(R218,0.01),T218&gt;0,FLOOR(SUM(T218),0.01)),""),""),"")</f>
        <v/>
      </c>
      <c r="W218" s="317" t="str" cm="1">
        <f t="array" aca="1" ref="W218" ca="1">IFERROR(_xlfn.IFS(OR(F218="",LEFT(Methode_Keuze,4)="Geen",Methode_Keuze=""),"",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17" t="str" cm="1">
        <f t="array" aca="1" ref="X218" ca="1">IFERROR(_xlfn.IFS(OR(F218="",LEFT(Methode_Keuze,4)="Geen",Methode_Keuze=""),"",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26"/>
      <c r="Z218" s="319"/>
      <c r="AA218" s="32" t="str" cm="1">
        <f t="array" ref="AA218">IFERROR(IF(INDEX(SubsidieTabel!$AD$1:$AG$12,MATCH($F218,SubsidieTabel!$AD$1:$AD$12,0),IFERROR(MATCH(Methode_Keuze,SubsidieTabel!$AD$1:$AG$1,0),2))&lt;&gt;1=TRUE,"ja",""),"")</f>
        <v/>
      </c>
    </row>
    <row r="219" spans="1:27" x14ac:dyDescent="0.25">
      <c r="A219" s="320"/>
      <c r="B219" s="321" t="str">
        <f>IF(A219&lt;&gt;"",_xlfn.MAXIFS($B$1:B218,$A$1:A218,A219)+1,"")</f>
        <v/>
      </c>
      <c r="C219" s="299"/>
      <c r="D219" s="299"/>
      <c r="E219" s="299"/>
      <c r="F219" s="299"/>
      <c r="G219" s="330"/>
      <c r="H219" s="328"/>
      <c r="I219" s="329"/>
      <c r="J219" s="329"/>
      <c r="K219" s="322"/>
      <c r="L219" s="322"/>
      <c r="M219" s="323" t="str">
        <f>IFERROR(VLOOKUP(H219,Lijsten!$H$1:$I$100,2,0),"")</f>
        <v/>
      </c>
      <c r="N219" s="323" t="str">
        <f ca="1">IFERROR(IF(VLOOKUP(F219,Kostentypen!$A$3:$E$21,3,0)=0,"",IF(OR(F219="Arbeidskosten",F219="Vergoeding"),VLOOKUP(G219,Tb_KostenTypen[],2,0),VLOOKUP(F219,Kostentypen!$A$3:$E$20,3,0))),"")</f>
        <v/>
      </c>
      <c r="O219" s="324"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4"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3"/>
      <c r="R219" s="363"/>
      <c r="S219" s="325"/>
      <c r="T219" s="325"/>
      <c r="U219" s="317" t="str" cm="1">
        <f t="array" aca="1" ref="U219" ca="1">IFERROR(IF(AA219&lt;&gt;"ja",_xlfn.IFNA(_xlfn.IFS(AND(O219&lt;&gt;"",F219&lt;&gt;"",RIGHT($N219,6)="tarief",F219="Vergoeding"),SUM(O219)*FLOOR(SUM(Q219),0.0001),AND(O219&lt;&gt;"",F219&lt;&gt;"",RIGHT($N219,6)="tarief"),SUM(O219)*FLOOR(SUM(Q219),0.01),S219&gt;0,IF(F219&lt;&gt;"",FLOOR(SUM(S219),0.01),"")),""),""),"")</f>
        <v/>
      </c>
      <c r="V219" s="317" t="str" cm="1">
        <f t="array" aca="1" ref="V219" ca="1">IFERROR(IF(AA219&lt;&gt;"ja",_xlfn.IFNA(_xlfn.IFS(AND(P219&lt;&gt;"",R219&lt;&gt;"",RIGHT($N219,6)="tarief",F219="Vergoeding"),SUM(P219)*FLOOR(SUM(R219),0.0001),AND(P219&lt;&gt;"",R219&lt;&gt;"",RIGHT($N219,6)="tarief"),P219*FLOOR(R219,0.01),T219&gt;0,FLOOR(SUM(T219),0.01)),""),""),"")</f>
        <v/>
      </c>
      <c r="W219" s="317" t="str" cm="1">
        <f t="array" aca="1" ref="W219" ca="1">IFERROR(_xlfn.IFS(OR(F219="",LEFT(Methode_Keuze,4)="Geen",Methode_Keuze=""),"",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17" t="str" cm="1">
        <f t="array" aca="1" ref="X219" ca="1">IFERROR(_xlfn.IFS(OR(F219="",LEFT(Methode_Keuze,4)="Geen",Methode_Keuze=""),"",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26"/>
      <c r="Z219" s="319"/>
      <c r="AA219" s="32" t="str" cm="1">
        <f t="array" ref="AA219">IFERROR(IF(INDEX(SubsidieTabel!$AD$1:$AG$12,MATCH($F219,SubsidieTabel!$AD$1:$AD$12,0),IFERROR(MATCH(Methode_Keuze,SubsidieTabel!$AD$1:$AG$1,0),2))&lt;&gt;1=TRUE,"ja",""),"")</f>
        <v/>
      </c>
    </row>
    <row r="220" spans="1:27" x14ac:dyDescent="0.25">
      <c r="A220" s="320"/>
      <c r="B220" s="321" t="str">
        <f>IF(A220&lt;&gt;"",_xlfn.MAXIFS($B$1:B219,$A$1:A219,A220)+1,"")</f>
        <v/>
      </c>
      <c r="C220" s="299"/>
      <c r="D220" s="299"/>
      <c r="E220" s="299"/>
      <c r="F220" s="299"/>
      <c r="G220" s="330"/>
      <c r="H220" s="328"/>
      <c r="I220" s="329"/>
      <c r="J220" s="329"/>
      <c r="K220" s="322"/>
      <c r="L220" s="322"/>
      <c r="M220" s="323" t="str">
        <f>IFERROR(VLOOKUP(H220,Lijsten!$H$1:$I$100,2,0),"")</f>
        <v/>
      </c>
      <c r="N220" s="323" t="str">
        <f ca="1">IFERROR(IF(VLOOKUP(F220,Kostentypen!$A$3:$E$21,3,0)=0,"",IF(OR(F220="Arbeidskosten",F220="Vergoeding"),VLOOKUP(G220,Tb_KostenTypen[],2,0),VLOOKUP(F220,Kostentypen!$A$3:$E$20,3,0))),"")</f>
        <v/>
      </c>
      <c r="O220" s="324"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4"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3"/>
      <c r="R220" s="363"/>
      <c r="S220" s="325"/>
      <c r="T220" s="325"/>
      <c r="U220" s="317" t="str" cm="1">
        <f t="array" aca="1" ref="U220" ca="1">IFERROR(IF(AA220&lt;&gt;"ja",_xlfn.IFNA(_xlfn.IFS(AND(O220&lt;&gt;"",F220&lt;&gt;"",RIGHT($N220,6)="tarief",F220="Vergoeding"),SUM(O220)*FLOOR(SUM(Q220),0.0001),AND(O220&lt;&gt;"",F220&lt;&gt;"",RIGHT($N220,6)="tarief"),SUM(O220)*FLOOR(SUM(Q220),0.01),S220&gt;0,IF(F220&lt;&gt;"",FLOOR(SUM(S220),0.01),"")),""),""),"")</f>
        <v/>
      </c>
      <c r="V220" s="317" t="str" cm="1">
        <f t="array" aca="1" ref="V220" ca="1">IFERROR(IF(AA220&lt;&gt;"ja",_xlfn.IFNA(_xlfn.IFS(AND(P220&lt;&gt;"",R220&lt;&gt;"",RIGHT($N220,6)="tarief",F220="Vergoeding"),SUM(P220)*FLOOR(SUM(R220),0.0001),AND(P220&lt;&gt;"",R220&lt;&gt;"",RIGHT($N220,6)="tarief"),P220*FLOOR(R220,0.01),T220&gt;0,FLOOR(SUM(T220),0.01)),""),""),"")</f>
        <v/>
      </c>
      <c r="W220" s="317" t="str" cm="1">
        <f t="array" aca="1" ref="W220" ca="1">IFERROR(_xlfn.IFS(OR(F220="",LEFT(Methode_Keuze,4)="Geen",Methode_Keuze=""),"",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17" t="str" cm="1">
        <f t="array" aca="1" ref="X220" ca="1">IFERROR(_xlfn.IFS(OR(F220="",LEFT(Methode_Keuze,4)="Geen",Methode_Keuze=""),"",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26"/>
      <c r="Z220" s="319"/>
      <c r="AA220" s="32" t="str" cm="1">
        <f t="array" ref="AA220">IFERROR(IF(INDEX(SubsidieTabel!$AD$1:$AG$12,MATCH($F220,SubsidieTabel!$AD$1:$AD$12,0),IFERROR(MATCH(Methode_Keuze,SubsidieTabel!$AD$1:$AG$1,0),2))&lt;&gt;1=TRUE,"ja",""),"")</f>
        <v/>
      </c>
    </row>
    <row r="221" spans="1:27" x14ac:dyDescent="0.25">
      <c r="A221" s="320"/>
      <c r="B221" s="321" t="str">
        <f>IF(A221&lt;&gt;"",_xlfn.MAXIFS($B$1:B220,$A$1:A220,A221)+1,"")</f>
        <v/>
      </c>
      <c r="C221" s="299"/>
      <c r="D221" s="299"/>
      <c r="E221" s="299"/>
      <c r="F221" s="299"/>
      <c r="G221" s="330"/>
      <c r="H221" s="328"/>
      <c r="I221" s="329"/>
      <c r="J221" s="329"/>
      <c r="K221" s="322"/>
      <c r="L221" s="322"/>
      <c r="M221" s="323" t="str">
        <f>IFERROR(VLOOKUP(H221,Lijsten!$H$1:$I$100,2,0),"")</f>
        <v/>
      </c>
      <c r="N221" s="323" t="str">
        <f ca="1">IFERROR(IF(VLOOKUP(F221,Kostentypen!$A$3:$E$21,3,0)=0,"",IF(OR(F221="Arbeidskosten",F221="Vergoeding"),VLOOKUP(G221,Tb_KostenTypen[],2,0),VLOOKUP(F221,Kostentypen!$A$3:$E$20,3,0))),"")</f>
        <v/>
      </c>
      <c r="O221" s="324"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4"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3"/>
      <c r="R221" s="363"/>
      <c r="S221" s="325"/>
      <c r="T221" s="325"/>
      <c r="U221" s="317" t="str" cm="1">
        <f t="array" aca="1" ref="U221" ca="1">IFERROR(IF(AA221&lt;&gt;"ja",_xlfn.IFNA(_xlfn.IFS(AND(O221&lt;&gt;"",F221&lt;&gt;"",RIGHT($N221,6)="tarief",F221="Vergoeding"),SUM(O221)*FLOOR(SUM(Q221),0.0001),AND(O221&lt;&gt;"",F221&lt;&gt;"",RIGHT($N221,6)="tarief"),SUM(O221)*FLOOR(SUM(Q221),0.01),S221&gt;0,IF(F221&lt;&gt;"",FLOOR(SUM(S221),0.01),"")),""),""),"")</f>
        <v/>
      </c>
      <c r="V221" s="317" t="str" cm="1">
        <f t="array" aca="1" ref="V221" ca="1">IFERROR(IF(AA221&lt;&gt;"ja",_xlfn.IFNA(_xlfn.IFS(AND(P221&lt;&gt;"",R221&lt;&gt;"",RIGHT($N221,6)="tarief",F221="Vergoeding"),SUM(P221)*FLOOR(SUM(R221),0.0001),AND(P221&lt;&gt;"",R221&lt;&gt;"",RIGHT($N221,6)="tarief"),P221*FLOOR(R221,0.01),T221&gt;0,FLOOR(SUM(T221),0.01)),""),""),"")</f>
        <v/>
      </c>
      <c r="W221" s="317" t="str" cm="1">
        <f t="array" aca="1" ref="W221" ca="1">IFERROR(_xlfn.IFS(OR(F221="",LEFT(Methode_Keuze,4)="Geen",Methode_Keuze=""),"",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17" t="str" cm="1">
        <f t="array" aca="1" ref="X221" ca="1">IFERROR(_xlfn.IFS(OR(F221="",LEFT(Methode_Keuze,4)="Geen",Methode_Keuze=""),"",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26"/>
      <c r="Z221" s="319"/>
      <c r="AA221" s="32" t="str" cm="1">
        <f t="array" ref="AA221">IFERROR(IF(INDEX(SubsidieTabel!$AD$1:$AG$12,MATCH($F221,SubsidieTabel!$AD$1:$AD$12,0),IFERROR(MATCH(Methode_Keuze,SubsidieTabel!$AD$1:$AG$1,0),2))&lt;&gt;1=TRUE,"ja",""),"")</f>
        <v/>
      </c>
    </row>
    <row r="222" spans="1:27" x14ac:dyDescent="0.25">
      <c r="A222" s="320"/>
      <c r="B222" s="321" t="str">
        <f>IF(A222&lt;&gt;"",_xlfn.MAXIFS($B$1:B221,$A$1:A221,A222)+1,"")</f>
        <v/>
      </c>
      <c r="C222" s="299"/>
      <c r="D222" s="299"/>
      <c r="E222" s="299"/>
      <c r="F222" s="299"/>
      <c r="G222" s="330"/>
      <c r="H222" s="328"/>
      <c r="I222" s="329"/>
      <c r="J222" s="329"/>
      <c r="K222" s="322"/>
      <c r="L222" s="322"/>
      <c r="M222" s="323" t="str">
        <f>IFERROR(VLOOKUP(H222,Lijsten!$H$1:$I$100,2,0),"")</f>
        <v/>
      </c>
      <c r="N222" s="323" t="str">
        <f ca="1">IFERROR(IF(VLOOKUP(F222,Kostentypen!$A$3:$E$21,3,0)=0,"",IF(OR(F222="Arbeidskosten",F222="Vergoeding"),VLOOKUP(G222,Tb_KostenTypen[],2,0),VLOOKUP(F222,Kostentypen!$A$3:$E$20,3,0))),"")</f>
        <v/>
      </c>
      <c r="O222" s="324"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4"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3"/>
      <c r="R222" s="363"/>
      <c r="S222" s="325"/>
      <c r="T222" s="325"/>
      <c r="U222" s="317" t="str" cm="1">
        <f t="array" aca="1" ref="U222" ca="1">IFERROR(IF(AA222&lt;&gt;"ja",_xlfn.IFNA(_xlfn.IFS(AND(O222&lt;&gt;"",F222&lt;&gt;"",RIGHT($N222,6)="tarief",F222="Vergoeding"),SUM(O222)*FLOOR(SUM(Q222),0.0001),AND(O222&lt;&gt;"",F222&lt;&gt;"",RIGHT($N222,6)="tarief"),SUM(O222)*FLOOR(SUM(Q222),0.01),S222&gt;0,IF(F222&lt;&gt;"",FLOOR(SUM(S222),0.01),"")),""),""),"")</f>
        <v/>
      </c>
      <c r="V222" s="317" t="str" cm="1">
        <f t="array" aca="1" ref="V222" ca="1">IFERROR(IF(AA222&lt;&gt;"ja",_xlfn.IFNA(_xlfn.IFS(AND(P222&lt;&gt;"",R222&lt;&gt;"",RIGHT($N222,6)="tarief",F222="Vergoeding"),SUM(P222)*FLOOR(SUM(R222),0.0001),AND(P222&lt;&gt;"",R222&lt;&gt;"",RIGHT($N222,6)="tarief"),P222*FLOOR(R222,0.01),T222&gt;0,FLOOR(SUM(T222),0.01)),""),""),"")</f>
        <v/>
      </c>
      <c r="W222" s="317" t="str" cm="1">
        <f t="array" aca="1" ref="W222" ca="1">IFERROR(_xlfn.IFS(OR(F222="",LEFT(Methode_Keuze,4)="Geen",Methode_Keuze=""),"",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17" t="str" cm="1">
        <f t="array" aca="1" ref="X222" ca="1">IFERROR(_xlfn.IFS(OR(F222="",LEFT(Methode_Keuze,4)="Geen",Methode_Keuze=""),"",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26"/>
      <c r="Z222" s="319"/>
      <c r="AA222" s="32" t="str" cm="1">
        <f t="array" ref="AA222">IFERROR(IF(INDEX(SubsidieTabel!$AD$1:$AG$12,MATCH($F222,SubsidieTabel!$AD$1:$AD$12,0),IFERROR(MATCH(Methode_Keuze,SubsidieTabel!$AD$1:$AG$1,0),2))&lt;&gt;1=TRUE,"ja",""),"")</f>
        <v/>
      </c>
    </row>
    <row r="223" spans="1:27" x14ac:dyDescent="0.25">
      <c r="A223" s="320"/>
      <c r="B223" s="321" t="str">
        <f>IF(A223&lt;&gt;"",_xlfn.MAXIFS($B$1:B222,$A$1:A222,A223)+1,"")</f>
        <v/>
      </c>
      <c r="C223" s="299"/>
      <c r="D223" s="299"/>
      <c r="E223" s="299"/>
      <c r="F223" s="299"/>
      <c r="G223" s="330"/>
      <c r="H223" s="328"/>
      <c r="I223" s="329"/>
      <c r="J223" s="329"/>
      <c r="K223" s="322"/>
      <c r="L223" s="322"/>
      <c r="M223" s="323" t="str">
        <f>IFERROR(VLOOKUP(H223,Lijsten!$H$1:$I$100,2,0),"")</f>
        <v/>
      </c>
      <c r="N223" s="323" t="str">
        <f ca="1">IFERROR(IF(VLOOKUP(F223,Kostentypen!$A$3:$E$21,3,0)=0,"",IF(OR(F223="Arbeidskosten",F223="Vergoeding"),VLOOKUP(G223,Tb_KostenTypen[],2,0),VLOOKUP(F223,Kostentypen!$A$3:$E$20,3,0))),"")</f>
        <v/>
      </c>
      <c r="O223" s="324"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4"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3"/>
      <c r="R223" s="363"/>
      <c r="S223" s="325"/>
      <c r="T223" s="325"/>
      <c r="U223" s="317" t="str" cm="1">
        <f t="array" aca="1" ref="U223" ca="1">IFERROR(IF(AA223&lt;&gt;"ja",_xlfn.IFNA(_xlfn.IFS(AND(O223&lt;&gt;"",F223&lt;&gt;"",RIGHT($N223,6)="tarief",F223="Vergoeding"),SUM(O223)*FLOOR(SUM(Q223),0.0001),AND(O223&lt;&gt;"",F223&lt;&gt;"",RIGHT($N223,6)="tarief"),SUM(O223)*FLOOR(SUM(Q223),0.01),S223&gt;0,IF(F223&lt;&gt;"",FLOOR(SUM(S223),0.01),"")),""),""),"")</f>
        <v/>
      </c>
      <c r="V223" s="317" t="str" cm="1">
        <f t="array" aca="1" ref="V223" ca="1">IFERROR(IF(AA223&lt;&gt;"ja",_xlfn.IFNA(_xlfn.IFS(AND(P223&lt;&gt;"",R223&lt;&gt;"",RIGHT($N223,6)="tarief",F223="Vergoeding"),SUM(P223)*FLOOR(SUM(R223),0.0001),AND(P223&lt;&gt;"",R223&lt;&gt;"",RIGHT($N223,6)="tarief"),P223*FLOOR(R223,0.01),T223&gt;0,FLOOR(SUM(T223),0.01)),""),""),"")</f>
        <v/>
      </c>
      <c r="W223" s="317" t="str" cm="1">
        <f t="array" aca="1" ref="W223" ca="1">IFERROR(_xlfn.IFS(OR(F223="",LEFT(Methode_Keuze,4)="Geen",Methode_Keuze=""),"",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17" t="str" cm="1">
        <f t="array" aca="1" ref="X223" ca="1">IFERROR(_xlfn.IFS(OR(F223="",LEFT(Methode_Keuze,4)="Geen",Methode_Keuze=""),"",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26"/>
      <c r="Z223" s="319"/>
      <c r="AA223" s="32" t="str" cm="1">
        <f t="array" ref="AA223">IFERROR(IF(INDEX(SubsidieTabel!$AD$1:$AG$12,MATCH($F223,SubsidieTabel!$AD$1:$AD$12,0),IFERROR(MATCH(Methode_Keuze,SubsidieTabel!$AD$1:$AG$1,0),2))&lt;&gt;1=TRUE,"ja",""),"")</f>
        <v/>
      </c>
    </row>
    <row r="224" spans="1:27" x14ac:dyDescent="0.25">
      <c r="A224" s="320"/>
      <c r="B224" s="321" t="str">
        <f>IF(A224&lt;&gt;"",_xlfn.MAXIFS($B$1:B223,$A$1:A223,A224)+1,"")</f>
        <v/>
      </c>
      <c r="C224" s="299"/>
      <c r="D224" s="299"/>
      <c r="E224" s="299"/>
      <c r="F224" s="299"/>
      <c r="G224" s="330"/>
      <c r="H224" s="328"/>
      <c r="I224" s="329"/>
      <c r="J224" s="329"/>
      <c r="K224" s="322"/>
      <c r="L224" s="322"/>
      <c r="M224" s="323" t="str">
        <f>IFERROR(VLOOKUP(H224,Lijsten!$H$1:$I$100,2,0),"")</f>
        <v/>
      </c>
      <c r="N224" s="323" t="str">
        <f ca="1">IFERROR(IF(VLOOKUP(F224,Kostentypen!$A$3:$E$21,3,0)=0,"",IF(OR(F224="Arbeidskosten",F224="Vergoeding"),VLOOKUP(G224,Tb_KostenTypen[],2,0),VLOOKUP(F224,Kostentypen!$A$3:$E$20,3,0))),"")</f>
        <v/>
      </c>
      <c r="O224" s="324"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4"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3"/>
      <c r="R224" s="363"/>
      <c r="S224" s="325"/>
      <c r="T224" s="325"/>
      <c r="U224" s="317" t="str" cm="1">
        <f t="array" aca="1" ref="U224" ca="1">IFERROR(IF(AA224&lt;&gt;"ja",_xlfn.IFNA(_xlfn.IFS(AND(O224&lt;&gt;"",F224&lt;&gt;"",RIGHT($N224,6)="tarief",F224="Vergoeding"),SUM(O224)*FLOOR(SUM(Q224),0.0001),AND(O224&lt;&gt;"",F224&lt;&gt;"",RIGHT($N224,6)="tarief"),SUM(O224)*FLOOR(SUM(Q224),0.01),S224&gt;0,IF(F224&lt;&gt;"",FLOOR(SUM(S224),0.01),"")),""),""),"")</f>
        <v/>
      </c>
      <c r="V224" s="317" t="str" cm="1">
        <f t="array" aca="1" ref="V224" ca="1">IFERROR(IF(AA224&lt;&gt;"ja",_xlfn.IFNA(_xlfn.IFS(AND(P224&lt;&gt;"",R224&lt;&gt;"",RIGHT($N224,6)="tarief",F224="Vergoeding"),SUM(P224)*FLOOR(SUM(R224),0.0001),AND(P224&lt;&gt;"",R224&lt;&gt;"",RIGHT($N224,6)="tarief"),P224*FLOOR(R224,0.01),T224&gt;0,FLOOR(SUM(T224),0.01)),""),""),"")</f>
        <v/>
      </c>
      <c r="W224" s="317" t="str" cm="1">
        <f t="array" aca="1" ref="W224" ca="1">IFERROR(_xlfn.IFS(OR(F224="",LEFT(Methode_Keuze,4)="Geen",Methode_Keuze=""),"",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17" t="str" cm="1">
        <f t="array" aca="1" ref="X224" ca="1">IFERROR(_xlfn.IFS(OR(F224="",LEFT(Methode_Keuze,4)="Geen",Methode_Keuze=""),"",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26"/>
      <c r="Z224" s="319"/>
      <c r="AA224" s="32" t="str" cm="1">
        <f t="array" ref="AA224">IFERROR(IF(INDEX(SubsidieTabel!$AD$1:$AG$12,MATCH($F224,SubsidieTabel!$AD$1:$AD$12,0),IFERROR(MATCH(Methode_Keuze,SubsidieTabel!$AD$1:$AG$1,0),2))&lt;&gt;1=TRUE,"ja",""),"")</f>
        <v/>
      </c>
    </row>
    <row r="225" spans="1:27" x14ac:dyDescent="0.25">
      <c r="A225" s="320"/>
      <c r="B225" s="321" t="str">
        <f>IF(A225&lt;&gt;"",_xlfn.MAXIFS($B$1:B224,$A$1:A224,A225)+1,"")</f>
        <v/>
      </c>
      <c r="C225" s="299"/>
      <c r="D225" s="299"/>
      <c r="E225" s="299"/>
      <c r="F225" s="299"/>
      <c r="G225" s="330"/>
      <c r="H225" s="328"/>
      <c r="I225" s="329"/>
      <c r="J225" s="329"/>
      <c r="K225" s="322"/>
      <c r="L225" s="322"/>
      <c r="M225" s="323" t="str">
        <f>IFERROR(VLOOKUP(H225,Lijsten!$H$1:$I$100,2,0),"")</f>
        <v/>
      </c>
      <c r="N225" s="323" t="str">
        <f ca="1">IFERROR(IF(VLOOKUP(F225,Kostentypen!$A$3:$E$21,3,0)=0,"",IF(OR(F225="Arbeidskosten",F225="Vergoeding"),VLOOKUP(G225,Tb_KostenTypen[],2,0),VLOOKUP(F225,Kostentypen!$A$3:$E$20,3,0))),"")</f>
        <v/>
      </c>
      <c r="O225" s="324"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4"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3"/>
      <c r="R225" s="363"/>
      <c r="S225" s="325"/>
      <c r="T225" s="325"/>
      <c r="U225" s="317" t="str" cm="1">
        <f t="array" aca="1" ref="U225" ca="1">IFERROR(IF(AA225&lt;&gt;"ja",_xlfn.IFNA(_xlfn.IFS(AND(O225&lt;&gt;"",F225&lt;&gt;"",RIGHT($N225,6)="tarief",F225="Vergoeding"),SUM(O225)*FLOOR(SUM(Q225),0.0001),AND(O225&lt;&gt;"",F225&lt;&gt;"",RIGHT($N225,6)="tarief"),SUM(O225)*FLOOR(SUM(Q225),0.01),S225&gt;0,IF(F225&lt;&gt;"",FLOOR(SUM(S225),0.01),"")),""),""),"")</f>
        <v/>
      </c>
      <c r="V225" s="317" t="str" cm="1">
        <f t="array" aca="1" ref="V225" ca="1">IFERROR(IF(AA225&lt;&gt;"ja",_xlfn.IFNA(_xlfn.IFS(AND(P225&lt;&gt;"",R225&lt;&gt;"",RIGHT($N225,6)="tarief",F225="Vergoeding"),SUM(P225)*FLOOR(SUM(R225),0.0001),AND(P225&lt;&gt;"",R225&lt;&gt;"",RIGHT($N225,6)="tarief"),P225*FLOOR(R225,0.01),T225&gt;0,FLOOR(SUM(T225),0.01)),""),""),"")</f>
        <v/>
      </c>
      <c r="W225" s="317" t="str" cm="1">
        <f t="array" aca="1" ref="W225" ca="1">IFERROR(_xlfn.IFS(OR(F225="",LEFT(Methode_Keuze,4)="Geen",Methode_Keuze=""),"",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17" t="str" cm="1">
        <f t="array" aca="1" ref="X225" ca="1">IFERROR(_xlfn.IFS(OR(F225="",LEFT(Methode_Keuze,4)="Geen",Methode_Keuze=""),"",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26"/>
      <c r="Z225" s="319"/>
      <c r="AA225" s="32" t="str" cm="1">
        <f t="array" ref="AA225">IFERROR(IF(INDEX(SubsidieTabel!$AD$1:$AG$12,MATCH($F225,SubsidieTabel!$AD$1:$AD$12,0),IFERROR(MATCH(Methode_Keuze,SubsidieTabel!$AD$1:$AG$1,0),2))&lt;&gt;1=TRUE,"ja",""),"")</f>
        <v/>
      </c>
    </row>
    <row r="226" spans="1:27" x14ac:dyDescent="0.25">
      <c r="A226" s="320"/>
      <c r="B226" s="321" t="str">
        <f>IF(A226&lt;&gt;"",_xlfn.MAXIFS($B$1:B225,$A$1:A225,A226)+1,"")</f>
        <v/>
      </c>
      <c r="C226" s="299"/>
      <c r="D226" s="299"/>
      <c r="E226" s="299"/>
      <c r="F226" s="299"/>
      <c r="G226" s="330"/>
      <c r="H226" s="328"/>
      <c r="I226" s="329"/>
      <c r="J226" s="329"/>
      <c r="K226" s="322"/>
      <c r="L226" s="322"/>
      <c r="M226" s="323" t="str">
        <f>IFERROR(VLOOKUP(H226,Lijsten!$H$1:$I$100,2,0),"")</f>
        <v/>
      </c>
      <c r="N226" s="323" t="str">
        <f ca="1">IFERROR(IF(VLOOKUP(F226,Kostentypen!$A$3:$E$21,3,0)=0,"",IF(OR(F226="Arbeidskosten",F226="Vergoeding"),VLOOKUP(G226,Tb_KostenTypen[],2,0),VLOOKUP(F226,Kostentypen!$A$3:$E$20,3,0))),"")</f>
        <v/>
      </c>
      <c r="O226" s="324"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4"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3"/>
      <c r="R226" s="363"/>
      <c r="S226" s="325"/>
      <c r="T226" s="325"/>
      <c r="U226" s="317" t="str" cm="1">
        <f t="array" aca="1" ref="U226" ca="1">IFERROR(IF(AA226&lt;&gt;"ja",_xlfn.IFNA(_xlfn.IFS(AND(O226&lt;&gt;"",F226&lt;&gt;"",RIGHT($N226,6)="tarief",F226="Vergoeding"),SUM(O226)*FLOOR(SUM(Q226),0.0001),AND(O226&lt;&gt;"",F226&lt;&gt;"",RIGHT($N226,6)="tarief"),SUM(O226)*FLOOR(SUM(Q226),0.01),S226&gt;0,IF(F226&lt;&gt;"",FLOOR(SUM(S226),0.01),"")),""),""),"")</f>
        <v/>
      </c>
      <c r="V226" s="317" t="str" cm="1">
        <f t="array" aca="1" ref="V226" ca="1">IFERROR(IF(AA226&lt;&gt;"ja",_xlfn.IFNA(_xlfn.IFS(AND(P226&lt;&gt;"",R226&lt;&gt;"",RIGHT($N226,6)="tarief",F226="Vergoeding"),SUM(P226)*FLOOR(SUM(R226),0.0001),AND(P226&lt;&gt;"",R226&lt;&gt;"",RIGHT($N226,6)="tarief"),P226*FLOOR(R226,0.01),T226&gt;0,FLOOR(SUM(T226),0.01)),""),""),"")</f>
        <v/>
      </c>
      <c r="W226" s="317" t="str" cm="1">
        <f t="array" aca="1" ref="W226" ca="1">IFERROR(_xlfn.IFS(OR(F226="",LEFT(Methode_Keuze,4)="Geen",Methode_Keuze=""),"",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17" t="str" cm="1">
        <f t="array" aca="1" ref="X226" ca="1">IFERROR(_xlfn.IFS(OR(F226="",LEFT(Methode_Keuze,4)="Geen",Methode_Keuze=""),"",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26"/>
      <c r="Z226" s="319"/>
      <c r="AA226" s="32" t="str" cm="1">
        <f t="array" ref="AA226">IFERROR(IF(INDEX(SubsidieTabel!$AD$1:$AG$12,MATCH($F226,SubsidieTabel!$AD$1:$AD$12,0),IFERROR(MATCH(Methode_Keuze,SubsidieTabel!$AD$1:$AG$1,0),2))&lt;&gt;1=TRUE,"ja",""),"")</f>
        <v/>
      </c>
    </row>
    <row r="227" spans="1:27" x14ac:dyDescent="0.25">
      <c r="A227" s="320"/>
      <c r="B227" s="321" t="str">
        <f>IF(A227&lt;&gt;"",_xlfn.MAXIFS($B$1:B226,$A$1:A226,A227)+1,"")</f>
        <v/>
      </c>
      <c r="C227" s="299"/>
      <c r="D227" s="299"/>
      <c r="E227" s="299"/>
      <c r="F227" s="299"/>
      <c r="G227" s="330"/>
      <c r="H227" s="328"/>
      <c r="I227" s="329"/>
      <c r="J227" s="329"/>
      <c r="K227" s="322"/>
      <c r="L227" s="322"/>
      <c r="M227" s="323" t="str">
        <f>IFERROR(VLOOKUP(H227,Lijsten!$H$1:$I$100,2,0),"")</f>
        <v/>
      </c>
      <c r="N227" s="323" t="str">
        <f ca="1">IFERROR(IF(VLOOKUP(F227,Kostentypen!$A$3:$E$21,3,0)=0,"",IF(OR(F227="Arbeidskosten",F227="Vergoeding"),VLOOKUP(G227,Tb_KostenTypen[],2,0),VLOOKUP(F227,Kostentypen!$A$3:$E$20,3,0))),"")</f>
        <v/>
      </c>
      <c r="O227" s="324"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4"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3"/>
      <c r="R227" s="363"/>
      <c r="S227" s="325"/>
      <c r="T227" s="325"/>
      <c r="U227" s="317" t="str" cm="1">
        <f t="array" aca="1" ref="U227" ca="1">IFERROR(IF(AA227&lt;&gt;"ja",_xlfn.IFNA(_xlfn.IFS(AND(O227&lt;&gt;"",F227&lt;&gt;"",RIGHT($N227,6)="tarief",F227="Vergoeding"),SUM(O227)*FLOOR(SUM(Q227),0.0001),AND(O227&lt;&gt;"",F227&lt;&gt;"",RIGHT($N227,6)="tarief"),SUM(O227)*FLOOR(SUM(Q227),0.01),S227&gt;0,IF(F227&lt;&gt;"",FLOOR(SUM(S227),0.01),"")),""),""),"")</f>
        <v/>
      </c>
      <c r="V227" s="317" t="str" cm="1">
        <f t="array" aca="1" ref="V227" ca="1">IFERROR(IF(AA227&lt;&gt;"ja",_xlfn.IFNA(_xlfn.IFS(AND(P227&lt;&gt;"",R227&lt;&gt;"",RIGHT($N227,6)="tarief",F227="Vergoeding"),SUM(P227)*FLOOR(SUM(R227),0.0001),AND(P227&lt;&gt;"",R227&lt;&gt;"",RIGHT($N227,6)="tarief"),P227*FLOOR(R227,0.01),T227&gt;0,FLOOR(SUM(T227),0.01)),""),""),"")</f>
        <v/>
      </c>
      <c r="W227" s="317" t="str" cm="1">
        <f t="array" aca="1" ref="W227" ca="1">IFERROR(_xlfn.IFS(OR(F227="",LEFT(Methode_Keuze,4)="Geen",Methode_Keuze=""),"",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17" t="str" cm="1">
        <f t="array" aca="1" ref="X227" ca="1">IFERROR(_xlfn.IFS(OR(F227="",LEFT(Methode_Keuze,4)="Geen",Methode_Keuze=""),"",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26"/>
      <c r="Z227" s="319"/>
      <c r="AA227" s="32" t="str" cm="1">
        <f t="array" ref="AA227">IFERROR(IF(INDEX(SubsidieTabel!$AD$1:$AG$12,MATCH($F227,SubsidieTabel!$AD$1:$AD$12,0),IFERROR(MATCH(Methode_Keuze,SubsidieTabel!$AD$1:$AG$1,0),2))&lt;&gt;1=TRUE,"ja",""),"")</f>
        <v/>
      </c>
    </row>
    <row r="228" spans="1:27" x14ac:dyDescent="0.25">
      <c r="A228" s="320"/>
      <c r="B228" s="321" t="str">
        <f>IF(A228&lt;&gt;"",_xlfn.MAXIFS($B$1:B227,$A$1:A227,A228)+1,"")</f>
        <v/>
      </c>
      <c r="C228" s="299"/>
      <c r="D228" s="299"/>
      <c r="E228" s="299"/>
      <c r="F228" s="299"/>
      <c r="G228" s="330"/>
      <c r="H228" s="328"/>
      <c r="I228" s="329"/>
      <c r="J228" s="329"/>
      <c r="K228" s="322"/>
      <c r="L228" s="322"/>
      <c r="M228" s="323" t="str">
        <f>IFERROR(VLOOKUP(H228,Lijsten!$H$1:$I$100,2,0),"")</f>
        <v/>
      </c>
      <c r="N228" s="323" t="str">
        <f ca="1">IFERROR(IF(VLOOKUP(F228,Kostentypen!$A$3:$E$21,3,0)=0,"",IF(OR(F228="Arbeidskosten",F228="Vergoeding"),VLOOKUP(G228,Tb_KostenTypen[],2,0),VLOOKUP(F228,Kostentypen!$A$3:$E$20,3,0))),"")</f>
        <v/>
      </c>
      <c r="O228" s="324"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4"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3"/>
      <c r="R228" s="363"/>
      <c r="S228" s="325"/>
      <c r="T228" s="325"/>
      <c r="U228" s="317" t="str" cm="1">
        <f t="array" aca="1" ref="U228" ca="1">IFERROR(IF(AA228&lt;&gt;"ja",_xlfn.IFNA(_xlfn.IFS(AND(O228&lt;&gt;"",F228&lt;&gt;"",RIGHT($N228,6)="tarief",F228="Vergoeding"),SUM(O228)*FLOOR(SUM(Q228),0.0001),AND(O228&lt;&gt;"",F228&lt;&gt;"",RIGHT($N228,6)="tarief"),SUM(O228)*FLOOR(SUM(Q228),0.01),S228&gt;0,IF(F228&lt;&gt;"",FLOOR(SUM(S228),0.01),"")),""),""),"")</f>
        <v/>
      </c>
      <c r="V228" s="317" t="str" cm="1">
        <f t="array" aca="1" ref="V228" ca="1">IFERROR(IF(AA228&lt;&gt;"ja",_xlfn.IFNA(_xlfn.IFS(AND(P228&lt;&gt;"",R228&lt;&gt;"",RIGHT($N228,6)="tarief",F228="Vergoeding"),SUM(P228)*FLOOR(SUM(R228),0.0001),AND(P228&lt;&gt;"",R228&lt;&gt;"",RIGHT($N228,6)="tarief"),P228*FLOOR(R228,0.01),T228&gt;0,FLOOR(SUM(T228),0.01)),""),""),"")</f>
        <v/>
      </c>
      <c r="W228" s="317" t="str" cm="1">
        <f t="array" aca="1" ref="W228" ca="1">IFERROR(_xlfn.IFS(OR(F228="",LEFT(Methode_Keuze,4)="Geen",Methode_Keuze=""),"",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17" t="str" cm="1">
        <f t="array" aca="1" ref="X228" ca="1">IFERROR(_xlfn.IFS(OR(F228="",LEFT(Methode_Keuze,4)="Geen",Methode_Keuze=""),"",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26"/>
      <c r="Z228" s="319"/>
      <c r="AA228" s="32" t="str" cm="1">
        <f t="array" ref="AA228">IFERROR(IF(INDEX(SubsidieTabel!$AD$1:$AG$12,MATCH($F228,SubsidieTabel!$AD$1:$AD$12,0),IFERROR(MATCH(Methode_Keuze,SubsidieTabel!$AD$1:$AG$1,0),2))&lt;&gt;1=TRUE,"ja",""),"")</f>
        <v/>
      </c>
    </row>
    <row r="229" spans="1:27" x14ac:dyDescent="0.25">
      <c r="A229" s="320"/>
      <c r="B229" s="321" t="str">
        <f>IF(A229&lt;&gt;"",_xlfn.MAXIFS($B$1:B228,$A$1:A228,A229)+1,"")</f>
        <v/>
      </c>
      <c r="C229" s="299"/>
      <c r="D229" s="299"/>
      <c r="E229" s="299"/>
      <c r="F229" s="299"/>
      <c r="G229" s="330"/>
      <c r="H229" s="328"/>
      <c r="I229" s="329"/>
      <c r="J229" s="329"/>
      <c r="K229" s="322"/>
      <c r="L229" s="322"/>
      <c r="M229" s="323" t="str">
        <f>IFERROR(VLOOKUP(H229,Lijsten!$H$1:$I$100,2,0),"")</f>
        <v/>
      </c>
      <c r="N229" s="323" t="str">
        <f ca="1">IFERROR(IF(VLOOKUP(F229,Kostentypen!$A$3:$E$21,3,0)=0,"",IF(OR(F229="Arbeidskosten",F229="Vergoeding"),VLOOKUP(G229,Tb_KostenTypen[],2,0),VLOOKUP(F229,Kostentypen!$A$3:$E$20,3,0))),"")</f>
        <v/>
      </c>
      <c r="O229" s="324"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4"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3"/>
      <c r="R229" s="363"/>
      <c r="S229" s="325"/>
      <c r="T229" s="325"/>
      <c r="U229" s="317" t="str" cm="1">
        <f t="array" aca="1" ref="U229" ca="1">IFERROR(IF(AA229&lt;&gt;"ja",_xlfn.IFNA(_xlfn.IFS(AND(O229&lt;&gt;"",F229&lt;&gt;"",RIGHT($N229,6)="tarief",F229="Vergoeding"),SUM(O229)*FLOOR(SUM(Q229),0.0001),AND(O229&lt;&gt;"",F229&lt;&gt;"",RIGHT($N229,6)="tarief"),SUM(O229)*FLOOR(SUM(Q229),0.01),S229&gt;0,IF(F229&lt;&gt;"",FLOOR(SUM(S229),0.01),"")),""),""),"")</f>
        <v/>
      </c>
      <c r="V229" s="317" t="str" cm="1">
        <f t="array" aca="1" ref="V229" ca="1">IFERROR(IF(AA229&lt;&gt;"ja",_xlfn.IFNA(_xlfn.IFS(AND(P229&lt;&gt;"",R229&lt;&gt;"",RIGHT($N229,6)="tarief",F229="Vergoeding"),SUM(P229)*FLOOR(SUM(R229),0.0001),AND(P229&lt;&gt;"",R229&lt;&gt;"",RIGHT($N229,6)="tarief"),P229*FLOOR(R229,0.01),T229&gt;0,FLOOR(SUM(T229),0.01)),""),""),"")</f>
        <v/>
      </c>
      <c r="W229" s="317" t="str" cm="1">
        <f t="array" aca="1" ref="W229" ca="1">IFERROR(_xlfn.IFS(OR(F229="",LEFT(Methode_Keuze,4)="Geen",Methode_Keuze=""),"",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17" t="str" cm="1">
        <f t="array" aca="1" ref="X229" ca="1">IFERROR(_xlfn.IFS(OR(F229="",LEFT(Methode_Keuze,4)="Geen",Methode_Keuze=""),"",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26"/>
      <c r="Z229" s="319"/>
      <c r="AA229" s="32" t="str" cm="1">
        <f t="array" ref="AA229">IFERROR(IF(INDEX(SubsidieTabel!$AD$1:$AG$12,MATCH($F229,SubsidieTabel!$AD$1:$AD$12,0),IFERROR(MATCH(Methode_Keuze,SubsidieTabel!$AD$1:$AG$1,0),2))&lt;&gt;1=TRUE,"ja",""),"")</f>
        <v/>
      </c>
    </row>
    <row r="230" spans="1:27" x14ac:dyDescent="0.25">
      <c r="A230" s="320"/>
      <c r="B230" s="321" t="str">
        <f>IF(A230&lt;&gt;"",_xlfn.MAXIFS($B$1:B229,$A$1:A229,A230)+1,"")</f>
        <v/>
      </c>
      <c r="C230" s="299"/>
      <c r="D230" s="299"/>
      <c r="E230" s="299"/>
      <c r="F230" s="299"/>
      <c r="G230" s="330"/>
      <c r="H230" s="328"/>
      <c r="I230" s="329"/>
      <c r="J230" s="329"/>
      <c r="K230" s="322"/>
      <c r="L230" s="322"/>
      <c r="M230" s="323" t="str">
        <f>IFERROR(VLOOKUP(H230,Lijsten!$H$1:$I$100,2,0),"")</f>
        <v/>
      </c>
      <c r="N230" s="323" t="str">
        <f ca="1">IFERROR(IF(VLOOKUP(F230,Kostentypen!$A$3:$E$21,3,0)=0,"",IF(OR(F230="Arbeidskosten",F230="Vergoeding"),VLOOKUP(G230,Tb_KostenTypen[],2,0),VLOOKUP(F230,Kostentypen!$A$3:$E$20,3,0))),"")</f>
        <v/>
      </c>
      <c r="O230" s="324"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4"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3"/>
      <c r="R230" s="363"/>
      <c r="S230" s="325"/>
      <c r="T230" s="325"/>
      <c r="U230" s="317" t="str" cm="1">
        <f t="array" aca="1" ref="U230" ca="1">IFERROR(IF(AA230&lt;&gt;"ja",_xlfn.IFNA(_xlfn.IFS(AND(O230&lt;&gt;"",F230&lt;&gt;"",RIGHT($N230,6)="tarief",F230="Vergoeding"),SUM(O230)*FLOOR(SUM(Q230),0.0001),AND(O230&lt;&gt;"",F230&lt;&gt;"",RIGHT($N230,6)="tarief"),SUM(O230)*FLOOR(SUM(Q230),0.01),S230&gt;0,IF(F230&lt;&gt;"",FLOOR(SUM(S230),0.01),"")),""),""),"")</f>
        <v/>
      </c>
      <c r="V230" s="317" t="str" cm="1">
        <f t="array" aca="1" ref="V230" ca="1">IFERROR(IF(AA230&lt;&gt;"ja",_xlfn.IFNA(_xlfn.IFS(AND(P230&lt;&gt;"",R230&lt;&gt;"",RIGHT($N230,6)="tarief",F230="Vergoeding"),SUM(P230)*FLOOR(SUM(R230),0.0001),AND(P230&lt;&gt;"",R230&lt;&gt;"",RIGHT($N230,6)="tarief"),P230*FLOOR(R230,0.01),T230&gt;0,FLOOR(SUM(T230),0.01)),""),""),"")</f>
        <v/>
      </c>
      <c r="W230" s="317" t="str" cm="1">
        <f t="array" aca="1" ref="W230" ca="1">IFERROR(_xlfn.IFS(OR(F230="",LEFT(Methode_Keuze,4)="Geen",Methode_Keuze=""),"",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17" t="str" cm="1">
        <f t="array" aca="1" ref="X230" ca="1">IFERROR(_xlfn.IFS(OR(F230="",LEFT(Methode_Keuze,4)="Geen",Methode_Keuze=""),"",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26"/>
      <c r="Z230" s="319"/>
      <c r="AA230" s="32" t="str" cm="1">
        <f t="array" ref="AA230">IFERROR(IF(INDEX(SubsidieTabel!$AD$1:$AG$12,MATCH($F230,SubsidieTabel!$AD$1:$AD$12,0),IFERROR(MATCH(Methode_Keuze,SubsidieTabel!$AD$1:$AG$1,0),2))&lt;&gt;1=TRUE,"ja",""),"")</f>
        <v/>
      </c>
    </row>
    <row r="231" spans="1:27" x14ac:dyDescent="0.25">
      <c r="A231" s="320"/>
      <c r="B231" s="321" t="str">
        <f>IF(A231&lt;&gt;"",_xlfn.MAXIFS($B$1:B230,$A$1:A230,A231)+1,"")</f>
        <v/>
      </c>
      <c r="C231" s="299"/>
      <c r="D231" s="299"/>
      <c r="E231" s="299"/>
      <c r="F231" s="299"/>
      <c r="G231" s="330"/>
      <c r="H231" s="328"/>
      <c r="I231" s="329"/>
      <c r="J231" s="329"/>
      <c r="K231" s="322"/>
      <c r="L231" s="322"/>
      <c r="M231" s="323" t="str">
        <f>IFERROR(VLOOKUP(H231,Lijsten!$H$1:$I$100,2,0),"")</f>
        <v/>
      </c>
      <c r="N231" s="323" t="str">
        <f ca="1">IFERROR(IF(VLOOKUP(F231,Kostentypen!$A$3:$E$21,3,0)=0,"",IF(OR(F231="Arbeidskosten",F231="Vergoeding"),VLOOKUP(G231,Tb_KostenTypen[],2,0),VLOOKUP(F231,Kostentypen!$A$3:$E$20,3,0))),"")</f>
        <v/>
      </c>
      <c r="O231" s="324"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4"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3"/>
      <c r="R231" s="363"/>
      <c r="S231" s="325"/>
      <c r="T231" s="325"/>
      <c r="U231" s="317" t="str" cm="1">
        <f t="array" aca="1" ref="U231" ca="1">IFERROR(IF(AA231&lt;&gt;"ja",_xlfn.IFNA(_xlfn.IFS(AND(O231&lt;&gt;"",F231&lt;&gt;"",RIGHT($N231,6)="tarief",F231="Vergoeding"),SUM(O231)*FLOOR(SUM(Q231),0.0001),AND(O231&lt;&gt;"",F231&lt;&gt;"",RIGHT($N231,6)="tarief"),SUM(O231)*FLOOR(SUM(Q231),0.01),S231&gt;0,IF(F231&lt;&gt;"",FLOOR(SUM(S231),0.01),"")),""),""),"")</f>
        <v/>
      </c>
      <c r="V231" s="317" t="str" cm="1">
        <f t="array" aca="1" ref="V231" ca="1">IFERROR(IF(AA231&lt;&gt;"ja",_xlfn.IFNA(_xlfn.IFS(AND(P231&lt;&gt;"",R231&lt;&gt;"",RIGHT($N231,6)="tarief",F231="Vergoeding"),SUM(P231)*FLOOR(SUM(R231),0.0001),AND(P231&lt;&gt;"",R231&lt;&gt;"",RIGHT($N231,6)="tarief"),P231*FLOOR(R231,0.01),T231&gt;0,FLOOR(SUM(T231),0.01)),""),""),"")</f>
        <v/>
      </c>
      <c r="W231" s="317" t="str" cm="1">
        <f t="array" aca="1" ref="W231" ca="1">IFERROR(_xlfn.IFS(OR(F231="",LEFT(Methode_Keuze,4)="Geen",Methode_Keuze=""),"",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17" t="str" cm="1">
        <f t="array" aca="1" ref="X231" ca="1">IFERROR(_xlfn.IFS(OR(F231="",LEFT(Methode_Keuze,4)="Geen",Methode_Keuze=""),"",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26"/>
      <c r="Z231" s="319"/>
      <c r="AA231" s="32" t="str" cm="1">
        <f t="array" ref="AA231">IFERROR(IF(INDEX(SubsidieTabel!$AD$1:$AG$12,MATCH($F231,SubsidieTabel!$AD$1:$AD$12,0),IFERROR(MATCH(Methode_Keuze,SubsidieTabel!$AD$1:$AG$1,0),2))&lt;&gt;1=TRUE,"ja",""),"")</f>
        <v/>
      </c>
    </row>
    <row r="232" spans="1:27" x14ac:dyDescent="0.25">
      <c r="A232" s="320"/>
      <c r="B232" s="321" t="str">
        <f>IF(A232&lt;&gt;"",_xlfn.MAXIFS($B$1:B231,$A$1:A231,A232)+1,"")</f>
        <v/>
      </c>
      <c r="C232" s="299"/>
      <c r="D232" s="299"/>
      <c r="E232" s="299"/>
      <c r="F232" s="299"/>
      <c r="G232" s="330"/>
      <c r="H232" s="328"/>
      <c r="I232" s="329"/>
      <c r="J232" s="329"/>
      <c r="K232" s="322"/>
      <c r="L232" s="322"/>
      <c r="M232" s="323" t="str">
        <f>IFERROR(VLOOKUP(H232,Lijsten!$H$1:$I$100,2,0),"")</f>
        <v/>
      </c>
      <c r="N232" s="323" t="str">
        <f ca="1">IFERROR(IF(VLOOKUP(F232,Kostentypen!$A$3:$E$21,3,0)=0,"",IF(OR(F232="Arbeidskosten",F232="Vergoeding"),VLOOKUP(G232,Tb_KostenTypen[],2,0),VLOOKUP(F232,Kostentypen!$A$3:$E$20,3,0))),"")</f>
        <v/>
      </c>
      <c r="O232" s="324"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4"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3"/>
      <c r="R232" s="363"/>
      <c r="S232" s="325"/>
      <c r="T232" s="325"/>
      <c r="U232" s="317" t="str" cm="1">
        <f t="array" aca="1" ref="U232" ca="1">IFERROR(IF(AA232&lt;&gt;"ja",_xlfn.IFNA(_xlfn.IFS(AND(O232&lt;&gt;"",F232&lt;&gt;"",RIGHT($N232,6)="tarief",F232="Vergoeding"),SUM(O232)*FLOOR(SUM(Q232),0.0001),AND(O232&lt;&gt;"",F232&lt;&gt;"",RIGHT($N232,6)="tarief"),SUM(O232)*FLOOR(SUM(Q232),0.01),S232&gt;0,IF(F232&lt;&gt;"",FLOOR(SUM(S232),0.01),"")),""),""),"")</f>
        <v/>
      </c>
      <c r="V232" s="317" t="str" cm="1">
        <f t="array" aca="1" ref="V232" ca="1">IFERROR(IF(AA232&lt;&gt;"ja",_xlfn.IFNA(_xlfn.IFS(AND(P232&lt;&gt;"",R232&lt;&gt;"",RIGHT($N232,6)="tarief",F232="Vergoeding"),SUM(P232)*FLOOR(SUM(R232),0.0001),AND(P232&lt;&gt;"",R232&lt;&gt;"",RIGHT($N232,6)="tarief"),P232*FLOOR(R232,0.01),T232&gt;0,FLOOR(SUM(T232),0.01)),""),""),"")</f>
        <v/>
      </c>
      <c r="W232" s="317" t="str" cm="1">
        <f t="array" aca="1" ref="W232" ca="1">IFERROR(_xlfn.IFS(OR(F232="",LEFT(Methode_Keuze,4)="Geen",Methode_Keuze=""),"",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17" t="str" cm="1">
        <f t="array" aca="1" ref="X232" ca="1">IFERROR(_xlfn.IFS(OR(F232="",LEFT(Methode_Keuze,4)="Geen",Methode_Keuze=""),"",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26"/>
      <c r="Z232" s="319"/>
      <c r="AA232" s="32" t="str" cm="1">
        <f t="array" ref="AA232">IFERROR(IF(INDEX(SubsidieTabel!$AD$1:$AG$12,MATCH($F232,SubsidieTabel!$AD$1:$AD$12,0),IFERROR(MATCH(Methode_Keuze,SubsidieTabel!$AD$1:$AG$1,0),2))&lt;&gt;1=TRUE,"ja",""),"")</f>
        <v/>
      </c>
    </row>
    <row r="233" spans="1:27" x14ac:dyDescent="0.25">
      <c r="A233" s="320"/>
      <c r="B233" s="321" t="str">
        <f>IF(A233&lt;&gt;"",_xlfn.MAXIFS($B$1:B232,$A$1:A232,A233)+1,"")</f>
        <v/>
      </c>
      <c r="C233" s="299"/>
      <c r="D233" s="299"/>
      <c r="E233" s="299"/>
      <c r="F233" s="299"/>
      <c r="G233" s="330"/>
      <c r="H233" s="328"/>
      <c r="I233" s="329"/>
      <c r="J233" s="329"/>
      <c r="K233" s="322"/>
      <c r="L233" s="322"/>
      <c r="M233" s="323" t="str">
        <f>IFERROR(VLOOKUP(H233,Lijsten!$H$1:$I$100,2,0),"")</f>
        <v/>
      </c>
      <c r="N233" s="323" t="str">
        <f ca="1">IFERROR(IF(VLOOKUP(F233,Kostentypen!$A$3:$E$21,3,0)=0,"",IF(OR(F233="Arbeidskosten",F233="Vergoeding"),VLOOKUP(G233,Tb_KostenTypen[],2,0),VLOOKUP(F233,Kostentypen!$A$3:$E$20,3,0))),"")</f>
        <v/>
      </c>
      <c r="O233" s="324"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4"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3"/>
      <c r="R233" s="363"/>
      <c r="S233" s="325"/>
      <c r="T233" s="325"/>
      <c r="U233" s="317" t="str" cm="1">
        <f t="array" aca="1" ref="U233" ca="1">IFERROR(IF(AA233&lt;&gt;"ja",_xlfn.IFNA(_xlfn.IFS(AND(O233&lt;&gt;"",F233&lt;&gt;"",RIGHT($N233,6)="tarief",F233="Vergoeding"),SUM(O233)*FLOOR(SUM(Q233),0.0001),AND(O233&lt;&gt;"",F233&lt;&gt;"",RIGHT($N233,6)="tarief"),SUM(O233)*FLOOR(SUM(Q233),0.01),S233&gt;0,IF(F233&lt;&gt;"",FLOOR(SUM(S233),0.01),"")),""),""),"")</f>
        <v/>
      </c>
      <c r="V233" s="317" t="str" cm="1">
        <f t="array" aca="1" ref="V233" ca="1">IFERROR(IF(AA233&lt;&gt;"ja",_xlfn.IFNA(_xlfn.IFS(AND(P233&lt;&gt;"",R233&lt;&gt;"",RIGHT($N233,6)="tarief",F233="Vergoeding"),SUM(P233)*FLOOR(SUM(R233),0.0001),AND(P233&lt;&gt;"",R233&lt;&gt;"",RIGHT($N233,6)="tarief"),P233*FLOOR(R233,0.01),T233&gt;0,FLOOR(SUM(T233),0.01)),""),""),"")</f>
        <v/>
      </c>
      <c r="W233" s="317" t="str" cm="1">
        <f t="array" aca="1" ref="W233" ca="1">IFERROR(_xlfn.IFS(OR(F233="",LEFT(Methode_Keuze,4)="Geen",Methode_Keuze=""),"",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17" t="str" cm="1">
        <f t="array" aca="1" ref="X233" ca="1">IFERROR(_xlfn.IFS(OR(F233="",LEFT(Methode_Keuze,4)="Geen",Methode_Keuze=""),"",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26"/>
      <c r="Z233" s="319"/>
      <c r="AA233" s="32" t="str" cm="1">
        <f t="array" ref="AA233">IFERROR(IF(INDEX(SubsidieTabel!$AD$1:$AG$12,MATCH($F233,SubsidieTabel!$AD$1:$AD$12,0),IFERROR(MATCH(Methode_Keuze,SubsidieTabel!$AD$1:$AG$1,0),2))&lt;&gt;1=TRUE,"ja",""),"")</f>
        <v/>
      </c>
    </row>
    <row r="234" spans="1:27" x14ac:dyDescent="0.25">
      <c r="A234" s="320"/>
      <c r="B234" s="321" t="str">
        <f>IF(A234&lt;&gt;"",_xlfn.MAXIFS($B$1:B233,$A$1:A233,A234)+1,"")</f>
        <v/>
      </c>
      <c r="C234" s="299"/>
      <c r="D234" s="299"/>
      <c r="E234" s="299"/>
      <c r="F234" s="299"/>
      <c r="G234" s="330"/>
      <c r="H234" s="328"/>
      <c r="I234" s="329"/>
      <c r="J234" s="329"/>
      <c r="K234" s="322"/>
      <c r="L234" s="322"/>
      <c r="M234" s="323" t="str">
        <f>IFERROR(VLOOKUP(H234,Lijsten!$H$1:$I$100,2,0),"")</f>
        <v/>
      </c>
      <c r="N234" s="323" t="str">
        <f ca="1">IFERROR(IF(VLOOKUP(F234,Kostentypen!$A$3:$E$21,3,0)=0,"",IF(OR(F234="Arbeidskosten",F234="Vergoeding"),VLOOKUP(G234,Tb_KostenTypen[],2,0),VLOOKUP(F234,Kostentypen!$A$3:$E$20,3,0))),"")</f>
        <v/>
      </c>
      <c r="O234" s="324"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4"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3"/>
      <c r="R234" s="363"/>
      <c r="S234" s="325"/>
      <c r="T234" s="325"/>
      <c r="U234" s="317" t="str" cm="1">
        <f t="array" aca="1" ref="U234" ca="1">IFERROR(IF(AA234&lt;&gt;"ja",_xlfn.IFNA(_xlfn.IFS(AND(O234&lt;&gt;"",F234&lt;&gt;"",RIGHT($N234,6)="tarief",F234="Vergoeding"),SUM(O234)*FLOOR(SUM(Q234),0.0001),AND(O234&lt;&gt;"",F234&lt;&gt;"",RIGHT($N234,6)="tarief"),SUM(O234)*FLOOR(SUM(Q234),0.01),S234&gt;0,IF(F234&lt;&gt;"",FLOOR(SUM(S234),0.01),"")),""),""),"")</f>
        <v/>
      </c>
      <c r="V234" s="317" t="str" cm="1">
        <f t="array" aca="1" ref="V234" ca="1">IFERROR(IF(AA234&lt;&gt;"ja",_xlfn.IFNA(_xlfn.IFS(AND(P234&lt;&gt;"",R234&lt;&gt;"",RIGHT($N234,6)="tarief",F234="Vergoeding"),SUM(P234)*FLOOR(SUM(R234),0.0001),AND(P234&lt;&gt;"",R234&lt;&gt;"",RIGHT($N234,6)="tarief"),P234*FLOOR(R234,0.01),T234&gt;0,FLOOR(SUM(T234),0.01)),""),""),"")</f>
        <v/>
      </c>
      <c r="W234" s="317" t="str" cm="1">
        <f t="array" aca="1" ref="W234" ca="1">IFERROR(_xlfn.IFS(OR(F234="",LEFT(Methode_Keuze,4)="Geen",Methode_Keuze=""),"",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17" t="str" cm="1">
        <f t="array" aca="1" ref="X234" ca="1">IFERROR(_xlfn.IFS(OR(F234="",LEFT(Methode_Keuze,4)="Geen",Methode_Keuze=""),"",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26"/>
      <c r="Z234" s="319"/>
      <c r="AA234" s="32" t="str" cm="1">
        <f t="array" ref="AA234">IFERROR(IF(INDEX(SubsidieTabel!$AD$1:$AG$12,MATCH($F234,SubsidieTabel!$AD$1:$AD$12,0),IFERROR(MATCH(Methode_Keuze,SubsidieTabel!$AD$1:$AG$1,0),2))&lt;&gt;1=TRUE,"ja",""),"")</f>
        <v/>
      </c>
    </row>
    <row r="235" spans="1:27" x14ac:dyDescent="0.25">
      <c r="A235" s="320"/>
      <c r="B235" s="321" t="str">
        <f>IF(A235&lt;&gt;"",_xlfn.MAXIFS($B$1:B234,$A$1:A234,A235)+1,"")</f>
        <v/>
      </c>
      <c r="C235" s="299"/>
      <c r="D235" s="299"/>
      <c r="E235" s="299"/>
      <c r="F235" s="299"/>
      <c r="G235" s="330"/>
      <c r="H235" s="328"/>
      <c r="I235" s="329"/>
      <c r="J235" s="329"/>
      <c r="K235" s="322"/>
      <c r="L235" s="322"/>
      <c r="M235" s="323" t="str">
        <f>IFERROR(VLOOKUP(H235,Lijsten!$H$1:$I$100,2,0),"")</f>
        <v/>
      </c>
      <c r="N235" s="323" t="str">
        <f ca="1">IFERROR(IF(VLOOKUP(F235,Kostentypen!$A$3:$E$21,3,0)=0,"",IF(OR(F235="Arbeidskosten",F235="Vergoeding"),VLOOKUP(G235,Tb_KostenTypen[],2,0),VLOOKUP(F235,Kostentypen!$A$3:$E$20,3,0))),"")</f>
        <v/>
      </c>
      <c r="O235" s="324"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4"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3"/>
      <c r="R235" s="363"/>
      <c r="S235" s="325"/>
      <c r="T235" s="325"/>
      <c r="U235" s="317" t="str" cm="1">
        <f t="array" aca="1" ref="U235" ca="1">IFERROR(IF(AA235&lt;&gt;"ja",_xlfn.IFNA(_xlfn.IFS(AND(O235&lt;&gt;"",F235&lt;&gt;"",RIGHT($N235,6)="tarief",F235="Vergoeding"),SUM(O235)*FLOOR(SUM(Q235),0.0001),AND(O235&lt;&gt;"",F235&lt;&gt;"",RIGHT($N235,6)="tarief"),SUM(O235)*FLOOR(SUM(Q235),0.01),S235&gt;0,IF(F235&lt;&gt;"",FLOOR(SUM(S235),0.01),"")),""),""),"")</f>
        <v/>
      </c>
      <c r="V235" s="317" t="str" cm="1">
        <f t="array" aca="1" ref="V235" ca="1">IFERROR(IF(AA235&lt;&gt;"ja",_xlfn.IFNA(_xlfn.IFS(AND(P235&lt;&gt;"",R235&lt;&gt;"",RIGHT($N235,6)="tarief",F235="Vergoeding"),SUM(P235)*FLOOR(SUM(R235),0.0001),AND(P235&lt;&gt;"",R235&lt;&gt;"",RIGHT($N235,6)="tarief"),P235*FLOOR(R235,0.01),T235&gt;0,FLOOR(SUM(T235),0.01)),""),""),"")</f>
        <v/>
      </c>
      <c r="W235" s="317" t="str" cm="1">
        <f t="array" aca="1" ref="W235" ca="1">IFERROR(_xlfn.IFS(OR(F235="",LEFT(Methode_Keuze,4)="Geen",Methode_Keuze=""),"",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17" t="str" cm="1">
        <f t="array" aca="1" ref="X235" ca="1">IFERROR(_xlfn.IFS(OR(F235="",LEFT(Methode_Keuze,4)="Geen",Methode_Keuze=""),"",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26"/>
      <c r="Z235" s="319"/>
      <c r="AA235" s="32" t="str" cm="1">
        <f t="array" ref="AA235">IFERROR(IF(INDEX(SubsidieTabel!$AD$1:$AG$12,MATCH($F235,SubsidieTabel!$AD$1:$AD$12,0),IFERROR(MATCH(Methode_Keuze,SubsidieTabel!$AD$1:$AG$1,0),2))&lt;&gt;1=TRUE,"ja",""),"")</f>
        <v/>
      </c>
    </row>
    <row r="236" spans="1:27" x14ac:dyDescent="0.25">
      <c r="A236" s="320"/>
      <c r="B236" s="321" t="str">
        <f>IF(A236&lt;&gt;"",_xlfn.MAXIFS($B$1:B235,$A$1:A235,A236)+1,"")</f>
        <v/>
      </c>
      <c r="C236" s="299"/>
      <c r="D236" s="299"/>
      <c r="E236" s="299"/>
      <c r="F236" s="299"/>
      <c r="G236" s="330"/>
      <c r="H236" s="328"/>
      <c r="I236" s="329"/>
      <c r="J236" s="329"/>
      <c r="K236" s="322"/>
      <c r="L236" s="322"/>
      <c r="M236" s="323" t="str">
        <f>IFERROR(VLOOKUP(H236,Lijsten!$H$1:$I$100,2,0),"")</f>
        <v/>
      </c>
      <c r="N236" s="323" t="str">
        <f ca="1">IFERROR(IF(VLOOKUP(F236,Kostentypen!$A$3:$E$21,3,0)=0,"",IF(OR(F236="Arbeidskosten",F236="Vergoeding"),VLOOKUP(G236,Tb_KostenTypen[],2,0),VLOOKUP(F236,Kostentypen!$A$3:$E$20,3,0))),"")</f>
        <v/>
      </c>
      <c r="O236" s="324"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4"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3"/>
      <c r="R236" s="363"/>
      <c r="S236" s="325"/>
      <c r="T236" s="325"/>
      <c r="U236" s="317" t="str" cm="1">
        <f t="array" aca="1" ref="U236" ca="1">IFERROR(IF(AA236&lt;&gt;"ja",_xlfn.IFNA(_xlfn.IFS(AND(O236&lt;&gt;"",F236&lt;&gt;"",RIGHT($N236,6)="tarief",F236="Vergoeding"),SUM(O236)*FLOOR(SUM(Q236),0.0001),AND(O236&lt;&gt;"",F236&lt;&gt;"",RIGHT($N236,6)="tarief"),SUM(O236)*FLOOR(SUM(Q236),0.01),S236&gt;0,IF(F236&lt;&gt;"",FLOOR(SUM(S236),0.01),"")),""),""),"")</f>
        <v/>
      </c>
      <c r="V236" s="317" t="str" cm="1">
        <f t="array" aca="1" ref="V236" ca="1">IFERROR(IF(AA236&lt;&gt;"ja",_xlfn.IFNA(_xlfn.IFS(AND(P236&lt;&gt;"",R236&lt;&gt;"",RIGHT($N236,6)="tarief",F236="Vergoeding"),SUM(P236)*FLOOR(SUM(R236),0.0001),AND(P236&lt;&gt;"",R236&lt;&gt;"",RIGHT($N236,6)="tarief"),P236*FLOOR(R236,0.01),T236&gt;0,FLOOR(SUM(T236),0.01)),""),""),"")</f>
        <v/>
      </c>
      <c r="W236" s="317" t="str" cm="1">
        <f t="array" aca="1" ref="W236" ca="1">IFERROR(_xlfn.IFS(OR(F236="",LEFT(Methode_Keuze,4)="Geen",Methode_Keuze=""),"",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17" t="str" cm="1">
        <f t="array" aca="1" ref="X236" ca="1">IFERROR(_xlfn.IFS(OR(F236="",LEFT(Methode_Keuze,4)="Geen",Methode_Keuze=""),"",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26"/>
      <c r="Z236" s="319"/>
      <c r="AA236" s="32" t="str" cm="1">
        <f t="array" ref="AA236">IFERROR(IF(INDEX(SubsidieTabel!$AD$1:$AG$12,MATCH($F236,SubsidieTabel!$AD$1:$AD$12,0),IFERROR(MATCH(Methode_Keuze,SubsidieTabel!$AD$1:$AG$1,0),2))&lt;&gt;1=TRUE,"ja",""),"")</f>
        <v/>
      </c>
    </row>
    <row r="237" spans="1:27" x14ac:dyDescent="0.25">
      <c r="A237" s="320"/>
      <c r="B237" s="321" t="str">
        <f>IF(A237&lt;&gt;"",_xlfn.MAXIFS($B$1:B236,$A$1:A236,A237)+1,"")</f>
        <v/>
      </c>
      <c r="C237" s="299"/>
      <c r="D237" s="299"/>
      <c r="E237" s="299"/>
      <c r="F237" s="299"/>
      <c r="G237" s="330"/>
      <c r="H237" s="328"/>
      <c r="I237" s="329"/>
      <c r="J237" s="329"/>
      <c r="K237" s="322"/>
      <c r="L237" s="322"/>
      <c r="M237" s="323" t="str">
        <f>IFERROR(VLOOKUP(H237,Lijsten!$H$1:$I$100,2,0),"")</f>
        <v/>
      </c>
      <c r="N237" s="323" t="str">
        <f ca="1">IFERROR(IF(VLOOKUP(F237,Kostentypen!$A$3:$E$21,3,0)=0,"",IF(OR(F237="Arbeidskosten",F237="Vergoeding"),VLOOKUP(G237,Tb_KostenTypen[],2,0),VLOOKUP(F237,Kostentypen!$A$3:$E$20,3,0))),"")</f>
        <v/>
      </c>
      <c r="O237" s="324"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4"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3"/>
      <c r="R237" s="363"/>
      <c r="S237" s="325"/>
      <c r="T237" s="325"/>
      <c r="U237" s="317" t="str" cm="1">
        <f t="array" aca="1" ref="U237" ca="1">IFERROR(IF(AA237&lt;&gt;"ja",_xlfn.IFNA(_xlfn.IFS(AND(O237&lt;&gt;"",F237&lt;&gt;"",RIGHT($N237,6)="tarief",F237="Vergoeding"),SUM(O237)*FLOOR(SUM(Q237),0.0001),AND(O237&lt;&gt;"",F237&lt;&gt;"",RIGHT($N237,6)="tarief"),SUM(O237)*FLOOR(SUM(Q237),0.01),S237&gt;0,IF(F237&lt;&gt;"",FLOOR(SUM(S237),0.01),"")),""),""),"")</f>
        <v/>
      </c>
      <c r="V237" s="317" t="str" cm="1">
        <f t="array" aca="1" ref="V237" ca="1">IFERROR(IF(AA237&lt;&gt;"ja",_xlfn.IFNA(_xlfn.IFS(AND(P237&lt;&gt;"",R237&lt;&gt;"",RIGHT($N237,6)="tarief",F237="Vergoeding"),SUM(P237)*FLOOR(SUM(R237),0.0001),AND(P237&lt;&gt;"",R237&lt;&gt;"",RIGHT($N237,6)="tarief"),P237*FLOOR(R237,0.01),T237&gt;0,FLOOR(SUM(T237),0.01)),""),""),"")</f>
        <v/>
      </c>
      <c r="W237" s="317" t="str" cm="1">
        <f t="array" aca="1" ref="W237" ca="1">IFERROR(_xlfn.IFS(OR(F237="",LEFT(Methode_Keuze,4)="Geen",Methode_Keuze=""),"",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17" t="str" cm="1">
        <f t="array" aca="1" ref="X237" ca="1">IFERROR(_xlfn.IFS(OR(F237="",LEFT(Methode_Keuze,4)="Geen",Methode_Keuze=""),"",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26"/>
      <c r="Z237" s="319"/>
      <c r="AA237" s="32" t="str" cm="1">
        <f t="array" ref="AA237">IFERROR(IF(INDEX(SubsidieTabel!$AD$1:$AG$12,MATCH($F237,SubsidieTabel!$AD$1:$AD$12,0),IFERROR(MATCH(Methode_Keuze,SubsidieTabel!$AD$1:$AG$1,0),2))&lt;&gt;1=TRUE,"ja",""),"")</f>
        <v/>
      </c>
    </row>
    <row r="238" spans="1:27" x14ac:dyDescent="0.25">
      <c r="A238" s="320"/>
      <c r="B238" s="321" t="str">
        <f>IF(A238&lt;&gt;"",_xlfn.MAXIFS($B$1:B237,$A$1:A237,A238)+1,"")</f>
        <v/>
      </c>
      <c r="C238" s="299"/>
      <c r="D238" s="299"/>
      <c r="E238" s="299"/>
      <c r="F238" s="299"/>
      <c r="G238" s="330"/>
      <c r="H238" s="328"/>
      <c r="I238" s="329"/>
      <c r="J238" s="329"/>
      <c r="K238" s="322"/>
      <c r="L238" s="322"/>
      <c r="M238" s="323" t="str">
        <f>IFERROR(VLOOKUP(H238,Lijsten!$H$1:$I$100,2,0),"")</f>
        <v/>
      </c>
      <c r="N238" s="323" t="str">
        <f ca="1">IFERROR(IF(VLOOKUP(F238,Kostentypen!$A$3:$E$21,3,0)=0,"",IF(OR(F238="Arbeidskosten",F238="Vergoeding"),VLOOKUP(G238,Tb_KostenTypen[],2,0),VLOOKUP(F238,Kostentypen!$A$3:$E$20,3,0))),"")</f>
        <v/>
      </c>
      <c r="O238" s="324"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4"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3"/>
      <c r="R238" s="363"/>
      <c r="S238" s="325"/>
      <c r="T238" s="325"/>
      <c r="U238" s="317" t="str" cm="1">
        <f t="array" aca="1" ref="U238" ca="1">IFERROR(IF(AA238&lt;&gt;"ja",_xlfn.IFNA(_xlfn.IFS(AND(O238&lt;&gt;"",F238&lt;&gt;"",RIGHT($N238,6)="tarief",F238="Vergoeding"),SUM(O238)*FLOOR(SUM(Q238),0.0001),AND(O238&lt;&gt;"",F238&lt;&gt;"",RIGHT($N238,6)="tarief"),SUM(O238)*FLOOR(SUM(Q238),0.01),S238&gt;0,IF(F238&lt;&gt;"",FLOOR(SUM(S238),0.01),"")),""),""),"")</f>
        <v/>
      </c>
      <c r="V238" s="317" t="str" cm="1">
        <f t="array" aca="1" ref="V238" ca="1">IFERROR(IF(AA238&lt;&gt;"ja",_xlfn.IFNA(_xlfn.IFS(AND(P238&lt;&gt;"",R238&lt;&gt;"",RIGHT($N238,6)="tarief",F238="Vergoeding"),SUM(P238)*FLOOR(SUM(R238),0.0001),AND(P238&lt;&gt;"",R238&lt;&gt;"",RIGHT($N238,6)="tarief"),P238*FLOOR(R238,0.01),T238&gt;0,FLOOR(SUM(T238),0.01)),""),""),"")</f>
        <v/>
      </c>
      <c r="W238" s="317" t="str" cm="1">
        <f t="array" aca="1" ref="W238" ca="1">IFERROR(_xlfn.IFS(OR(F238="",LEFT(Methode_Keuze,4)="Geen",Methode_Keuze=""),"",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17" t="str" cm="1">
        <f t="array" aca="1" ref="X238" ca="1">IFERROR(_xlfn.IFS(OR(F238="",LEFT(Methode_Keuze,4)="Geen",Methode_Keuze=""),"",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26"/>
      <c r="Z238" s="319"/>
      <c r="AA238" s="32" t="str" cm="1">
        <f t="array" ref="AA238">IFERROR(IF(INDEX(SubsidieTabel!$AD$1:$AG$12,MATCH($F238,SubsidieTabel!$AD$1:$AD$12,0),IFERROR(MATCH(Methode_Keuze,SubsidieTabel!$AD$1:$AG$1,0),2))&lt;&gt;1=TRUE,"ja",""),"")</f>
        <v/>
      </c>
    </row>
    <row r="239" spans="1:27" x14ac:dyDescent="0.25">
      <c r="A239" s="320"/>
      <c r="B239" s="321" t="str">
        <f>IF(A239&lt;&gt;"",_xlfn.MAXIFS($B$1:B238,$A$1:A238,A239)+1,"")</f>
        <v/>
      </c>
      <c r="C239" s="299"/>
      <c r="D239" s="299"/>
      <c r="E239" s="299"/>
      <c r="F239" s="299"/>
      <c r="G239" s="330"/>
      <c r="H239" s="328"/>
      <c r="I239" s="329"/>
      <c r="J239" s="329"/>
      <c r="K239" s="322"/>
      <c r="L239" s="322"/>
      <c r="M239" s="323" t="str">
        <f>IFERROR(VLOOKUP(H239,Lijsten!$H$1:$I$100,2,0),"")</f>
        <v/>
      </c>
      <c r="N239" s="323" t="str">
        <f ca="1">IFERROR(IF(VLOOKUP(F239,Kostentypen!$A$3:$E$21,3,0)=0,"",IF(OR(F239="Arbeidskosten",F239="Vergoeding"),VLOOKUP(G239,Tb_KostenTypen[],2,0),VLOOKUP(F239,Kostentypen!$A$3:$E$20,3,0))),"")</f>
        <v/>
      </c>
      <c r="O239" s="324"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4"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3"/>
      <c r="R239" s="363"/>
      <c r="S239" s="325"/>
      <c r="T239" s="325"/>
      <c r="U239" s="317" t="str" cm="1">
        <f t="array" aca="1" ref="U239" ca="1">IFERROR(IF(AA239&lt;&gt;"ja",_xlfn.IFNA(_xlfn.IFS(AND(O239&lt;&gt;"",F239&lt;&gt;"",RIGHT($N239,6)="tarief",F239="Vergoeding"),SUM(O239)*FLOOR(SUM(Q239),0.0001),AND(O239&lt;&gt;"",F239&lt;&gt;"",RIGHT($N239,6)="tarief"),SUM(O239)*FLOOR(SUM(Q239),0.01),S239&gt;0,IF(F239&lt;&gt;"",FLOOR(SUM(S239),0.01),"")),""),""),"")</f>
        <v/>
      </c>
      <c r="V239" s="317" t="str" cm="1">
        <f t="array" aca="1" ref="V239" ca="1">IFERROR(IF(AA239&lt;&gt;"ja",_xlfn.IFNA(_xlfn.IFS(AND(P239&lt;&gt;"",R239&lt;&gt;"",RIGHT($N239,6)="tarief",F239="Vergoeding"),SUM(P239)*FLOOR(SUM(R239),0.0001),AND(P239&lt;&gt;"",R239&lt;&gt;"",RIGHT($N239,6)="tarief"),P239*FLOOR(R239,0.01),T239&gt;0,FLOOR(SUM(T239),0.01)),""),""),"")</f>
        <v/>
      </c>
      <c r="W239" s="317" t="str" cm="1">
        <f t="array" aca="1" ref="W239" ca="1">IFERROR(_xlfn.IFS(OR(F239="",LEFT(Methode_Keuze,4)="Geen",Methode_Keuze=""),"",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17" t="str" cm="1">
        <f t="array" aca="1" ref="X239" ca="1">IFERROR(_xlfn.IFS(OR(F239="",LEFT(Methode_Keuze,4)="Geen",Methode_Keuze=""),"",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26"/>
      <c r="Z239" s="319"/>
      <c r="AA239" s="32" t="str" cm="1">
        <f t="array" ref="AA239">IFERROR(IF(INDEX(SubsidieTabel!$AD$1:$AG$12,MATCH($F239,SubsidieTabel!$AD$1:$AD$12,0),IFERROR(MATCH(Methode_Keuze,SubsidieTabel!$AD$1:$AG$1,0),2))&lt;&gt;1=TRUE,"ja",""),"")</f>
        <v/>
      </c>
    </row>
    <row r="240" spans="1:27" x14ac:dyDescent="0.25">
      <c r="A240" s="320"/>
      <c r="B240" s="321" t="str">
        <f>IF(A240&lt;&gt;"",_xlfn.MAXIFS($B$1:B239,$A$1:A239,A240)+1,"")</f>
        <v/>
      </c>
      <c r="C240" s="299"/>
      <c r="D240" s="299"/>
      <c r="E240" s="299"/>
      <c r="F240" s="299"/>
      <c r="G240" s="330"/>
      <c r="H240" s="328"/>
      <c r="I240" s="329"/>
      <c r="J240" s="329"/>
      <c r="K240" s="322"/>
      <c r="L240" s="322"/>
      <c r="M240" s="323" t="str">
        <f>IFERROR(VLOOKUP(H240,Lijsten!$H$1:$I$100,2,0),"")</f>
        <v/>
      </c>
      <c r="N240" s="323" t="str">
        <f ca="1">IFERROR(IF(VLOOKUP(F240,Kostentypen!$A$3:$E$21,3,0)=0,"",IF(OR(F240="Arbeidskosten",F240="Vergoeding"),VLOOKUP(G240,Tb_KostenTypen[],2,0),VLOOKUP(F240,Kostentypen!$A$3:$E$20,3,0))),"")</f>
        <v/>
      </c>
      <c r="O240" s="324"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4"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3"/>
      <c r="R240" s="363"/>
      <c r="S240" s="325"/>
      <c r="T240" s="325"/>
      <c r="U240" s="317" t="str" cm="1">
        <f t="array" aca="1" ref="U240" ca="1">IFERROR(IF(AA240&lt;&gt;"ja",_xlfn.IFNA(_xlfn.IFS(AND(O240&lt;&gt;"",F240&lt;&gt;"",RIGHT($N240,6)="tarief",F240="Vergoeding"),SUM(O240)*FLOOR(SUM(Q240),0.0001),AND(O240&lt;&gt;"",F240&lt;&gt;"",RIGHT($N240,6)="tarief"),SUM(O240)*FLOOR(SUM(Q240),0.01),S240&gt;0,IF(F240&lt;&gt;"",FLOOR(SUM(S240),0.01),"")),""),""),"")</f>
        <v/>
      </c>
      <c r="V240" s="317" t="str" cm="1">
        <f t="array" aca="1" ref="V240" ca="1">IFERROR(IF(AA240&lt;&gt;"ja",_xlfn.IFNA(_xlfn.IFS(AND(P240&lt;&gt;"",R240&lt;&gt;"",RIGHT($N240,6)="tarief",F240="Vergoeding"),SUM(P240)*FLOOR(SUM(R240),0.0001),AND(P240&lt;&gt;"",R240&lt;&gt;"",RIGHT($N240,6)="tarief"),P240*FLOOR(R240,0.01),T240&gt;0,FLOOR(SUM(T240),0.01)),""),""),"")</f>
        <v/>
      </c>
      <c r="W240" s="317" t="str" cm="1">
        <f t="array" aca="1" ref="W240" ca="1">IFERROR(_xlfn.IFS(OR(F240="",LEFT(Methode_Keuze,4)="Geen",Methode_Keuze=""),"",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17" t="str" cm="1">
        <f t="array" aca="1" ref="X240" ca="1">IFERROR(_xlfn.IFS(OR(F240="",LEFT(Methode_Keuze,4)="Geen",Methode_Keuze=""),"",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26"/>
      <c r="Z240" s="319"/>
      <c r="AA240" s="32" t="str" cm="1">
        <f t="array" ref="AA240">IFERROR(IF(INDEX(SubsidieTabel!$AD$1:$AG$12,MATCH($F240,SubsidieTabel!$AD$1:$AD$12,0),IFERROR(MATCH(Methode_Keuze,SubsidieTabel!$AD$1:$AG$1,0),2))&lt;&gt;1=TRUE,"ja",""),"")</f>
        <v/>
      </c>
    </row>
    <row r="241" spans="1:27" x14ac:dyDescent="0.25">
      <c r="A241" s="320"/>
      <c r="B241" s="321" t="str">
        <f>IF(A241&lt;&gt;"",_xlfn.MAXIFS($B$1:B240,$A$1:A240,A241)+1,"")</f>
        <v/>
      </c>
      <c r="C241" s="299"/>
      <c r="D241" s="299"/>
      <c r="E241" s="299"/>
      <c r="F241" s="299"/>
      <c r="G241" s="330"/>
      <c r="H241" s="328"/>
      <c r="I241" s="329"/>
      <c r="J241" s="329"/>
      <c r="K241" s="322"/>
      <c r="L241" s="322"/>
      <c r="M241" s="323" t="str">
        <f>IFERROR(VLOOKUP(H241,Lijsten!$H$1:$I$100,2,0),"")</f>
        <v/>
      </c>
      <c r="N241" s="323" t="str">
        <f ca="1">IFERROR(IF(VLOOKUP(F241,Kostentypen!$A$3:$E$21,3,0)=0,"",IF(OR(F241="Arbeidskosten",F241="Vergoeding"),VLOOKUP(G241,Tb_KostenTypen[],2,0),VLOOKUP(F241,Kostentypen!$A$3:$E$20,3,0))),"")</f>
        <v/>
      </c>
      <c r="O241" s="324"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4"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3"/>
      <c r="R241" s="363"/>
      <c r="S241" s="325"/>
      <c r="T241" s="325"/>
      <c r="U241" s="317" t="str" cm="1">
        <f t="array" aca="1" ref="U241" ca="1">IFERROR(IF(AA241&lt;&gt;"ja",_xlfn.IFNA(_xlfn.IFS(AND(O241&lt;&gt;"",F241&lt;&gt;"",RIGHT($N241,6)="tarief",F241="Vergoeding"),SUM(O241)*FLOOR(SUM(Q241),0.0001),AND(O241&lt;&gt;"",F241&lt;&gt;"",RIGHT($N241,6)="tarief"),SUM(O241)*FLOOR(SUM(Q241),0.01),S241&gt;0,IF(F241&lt;&gt;"",FLOOR(SUM(S241),0.01),"")),""),""),"")</f>
        <v/>
      </c>
      <c r="V241" s="317" t="str" cm="1">
        <f t="array" aca="1" ref="V241" ca="1">IFERROR(IF(AA241&lt;&gt;"ja",_xlfn.IFNA(_xlfn.IFS(AND(P241&lt;&gt;"",R241&lt;&gt;"",RIGHT($N241,6)="tarief",F241="Vergoeding"),SUM(P241)*FLOOR(SUM(R241),0.0001),AND(P241&lt;&gt;"",R241&lt;&gt;"",RIGHT($N241,6)="tarief"),P241*FLOOR(R241,0.01),T241&gt;0,FLOOR(SUM(T241),0.01)),""),""),"")</f>
        <v/>
      </c>
      <c r="W241" s="317" t="str" cm="1">
        <f t="array" aca="1" ref="W241" ca="1">IFERROR(_xlfn.IFS(OR(F241="",LEFT(Methode_Keuze,4)="Geen",Methode_Keuze=""),"",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17" t="str" cm="1">
        <f t="array" aca="1" ref="X241" ca="1">IFERROR(_xlfn.IFS(OR(F241="",LEFT(Methode_Keuze,4)="Geen",Methode_Keuze=""),"",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26"/>
      <c r="Z241" s="319"/>
      <c r="AA241" s="32" t="str" cm="1">
        <f t="array" ref="AA241">IFERROR(IF(INDEX(SubsidieTabel!$AD$1:$AG$12,MATCH($F241,SubsidieTabel!$AD$1:$AD$12,0),IFERROR(MATCH(Methode_Keuze,SubsidieTabel!$AD$1:$AG$1,0),2))&lt;&gt;1=TRUE,"ja",""),"")</f>
        <v/>
      </c>
    </row>
    <row r="242" spans="1:27" x14ac:dyDescent="0.25">
      <c r="A242" s="320"/>
      <c r="B242" s="321" t="str">
        <f>IF(A242&lt;&gt;"",_xlfn.MAXIFS($B$1:B241,$A$1:A241,A242)+1,"")</f>
        <v/>
      </c>
      <c r="C242" s="299"/>
      <c r="D242" s="299"/>
      <c r="E242" s="299"/>
      <c r="F242" s="299"/>
      <c r="G242" s="330"/>
      <c r="H242" s="328"/>
      <c r="I242" s="329"/>
      <c r="J242" s="329"/>
      <c r="K242" s="322"/>
      <c r="L242" s="322"/>
      <c r="M242" s="323" t="str">
        <f>IFERROR(VLOOKUP(H242,Lijsten!$H$1:$I$100,2,0),"")</f>
        <v/>
      </c>
      <c r="N242" s="323" t="str">
        <f ca="1">IFERROR(IF(VLOOKUP(F242,Kostentypen!$A$3:$E$21,3,0)=0,"",IF(OR(F242="Arbeidskosten",F242="Vergoeding"),VLOOKUP(G242,Tb_KostenTypen[],2,0),VLOOKUP(F242,Kostentypen!$A$3:$E$20,3,0))),"")</f>
        <v/>
      </c>
      <c r="O242" s="324"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4"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3"/>
      <c r="R242" s="363"/>
      <c r="S242" s="325"/>
      <c r="T242" s="325"/>
      <c r="U242" s="317" t="str" cm="1">
        <f t="array" aca="1" ref="U242" ca="1">IFERROR(IF(AA242&lt;&gt;"ja",_xlfn.IFNA(_xlfn.IFS(AND(O242&lt;&gt;"",F242&lt;&gt;"",RIGHT($N242,6)="tarief",F242="Vergoeding"),SUM(O242)*FLOOR(SUM(Q242),0.0001),AND(O242&lt;&gt;"",F242&lt;&gt;"",RIGHT($N242,6)="tarief"),SUM(O242)*FLOOR(SUM(Q242),0.01),S242&gt;0,IF(F242&lt;&gt;"",FLOOR(SUM(S242),0.01),"")),""),""),"")</f>
        <v/>
      </c>
      <c r="V242" s="317" t="str" cm="1">
        <f t="array" aca="1" ref="V242" ca="1">IFERROR(IF(AA242&lt;&gt;"ja",_xlfn.IFNA(_xlfn.IFS(AND(P242&lt;&gt;"",R242&lt;&gt;"",RIGHT($N242,6)="tarief",F242="Vergoeding"),SUM(P242)*FLOOR(SUM(R242),0.0001),AND(P242&lt;&gt;"",R242&lt;&gt;"",RIGHT($N242,6)="tarief"),P242*FLOOR(R242,0.01),T242&gt;0,FLOOR(SUM(T242),0.01)),""),""),"")</f>
        <v/>
      </c>
      <c r="W242" s="317" t="str" cm="1">
        <f t="array" aca="1" ref="W242" ca="1">IFERROR(_xlfn.IFS(OR(F242="",LEFT(Methode_Keuze,4)="Geen",Methode_Keuze=""),"",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17" t="str" cm="1">
        <f t="array" aca="1" ref="X242" ca="1">IFERROR(_xlfn.IFS(OR(F242="",LEFT(Methode_Keuze,4)="Geen",Methode_Keuze=""),"",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26"/>
      <c r="Z242" s="319"/>
      <c r="AA242" s="32" t="str" cm="1">
        <f t="array" ref="AA242">IFERROR(IF(INDEX(SubsidieTabel!$AD$1:$AG$12,MATCH($F242,SubsidieTabel!$AD$1:$AD$12,0),IFERROR(MATCH(Methode_Keuze,SubsidieTabel!$AD$1:$AG$1,0),2))&lt;&gt;1=TRUE,"ja",""),"")</f>
        <v/>
      </c>
    </row>
    <row r="243" spans="1:27" x14ac:dyDescent="0.25">
      <c r="A243" s="320"/>
      <c r="B243" s="321" t="str">
        <f>IF(A243&lt;&gt;"",_xlfn.MAXIFS($B$1:B242,$A$1:A242,A243)+1,"")</f>
        <v/>
      </c>
      <c r="C243" s="299"/>
      <c r="D243" s="299"/>
      <c r="E243" s="299"/>
      <c r="F243" s="299"/>
      <c r="G243" s="330"/>
      <c r="H243" s="328"/>
      <c r="I243" s="329"/>
      <c r="J243" s="329"/>
      <c r="K243" s="322"/>
      <c r="L243" s="322"/>
      <c r="M243" s="323" t="str">
        <f>IFERROR(VLOOKUP(H243,Lijsten!$H$1:$I$100,2,0),"")</f>
        <v/>
      </c>
      <c r="N243" s="323" t="str">
        <f ca="1">IFERROR(IF(VLOOKUP(F243,Kostentypen!$A$3:$E$21,3,0)=0,"",IF(OR(F243="Arbeidskosten",F243="Vergoeding"),VLOOKUP(G243,Tb_KostenTypen[],2,0),VLOOKUP(F243,Kostentypen!$A$3:$E$20,3,0))),"")</f>
        <v/>
      </c>
      <c r="O243" s="324"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4"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3"/>
      <c r="R243" s="363"/>
      <c r="S243" s="325"/>
      <c r="T243" s="325"/>
      <c r="U243" s="317" t="str" cm="1">
        <f t="array" aca="1" ref="U243" ca="1">IFERROR(IF(AA243&lt;&gt;"ja",_xlfn.IFNA(_xlfn.IFS(AND(O243&lt;&gt;"",F243&lt;&gt;"",RIGHT($N243,6)="tarief",F243="Vergoeding"),SUM(O243)*FLOOR(SUM(Q243),0.0001),AND(O243&lt;&gt;"",F243&lt;&gt;"",RIGHT($N243,6)="tarief"),SUM(O243)*FLOOR(SUM(Q243),0.01),S243&gt;0,IF(F243&lt;&gt;"",FLOOR(SUM(S243),0.01),"")),""),""),"")</f>
        <v/>
      </c>
      <c r="V243" s="317" t="str" cm="1">
        <f t="array" aca="1" ref="V243" ca="1">IFERROR(IF(AA243&lt;&gt;"ja",_xlfn.IFNA(_xlfn.IFS(AND(P243&lt;&gt;"",R243&lt;&gt;"",RIGHT($N243,6)="tarief",F243="Vergoeding"),SUM(P243)*FLOOR(SUM(R243),0.0001),AND(P243&lt;&gt;"",R243&lt;&gt;"",RIGHT($N243,6)="tarief"),P243*FLOOR(R243,0.01),T243&gt;0,FLOOR(SUM(T243),0.01)),""),""),"")</f>
        <v/>
      </c>
      <c r="W243" s="317" t="str" cm="1">
        <f t="array" aca="1" ref="W243" ca="1">IFERROR(_xlfn.IFS(OR(F243="",LEFT(Methode_Keuze,4)="Geen",Methode_Keuze=""),"",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17" t="str" cm="1">
        <f t="array" aca="1" ref="X243" ca="1">IFERROR(_xlfn.IFS(OR(F243="",LEFT(Methode_Keuze,4)="Geen",Methode_Keuze=""),"",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26"/>
      <c r="Z243" s="319"/>
      <c r="AA243" s="32" t="str" cm="1">
        <f t="array" ref="AA243">IFERROR(IF(INDEX(SubsidieTabel!$AD$1:$AG$12,MATCH($F243,SubsidieTabel!$AD$1:$AD$12,0),IFERROR(MATCH(Methode_Keuze,SubsidieTabel!$AD$1:$AG$1,0),2))&lt;&gt;1=TRUE,"ja",""),"")</f>
        <v/>
      </c>
    </row>
    <row r="244" spans="1:27" x14ac:dyDescent="0.25">
      <c r="A244" s="320"/>
      <c r="B244" s="321" t="str">
        <f>IF(A244&lt;&gt;"",_xlfn.MAXIFS($B$1:B243,$A$1:A243,A244)+1,"")</f>
        <v/>
      </c>
      <c r="C244" s="299"/>
      <c r="D244" s="299"/>
      <c r="E244" s="299"/>
      <c r="F244" s="299"/>
      <c r="G244" s="330"/>
      <c r="H244" s="328"/>
      <c r="I244" s="329"/>
      <c r="J244" s="329"/>
      <c r="K244" s="322"/>
      <c r="L244" s="322"/>
      <c r="M244" s="323" t="str">
        <f>IFERROR(VLOOKUP(H244,Lijsten!$H$1:$I$100,2,0),"")</f>
        <v/>
      </c>
      <c r="N244" s="323" t="str">
        <f ca="1">IFERROR(IF(VLOOKUP(F244,Kostentypen!$A$3:$E$21,3,0)=0,"",IF(OR(F244="Arbeidskosten",F244="Vergoeding"),VLOOKUP(G244,Tb_KostenTypen[],2,0),VLOOKUP(F244,Kostentypen!$A$3:$E$20,3,0))),"")</f>
        <v/>
      </c>
      <c r="O244" s="324"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4"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3"/>
      <c r="R244" s="363"/>
      <c r="S244" s="325"/>
      <c r="T244" s="325"/>
      <c r="U244" s="317" t="str" cm="1">
        <f t="array" aca="1" ref="U244" ca="1">IFERROR(IF(AA244&lt;&gt;"ja",_xlfn.IFNA(_xlfn.IFS(AND(O244&lt;&gt;"",F244&lt;&gt;"",RIGHT($N244,6)="tarief",F244="Vergoeding"),SUM(O244)*FLOOR(SUM(Q244),0.0001),AND(O244&lt;&gt;"",F244&lt;&gt;"",RIGHT($N244,6)="tarief"),SUM(O244)*FLOOR(SUM(Q244),0.01),S244&gt;0,IF(F244&lt;&gt;"",FLOOR(SUM(S244),0.01),"")),""),""),"")</f>
        <v/>
      </c>
      <c r="V244" s="317" t="str" cm="1">
        <f t="array" aca="1" ref="V244" ca="1">IFERROR(IF(AA244&lt;&gt;"ja",_xlfn.IFNA(_xlfn.IFS(AND(P244&lt;&gt;"",R244&lt;&gt;"",RIGHT($N244,6)="tarief",F244="Vergoeding"),SUM(P244)*FLOOR(SUM(R244),0.0001),AND(P244&lt;&gt;"",R244&lt;&gt;"",RIGHT($N244,6)="tarief"),P244*FLOOR(R244,0.01),T244&gt;0,FLOOR(SUM(T244),0.01)),""),""),"")</f>
        <v/>
      </c>
      <c r="W244" s="317" t="str" cm="1">
        <f t="array" aca="1" ref="W244" ca="1">IFERROR(_xlfn.IFS(OR(F244="",LEFT(Methode_Keuze,4)="Geen",Methode_Keuze=""),"",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17" t="str" cm="1">
        <f t="array" aca="1" ref="X244" ca="1">IFERROR(_xlfn.IFS(OR(F244="",LEFT(Methode_Keuze,4)="Geen",Methode_Keuze=""),"",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26"/>
      <c r="Z244" s="319"/>
      <c r="AA244" s="32" t="str" cm="1">
        <f t="array" ref="AA244">IFERROR(IF(INDEX(SubsidieTabel!$AD$1:$AG$12,MATCH($F244,SubsidieTabel!$AD$1:$AD$12,0),IFERROR(MATCH(Methode_Keuze,SubsidieTabel!$AD$1:$AG$1,0),2))&lt;&gt;1=TRUE,"ja",""),"")</f>
        <v/>
      </c>
    </row>
    <row r="245" spans="1:27" x14ac:dyDescent="0.25">
      <c r="A245" s="320"/>
      <c r="B245" s="321" t="str">
        <f>IF(A245&lt;&gt;"",_xlfn.MAXIFS($B$1:B244,$A$1:A244,A245)+1,"")</f>
        <v/>
      </c>
      <c r="C245" s="299"/>
      <c r="D245" s="299"/>
      <c r="E245" s="299"/>
      <c r="F245" s="299"/>
      <c r="G245" s="330"/>
      <c r="H245" s="328"/>
      <c r="I245" s="329"/>
      <c r="J245" s="329"/>
      <c r="K245" s="322"/>
      <c r="L245" s="322"/>
      <c r="M245" s="323" t="str">
        <f>IFERROR(VLOOKUP(H245,Lijsten!$H$1:$I$100,2,0),"")</f>
        <v/>
      </c>
      <c r="N245" s="323" t="str">
        <f ca="1">IFERROR(IF(VLOOKUP(F245,Kostentypen!$A$3:$E$21,3,0)=0,"",IF(OR(F245="Arbeidskosten",F245="Vergoeding"),VLOOKUP(G245,Tb_KostenTypen[],2,0),VLOOKUP(F245,Kostentypen!$A$3:$E$20,3,0))),"")</f>
        <v/>
      </c>
      <c r="O245" s="324"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4"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3"/>
      <c r="R245" s="363"/>
      <c r="S245" s="325"/>
      <c r="T245" s="325"/>
      <c r="U245" s="317" t="str" cm="1">
        <f t="array" aca="1" ref="U245" ca="1">IFERROR(IF(AA245&lt;&gt;"ja",_xlfn.IFNA(_xlfn.IFS(AND(O245&lt;&gt;"",F245&lt;&gt;"",RIGHT($N245,6)="tarief",F245="Vergoeding"),SUM(O245)*FLOOR(SUM(Q245),0.0001),AND(O245&lt;&gt;"",F245&lt;&gt;"",RIGHT($N245,6)="tarief"),SUM(O245)*FLOOR(SUM(Q245),0.01),S245&gt;0,IF(F245&lt;&gt;"",FLOOR(SUM(S245),0.01),"")),""),""),"")</f>
        <v/>
      </c>
      <c r="V245" s="317" t="str" cm="1">
        <f t="array" aca="1" ref="V245" ca="1">IFERROR(IF(AA245&lt;&gt;"ja",_xlfn.IFNA(_xlfn.IFS(AND(P245&lt;&gt;"",R245&lt;&gt;"",RIGHT($N245,6)="tarief",F245="Vergoeding"),SUM(P245)*FLOOR(SUM(R245),0.0001),AND(P245&lt;&gt;"",R245&lt;&gt;"",RIGHT($N245,6)="tarief"),P245*FLOOR(R245,0.01),T245&gt;0,FLOOR(SUM(T245),0.01)),""),""),"")</f>
        <v/>
      </c>
      <c r="W245" s="317" t="str" cm="1">
        <f t="array" aca="1" ref="W245" ca="1">IFERROR(_xlfn.IFS(OR(F245="",LEFT(Methode_Keuze,4)="Geen",Methode_Keuze=""),"",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17" t="str" cm="1">
        <f t="array" aca="1" ref="X245" ca="1">IFERROR(_xlfn.IFS(OR(F245="",LEFT(Methode_Keuze,4)="Geen",Methode_Keuze=""),"",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26"/>
      <c r="Z245" s="319"/>
      <c r="AA245" s="32" t="str" cm="1">
        <f t="array" ref="AA245">IFERROR(IF(INDEX(SubsidieTabel!$AD$1:$AG$12,MATCH($F245,SubsidieTabel!$AD$1:$AD$12,0),IFERROR(MATCH(Methode_Keuze,SubsidieTabel!$AD$1:$AG$1,0),2))&lt;&gt;1=TRUE,"ja",""),"")</f>
        <v/>
      </c>
    </row>
    <row r="246" spans="1:27" x14ac:dyDescent="0.25">
      <c r="A246" s="320"/>
      <c r="B246" s="321" t="str">
        <f>IF(A246&lt;&gt;"",_xlfn.MAXIFS($B$1:B245,$A$1:A245,A246)+1,"")</f>
        <v/>
      </c>
      <c r="C246" s="299"/>
      <c r="D246" s="299"/>
      <c r="E246" s="299"/>
      <c r="F246" s="299"/>
      <c r="G246" s="330"/>
      <c r="H246" s="328"/>
      <c r="I246" s="329"/>
      <c r="J246" s="329"/>
      <c r="K246" s="322"/>
      <c r="L246" s="322"/>
      <c r="M246" s="323" t="str">
        <f>IFERROR(VLOOKUP(H246,Lijsten!$H$1:$I$100,2,0),"")</f>
        <v/>
      </c>
      <c r="N246" s="323" t="str">
        <f ca="1">IFERROR(IF(VLOOKUP(F246,Kostentypen!$A$3:$E$21,3,0)=0,"",IF(OR(F246="Arbeidskosten",F246="Vergoeding"),VLOOKUP(G246,Tb_KostenTypen[],2,0),VLOOKUP(F246,Kostentypen!$A$3:$E$20,3,0))),"")</f>
        <v/>
      </c>
      <c r="O246" s="324"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4"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3"/>
      <c r="R246" s="363"/>
      <c r="S246" s="325"/>
      <c r="T246" s="325"/>
      <c r="U246" s="317" t="str" cm="1">
        <f t="array" aca="1" ref="U246" ca="1">IFERROR(IF(AA246&lt;&gt;"ja",_xlfn.IFNA(_xlfn.IFS(AND(O246&lt;&gt;"",F246&lt;&gt;"",RIGHT($N246,6)="tarief",F246="Vergoeding"),SUM(O246)*FLOOR(SUM(Q246),0.0001),AND(O246&lt;&gt;"",F246&lt;&gt;"",RIGHT($N246,6)="tarief"),SUM(O246)*FLOOR(SUM(Q246),0.01),S246&gt;0,IF(F246&lt;&gt;"",FLOOR(SUM(S246),0.01),"")),""),""),"")</f>
        <v/>
      </c>
      <c r="V246" s="317" t="str" cm="1">
        <f t="array" aca="1" ref="V246" ca="1">IFERROR(IF(AA246&lt;&gt;"ja",_xlfn.IFNA(_xlfn.IFS(AND(P246&lt;&gt;"",R246&lt;&gt;"",RIGHT($N246,6)="tarief",F246="Vergoeding"),SUM(P246)*FLOOR(SUM(R246),0.0001),AND(P246&lt;&gt;"",R246&lt;&gt;"",RIGHT($N246,6)="tarief"),P246*FLOOR(R246,0.01),T246&gt;0,FLOOR(SUM(T246),0.01)),""),""),"")</f>
        <v/>
      </c>
      <c r="W246" s="317" t="str" cm="1">
        <f t="array" aca="1" ref="W246" ca="1">IFERROR(_xlfn.IFS(OR(F246="",LEFT(Methode_Keuze,4)="Geen",Methode_Keuze=""),"",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17" t="str" cm="1">
        <f t="array" aca="1" ref="X246" ca="1">IFERROR(_xlfn.IFS(OR(F246="",LEFT(Methode_Keuze,4)="Geen",Methode_Keuze=""),"",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26"/>
      <c r="Z246" s="319"/>
      <c r="AA246" s="32" t="str" cm="1">
        <f t="array" ref="AA246">IFERROR(IF(INDEX(SubsidieTabel!$AD$1:$AG$12,MATCH($F246,SubsidieTabel!$AD$1:$AD$12,0),IFERROR(MATCH(Methode_Keuze,SubsidieTabel!$AD$1:$AG$1,0),2))&lt;&gt;1=TRUE,"ja",""),"")</f>
        <v/>
      </c>
    </row>
    <row r="247" spans="1:27" x14ac:dyDescent="0.25">
      <c r="A247" s="320"/>
      <c r="B247" s="321" t="str">
        <f>IF(A247&lt;&gt;"",_xlfn.MAXIFS($B$1:B246,$A$1:A246,A247)+1,"")</f>
        <v/>
      </c>
      <c r="C247" s="299"/>
      <c r="D247" s="299"/>
      <c r="E247" s="299"/>
      <c r="F247" s="299"/>
      <c r="G247" s="330"/>
      <c r="H247" s="328"/>
      <c r="I247" s="329"/>
      <c r="J247" s="329"/>
      <c r="K247" s="322"/>
      <c r="L247" s="322"/>
      <c r="M247" s="323" t="str">
        <f>IFERROR(VLOOKUP(H247,Lijsten!$H$1:$I$100,2,0),"")</f>
        <v/>
      </c>
      <c r="N247" s="323" t="str">
        <f ca="1">IFERROR(IF(VLOOKUP(F247,Kostentypen!$A$3:$E$21,3,0)=0,"",IF(OR(F247="Arbeidskosten",F247="Vergoeding"),VLOOKUP(G247,Tb_KostenTypen[],2,0),VLOOKUP(F247,Kostentypen!$A$3:$E$20,3,0))),"")</f>
        <v/>
      </c>
      <c r="O247" s="324"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4"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3"/>
      <c r="R247" s="363"/>
      <c r="S247" s="325"/>
      <c r="T247" s="325"/>
      <c r="U247" s="317" t="str" cm="1">
        <f t="array" aca="1" ref="U247" ca="1">IFERROR(IF(AA247&lt;&gt;"ja",_xlfn.IFNA(_xlfn.IFS(AND(O247&lt;&gt;"",F247&lt;&gt;"",RIGHT($N247,6)="tarief",F247="Vergoeding"),SUM(O247)*FLOOR(SUM(Q247),0.0001),AND(O247&lt;&gt;"",F247&lt;&gt;"",RIGHT($N247,6)="tarief"),SUM(O247)*FLOOR(SUM(Q247),0.01),S247&gt;0,IF(F247&lt;&gt;"",FLOOR(SUM(S247),0.01),"")),""),""),"")</f>
        <v/>
      </c>
      <c r="V247" s="317" t="str" cm="1">
        <f t="array" aca="1" ref="V247" ca="1">IFERROR(IF(AA247&lt;&gt;"ja",_xlfn.IFNA(_xlfn.IFS(AND(P247&lt;&gt;"",R247&lt;&gt;"",RIGHT($N247,6)="tarief",F247="Vergoeding"),SUM(P247)*FLOOR(SUM(R247),0.0001),AND(P247&lt;&gt;"",R247&lt;&gt;"",RIGHT($N247,6)="tarief"),P247*FLOOR(R247,0.01),T247&gt;0,FLOOR(SUM(T247),0.01)),""),""),"")</f>
        <v/>
      </c>
      <c r="W247" s="317" t="str" cm="1">
        <f t="array" aca="1" ref="W247" ca="1">IFERROR(_xlfn.IFS(OR(F247="",LEFT(Methode_Keuze,4)="Geen",Methode_Keuze=""),"",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17" t="str" cm="1">
        <f t="array" aca="1" ref="X247" ca="1">IFERROR(_xlfn.IFS(OR(F247="",LEFT(Methode_Keuze,4)="Geen",Methode_Keuze=""),"",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26"/>
      <c r="Z247" s="319"/>
      <c r="AA247" s="32" t="str" cm="1">
        <f t="array" ref="AA247">IFERROR(IF(INDEX(SubsidieTabel!$AD$1:$AG$12,MATCH($F247,SubsidieTabel!$AD$1:$AD$12,0),IFERROR(MATCH(Methode_Keuze,SubsidieTabel!$AD$1:$AG$1,0),2))&lt;&gt;1=TRUE,"ja",""),"")</f>
        <v/>
      </c>
    </row>
    <row r="248" spans="1:27" x14ac:dyDescent="0.25">
      <c r="A248" s="320"/>
      <c r="B248" s="321" t="str">
        <f>IF(A248&lt;&gt;"",_xlfn.MAXIFS($B$1:B247,$A$1:A247,A248)+1,"")</f>
        <v/>
      </c>
      <c r="C248" s="299"/>
      <c r="D248" s="299"/>
      <c r="E248" s="299"/>
      <c r="F248" s="299"/>
      <c r="G248" s="330"/>
      <c r="H248" s="328"/>
      <c r="I248" s="329"/>
      <c r="J248" s="329"/>
      <c r="K248" s="322"/>
      <c r="L248" s="322"/>
      <c r="M248" s="323" t="str">
        <f>IFERROR(VLOOKUP(H248,Lijsten!$H$1:$I$100,2,0),"")</f>
        <v/>
      </c>
      <c r="N248" s="323" t="str">
        <f ca="1">IFERROR(IF(VLOOKUP(F248,Kostentypen!$A$3:$E$21,3,0)=0,"",IF(OR(F248="Arbeidskosten",F248="Vergoeding"),VLOOKUP(G248,Tb_KostenTypen[],2,0),VLOOKUP(F248,Kostentypen!$A$3:$E$20,3,0))),"")</f>
        <v/>
      </c>
      <c r="O248" s="324"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4"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3"/>
      <c r="R248" s="363"/>
      <c r="S248" s="325"/>
      <c r="T248" s="325"/>
      <c r="U248" s="317" t="str" cm="1">
        <f t="array" aca="1" ref="U248" ca="1">IFERROR(IF(AA248&lt;&gt;"ja",_xlfn.IFNA(_xlfn.IFS(AND(O248&lt;&gt;"",F248&lt;&gt;"",RIGHT($N248,6)="tarief",F248="Vergoeding"),SUM(O248)*FLOOR(SUM(Q248),0.0001),AND(O248&lt;&gt;"",F248&lt;&gt;"",RIGHT($N248,6)="tarief"),SUM(O248)*FLOOR(SUM(Q248),0.01),S248&gt;0,IF(F248&lt;&gt;"",FLOOR(SUM(S248),0.01),"")),""),""),"")</f>
        <v/>
      </c>
      <c r="V248" s="317" t="str" cm="1">
        <f t="array" aca="1" ref="V248" ca="1">IFERROR(IF(AA248&lt;&gt;"ja",_xlfn.IFNA(_xlfn.IFS(AND(P248&lt;&gt;"",R248&lt;&gt;"",RIGHT($N248,6)="tarief",F248="Vergoeding"),SUM(P248)*FLOOR(SUM(R248),0.0001),AND(P248&lt;&gt;"",R248&lt;&gt;"",RIGHT($N248,6)="tarief"),P248*FLOOR(R248,0.01),T248&gt;0,FLOOR(SUM(T248),0.01)),""),""),"")</f>
        <v/>
      </c>
      <c r="W248" s="317" t="str" cm="1">
        <f t="array" aca="1" ref="W248" ca="1">IFERROR(_xlfn.IFS(OR(F248="",LEFT(Methode_Keuze,4)="Geen",Methode_Keuze=""),"",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17" t="str" cm="1">
        <f t="array" aca="1" ref="X248" ca="1">IFERROR(_xlfn.IFS(OR(F248="",LEFT(Methode_Keuze,4)="Geen",Methode_Keuze=""),"",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26"/>
      <c r="Z248" s="319"/>
      <c r="AA248" s="32" t="str" cm="1">
        <f t="array" ref="AA248">IFERROR(IF(INDEX(SubsidieTabel!$AD$1:$AG$12,MATCH($F248,SubsidieTabel!$AD$1:$AD$12,0),IFERROR(MATCH(Methode_Keuze,SubsidieTabel!$AD$1:$AG$1,0),2))&lt;&gt;1=TRUE,"ja",""),"")</f>
        <v/>
      </c>
    </row>
    <row r="249" spans="1:27" x14ac:dyDescent="0.25">
      <c r="A249" s="320"/>
      <c r="B249" s="321" t="str">
        <f>IF(A249&lt;&gt;"",_xlfn.MAXIFS($B$1:B248,$A$1:A248,A249)+1,"")</f>
        <v/>
      </c>
      <c r="C249" s="299"/>
      <c r="D249" s="299"/>
      <c r="E249" s="299"/>
      <c r="F249" s="299"/>
      <c r="G249" s="330"/>
      <c r="H249" s="328"/>
      <c r="I249" s="329"/>
      <c r="J249" s="329"/>
      <c r="K249" s="322"/>
      <c r="L249" s="322"/>
      <c r="M249" s="323" t="str">
        <f>IFERROR(VLOOKUP(H249,Lijsten!$H$1:$I$100,2,0),"")</f>
        <v/>
      </c>
      <c r="N249" s="323" t="str">
        <f ca="1">IFERROR(IF(VLOOKUP(F249,Kostentypen!$A$3:$E$21,3,0)=0,"",IF(OR(F249="Arbeidskosten",F249="Vergoeding"),VLOOKUP(G249,Tb_KostenTypen[],2,0),VLOOKUP(F249,Kostentypen!$A$3:$E$20,3,0))),"")</f>
        <v/>
      </c>
      <c r="O249" s="324"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4"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3"/>
      <c r="R249" s="363"/>
      <c r="S249" s="325"/>
      <c r="T249" s="325"/>
      <c r="U249" s="317" t="str" cm="1">
        <f t="array" aca="1" ref="U249" ca="1">IFERROR(IF(AA249&lt;&gt;"ja",_xlfn.IFNA(_xlfn.IFS(AND(O249&lt;&gt;"",F249&lt;&gt;"",RIGHT($N249,6)="tarief",F249="Vergoeding"),SUM(O249)*FLOOR(SUM(Q249),0.0001),AND(O249&lt;&gt;"",F249&lt;&gt;"",RIGHT($N249,6)="tarief"),SUM(O249)*FLOOR(SUM(Q249),0.01),S249&gt;0,IF(F249&lt;&gt;"",FLOOR(SUM(S249),0.01),"")),""),""),"")</f>
        <v/>
      </c>
      <c r="V249" s="317" t="str" cm="1">
        <f t="array" aca="1" ref="V249" ca="1">IFERROR(IF(AA249&lt;&gt;"ja",_xlfn.IFNA(_xlfn.IFS(AND(P249&lt;&gt;"",R249&lt;&gt;"",RIGHT($N249,6)="tarief",F249="Vergoeding"),SUM(P249)*FLOOR(SUM(R249),0.0001),AND(P249&lt;&gt;"",R249&lt;&gt;"",RIGHT($N249,6)="tarief"),P249*FLOOR(R249,0.01),T249&gt;0,FLOOR(SUM(T249),0.01)),""),""),"")</f>
        <v/>
      </c>
      <c r="W249" s="317" t="str" cm="1">
        <f t="array" aca="1" ref="W249" ca="1">IFERROR(_xlfn.IFS(OR(F249="",LEFT(Methode_Keuze,4)="Geen",Methode_Keuze=""),"",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17" t="str" cm="1">
        <f t="array" aca="1" ref="X249" ca="1">IFERROR(_xlfn.IFS(OR(F249="",LEFT(Methode_Keuze,4)="Geen",Methode_Keuze=""),"",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26"/>
      <c r="Z249" s="319"/>
      <c r="AA249" s="32" t="str" cm="1">
        <f t="array" ref="AA249">IFERROR(IF(INDEX(SubsidieTabel!$AD$1:$AG$12,MATCH($F249,SubsidieTabel!$AD$1:$AD$12,0),IFERROR(MATCH(Methode_Keuze,SubsidieTabel!$AD$1:$AG$1,0),2))&lt;&gt;1=TRUE,"ja",""),"")</f>
        <v/>
      </c>
    </row>
    <row r="250" spans="1:27" x14ac:dyDescent="0.25">
      <c r="A250" s="320"/>
      <c r="B250" s="321" t="str">
        <f>IF(A250&lt;&gt;"",_xlfn.MAXIFS($B$1:B249,$A$1:A249,A250)+1,"")</f>
        <v/>
      </c>
      <c r="C250" s="299"/>
      <c r="D250" s="299"/>
      <c r="E250" s="299"/>
      <c r="F250" s="299"/>
      <c r="G250" s="330"/>
      <c r="H250" s="328"/>
      <c r="I250" s="329"/>
      <c r="J250" s="329"/>
      <c r="K250" s="322"/>
      <c r="L250" s="322"/>
      <c r="M250" s="323" t="str">
        <f>IFERROR(VLOOKUP(H250,Lijsten!$H$1:$I$100,2,0),"")</f>
        <v/>
      </c>
      <c r="N250" s="323" t="str">
        <f ca="1">IFERROR(IF(VLOOKUP(F250,Kostentypen!$A$3:$E$21,3,0)=0,"",IF(OR(F250="Arbeidskosten",F250="Vergoeding"),VLOOKUP(G250,Tb_KostenTypen[],2,0),VLOOKUP(F250,Kostentypen!$A$3:$E$20,3,0))),"")</f>
        <v/>
      </c>
      <c r="O250" s="324"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4"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3"/>
      <c r="R250" s="363"/>
      <c r="S250" s="325"/>
      <c r="T250" s="325"/>
      <c r="U250" s="317" t="str" cm="1">
        <f t="array" aca="1" ref="U250" ca="1">IFERROR(IF(AA250&lt;&gt;"ja",_xlfn.IFNA(_xlfn.IFS(AND(O250&lt;&gt;"",F250&lt;&gt;"",RIGHT($N250,6)="tarief",F250="Vergoeding"),SUM(O250)*FLOOR(SUM(Q250),0.0001),AND(O250&lt;&gt;"",F250&lt;&gt;"",RIGHT($N250,6)="tarief"),SUM(O250)*FLOOR(SUM(Q250),0.01),S250&gt;0,IF(F250&lt;&gt;"",FLOOR(SUM(S250),0.01),"")),""),""),"")</f>
        <v/>
      </c>
      <c r="V250" s="317" t="str" cm="1">
        <f t="array" aca="1" ref="V250" ca="1">IFERROR(IF(AA250&lt;&gt;"ja",_xlfn.IFNA(_xlfn.IFS(AND(P250&lt;&gt;"",R250&lt;&gt;"",RIGHT($N250,6)="tarief",F250="Vergoeding"),SUM(P250)*FLOOR(SUM(R250),0.0001),AND(P250&lt;&gt;"",R250&lt;&gt;"",RIGHT($N250,6)="tarief"),P250*FLOOR(R250,0.01),T250&gt;0,FLOOR(SUM(T250),0.01)),""),""),"")</f>
        <v/>
      </c>
      <c r="W250" s="317" t="str" cm="1">
        <f t="array" aca="1" ref="W250" ca="1">IFERROR(_xlfn.IFS(OR(F250="",LEFT(Methode_Keuze,4)="Geen",Methode_Keuze=""),"",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17" t="str" cm="1">
        <f t="array" aca="1" ref="X250" ca="1">IFERROR(_xlfn.IFS(OR(F250="",LEFT(Methode_Keuze,4)="Geen",Methode_Keuze=""),"",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26"/>
      <c r="Z250" s="319"/>
      <c r="AA250" s="32" t="str" cm="1">
        <f t="array" ref="AA250">IFERROR(IF(INDEX(SubsidieTabel!$AD$1:$AG$12,MATCH($F250,SubsidieTabel!$AD$1:$AD$12,0),IFERROR(MATCH(Methode_Keuze,SubsidieTabel!$AD$1:$AG$1,0),2))&lt;&gt;1=TRUE,"ja",""),"")</f>
        <v/>
      </c>
    </row>
    <row r="251" spans="1:27" x14ac:dyDescent="0.25">
      <c r="A251" s="320"/>
      <c r="B251" s="321" t="str">
        <f>IF(A251&lt;&gt;"",_xlfn.MAXIFS($B$1:B250,$A$1:A250,A251)+1,"")</f>
        <v/>
      </c>
      <c r="C251" s="299"/>
      <c r="D251" s="299"/>
      <c r="E251" s="299"/>
      <c r="F251" s="299"/>
      <c r="G251" s="330"/>
      <c r="H251" s="328"/>
      <c r="I251" s="329"/>
      <c r="J251" s="329"/>
      <c r="K251" s="322"/>
      <c r="L251" s="322"/>
      <c r="M251" s="323" t="str">
        <f>IFERROR(VLOOKUP(H251,Lijsten!$H$1:$I$100,2,0),"")</f>
        <v/>
      </c>
      <c r="N251" s="323" t="str">
        <f ca="1">IFERROR(IF(VLOOKUP(F251,Kostentypen!$A$3:$E$21,3,0)=0,"",IF(OR(F251="Arbeidskosten",F251="Vergoeding"),VLOOKUP(G251,Tb_KostenTypen[],2,0),VLOOKUP(F251,Kostentypen!$A$3:$E$20,3,0))),"")</f>
        <v/>
      </c>
      <c r="O251" s="324"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4"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3"/>
      <c r="R251" s="363"/>
      <c r="S251" s="325"/>
      <c r="T251" s="325"/>
      <c r="U251" s="317" t="str" cm="1">
        <f t="array" aca="1" ref="U251" ca="1">IFERROR(IF(AA251&lt;&gt;"ja",_xlfn.IFNA(_xlfn.IFS(AND(O251&lt;&gt;"",F251&lt;&gt;"",RIGHT($N251,6)="tarief",F251="Vergoeding"),SUM(O251)*FLOOR(SUM(Q251),0.0001),AND(O251&lt;&gt;"",F251&lt;&gt;"",RIGHT($N251,6)="tarief"),SUM(O251)*FLOOR(SUM(Q251),0.01),S251&gt;0,IF(F251&lt;&gt;"",FLOOR(SUM(S251),0.01),"")),""),""),"")</f>
        <v/>
      </c>
      <c r="V251" s="317" t="str" cm="1">
        <f t="array" aca="1" ref="V251" ca="1">IFERROR(IF(AA251&lt;&gt;"ja",_xlfn.IFNA(_xlfn.IFS(AND(P251&lt;&gt;"",R251&lt;&gt;"",RIGHT($N251,6)="tarief",F251="Vergoeding"),SUM(P251)*FLOOR(SUM(R251),0.0001),AND(P251&lt;&gt;"",R251&lt;&gt;"",RIGHT($N251,6)="tarief"),P251*FLOOR(R251,0.01),T251&gt;0,FLOOR(SUM(T251),0.01)),""),""),"")</f>
        <v/>
      </c>
      <c r="W251" s="317" t="str" cm="1">
        <f t="array" aca="1" ref="W251" ca="1">IFERROR(_xlfn.IFS(OR(F251="",LEFT(Methode_Keuze,4)="Geen",Methode_Keuze=""),"",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17" t="str" cm="1">
        <f t="array" aca="1" ref="X251" ca="1">IFERROR(_xlfn.IFS(OR(F251="",LEFT(Methode_Keuze,4)="Geen",Methode_Keuze=""),"",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26"/>
      <c r="Z251" s="319"/>
      <c r="AA251" s="32" t="str" cm="1">
        <f t="array" ref="AA251">IFERROR(IF(INDEX(SubsidieTabel!$AD$1:$AG$12,MATCH($F251,SubsidieTabel!$AD$1:$AD$12,0),IFERROR(MATCH(Methode_Keuze,SubsidieTabel!$AD$1:$AG$1,0),2))&lt;&gt;1=TRUE,"ja",""),"")</f>
        <v/>
      </c>
    </row>
    <row r="252" spans="1:27" x14ac:dyDescent="0.25">
      <c r="A252" s="320"/>
      <c r="B252" s="321" t="str">
        <f>IF(A252&lt;&gt;"",_xlfn.MAXIFS($B$1:B251,$A$1:A251,A252)+1,"")</f>
        <v/>
      </c>
      <c r="C252" s="299"/>
      <c r="D252" s="299"/>
      <c r="E252" s="299"/>
      <c r="F252" s="299"/>
      <c r="G252" s="330"/>
      <c r="H252" s="328"/>
      <c r="I252" s="329"/>
      <c r="J252" s="329"/>
      <c r="K252" s="322"/>
      <c r="L252" s="322"/>
      <c r="M252" s="323" t="str">
        <f>IFERROR(VLOOKUP(H252,Lijsten!$H$1:$I$100,2,0),"")</f>
        <v/>
      </c>
      <c r="N252" s="323" t="str">
        <f ca="1">IFERROR(IF(VLOOKUP(F252,Kostentypen!$A$3:$E$21,3,0)=0,"",IF(OR(F252="Arbeidskosten",F252="Vergoeding"),VLOOKUP(G252,Tb_KostenTypen[],2,0),VLOOKUP(F252,Kostentypen!$A$3:$E$20,3,0))),"")</f>
        <v/>
      </c>
      <c r="O252" s="324"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4"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3"/>
      <c r="R252" s="363"/>
      <c r="S252" s="325"/>
      <c r="T252" s="325"/>
      <c r="U252" s="317" t="str" cm="1">
        <f t="array" aca="1" ref="U252" ca="1">IFERROR(IF(AA252&lt;&gt;"ja",_xlfn.IFNA(_xlfn.IFS(AND(O252&lt;&gt;"",F252&lt;&gt;"",RIGHT($N252,6)="tarief",F252="Vergoeding"),SUM(O252)*FLOOR(SUM(Q252),0.0001),AND(O252&lt;&gt;"",F252&lt;&gt;"",RIGHT($N252,6)="tarief"),SUM(O252)*FLOOR(SUM(Q252),0.01),S252&gt;0,IF(F252&lt;&gt;"",FLOOR(SUM(S252),0.01),"")),""),""),"")</f>
        <v/>
      </c>
      <c r="V252" s="317" t="str" cm="1">
        <f t="array" aca="1" ref="V252" ca="1">IFERROR(IF(AA252&lt;&gt;"ja",_xlfn.IFNA(_xlfn.IFS(AND(P252&lt;&gt;"",R252&lt;&gt;"",RIGHT($N252,6)="tarief",F252="Vergoeding"),SUM(P252)*FLOOR(SUM(R252),0.0001),AND(P252&lt;&gt;"",R252&lt;&gt;"",RIGHT($N252,6)="tarief"),P252*FLOOR(R252,0.01),T252&gt;0,FLOOR(SUM(T252),0.01)),""),""),"")</f>
        <v/>
      </c>
      <c r="W252" s="317" t="str" cm="1">
        <f t="array" aca="1" ref="W252" ca="1">IFERROR(_xlfn.IFS(OR(F252="",LEFT(Methode_Keuze,4)="Geen",Methode_Keuze=""),"",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17" t="str" cm="1">
        <f t="array" aca="1" ref="X252" ca="1">IFERROR(_xlfn.IFS(OR(F252="",LEFT(Methode_Keuze,4)="Geen",Methode_Keuze=""),"",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26"/>
      <c r="Z252" s="319"/>
      <c r="AA252" s="32" t="str" cm="1">
        <f t="array" ref="AA252">IFERROR(IF(INDEX(SubsidieTabel!$AD$1:$AG$12,MATCH($F252,SubsidieTabel!$AD$1:$AD$12,0),IFERROR(MATCH(Methode_Keuze,SubsidieTabel!$AD$1:$AG$1,0),2))&lt;&gt;1=TRUE,"ja",""),"")</f>
        <v/>
      </c>
    </row>
    <row r="253" spans="1:27" x14ac:dyDescent="0.25">
      <c r="A253" s="320"/>
      <c r="B253" s="321" t="str">
        <f>IF(A253&lt;&gt;"",_xlfn.MAXIFS($B$1:B252,$A$1:A252,A253)+1,"")</f>
        <v/>
      </c>
      <c r="C253" s="299"/>
      <c r="D253" s="299"/>
      <c r="E253" s="299"/>
      <c r="F253" s="299"/>
      <c r="G253" s="330"/>
      <c r="H253" s="328"/>
      <c r="I253" s="329"/>
      <c r="J253" s="329"/>
      <c r="K253" s="322"/>
      <c r="L253" s="322"/>
      <c r="M253" s="323" t="str">
        <f>IFERROR(VLOOKUP(H253,Lijsten!$H$1:$I$100,2,0),"")</f>
        <v/>
      </c>
      <c r="N253" s="323" t="str">
        <f ca="1">IFERROR(IF(VLOOKUP(F253,Kostentypen!$A$3:$E$21,3,0)=0,"",IF(OR(F253="Arbeidskosten",F253="Vergoeding"),VLOOKUP(G253,Tb_KostenTypen[],2,0),VLOOKUP(F253,Kostentypen!$A$3:$E$20,3,0))),"")</f>
        <v/>
      </c>
      <c r="O253" s="324"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4"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3"/>
      <c r="R253" s="363"/>
      <c r="S253" s="325"/>
      <c r="T253" s="325"/>
      <c r="U253" s="317" t="str" cm="1">
        <f t="array" aca="1" ref="U253" ca="1">IFERROR(IF(AA253&lt;&gt;"ja",_xlfn.IFNA(_xlfn.IFS(AND(O253&lt;&gt;"",F253&lt;&gt;"",RIGHT($N253,6)="tarief",F253="Vergoeding"),SUM(O253)*FLOOR(SUM(Q253),0.0001),AND(O253&lt;&gt;"",F253&lt;&gt;"",RIGHT($N253,6)="tarief"),SUM(O253)*FLOOR(SUM(Q253),0.01),S253&gt;0,IF(F253&lt;&gt;"",FLOOR(SUM(S253),0.01),"")),""),""),"")</f>
        <v/>
      </c>
      <c r="V253" s="317" t="str" cm="1">
        <f t="array" aca="1" ref="V253" ca="1">IFERROR(IF(AA253&lt;&gt;"ja",_xlfn.IFNA(_xlfn.IFS(AND(P253&lt;&gt;"",R253&lt;&gt;"",RIGHT($N253,6)="tarief",F253="Vergoeding"),SUM(P253)*FLOOR(SUM(R253),0.0001),AND(P253&lt;&gt;"",R253&lt;&gt;"",RIGHT($N253,6)="tarief"),P253*FLOOR(R253,0.01),T253&gt;0,FLOOR(SUM(T253),0.01)),""),""),"")</f>
        <v/>
      </c>
      <c r="W253" s="317" t="str" cm="1">
        <f t="array" aca="1" ref="W253" ca="1">IFERROR(_xlfn.IFS(OR(F253="",LEFT(Methode_Keuze,4)="Geen",Methode_Keuze=""),"",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17" t="str" cm="1">
        <f t="array" aca="1" ref="X253" ca="1">IFERROR(_xlfn.IFS(OR(F253="",LEFT(Methode_Keuze,4)="Geen",Methode_Keuze=""),"",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26"/>
      <c r="Z253" s="319"/>
      <c r="AA253" s="32" t="str" cm="1">
        <f t="array" ref="AA253">IFERROR(IF(INDEX(SubsidieTabel!$AD$1:$AG$12,MATCH($F253,SubsidieTabel!$AD$1:$AD$12,0),IFERROR(MATCH(Methode_Keuze,SubsidieTabel!$AD$1:$AG$1,0),2))&lt;&gt;1=TRUE,"ja",""),"")</f>
        <v/>
      </c>
    </row>
    <row r="254" spans="1:27" x14ac:dyDescent="0.25">
      <c r="A254" s="320"/>
      <c r="B254" s="321" t="str">
        <f>IF(A254&lt;&gt;"",_xlfn.MAXIFS($B$1:B253,$A$1:A253,A254)+1,"")</f>
        <v/>
      </c>
      <c r="C254" s="299"/>
      <c r="D254" s="299"/>
      <c r="E254" s="299"/>
      <c r="F254" s="299"/>
      <c r="G254" s="330"/>
      <c r="H254" s="328"/>
      <c r="I254" s="329"/>
      <c r="J254" s="329"/>
      <c r="K254" s="322"/>
      <c r="L254" s="322"/>
      <c r="M254" s="323" t="str">
        <f>IFERROR(VLOOKUP(H254,Lijsten!$H$1:$I$100,2,0),"")</f>
        <v/>
      </c>
      <c r="N254" s="323" t="str">
        <f ca="1">IFERROR(IF(VLOOKUP(F254,Kostentypen!$A$3:$E$21,3,0)=0,"",IF(OR(F254="Arbeidskosten",F254="Vergoeding"),VLOOKUP(G254,Tb_KostenTypen[],2,0),VLOOKUP(F254,Kostentypen!$A$3:$E$20,3,0))),"")</f>
        <v/>
      </c>
      <c r="O254" s="324"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4"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3"/>
      <c r="R254" s="363"/>
      <c r="S254" s="325"/>
      <c r="T254" s="325"/>
      <c r="U254" s="317" t="str" cm="1">
        <f t="array" aca="1" ref="U254" ca="1">IFERROR(IF(AA254&lt;&gt;"ja",_xlfn.IFNA(_xlfn.IFS(AND(O254&lt;&gt;"",F254&lt;&gt;"",RIGHT($N254,6)="tarief",F254="Vergoeding"),SUM(O254)*FLOOR(SUM(Q254),0.0001),AND(O254&lt;&gt;"",F254&lt;&gt;"",RIGHT($N254,6)="tarief"),SUM(O254)*FLOOR(SUM(Q254),0.01),S254&gt;0,IF(F254&lt;&gt;"",FLOOR(SUM(S254),0.01),"")),""),""),"")</f>
        <v/>
      </c>
      <c r="V254" s="317" t="str" cm="1">
        <f t="array" aca="1" ref="V254" ca="1">IFERROR(IF(AA254&lt;&gt;"ja",_xlfn.IFNA(_xlfn.IFS(AND(P254&lt;&gt;"",R254&lt;&gt;"",RIGHT($N254,6)="tarief",F254="Vergoeding"),SUM(P254)*FLOOR(SUM(R254),0.0001),AND(P254&lt;&gt;"",R254&lt;&gt;"",RIGHT($N254,6)="tarief"),P254*FLOOR(R254,0.01),T254&gt;0,FLOOR(SUM(T254),0.01)),""),""),"")</f>
        <v/>
      </c>
      <c r="W254" s="317" t="str" cm="1">
        <f t="array" aca="1" ref="W254" ca="1">IFERROR(_xlfn.IFS(OR(F254="",LEFT(Methode_Keuze,4)="Geen",Methode_Keuze=""),"",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17" t="str" cm="1">
        <f t="array" aca="1" ref="X254" ca="1">IFERROR(_xlfn.IFS(OR(F254="",LEFT(Methode_Keuze,4)="Geen",Methode_Keuze=""),"",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26"/>
      <c r="Z254" s="319"/>
      <c r="AA254" s="32" t="str" cm="1">
        <f t="array" ref="AA254">IFERROR(IF(INDEX(SubsidieTabel!$AD$1:$AG$12,MATCH($F254,SubsidieTabel!$AD$1:$AD$12,0),IFERROR(MATCH(Methode_Keuze,SubsidieTabel!$AD$1:$AG$1,0),2))&lt;&gt;1=TRUE,"ja",""),"")</f>
        <v/>
      </c>
    </row>
    <row r="255" spans="1:27" x14ac:dyDescent="0.25">
      <c r="A255" s="320"/>
      <c r="B255" s="321" t="str">
        <f>IF(A255&lt;&gt;"",_xlfn.MAXIFS($B$1:B254,$A$1:A254,A255)+1,"")</f>
        <v/>
      </c>
      <c r="C255" s="299"/>
      <c r="D255" s="299"/>
      <c r="E255" s="299"/>
      <c r="F255" s="299"/>
      <c r="G255" s="330"/>
      <c r="H255" s="328"/>
      <c r="I255" s="329"/>
      <c r="J255" s="329"/>
      <c r="K255" s="322"/>
      <c r="L255" s="322"/>
      <c r="M255" s="323" t="str">
        <f>IFERROR(VLOOKUP(H255,Lijsten!$H$1:$I$100,2,0),"")</f>
        <v/>
      </c>
      <c r="N255" s="323" t="str">
        <f ca="1">IFERROR(IF(VLOOKUP(F255,Kostentypen!$A$3:$E$21,3,0)=0,"",IF(OR(F255="Arbeidskosten",F255="Vergoeding"),VLOOKUP(G255,Tb_KostenTypen[],2,0),VLOOKUP(F255,Kostentypen!$A$3:$E$20,3,0))),"")</f>
        <v/>
      </c>
      <c r="O255" s="324"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4"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3"/>
      <c r="R255" s="363"/>
      <c r="S255" s="325"/>
      <c r="T255" s="325"/>
      <c r="U255" s="317" t="str" cm="1">
        <f t="array" aca="1" ref="U255" ca="1">IFERROR(IF(AA255&lt;&gt;"ja",_xlfn.IFNA(_xlfn.IFS(AND(O255&lt;&gt;"",F255&lt;&gt;"",RIGHT($N255,6)="tarief",F255="Vergoeding"),SUM(O255)*FLOOR(SUM(Q255),0.0001),AND(O255&lt;&gt;"",F255&lt;&gt;"",RIGHT($N255,6)="tarief"),SUM(O255)*FLOOR(SUM(Q255),0.01),S255&gt;0,IF(F255&lt;&gt;"",FLOOR(SUM(S255),0.01),"")),""),""),"")</f>
        <v/>
      </c>
      <c r="V255" s="317" t="str" cm="1">
        <f t="array" aca="1" ref="V255" ca="1">IFERROR(IF(AA255&lt;&gt;"ja",_xlfn.IFNA(_xlfn.IFS(AND(P255&lt;&gt;"",R255&lt;&gt;"",RIGHT($N255,6)="tarief",F255="Vergoeding"),SUM(P255)*FLOOR(SUM(R255),0.0001),AND(P255&lt;&gt;"",R255&lt;&gt;"",RIGHT($N255,6)="tarief"),P255*FLOOR(R255,0.01),T255&gt;0,FLOOR(SUM(T255),0.01)),""),""),"")</f>
        <v/>
      </c>
      <c r="W255" s="317" t="str" cm="1">
        <f t="array" aca="1" ref="W255" ca="1">IFERROR(_xlfn.IFS(OR(F255="",LEFT(Methode_Keuze,4)="Geen",Methode_Keuze=""),"",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17" t="str" cm="1">
        <f t="array" aca="1" ref="X255" ca="1">IFERROR(_xlfn.IFS(OR(F255="",LEFT(Methode_Keuze,4)="Geen",Methode_Keuze=""),"",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26"/>
      <c r="Z255" s="319"/>
      <c r="AA255" s="32" t="str" cm="1">
        <f t="array" ref="AA255">IFERROR(IF(INDEX(SubsidieTabel!$AD$1:$AG$12,MATCH($F255,SubsidieTabel!$AD$1:$AD$12,0),IFERROR(MATCH(Methode_Keuze,SubsidieTabel!$AD$1:$AG$1,0),2))&lt;&gt;1=TRUE,"ja",""),"")</f>
        <v/>
      </c>
    </row>
    <row r="256" spans="1:27" x14ac:dyDescent="0.25">
      <c r="A256" s="320"/>
      <c r="B256" s="321" t="str">
        <f>IF(A256&lt;&gt;"",_xlfn.MAXIFS($B$1:B255,$A$1:A255,A256)+1,"")</f>
        <v/>
      </c>
      <c r="C256" s="299"/>
      <c r="D256" s="299"/>
      <c r="E256" s="299"/>
      <c r="F256" s="299"/>
      <c r="G256" s="330"/>
      <c r="H256" s="328"/>
      <c r="I256" s="329"/>
      <c r="J256" s="329"/>
      <c r="K256" s="322"/>
      <c r="L256" s="322"/>
      <c r="M256" s="323" t="str">
        <f>IFERROR(VLOOKUP(H256,Lijsten!$H$1:$I$100,2,0),"")</f>
        <v/>
      </c>
      <c r="N256" s="323" t="str">
        <f ca="1">IFERROR(IF(VLOOKUP(F256,Kostentypen!$A$3:$E$21,3,0)=0,"",IF(OR(F256="Arbeidskosten",F256="Vergoeding"),VLOOKUP(G256,Tb_KostenTypen[],2,0),VLOOKUP(F256,Kostentypen!$A$3:$E$20,3,0))),"")</f>
        <v/>
      </c>
      <c r="O256" s="324"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4"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3"/>
      <c r="R256" s="363"/>
      <c r="S256" s="325"/>
      <c r="T256" s="325"/>
      <c r="U256" s="317" t="str" cm="1">
        <f t="array" aca="1" ref="U256" ca="1">IFERROR(IF(AA256&lt;&gt;"ja",_xlfn.IFNA(_xlfn.IFS(AND(O256&lt;&gt;"",F256&lt;&gt;"",RIGHT($N256,6)="tarief",F256="Vergoeding"),SUM(O256)*FLOOR(SUM(Q256),0.0001),AND(O256&lt;&gt;"",F256&lt;&gt;"",RIGHT($N256,6)="tarief"),SUM(O256)*FLOOR(SUM(Q256),0.01),S256&gt;0,IF(F256&lt;&gt;"",FLOOR(SUM(S256),0.01),"")),""),""),"")</f>
        <v/>
      </c>
      <c r="V256" s="317" t="str" cm="1">
        <f t="array" aca="1" ref="V256" ca="1">IFERROR(IF(AA256&lt;&gt;"ja",_xlfn.IFNA(_xlfn.IFS(AND(P256&lt;&gt;"",R256&lt;&gt;"",RIGHT($N256,6)="tarief",F256="Vergoeding"),SUM(P256)*FLOOR(SUM(R256),0.0001),AND(P256&lt;&gt;"",R256&lt;&gt;"",RIGHT($N256,6)="tarief"),P256*FLOOR(R256,0.01),T256&gt;0,FLOOR(SUM(T256),0.01)),""),""),"")</f>
        <v/>
      </c>
      <c r="W256" s="317" t="str" cm="1">
        <f t="array" aca="1" ref="W256" ca="1">IFERROR(_xlfn.IFS(OR(F256="",LEFT(Methode_Keuze,4)="Geen",Methode_Keuze=""),"",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17" t="str" cm="1">
        <f t="array" aca="1" ref="X256" ca="1">IFERROR(_xlfn.IFS(OR(F256="",LEFT(Methode_Keuze,4)="Geen",Methode_Keuze=""),"",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26"/>
      <c r="Z256" s="319"/>
      <c r="AA256" s="32" t="str" cm="1">
        <f t="array" ref="AA256">IFERROR(IF(INDEX(SubsidieTabel!$AD$1:$AG$12,MATCH($F256,SubsidieTabel!$AD$1:$AD$12,0),IFERROR(MATCH(Methode_Keuze,SubsidieTabel!$AD$1:$AG$1,0),2))&lt;&gt;1=TRUE,"ja",""),"")</f>
        <v/>
      </c>
    </row>
    <row r="257" spans="1:27" x14ac:dyDescent="0.25">
      <c r="A257" s="320"/>
      <c r="B257" s="321" t="str">
        <f>IF(A257&lt;&gt;"",_xlfn.MAXIFS($B$1:B256,$A$1:A256,A257)+1,"")</f>
        <v/>
      </c>
      <c r="C257" s="299"/>
      <c r="D257" s="299"/>
      <c r="E257" s="299"/>
      <c r="F257" s="299"/>
      <c r="G257" s="330"/>
      <c r="H257" s="328"/>
      <c r="I257" s="329"/>
      <c r="J257" s="329"/>
      <c r="K257" s="322"/>
      <c r="L257" s="322"/>
      <c r="M257" s="323" t="str">
        <f>IFERROR(VLOOKUP(H257,Lijsten!$H$1:$I$100,2,0),"")</f>
        <v/>
      </c>
      <c r="N257" s="323" t="str">
        <f ca="1">IFERROR(IF(VLOOKUP(F257,Kostentypen!$A$3:$E$21,3,0)=0,"",IF(OR(F257="Arbeidskosten",F257="Vergoeding"),VLOOKUP(G257,Tb_KostenTypen[],2,0),VLOOKUP(F257,Kostentypen!$A$3:$E$20,3,0))),"")</f>
        <v/>
      </c>
      <c r="O257" s="324"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4"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3"/>
      <c r="R257" s="363"/>
      <c r="S257" s="325"/>
      <c r="T257" s="325"/>
      <c r="U257" s="317" t="str" cm="1">
        <f t="array" aca="1" ref="U257" ca="1">IFERROR(IF(AA257&lt;&gt;"ja",_xlfn.IFNA(_xlfn.IFS(AND(O257&lt;&gt;"",F257&lt;&gt;"",RIGHT($N257,6)="tarief",F257="Vergoeding"),SUM(O257)*FLOOR(SUM(Q257),0.0001),AND(O257&lt;&gt;"",F257&lt;&gt;"",RIGHT($N257,6)="tarief"),SUM(O257)*FLOOR(SUM(Q257),0.01),S257&gt;0,IF(F257&lt;&gt;"",FLOOR(SUM(S257),0.01),"")),""),""),"")</f>
        <v/>
      </c>
      <c r="V257" s="317" t="str" cm="1">
        <f t="array" aca="1" ref="V257" ca="1">IFERROR(IF(AA257&lt;&gt;"ja",_xlfn.IFNA(_xlfn.IFS(AND(P257&lt;&gt;"",R257&lt;&gt;"",RIGHT($N257,6)="tarief",F257="Vergoeding"),SUM(P257)*FLOOR(SUM(R257),0.0001),AND(P257&lt;&gt;"",R257&lt;&gt;"",RIGHT($N257,6)="tarief"),P257*FLOOR(R257,0.01),T257&gt;0,FLOOR(SUM(T257),0.01)),""),""),"")</f>
        <v/>
      </c>
      <c r="W257" s="317" t="str" cm="1">
        <f t="array" aca="1" ref="W257" ca="1">IFERROR(_xlfn.IFS(OR(F257="",LEFT(Methode_Keuze,4)="Geen",Methode_Keuze=""),"",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17" t="str" cm="1">
        <f t="array" aca="1" ref="X257" ca="1">IFERROR(_xlfn.IFS(OR(F257="",LEFT(Methode_Keuze,4)="Geen",Methode_Keuze=""),"",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26"/>
      <c r="Z257" s="319"/>
      <c r="AA257" s="32" t="str" cm="1">
        <f t="array" ref="AA257">IFERROR(IF(INDEX(SubsidieTabel!$AD$1:$AG$12,MATCH($F257,SubsidieTabel!$AD$1:$AD$12,0),IFERROR(MATCH(Methode_Keuze,SubsidieTabel!$AD$1:$AG$1,0),2))&lt;&gt;1=TRUE,"ja",""),"")</f>
        <v/>
      </c>
    </row>
    <row r="258" spans="1:27" x14ac:dyDescent="0.25">
      <c r="A258" s="320"/>
      <c r="B258" s="321" t="str">
        <f>IF(A258&lt;&gt;"",_xlfn.MAXIFS($B$1:B257,$A$1:A257,A258)+1,"")</f>
        <v/>
      </c>
      <c r="C258" s="299"/>
      <c r="D258" s="299"/>
      <c r="E258" s="299"/>
      <c r="F258" s="299"/>
      <c r="G258" s="330"/>
      <c r="H258" s="328"/>
      <c r="I258" s="329"/>
      <c r="J258" s="329"/>
      <c r="K258" s="322"/>
      <c r="L258" s="322"/>
      <c r="M258" s="323" t="str">
        <f>IFERROR(VLOOKUP(H258,Lijsten!$H$1:$I$100,2,0),"")</f>
        <v/>
      </c>
      <c r="N258" s="323" t="str">
        <f ca="1">IFERROR(IF(VLOOKUP(F258,Kostentypen!$A$3:$E$21,3,0)=0,"",IF(OR(F258="Arbeidskosten",F258="Vergoeding"),VLOOKUP(G258,Tb_KostenTypen[],2,0),VLOOKUP(F258,Kostentypen!$A$3:$E$20,3,0))),"")</f>
        <v/>
      </c>
      <c r="O258" s="324"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4"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3"/>
      <c r="R258" s="363"/>
      <c r="S258" s="325"/>
      <c r="T258" s="325"/>
      <c r="U258" s="317" t="str" cm="1">
        <f t="array" aca="1" ref="U258" ca="1">IFERROR(IF(AA258&lt;&gt;"ja",_xlfn.IFNA(_xlfn.IFS(AND(O258&lt;&gt;"",F258&lt;&gt;"",RIGHT($N258,6)="tarief",F258="Vergoeding"),SUM(O258)*FLOOR(SUM(Q258),0.0001),AND(O258&lt;&gt;"",F258&lt;&gt;"",RIGHT($N258,6)="tarief"),SUM(O258)*FLOOR(SUM(Q258),0.01),S258&gt;0,IF(F258&lt;&gt;"",FLOOR(SUM(S258),0.01),"")),""),""),"")</f>
        <v/>
      </c>
      <c r="V258" s="317" t="str" cm="1">
        <f t="array" aca="1" ref="V258" ca="1">IFERROR(IF(AA258&lt;&gt;"ja",_xlfn.IFNA(_xlfn.IFS(AND(P258&lt;&gt;"",R258&lt;&gt;"",RIGHT($N258,6)="tarief",F258="Vergoeding"),SUM(P258)*FLOOR(SUM(R258),0.0001),AND(P258&lt;&gt;"",R258&lt;&gt;"",RIGHT($N258,6)="tarief"),P258*FLOOR(R258,0.01),T258&gt;0,FLOOR(SUM(T258),0.01)),""),""),"")</f>
        <v/>
      </c>
      <c r="W258" s="317" t="str" cm="1">
        <f t="array" aca="1" ref="W258" ca="1">IFERROR(_xlfn.IFS(OR(F258="",LEFT(Methode_Keuze,4)="Geen",Methode_Keuze=""),"",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17" t="str" cm="1">
        <f t="array" aca="1" ref="X258" ca="1">IFERROR(_xlfn.IFS(OR(F258="",LEFT(Methode_Keuze,4)="Geen",Methode_Keuze=""),"",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26"/>
      <c r="Z258" s="319"/>
      <c r="AA258" s="32" t="str" cm="1">
        <f t="array" ref="AA258">IFERROR(IF(INDEX(SubsidieTabel!$AD$1:$AG$12,MATCH($F258,SubsidieTabel!$AD$1:$AD$12,0),IFERROR(MATCH(Methode_Keuze,SubsidieTabel!$AD$1:$AG$1,0),2))&lt;&gt;1=TRUE,"ja",""),"")</f>
        <v/>
      </c>
    </row>
    <row r="259" spans="1:27" x14ac:dyDescent="0.25">
      <c r="A259" s="320"/>
      <c r="B259" s="321" t="str">
        <f>IF(A259&lt;&gt;"",_xlfn.MAXIFS($B$1:B258,$A$1:A258,A259)+1,"")</f>
        <v/>
      </c>
      <c r="C259" s="299"/>
      <c r="D259" s="299"/>
      <c r="E259" s="299"/>
      <c r="F259" s="299"/>
      <c r="G259" s="330"/>
      <c r="H259" s="328"/>
      <c r="I259" s="329"/>
      <c r="J259" s="329"/>
      <c r="K259" s="322"/>
      <c r="L259" s="322"/>
      <c r="M259" s="323" t="str">
        <f>IFERROR(VLOOKUP(H259,Lijsten!$H$1:$I$100,2,0),"")</f>
        <v/>
      </c>
      <c r="N259" s="323" t="str">
        <f ca="1">IFERROR(IF(VLOOKUP(F259,Kostentypen!$A$3:$E$21,3,0)=0,"",IF(OR(F259="Arbeidskosten",F259="Vergoeding"),VLOOKUP(G259,Tb_KostenTypen[],2,0),VLOOKUP(F259,Kostentypen!$A$3:$E$20,3,0))),"")</f>
        <v/>
      </c>
      <c r="O259" s="324"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4"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3"/>
      <c r="R259" s="363"/>
      <c r="S259" s="325"/>
      <c r="T259" s="325"/>
      <c r="U259" s="317" t="str" cm="1">
        <f t="array" aca="1" ref="U259" ca="1">IFERROR(IF(AA259&lt;&gt;"ja",_xlfn.IFNA(_xlfn.IFS(AND(O259&lt;&gt;"",F259&lt;&gt;"",RIGHT($N259,6)="tarief",F259="Vergoeding"),SUM(O259)*FLOOR(SUM(Q259),0.0001),AND(O259&lt;&gt;"",F259&lt;&gt;"",RIGHT($N259,6)="tarief"),SUM(O259)*FLOOR(SUM(Q259),0.01),S259&gt;0,IF(F259&lt;&gt;"",FLOOR(SUM(S259),0.01),"")),""),""),"")</f>
        <v/>
      </c>
      <c r="V259" s="317" t="str" cm="1">
        <f t="array" aca="1" ref="V259" ca="1">IFERROR(IF(AA259&lt;&gt;"ja",_xlfn.IFNA(_xlfn.IFS(AND(P259&lt;&gt;"",R259&lt;&gt;"",RIGHT($N259,6)="tarief",F259="Vergoeding"),SUM(P259)*FLOOR(SUM(R259),0.0001),AND(P259&lt;&gt;"",R259&lt;&gt;"",RIGHT($N259,6)="tarief"),P259*FLOOR(R259,0.01),T259&gt;0,FLOOR(SUM(T259),0.01)),""),""),"")</f>
        <v/>
      </c>
      <c r="W259" s="317" t="str" cm="1">
        <f t="array" aca="1" ref="W259" ca="1">IFERROR(_xlfn.IFS(OR(F259="",LEFT(Methode_Keuze,4)="Geen",Methode_Keuze=""),"",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17" t="str" cm="1">
        <f t="array" aca="1" ref="X259" ca="1">IFERROR(_xlfn.IFS(OR(F259="",LEFT(Methode_Keuze,4)="Geen",Methode_Keuze=""),"",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26"/>
      <c r="Z259" s="319"/>
      <c r="AA259" s="32" t="str" cm="1">
        <f t="array" ref="AA259">IFERROR(IF(INDEX(SubsidieTabel!$AD$1:$AG$12,MATCH($F259,SubsidieTabel!$AD$1:$AD$12,0),IFERROR(MATCH(Methode_Keuze,SubsidieTabel!$AD$1:$AG$1,0),2))&lt;&gt;1=TRUE,"ja",""),"")</f>
        <v/>
      </c>
    </row>
    <row r="260" spans="1:27" x14ac:dyDescent="0.25">
      <c r="A260" s="320"/>
      <c r="B260" s="321" t="str">
        <f>IF(A260&lt;&gt;"",_xlfn.MAXIFS($B$1:B259,$A$1:A259,A260)+1,"")</f>
        <v/>
      </c>
      <c r="C260" s="299"/>
      <c r="D260" s="299"/>
      <c r="E260" s="299"/>
      <c r="F260" s="299"/>
      <c r="G260" s="330"/>
      <c r="H260" s="328"/>
      <c r="I260" s="329"/>
      <c r="J260" s="329"/>
      <c r="K260" s="322"/>
      <c r="L260" s="322"/>
      <c r="M260" s="323" t="str">
        <f>IFERROR(VLOOKUP(H260,Lijsten!$H$1:$I$100,2,0),"")</f>
        <v/>
      </c>
      <c r="N260" s="323" t="str">
        <f ca="1">IFERROR(IF(VLOOKUP(F260,Kostentypen!$A$3:$E$21,3,0)=0,"",IF(OR(F260="Arbeidskosten",F260="Vergoeding"),VLOOKUP(G260,Tb_KostenTypen[],2,0),VLOOKUP(F260,Kostentypen!$A$3:$E$20,3,0))),"")</f>
        <v/>
      </c>
      <c r="O260" s="324"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4"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3"/>
      <c r="R260" s="363"/>
      <c r="S260" s="325"/>
      <c r="T260" s="325"/>
      <c r="U260" s="317" t="str" cm="1">
        <f t="array" aca="1" ref="U260" ca="1">IFERROR(IF(AA260&lt;&gt;"ja",_xlfn.IFNA(_xlfn.IFS(AND(O260&lt;&gt;"",F260&lt;&gt;"",RIGHT($N260,6)="tarief",F260="Vergoeding"),SUM(O260)*FLOOR(SUM(Q260),0.0001),AND(O260&lt;&gt;"",F260&lt;&gt;"",RIGHT($N260,6)="tarief"),SUM(O260)*FLOOR(SUM(Q260),0.01),S260&gt;0,IF(F260&lt;&gt;"",FLOOR(SUM(S260),0.01),"")),""),""),"")</f>
        <v/>
      </c>
      <c r="V260" s="317" t="str" cm="1">
        <f t="array" aca="1" ref="V260" ca="1">IFERROR(IF(AA260&lt;&gt;"ja",_xlfn.IFNA(_xlfn.IFS(AND(P260&lt;&gt;"",R260&lt;&gt;"",RIGHT($N260,6)="tarief",F260="Vergoeding"),SUM(P260)*FLOOR(SUM(R260),0.0001),AND(P260&lt;&gt;"",R260&lt;&gt;"",RIGHT($N260,6)="tarief"),P260*FLOOR(R260,0.01),T260&gt;0,FLOOR(SUM(T260),0.01)),""),""),"")</f>
        <v/>
      </c>
      <c r="W260" s="317" t="str" cm="1">
        <f t="array" aca="1" ref="W260" ca="1">IFERROR(_xlfn.IFS(OR(F260="",LEFT(Methode_Keuze,4)="Geen",Methode_Keuze=""),"",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17" t="str" cm="1">
        <f t="array" aca="1" ref="X260" ca="1">IFERROR(_xlfn.IFS(OR(F260="",LEFT(Methode_Keuze,4)="Geen",Methode_Keuze=""),"",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26"/>
      <c r="Z260" s="319"/>
      <c r="AA260" s="32" t="str" cm="1">
        <f t="array" ref="AA260">IFERROR(IF(INDEX(SubsidieTabel!$AD$1:$AG$12,MATCH($F260,SubsidieTabel!$AD$1:$AD$12,0),IFERROR(MATCH(Methode_Keuze,SubsidieTabel!$AD$1:$AG$1,0),2))&lt;&gt;1=TRUE,"ja",""),"")</f>
        <v/>
      </c>
    </row>
    <row r="261" spans="1:27" x14ac:dyDescent="0.25">
      <c r="A261" s="320"/>
      <c r="B261" s="321" t="str">
        <f>IF(A261&lt;&gt;"",_xlfn.MAXIFS($B$1:B260,$A$1:A260,A261)+1,"")</f>
        <v/>
      </c>
      <c r="C261" s="299"/>
      <c r="D261" s="299"/>
      <c r="E261" s="299"/>
      <c r="F261" s="299"/>
      <c r="G261" s="330"/>
      <c r="H261" s="328"/>
      <c r="I261" s="329"/>
      <c r="J261" s="329"/>
      <c r="K261" s="322"/>
      <c r="L261" s="322"/>
      <c r="M261" s="323" t="str">
        <f>IFERROR(VLOOKUP(H261,Lijsten!$H$1:$I$100,2,0),"")</f>
        <v/>
      </c>
      <c r="N261" s="323" t="str">
        <f ca="1">IFERROR(IF(VLOOKUP(F261,Kostentypen!$A$3:$E$21,3,0)=0,"",IF(OR(F261="Arbeidskosten",F261="Vergoeding"),VLOOKUP(G261,Tb_KostenTypen[],2,0),VLOOKUP(F261,Kostentypen!$A$3:$E$20,3,0))),"")</f>
        <v/>
      </c>
      <c r="O261" s="324"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4"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3"/>
      <c r="R261" s="363"/>
      <c r="S261" s="325"/>
      <c r="T261" s="325"/>
      <c r="U261" s="317" t="str" cm="1">
        <f t="array" aca="1" ref="U261" ca="1">IFERROR(IF(AA261&lt;&gt;"ja",_xlfn.IFNA(_xlfn.IFS(AND(O261&lt;&gt;"",F261&lt;&gt;"",RIGHT($N261,6)="tarief",F261="Vergoeding"),SUM(O261)*FLOOR(SUM(Q261),0.0001),AND(O261&lt;&gt;"",F261&lt;&gt;"",RIGHT($N261,6)="tarief"),SUM(O261)*FLOOR(SUM(Q261),0.01),S261&gt;0,IF(F261&lt;&gt;"",FLOOR(SUM(S261),0.01),"")),""),""),"")</f>
        <v/>
      </c>
      <c r="V261" s="317" t="str" cm="1">
        <f t="array" aca="1" ref="V261" ca="1">IFERROR(IF(AA261&lt;&gt;"ja",_xlfn.IFNA(_xlfn.IFS(AND(P261&lt;&gt;"",R261&lt;&gt;"",RIGHT($N261,6)="tarief",F261="Vergoeding"),SUM(P261)*FLOOR(SUM(R261),0.0001),AND(P261&lt;&gt;"",R261&lt;&gt;"",RIGHT($N261,6)="tarief"),P261*FLOOR(R261,0.01),T261&gt;0,FLOOR(SUM(T261),0.01)),""),""),"")</f>
        <v/>
      </c>
      <c r="W261" s="317" t="str" cm="1">
        <f t="array" aca="1" ref="W261" ca="1">IFERROR(_xlfn.IFS(OR(F261="",LEFT(Methode_Keuze,4)="Geen",Methode_Keuze=""),"",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17" t="str" cm="1">
        <f t="array" aca="1" ref="X261" ca="1">IFERROR(_xlfn.IFS(OR(F261="",LEFT(Methode_Keuze,4)="Geen",Methode_Keuze=""),"",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26"/>
      <c r="Z261" s="319"/>
      <c r="AA261" s="32" t="str" cm="1">
        <f t="array" ref="AA261">IFERROR(IF(INDEX(SubsidieTabel!$AD$1:$AG$12,MATCH($F261,SubsidieTabel!$AD$1:$AD$12,0),IFERROR(MATCH(Methode_Keuze,SubsidieTabel!$AD$1:$AG$1,0),2))&lt;&gt;1=TRUE,"ja",""),"")</f>
        <v/>
      </c>
    </row>
    <row r="262" spans="1:27" x14ac:dyDescent="0.25">
      <c r="A262" s="320"/>
      <c r="B262" s="321" t="str">
        <f>IF(A262&lt;&gt;"",_xlfn.MAXIFS($B$1:B261,$A$1:A261,A262)+1,"")</f>
        <v/>
      </c>
      <c r="C262" s="299"/>
      <c r="D262" s="299"/>
      <c r="E262" s="299"/>
      <c r="F262" s="299"/>
      <c r="G262" s="330"/>
      <c r="H262" s="328"/>
      <c r="I262" s="329"/>
      <c r="J262" s="329"/>
      <c r="K262" s="322"/>
      <c r="L262" s="322"/>
      <c r="M262" s="323" t="str">
        <f>IFERROR(VLOOKUP(H262,Lijsten!$H$1:$I$100,2,0),"")</f>
        <v/>
      </c>
      <c r="N262" s="323" t="str">
        <f ca="1">IFERROR(IF(VLOOKUP(F262,Kostentypen!$A$3:$E$21,3,0)=0,"",IF(OR(F262="Arbeidskosten",F262="Vergoeding"),VLOOKUP(G262,Tb_KostenTypen[],2,0),VLOOKUP(F262,Kostentypen!$A$3:$E$20,3,0))),"")</f>
        <v/>
      </c>
      <c r="O262" s="324"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4"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3"/>
      <c r="R262" s="363"/>
      <c r="S262" s="325"/>
      <c r="T262" s="325"/>
      <c r="U262" s="317" t="str" cm="1">
        <f t="array" aca="1" ref="U262" ca="1">IFERROR(IF(AA262&lt;&gt;"ja",_xlfn.IFNA(_xlfn.IFS(AND(O262&lt;&gt;"",F262&lt;&gt;"",RIGHT($N262,6)="tarief",F262="Vergoeding"),SUM(O262)*FLOOR(SUM(Q262),0.0001),AND(O262&lt;&gt;"",F262&lt;&gt;"",RIGHT($N262,6)="tarief"),SUM(O262)*FLOOR(SUM(Q262),0.01),S262&gt;0,IF(F262&lt;&gt;"",FLOOR(SUM(S262),0.01),"")),""),""),"")</f>
        <v/>
      </c>
      <c r="V262" s="317" t="str" cm="1">
        <f t="array" aca="1" ref="V262" ca="1">IFERROR(IF(AA262&lt;&gt;"ja",_xlfn.IFNA(_xlfn.IFS(AND(P262&lt;&gt;"",R262&lt;&gt;"",RIGHT($N262,6)="tarief",F262="Vergoeding"),SUM(P262)*FLOOR(SUM(R262),0.0001),AND(P262&lt;&gt;"",R262&lt;&gt;"",RIGHT($N262,6)="tarief"),P262*FLOOR(R262,0.01),T262&gt;0,FLOOR(SUM(T262),0.01)),""),""),"")</f>
        <v/>
      </c>
      <c r="W262" s="317" t="str" cm="1">
        <f t="array" aca="1" ref="W262" ca="1">IFERROR(_xlfn.IFS(OR(F262="",LEFT(Methode_Keuze,4)="Geen",Methode_Keuze=""),"",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17" t="str" cm="1">
        <f t="array" aca="1" ref="X262" ca="1">IFERROR(_xlfn.IFS(OR(F262="",LEFT(Methode_Keuze,4)="Geen",Methode_Keuze=""),"",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26"/>
      <c r="Z262" s="319"/>
      <c r="AA262" s="32" t="str" cm="1">
        <f t="array" ref="AA262">IFERROR(IF(INDEX(SubsidieTabel!$AD$1:$AG$12,MATCH($F262,SubsidieTabel!$AD$1:$AD$12,0),IFERROR(MATCH(Methode_Keuze,SubsidieTabel!$AD$1:$AG$1,0),2))&lt;&gt;1=TRUE,"ja",""),"")</f>
        <v/>
      </c>
    </row>
    <row r="263" spans="1:27" x14ac:dyDescent="0.25">
      <c r="A263" s="320"/>
      <c r="B263" s="321" t="str">
        <f>IF(A263&lt;&gt;"",_xlfn.MAXIFS($B$1:B262,$A$1:A262,A263)+1,"")</f>
        <v/>
      </c>
      <c r="C263" s="299"/>
      <c r="D263" s="299"/>
      <c r="E263" s="299"/>
      <c r="F263" s="299"/>
      <c r="G263" s="330"/>
      <c r="H263" s="328"/>
      <c r="I263" s="329"/>
      <c r="J263" s="329"/>
      <c r="K263" s="322"/>
      <c r="L263" s="322"/>
      <c r="M263" s="323" t="str">
        <f>IFERROR(VLOOKUP(H263,Lijsten!$H$1:$I$100,2,0),"")</f>
        <v/>
      </c>
      <c r="N263" s="323" t="str">
        <f ca="1">IFERROR(IF(VLOOKUP(F263,Kostentypen!$A$3:$E$21,3,0)=0,"",IF(OR(F263="Arbeidskosten",F263="Vergoeding"),VLOOKUP(G263,Tb_KostenTypen[],2,0),VLOOKUP(F263,Kostentypen!$A$3:$E$20,3,0))),"")</f>
        <v/>
      </c>
      <c r="O263" s="324"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4"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3"/>
      <c r="R263" s="363"/>
      <c r="S263" s="325"/>
      <c r="T263" s="325"/>
      <c r="U263" s="317" t="str" cm="1">
        <f t="array" aca="1" ref="U263" ca="1">IFERROR(IF(AA263&lt;&gt;"ja",_xlfn.IFNA(_xlfn.IFS(AND(O263&lt;&gt;"",F263&lt;&gt;"",RIGHT($N263,6)="tarief",F263="Vergoeding"),SUM(O263)*FLOOR(SUM(Q263),0.0001),AND(O263&lt;&gt;"",F263&lt;&gt;"",RIGHT($N263,6)="tarief"),SUM(O263)*FLOOR(SUM(Q263),0.01),S263&gt;0,IF(F263&lt;&gt;"",FLOOR(SUM(S263),0.01),"")),""),""),"")</f>
        <v/>
      </c>
      <c r="V263" s="317" t="str" cm="1">
        <f t="array" aca="1" ref="V263" ca="1">IFERROR(IF(AA263&lt;&gt;"ja",_xlfn.IFNA(_xlfn.IFS(AND(P263&lt;&gt;"",R263&lt;&gt;"",RIGHT($N263,6)="tarief",F263="Vergoeding"),SUM(P263)*FLOOR(SUM(R263),0.0001),AND(P263&lt;&gt;"",R263&lt;&gt;"",RIGHT($N263,6)="tarief"),P263*FLOOR(R263,0.01),T263&gt;0,FLOOR(SUM(T263),0.01)),""),""),"")</f>
        <v/>
      </c>
      <c r="W263" s="317" t="str" cm="1">
        <f t="array" aca="1" ref="W263" ca="1">IFERROR(_xlfn.IFS(OR(F263="",LEFT(Methode_Keuze,4)="Geen",Methode_Keuze=""),"",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17" t="str" cm="1">
        <f t="array" aca="1" ref="X263" ca="1">IFERROR(_xlfn.IFS(OR(F263="",LEFT(Methode_Keuze,4)="Geen",Methode_Keuze=""),"",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26"/>
      <c r="Z263" s="319"/>
      <c r="AA263" s="32" t="str" cm="1">
        <f t="array" ref="AA263">IFERROR(IF(INDEX(SubsidieTabel!$AD$1:$AG$12,MATCH($F263,SubsidieTabel!$AD$1:$AD$12,0),IFERROR(MATCH(Methode_Keuze,SubsidieTabel!$AD$1:$AG$1,0),2))&lt;&gt;1=TRUE,"ja",""),"")</f>
        <v/>
      </c>
    </row>
    <row r="264" spans="1:27" x14ac:dyDescent="0.25">
      <c r="A264" s="320"/>
      <c r="B264" s="321" t="str">
        <f>IF(A264&lt;&gt;"",_xlfn.MAXIFS($B$1:B263,$A$1:A263,A264)+1,"")</f>
        <v/>
      </c>
      <c r="C264" s="299"/>
      <c r="D264" s="299"/>
      <c r="E264" s="299"/>
      <c r="F264" s="299"/>
      <c r="G264" s="330"/>
      <c r="H264" s="328"/>
      <c r="I264" s="329"/>
      <c r="J264" s="329"/>
      <c r="K264" s="322"/>
      <c r="L264" s="322"/>
      <c r="M264" s="323" t="str">
        <f>IFERROR(VLOOKUP(H264,Lijsten!$H$1:$I$100,2,0),"")</f>
        <v/>
      </c>
      <c r="N264" s="323" t="str">
        <f ca="1">IFERROR(IF(VLOOKUP(F264,Kostentypen!$A$3:$E$21,3,0)=0,"",IF(OR(F264="Arbeidskosten",F264="Vergoeding"),VLOOKUP(G264,Tb_KostenTypen[],2,0),VLOOKUP(F264,Kostentypen!$A$3:$E$20,3,0))),"")</f>
        <v/>
      </c>
      <c r="O264" s="324"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4"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3"/>
      <c r="R264" s="363"/>
      <c r="S264" s="325"/>
      <c r="T264" s="325"/>
      <c r="U264" s="317" t="str" cm="1">
        <f t="array" aca="1" ref="U264" ca="1">IFERROR(IF(AA264&lt;&gt;"ja",_xlfn.IFNA(_xlfn.IFS(AND(O264&lt;&gt;"",F264&lt;&gt;"",RIGHT($N264,6)="tarief",F264="Vergoeding"),SUM(O264)*FLOOR(SUM(Q264),0.0001),AND(O264&lt;&gt;"",F264&lt;&gt;"",RIGHT($N264,6)="tarief"),SUM(O264)*FLOOR(SUM(Q264),0.01),S264&gt;0,IF(F264&lt;&gt;"",FLOOR(SUM(S264),0.01),"")),""),""),"")</f>
        <v/>
      </c>
      <c r="V264" s="317" t="str" cm="1">
        <f t="array" aca="1" ref="V264" ca="1">IFERROR(IF(AA264&lt;&gt;"ja",_xlfn.IFNA(_xlfn.IFS(AND(P264&lt;&gt;"",R264&lt;&gt;"",RIGHT($N264,6)="tarief",F264="Vergoeding"),SUM(P264)*FLOOR(SUM(R264),0.0001),AND(P264&lt;&gt;"",R264&lt;&gt;"",RIGHT($N264,6)="tarief"),P264*FLOOR(R264,0.01),T264&gt;0,FLOOR(SUM(T264),0.01)),""),""),"")</f>
        <v/>
      </c>
      <c r="W264" s="317" t="str" cm="1">
        <f t="array" aca="1" ref="W264" ca="1">IFERROR(_xlfn.IFS(OR(F264="",LEFT(Methode_Keuze,4)="Geen",Methode_Keuze=""),"",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17" t="str" cm="1">
        <f t="array" aca="1" ref="X264" ca="1">IFERROR(_xlfn.IFS(OR(F264="",LEFT(Methode_Keuze,4)="Geen",Methode_Keuze=""),"",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26"/>
      <c r="Z264" s="319"/>
      <c r="AA264" s="32" t="str" cm="1">
        <f t="array" ref="AA264">IFERROR(IF(INDEX(SubsidieTabel!$AD$1:$AG$12,MATCH($F264,SubsidieTabel!$AD$1:$AD$12,0),IFERROR(MATCH(Methode_Keuze,SubsidieTabel!$AD$1:$AG$1,0),2))&lt;&gt;1=TRUE,"ja",""),"")</f>
        <v/>
      </c>
    </row>
    <row r="265" spans="1:27" x14ac:dyDescent="0.25">
      <c r="A265" s="320"/>
      <c r="B265" s="321" t="str">
        <f>IF(A265&lt;&gt;"",_xlfn.MAXIFS($B$1:B264,$A$1:A264,A265)+1,"")</f>
        <v/>
      </c>
      <c r="C265" s="299"/>
      <c r="D265" s="299"/>
      <c r="E265" s="299"/>
      <c r="F265" s="299"/>
      <c r="G265" s="330"/>
      <c r="H265" s="328"/>
      <c r="I265" s="329"/>
      <c r="J265" s="329"/>
      <c r="K265" s="322"/>
      <c r="L265" s="322"/>
      <c r="M265" s="323" t="str">
        <f>IFERROR(VLOOKUP(H265,Lijsten!$H$1:$I$100,2,0),"")</f>
        <v/>
      </c>
      <c r="N265" s="323" t="str">
        <f ca="1">IFERROR(IF(VLOOKUP(F265,Kostentypen!$A$3:$E$21,3,0)=0,"",IF(OR(F265="Arbeidskosten",F265="Vergoeding"),VLOOKUP(G265,Tb_KostenTypen[],2,0),VLOOKUP(F265,Kostentypen!$A$3:$E$20,3,0))),"")</f>
        <v/>
      </c>
      <c r="O265" s="324"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4"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3"/>
      <c r="R265" s="363"/>
      <c r="S265" s="325"/>
      <c r="T265" s="325"/>
      <c r="U265" s="317" t="str" cm="1">
        <f t="array" aca="1" ref="U265" ca="1">IFERROR(IF(AA265&lt;&gt;"ja",_xlfn.IFNA(_xlfn.IFS(AND(O265&lt;&gt;"",F265&lt;&gt;"",RIGHT($N265,6)="tarief",F265="Vergoeding"),SUM(O265)*FLOOR(SUM(Q265),0.0001),AND(O265&lt;&gt;"",F265&lt;&gt;"",RIGHT($N265,6)="tarief"),SUM(O265)*FLOOR(SUM(Q265),0.01),S265&gt;0,IF(F265&lt;&gt;"",FLOOR(SUM(S265),0.01),"")),""),""),"")</f>
        <v/>
      </c>
      <c r="V265" s="317" t="str" cm="1">
        <f t="array" aca="1" ref="V265" ca="1">IFERROR(IF(AA265&lt;&gt;"ja",_xlfn.IFNA(_xlfn.IFS(AND(P265&lt;&gt;"",R265&lt;&gt;"",RIGHT($N265,6)="tarief",F265="Vergoeding"),SUM(P265)*FLOOR(SUM(R265),0.0001),AND(P265&lt;&gt;"",R265&lt;&gt;"",RIGHT($N265,6)="tarief"),P265*FLOOR(R265,0.01),T265&gt;0,FLOOR(SUM(T265),0.01)),""),""),"")</f>
        <v/>
      </c>
      <c r="W265" s="317" t="str" cm="1">
        <f t="array" aca="1" ref="W265" ca="1">IFERROR(_xlfn.IFS(OR(F265="",LEFT(Methode_Keuze,4)="Geen",Methode_Keuze=""),"",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17" t="str" cm="1">
        <f t="array" aca="1" ref="X265" ca="1">IFERROR(_xlfn.IFS(OR(F265="",LEFT(Methode_Keuze,4)="Geen",Methode_Keuze=""),"",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26"/>
      <c r="Z265" s="319"/>
      <c r="AA265" s="32" t="str" cm="1">
        <f t="array" ref="AA265">IFERROR(IF(INDEX(SubsidieTabel!$AD$1:$AG$12,MATCH($F265,SubsidieTabel!$AD$1:$AD$12,0),IFERROR(MATCH(Methode_Keuze,SubsidieTabel!$AD$1:$AG$1,0),2))&lt;&gt;1=TRUE,"ja",""),"")</f>
        <v/>
      </c>
    </row>
    <row r="266" spans="1:27" x14ac:dyDescent="0.25">
      <c r="A266" s="320"/>
      <c r="B266" s="321" t="str">
        <f>IF(A266&lt;&gt;"",_xlfn.MAXIFS($B$1:B265,$A$1:A265,A266)+1,"")</f>
        <v/>
      </c>
      <c r="C266" s="299"/>
      <c r="D266" s="299"/>
      <c r="E266" s="299"/>
      <c r="F266" s="299"/>
      <c r="G266" s="330"/>
      <c r="H266" s="328"/>
      <c r="I266" s="329"/>
      <c r="J266" s="329"/>
      <c r="K266" s="322"/>
      <c r="L266" s="322"/>
      <c r="M266" s="323" t="str">
        <f>IFERROR(VLOOKUP(H266,Lijsten!$H$1:$I$100,2,0),"")</f>
        <v/>
      </c>
      <c r="N266" s="323" t="str">
        <f ca="1">IFERROR(IF(VLOOKUP(F266,Kostentypen!$A$3:$E$21,3,0)=0,"",IF(OR(F266="Arbeidskosten",F266="Vergoeding"),VLOOKUP(G266,Tb_KostenTypen[],2,0),VLOOKUP(F266,Kostentypen!$A$3:$E$20,3,0))),"")</f>
        <v/>
      </c>
      <c r="O266" s="324"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4"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3"/>
      <c r="R266" s="363"/>
      <c r="S266" s="325"/>
      <c r="T266" s="325"/>
      <c r="U266" s="317" t="str" cm="1">
        <f t="array" aca="1" ref="U266" ca="1">IFERROR(IF(AA266&lt;&gt;"ja",_xlfn.IFNA(_xlfn.IFS(AND(O266&lt;&gt;"",F266&lt;&gt;"",RIGHT($N266,6)="tarief",F266="Vergoeding"),SUM(O266)*FLOOR(SUM(Q266),0.0001),AND(O266&lt;&gt;"",F266&lt;&gt;"",RIGHT($N266,6)="tarief"),SUM(O266)*FLOOR(SUM(Q266),0.01),S266&gt;0,IF(F266&lt;&gt;"",FLOOR(SUM(S266),0.01),"")),""),""),"")</f>
        <v/>
      </c>
      <c r="V266" s="317" t="str" cm="1">
        <f t="array" aca="1" ref="V266" ca="1">IFERROR(IF(AA266&lt;&gt;"ja",_xlfn.IFNA(_xlfn.IFS(AND(P266&lt;&gt;"",R266&lt;&gt;"",RIGHT($N266,6)="tarief",F266="Vergoeding"),SUM(P266)*FLOOR(SUM(R266),0.0001),AND(P266&lt;&gt;"",R266&lt;&gt;"",RIGHT($N266,6)="tarief"),P266*FLOOR(R266,0.01),T266&gt;0,FLOOR(SUM(T266),0.01)),""),""),"")</f>
        <v/>
      </c>
      <c r="W266" s="317" t="str" cm="1">
        <f t="array" aca="1" ref="W266" ca="1">IFERROR(_xlfn.IFS(OR(F266="",LEFT(Methode_Keuze,4)="Geen",Methode_Keuze=""),"",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17" t="str" cm="1">
        <f t="array" aca="1" ref="X266" ca="1">IFERROR(_xlfn.IFS(OR(F266="",LEFT(Methode_Keuze,4)="Geen",Methode_Keuze=""),"",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26"/>
      <c r="Z266" s="319"/>
      <c r="AA266" s="32" t="str" cm="1">
        <f t="array" ref="AA266">IFERROR(IF(INDEX(SubsidieTabel!$AD$1:$AG$12,MATCH($F266,SubsidieTabel!$AD$1:$AD$12,0),IFERROR(MATCH(Methode_Keuze,SubsidieTabel!$AD$1:$AG$1,0),2))&lt;&gt;1=TRUE,"ja",""),"")</f>
        <v/>
      </c>
    </row>
    <row r="267" spans="1:27" x14ac:dyDescent="0.25">
      <c r="A267" s="320"/>
      <c r="B267" s="321" t="str">
        <f>IF(A267&lt;&gt;"",_xlfn.MAXIFS($B$1:B266,$A$1:A266,A267)+1,"")</f>
        <v/>
      </c>
      <c r="C267" s="299"/>
      <c r="D267" s="299"/>
      <c r="E267" s="299"/>
      <c r="F267" s="299"/>
      <c r="G267" s="330"/>
      <c r="H267" s="328"/>
      <c r="I267" s="329"/>
      <c r="J267" s="329"/>
      <c r="K267" s="322"/>
      <c r="L267" s="322"/>
      <c r="M267" s="323" t="str">
        <f>IFERROR(VLOOKUP(H267,Lijsten!$H$1:$I$100,2,0),"")</f>
        <v/>
      </c>
      <c r="N267" s="323" t="str">
        <f ca="1">IFERROR(IF(VLOOKUP(F267,Kostentypen!$A$3:$E$21,3,0)=0,"",IF(OR(F267="Arbeidskosten",F267="Vergoeding"),VLOOKUP(G267,Tb_KostenTypen[],2,0),VLOOKUP(F267,Kostentypen!$A$3:$E$20,3,0))),"")</f>
        <v/>
      </c>
      <c r="O267" s="324"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4"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3"/>
      <c r="R267" s="363"/>
      <c r="S267" s="325"/>
      <c r="T267" s="325"/>
      <c r="U267" s="317" t="str" cm="1">
        <f t="array" aca="1" ref="U267" ca="1">IFERROR(IF(AA267&lt;&gt;"ja",_xlfn.IFNA(_xlfn.IFS(AND(O267&lt;&gt;"",F267&lt;&gt;"",RIGHT($N267,6)="tarief",F267="Vergoeding"),SUM(O267)*FLOOR(SUM(Q267),0.0001),AND(O267&lt;&gt;"",F267&lt;&gt;"",RIGHT($N267,6)="tarief"),SUM(O267)*FLOOR(SUM(Q267),0.01),S267&gt;0,IF(F267&lt;&gt;"",FLOOR(SUM(S267),0.01),"")),""),""),"")</f>
        <v/>
      </c>
      <c r="V267" s="317" t="str" cm="1">
        <f t="array" aca="1" ref="V267" ca="1">IFERROR(IF(AA267&lt;&gt;"ja",_xlfn.IFNA(_xlfn.IFS(AND(P267&lt;&gt;"",R267&lt;&gt;"",RIGHT($N267,6)="tarief",F267="Vergoeding"),SUM(P267)*FLOOR(SUM(R267),0.0001),AND(P267&lt;&gt;"",R267&lt;&gt;"",RIGHT($N267,6)="tarief"),P267*FLOOR(R267,0.01),T267&gt;0,FLOOR(SUM(T267),0.01)),""),""),"")</f>
        <v/>
      </c>
      <c r="W267" s="317" t="str" cm="1">
        <f t="array" aca="1" ref="W267" ca="1">IFERROR(_xlfn.IFS(OR(F267="",LEFT(Methode_Keuze,4)="Geen",Methode_Keuze=""),"",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17" t="str" cm="1">
        <f t="array" aca="1" ref="X267" ca="1">IFERROR(_xlfn.IFS(OR(F267="",LEFT(Methode_Keuze,4)="Geen",Methode_Keuze=""),"",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26"/>
      <c r="Z267" s="319"/>
      <c r="AA267" s="32" t="str" cm="1">
        <f t="array" ref="AA267">IFERROR(IF(INDEX(SubsidieTabel!$AD$1:$AG$12,MATCH($F267,SubsidieTabel!$AD$1:$AD$12,0),IFERROR(MATCH(Methode_Keuze,SubsidieTabel!$AD$1:$AG$1,0),2))&lt;&gt;1=TRUE,"ja",""),"")</f>
        <v/>
      </c>
    </row>
    <row r="268" spans="1:27" x14ac:dyDescent="0.25">
      <c r="A268" s="320"/>
      <c r="B268" s="321" t="str">
        <f>IF(A268&lt;&gt;"",_xlfn.MAXIFS($B$1:B267,$A$1:A267,A268)+1,"")</f>
        <v/>
      </c>
      <c r="C268" s="299"/>
      <c r="D268" s="299"/>
      <c r="E268" s="299"/>
      <c r="F268" s="299"/>
      <c r="G268" s="330"/>
      <c r="H268" s="328"/>
      <c r="I268" s="329"/>
      <c r="J268" s="329"/>
      <c r="K268" s="322"/>
      <c r="L268" s="322"/>
      <c r="M268" s="323" t="str">
        <f>IFERROR(VLOOKUP(H268,Lijsten!$H$1:$I$100,2,0),"")</f>
        <v/>
      </c>
      <c r="N268" s="323" t="str">
        <f ca="1">IFERROR(IF(VLOOKUP(F268,Kostentypen!$A$3:$E$21,3,0)=0,"",IF(OR(F268="Arbeidskosten",F268="Vergoeding"),VLOOKUP(G268,Tb_KostenTypen[],2,0),VLOOKUP(F268,Kostentypen!$A$3:$E$20,3,0))),"")</f>
        <v/>
      </c>
      <c r="O268" s="324"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4"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3"/>
      <c r="R268" s="363"/>
      <c r="S268" s="325"/>
      <c r="T268" s="325"/>
      <c r="U268" s="317" t="str" cm="1">
        <f t="array" aca="1" ref="U268" ca="1">IFERROR(IF(AA268&lt;&gt;"ja",_xlfn.IFNA(_xlfn.IFS(AND(O268&lt;&gt;"",F268&lt;&gt;"",RIGHT($N268,6)="tarief",F268="Vergoeding"),SUM(O268)*FLOOR(SUM(Q268),0.0001),AND(O268&lt;&gt;"",F268&lt;&gt;"",RIGHT($N268,6)="tarief"),SUM(O268)*FLOOR(SUM(Q268),0.01),S268&gt;0,IF(F268&lt;&gt;"",FLOOR(SUM(S268),0.01),"")),""),""),"")</f>
        <v/>
      </c>
      <c r="V268" s="317" t="str" cm="1">
        <f t="array" aca="1" ref="V268" ca="1">IFERROR(IF(AA268&lt;&gt;"ja",_xlfn.IFNA(_xlfn.IFS(AND(P268&lt;&gt;"",R268&lt;&gt;"",RIGHT($N268,6)="tarief",F268="Vergoeding"),SUM(P268)*FLOOR(SUM(R268),0.0001),AND(P268&lt;&gt;"",R268&lt;&gt;"",RIGHT($N268,6)="tarief"),P268*FLOOR(R268,0.01),T268&gt;0,FLOOR(SUM(T268),0.01)),""),""),"")</f>
        <v/>
      </c>
      <c r="W268" s="317" t="str" cm="1">
        <f t="array" aca="1" ref="W268" ca="1">IFERROR(_xlfn.IFS(OR(F268="",LEFT(Methode_Keuze,4)="Geen",Methode_Keuze=""),"",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17" t="str" cm="1">
        <f t="array" aca="1" ref="X268" ca="1">IFERROR(_xlfn.IFS(OR(F268="",LEFT(Methode_Keuze,4)="Geen",Methode_Keuze=""),"",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26"/>
      <c r="Z268" s="319"/>
      <c r="AA268" s="32" t="str" cm="1">
        <f t="array" ref="AA268">IFERROR(IF(INDEX(SubsidieTabel!$AD$1:$AG$12,MATCH($F268,SubsidieTabel!$AD$1:$AD$12,0),IFERROR(MATCH(Methode_Keuze,SubsidieTabel!$AD$1:$AG$1,0),2))&lt;&gt;1=TRUE,"ja",""),"")</f>
        <v/>
      </c>
    </row>
    <row r="269" spans="1:27" x14ac:dyDescent="0.25">
      <c r="A269" s="320"/>
      <c r="B269" s="321" t="str">
        <f>IF(A269&lt;&gt;"",_xlfn.MAXIFS($B$1:B268,$A$1:A268,A269)+1,"")</f>
        <v/>
      </c>
      <c r="C269" s="299"/>
      <c r="D269" s="299"/>
      <c r="E269" s="299"/>
      <c r="F269" s="299"/>
      <c r="G269" s="330"/>
      <c r="H269" s="328"/>
      <c r="I269" s="329"/>
      <c r="J269" s="329"/>
      <c r="K269" s="322"/>
      <c r="L269" s="322"/>
      <c r="M269" s="323" t="str">
        <f>IFERROR(VLOOKUP(H269,Lijsten!$H$1:$I$100,2,0),"")</f>
        <v/>
      </c>
      <c r="N269" s="323" t="str">
        <f ca="1">IFERROR(IF(VLOOKUP(F269,Kostentypen!$A$3:$E$21,3,0)=0,"",IF(OR(F269="Arbeidskosten",F269="Vergoeding"),VLOOKUP(G269,Tb_KostenTypen[],2,0),VLOOKUP(F269,Kostentypen!$A$3:$E$20,3,0))),"")</f>
        <v/>
      </c>
      <c r="O269" s="324"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4"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3"/>
      <c r="R269" s="363"/>
      <c r="S269" s="325"/>
      <c r="T269" s="325"/>
      <c r="U269" s="317" t="str" cm="1">
        <f t="array" aca="1" ref="U269" ca="1">IFERROR(IF(AA269&lt;&gt;"ja",_xlfn.IFNA(_xlfn.IFS(AND(O269&lt;&gt;"",F269&lt;&gt;"",RIGHT($N269,6)="tarief",F269="Vergoeding"),SUM(O269)*FLOOR(SUM(Q269),0.0001),AND(O269&lt;&gt;"",F269&lt;&gt;"",RIGHT($N269,6)="tarief"),SUM(O269)*FLOOR(SUM(Q269),0.01),S269&gt;0,IF(F269&lt;&gt;"",FLOOR(SUM(S269),0.01),"")),""),""),"")</f>
        <v/>
      </c>
      <c r="V269" s="317" t="str" cm="1">
        <f t="array" aca="1" ref="V269" ca="1">IFERROR(IF(AA269&lt;&gt;"ja",_xlfn.IFNA(_xlfn.IFS(AND(P269&lt;&gt;"",R269&lt;&gt;"",RIGHT($N269,6)="tarief",F269="Vergoeding"),SUM(P269)*FLOOR(SUM(R269),0.0001),AND(P269&lt;&gt;"",R269&lt;&gt;"",RIGHT($N269,6)="tarief"),P269*FLOOR(R269,0.01),T269&gt;0,FLOOR(SUM(T269),0.01)),""),""),"")</f>
        <v/>
      </c>
      <c r="W269" s="317" t="str" cm="1">
        <f t="array" aca="1" ref="W269" ca="1">IFERROR(_xlfn.IFS(OR(F269="",LEFT(Methode_Keuze,4)="Geen",Methode_Keuze=""),"",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17" t="str" cm="1">
        <f t="array" aca="1" ref="X269" ca="1">IFERROR(_xlfn.IFS(OR(F269="",LEFT(Methode_Keuze,4)="Geen",Methode_Keuze=""),"",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26"/>
      <c r="Z269" s="319"/>
      <c r="AA269" s="32" t="str" cm="1">
        <f t="array" ref="AA269">IFERROR(IF(INDEX(SubsidieTabel!$AD$1:$AG$12,MATCH($F269,SubsidieTabel!$AD$1:$AD$12,0),IFERROR(MATCH(Methode_Keuze,SubsidieTabel!$AD$1:$AG$1,0),2))&lt;&gt;1=TRUE,"ja",""),"")</f>
        <v/>
      </c>
    </row>
    <row r="270" spans="1:27" x14ac:dyDescent="0.25">
      <c r="A270" s="320"/>
      <c r="B270" s="321" t="str">
        <f>IF(A270&lt;&gt;"",_xlfn.MAXIFS($B$1:B269,$A$1:A269,A270)+1,"")</f>
        <v/>
      </c>
      <c r="C270" s="299"/>
      <c r="D270" s="299"/>
      <c r="E270" s="299"/>
      <c r="F270" s="299"/>
      <c r="G270" s="330"/>
      <c r="H270" s="328"/>
      <c r="I270" s="329"/>
      <c r="J270" s="329"/>
      <c r="K270" s="322"/>
      <c r="L270" s="322"/>
      <c r="M270" s="323" t="str">
        <f>IFERROR(VLOOKUP(H270,Lijsten!$H$1:$I$100,2,0),"")</f>
        <v/>
      </c>
      <c r="N270" s="323" t="str">
        <f ca="1">IFERROR(IF(VLOOKUP(F270,Kostentypen!$A$3:$E$21,3,0)=0,"",IF(OR(F270="Arbeidskosten",F270="Vergoeding"),VLOOKUP(G270,Tb_KostenTypen[],2,0),VLOOKUP(F270,Kostentypen!$A$3:$E$20,3,0))),"")</f>
        <v/>
      </c>
      <c r="O270" s="324"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4"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3"/>
      <c r="R270" s="363"/>
      <c r="S270" s="325"/>
      <c r="T270" s="325"/>
      <c r="U270" s="317" t="str" cm="1">
        <f t="array" aca="1" ref="U270" ca="1">IFERROR(IF(AA270&lt;&gt;"ja",_xlfn.IFNA(_xlfn.IFS(AND(O270&lt;&gt;"",F270&lt;&gt;"",RIGHT($N270,6)="tarief",F270="Vergoeding"),SUM(O270)*FLOOR(SUM(Q270),0.0001),AND(O270&lt;&gt;"",F270&lt;&gt;"",RIGHT($N270,6)="tarief"),SUM(O270)*FLOOR(SUM(Q270),0.01),S270&gt;0,IF(F270&lt;&gt;"",FLOOR(SUM(S270),0.01),"")),""),""),"")</f>
        <v/>
      </c>
      <c r="V270" s="317" t="str" cm="1">
        <f t="array" aca="1" ref="V270" ca="1">IFERROR(IF(AA270&lt;&gt;"ja",_xlfn.IFNA(_xlfn.IFS(AND(P270&lt;&gt;"",R270&lt;&gt;"",RIGHT($N270,6)="tarief",F270="Vergoeding"),SUM(P270)*FLOOR(SUM(R270),0.0001),AND(P270&lt;&gt;"",R270&lt;&gt;"",RIGHT($N270,6)="tarief"),P270*FLOOR(R270,0.01),T270&gt;0,FLOOR(SUM(T270),0.01)),""),""),"")</f>
        <v/>
      </c>
      <c r="W270" s="317" t="str" cm="1">
        <f t="array" aca="1" ref="W270" ca="1">IFERROR(_xlfn.IFS(OR(F270="",LEFT(Methode_Keuze,4)="Geen",Methode_Keuze=""),"",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17" t="str" cm="1">
        <f t="array" aca="1" ref="X270" ca="1">IFERROR(_xlfn.IFS(OR(F270="",LEFT(Methode_Keuze,4)="Geen",Methode_Keuze=""),"",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26"/>
      <c r="Z270" s="319"/>
      <c r="AA270" s="32" t="str" cm="1">
        <f t="array" ref="AA270">IFERROR(IF(INDEX(SubsidieTabel!$AD$1:$AG$12,MATCH($F270,SubsidieTabel!$AD$1:$AD$12,0),IFERROR(MATCH(Methode_Keuze,SubsidieTabel!$AD$1:$AG$1,0),2))&lt;&gt;1=TRUE,"ja",""),"")</f>
        <v/>
      </c>
    </row>
    <row r="271" spans="1:27" x14ac:dyDescent="0.25">
      <c r="A271" s="320"/>
      <c r="B271" s="321" t="str">
        <f>IF(A271&lt;&gt;"",_xlfn.MAXIFS($B$1:B270,$A$1:A270,A271)+1,"")</f>
        <v/>
      </c>
      <c r="C271" s="299"/>
      <c r="D271" s="299"/>
      <c r="E271" s="299"/>
      <c r="F271" s="299"/>
      <c r="G271" s="330"/>
      <c r="H271" s="328"/>
      <c r="I271" s="329"/>
      <c r="J271" s="329"/>
      <c r="K271" s="322"/>
      <c r="L271" s="322"/>
      <c r="M271" s="323" t="str">
        <f>IFERROR(VLOOKUP(H271,Lijsten!$H$1:$I$100,2,0),"")</f>
        <v/>
      </c>
      <c r="N271" s="323" t="str">
        <f ca="1">IFERROR(IF(VLOOKUP(F271,Kostentypen!$A$3:$E$21,3,0)=0,"",IF(OR(F271="Arbeidskosten",F271="Vergoeding"),VLOOKUP(G271,Tb_KostenTypen[],2,0),VLOOKUP(F271,Kostentypen!$A$3:$E$20,3,0))),"")</f>
        <v/>
      </c>
      <c r="O271" s="324"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4"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3"/>
      <c r="R271" s="363"/>
      <c r="S271" s="325"/>
      <c r="T271" s="325"/>
      <c r="U271" s="317" t="str" cm="1">
        <f t="array" aca="1" ref="U271" ca="1">IFERROR(IF(AA271&lt;&gt;"ja",_xlfn.IFNA(_xlfn.IFS(AND(O271&lt;&gt;"",F271&lt;&gt;"",RIGHT($N271,6)="tarief",F271="Vergoeding"),SUM(O271)*FLOOR(SUM(Q271),0.0001),AND(O271&lt;&gt;"",F271&lt;&gt;"",RIGHT($N271,6)="tarief"),SUM(O271)*FLOOR(SUM(Q271),0.01),S271&gt;0,IF(F271&lt;&gt;"",FLOOR(SUM(S271),0.01),"")),""),""),"")</f>
        <v/>
      </c>
      <c r="V271" s="317" t="str" cm="1">
        <f t="array" aca="1" ref="V271" ca="1">IFERROR(IF(AA271&lt;&gt;"ja",_xlfn.IFNA(_xlfn.IFS(AND(P271&lt;&gt;"",R271&lt;&gt;"",RIGHT($N271,6)="tarief",F271="Vergoeding"),SUM(P271)*FLOOR(SUM(R271),0.0001),AND(P271&lt;&gt;"",R271&lt;&gt;"",RIGHT($N271,6)="tarief"),P271*FLOOR(R271,0.01),T271&gt;0,FLOOR(SUM(T271),0.01)),""),""),"")</f>
        <v/>
      </c>
      <c r="W271" s="317" t="str" cm="1">
        <f t="array" aca="1" ref="W271" ca="1">IFERROR(_xlfn.IFS(OR(F271="",LEFT(Methode_Keuze,4)="Geen",Methode_Keuze=""),"",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17" t="str" cm="1">
        <f t="array" aca="1" ref="X271" ca="1">IFERROR(_xlfn.IFS(OR(F271="",LEFT(Methode_Keuze,4)="Geen",Methode_Keuze=""),"",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26"/>
      <c r="Z271" s="319"/>
      <c r="AA271" s="32" t="str" cm="1">
        <f t="array" ref="AA271">IFERROR(IF(INDEX(SubsidieTabel!$AD$1:$AG$12,MATCH($F271,SubsidieTabel!$AD$1:$AD$12,0),IFERROR(MATCH(Methode_Keuze,SubsidieTabel!$AD$1:$AG$1,0),2))&lt;&gt;1=TRUE,"ja",""),"")</f>
        <v/>
      </c>
    </row>
    <row r="272" spans="1:27" x14ac:dyDescent="0.25">
      <c r="A272" s="320"/>
      <c r="B272" s="321" t="str">
        <f>IF(A272&lt;&gt;"",_xlfn.MAXIFS($B$1:B271,$A$1:A271,A272)+1,"")</f>
        <v/>
      </c>
      <c r="C272" s="299"/>
      <c r="D272" s="299"/>
      <c r="E272" s="299"/>
      <c r="F272" s="299"/>
      <c r="G272" s="330"/>
      <c r="H272" s="328"/>
      <c r="I272" s="329"/>
      <c r="J272" s="329"/>
      <c r="K272" s="322"/>
      <c r="L272" s="322"/>
      <c r="M272" s="323" t="str">
        <f>IFERROR(VLOOKUP(H272,Lijsten!$H$1:$I$100,2,0),"")</f>
        <v/>
      </c>
      <c r="N272" s="323" t="str">
        <f ca="1">IFERROR(IF(VLOOKUP(F272,Kostentypen!$A$3:$E$21,3,0)=0,"",IF(OR(F272="Arbeidskosten",F272="Vergoeding"),VLOOKUP(G272,Tb_KostenTypen[],2,0),VLOOKUP(F272,Kostentypen!$A$3:$E$20,3,0))),"")</f>
        <v/>
      </c>
      <c r="O272" s="324"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4"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3"/>
      <c r="R272" s="363"/>
      <c r="S272" s="325"/>
      <c r="T272" s="325"/>
      <c r="U272" s="317" t="str" cm="1">
        <f t="array" aca="1" ref="U272" ca="1">IFERROR(IF(AA272&lt;&gt;"ja",_xlfn.IFNA(_xlfn.IFS(AND(O272&lt;&gt;"",F272&lt;&gt;"",RIGHT($N272,6)="tarief",F272="Vergoeding"),SUM(O272)*FLOOR(SUM(Q272),0.0001),AND(O272&lt;&gt;"",F272&lt;&gt;"",RIGHT($N272,6)="tarief"),SUM(O272)*FLOOR(SUM(Q272),0.01),S272&gt;0,IF(F272&lt;&gt;"",FLOOR(SUM(S272),0.01),"")),""),""),"")</f>
        <v/>
      </c>
      <c r="V272" s="317" t="str" cm="1">
        <f t="array" aca="1" ref="V272" ca="1">IFERROR(IF(AA272&lt;&gt;"ja",_xlfn.IFNA(_xlfn.IFS(AND(P272&lt;&gt;"",R272&lt;&gt;"",RIGHT($N272,6)="tarief",F272="Vergoeding"),SUM(P272)*FLOOR(SUM(R272),0.0001),AND(P272&lt;&gt;"",R272&lt;&gt;"",RIGHT($N272,6)="tarief"),P272*FLOOR(R272,0.01),T272&gt;0,FLOOR(SUM(T272),0.01)),""),""),"")</f>
        <v/>
      </c>
      <c r="W272" s="317" t="str" cm="1">
        <f t="array" aca="1" ref="W272" ca="1">IFERROR(_xlfn.IFS(OR(F272="",LEFT(Methode_Keuze,4)="Geen",Methode_Keuze=""),"",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17" t="str" cm="1">
        <f t="array" aca="1" ref="X272" ca="1">IFERROR(_xlfn.IFS(OR(F272="",LEFT(Methode_Keuze,4)="Geen",Methode_Keuze=""),"",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26"/>
      <c r="Z272" s="319"/>
      <c r="AA272" s="32" t="str" cm="1">
        <f t="array" ref="AA272">IFERROR(IF(INDEX(SubsidieTabel!$AD$1:$AG$12,MATCH($F272,SubsidieTabel!$AD$1:$AD$12,0),IFERROR(MATCH(Methode_Keuze,SubsidieTabel!$AD$1:$AG$1,0),2))&lt;&gt;1=TRUE,"ja",""),"")</f>
        <v/>
      </c>
    </row>
    <row r="273" spans="1:27" x14ac:dyDescent="0.25">
      <c r="A273" s="320"/>
      <c r="B273" s="321" t="str">
        <f>IF(A273&lt;&gt;"",_xlfn.MAXIFS($B$1:B272,$A$1:A272,A273)+1,"")</f>
        <v/>
      </c>
      <c r="C273" s="299"/>
      <c r="D273" s="299"/>
      <c r="E273" s="299"/>
      <c r="F273" s="299"/>
      <c r="G273" s="330"/>
      <c r="H273" s="328"/>
      <c r="I273" s="329"/>
      <c r="J273" s="329"/>
      <c r="K273" s="322"/>
      <c r="L273" s="322"/>
      <c r="M273" s="323" t="str">
        <f>IFERROR(VLOOKUP(H273,Lijsten!$H$1:$I$100,2,0),"")</f>
        <v/>
      </c>
      <c r="N273" s="323" t="str">
        <f ca="1">IFERROR(IF(VLOOKUP(F273,Kostentypen!$A$3:$E$21,3,0)=0,"",IF(OR(F273="Arbeidskosten",F273="Vergoeding"),VLOOKUP(G273,Tb_KostenTypen[],2,0),VLOOKUP(F273,Kostentypen!$A$3:$E$20,3,0))),"")</f>
        <v/>
      </c>
      <c r="O273" s="324"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4"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3"/>
      <c r="R273" s="363"/>
      <c r="S273" s="325"/>
      <c r="T273" s="325"/>
      <c r="U273" s="317" t="str" cm="1">
        <f t="array" aca="1" ref="U273" ca="1">IFERROR(IF(AA273&lt;&gt;"ja",_xlfn.IFNA(_xlfn.IFS(AND(O273&lt;&gt;"",F273&lt;&gt;"",RIGHT($N273,6)="tarief",F273="Vergoeding"),SUM(O273)*FLOOR(SUM(Q273),0.0001),AND(O273&lt;&gt;"",F273&lt;&gt;"",RIGHT($N273,6)="tarief"),SUM(O273)*FLOOR(SUM(Q273),0.01),S273&gt;0,IF(F273&lt;&gt;"",FLOOR(SUM(S273),0.01),"")),""),""),"")</f>
        <v/>
      </c>
      <c r="V273" s="317" t="str" cm="1">
        <f t="array" aca="1" ref="V273" ca="1">IFERROR(IF(AA273&lt;&gt;"ja",_xlfn.IFNA(_xlfn.IFS(AND(P273&lt;&gt;"",R273&lt;&gt;"",RIGHT($N273,6)="tarief",F273="Vergoeding"),SUM(P273)*FLOOR(SUM(R273),0.0001),AND(P273&lt;&gt;"",R273&lt;&gt;"",RIGHT($N273,6)="tarief"),P273*FLOOR(R273,0.01),T273&gt;0,FLOOR(SUM(T273),0.01)),""),""),"")</f>
        <v/>
      </c>
      <c r="W273" s="317" t="str" cm="1">
        <f t="array" aca="1" ref="W273" ca="1">IFERROR(_xlfn.IFS(OR(F273="",LEFT(Methode_Keuze,4)="Geen",Methode_Keuze=""),"",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17" t="str" cm="1">
        <f t="array" aca="1" ref="X273" ca="1">IFERROR(_xlfn.IFS(OR(F273="",LEFT(Methode_Keuze,4)="Geen",Methode_Keuze=""),"",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26"/>
      <c r="Z273" s="319"/>
      <c r="AA273" s="32" t="str" cm="1">
        <f t="array" ref="AA273">IFERROR(IF(INDEX(SubsidieTabel!$AD$1:$AG$12,MATCH($F273,SubsidieTabel!$AD$1:$AD$12,0),IFERROR(MATCH(Methode_Keuze,SubsidieTabel!$AD$1:$AG$1,0),2))&lt;&gt;1=TRUE,"ja",""),"")</f>
        <v/>
      </c>
    </row>
    <row r="274" spans="1:27" x14ac:dyDescent="0.25">
      <c r="A274" s="320"/>
      <c r="B274" s="321" t="str">
        <f>IF(A274&lt;&gt;"",_xlfn.MAXIFS($B$1:B273,$A$1:A273,A274)+1,"")</f>
        <v/>
      </c>
      <c r="C274" s="299"/>
      <c r="D274" s="299"/>
      <c r="E274" s="299"/>
      <c r="F274" s="299"/>
      <c r="G274" s="330"/>
      <c r="H274" s="328"/>
      <c r="I274" s="329"/>
      <c r="J274" s="329"/>
      <c r="K274" s="322"/>
      <c r="L274" s="322"/>
      <c r="M274" s="323" t="str">
        <f>IFERROR(VLOOKUP(H274,Lijsten!$H$1:$I$100,2,0),"")</f>
        <v/>
      </c>
      <c r="N274" s="323" t="str">
        <f ca="1">IFERROR(IF(VLOOKUP(F274,Kostentypen!$A$3:$E$21,3,0)=0,"",IF(OR(F274="Arbeidskosten",F274="Vergoeding"),VLOOKUP(G274,Tb_KostenTypen[],2,0),VLOOKUP(F274,Kostentypen!$A$3:$E$20,3,0))),"")</f>
        <v/>
      </c>
      <c r="O274" s="324"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4"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3"/>
      <c r="R274" s="363"/>
      <c r="S274" s="325"/>
      <c r="T274" s="325"/>
      <c r="U274" s="317" t="str" cm="1">
        <f t="array" aca="1" ref="U274" ca="1">IFERROR(IF(AA274&lt;&gt;"ja",_xlfn.IFNA(_xlfn.IFS(AND(O274&lt;&gt;"",F274&lt;&gt;"",RIGHT($N274,6)="tarief",F274="Vergoeding"),SUM(O274)*FLOOR(SUM(Q274),0.0001),AND(O274&lt;&gt;"",F274&lt;&gt;"",RIGHT($N274,6)="tarief"),SUM(O274)*FLOOR(SUM(Q274),0.01),S274&gt;0,IF(F274&lt;&gt;"",FLOOR(SUM(S274),0.01),"")),""),""),"")</f>
        <v/>
      </c>
      <c r="V274" s="317" t="str" cm="1">
        <f t="array" aca="1" ref="V274" ca="1">IFERROR(IF(AA274&lt;&gt;"ja",_xlfn.IFNA(_xlfn.IFS(AND(P274&lt;&gt;"",R274&lt;&gt;"",RIGHT($N274,6)="tarief",F274="Vergoeding"),SUM(P274)*FLOOR(SUM(R274),0.0001),AND(P274&lt;&gt;"",R274&lt;&gt;"",RIGHT($N274,6)="tarief"),P274*FLOOR(R274,0.01),T274&gt;0,FLOOR(SUM(T274),0.01)),""),""),"")</f>
        <v/>
      </c>
      <c r="W274" s="317" t="str" cm="1">
        <f t="array" aca="1" ref="W274" ca="1">IFERROR(_xlfn.IFS(OR(F274="",LEFT(Methode_Keuze,4)="Geen",Methode_Keuze=""),"",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17" t="str" cm="1">
        <f t="array" aca="1" ref="X274" ca="1">IFERROR(_xlfn.IFS(OR(F274="",LEFT(Methode_Keuze,4)="Geen",Methode_Keuze=""),"",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26"/>
      <c r="Z274" s="319"/>
      <c r="AA274" s="32" t="str" cm="1">
        <f t="array" ref="AA274">IFERROR(IF(INDEX(SubsidieTabel!$AD$1:$AG$12,MATCH($F274,SubsidieTabel!$AD$1:$AD$12,0),IFERROR(MATCH(Methode_Keuze,SubsidieTabel!$AD$1:$AG$1,0),2))&lt;&gt;1=TRUE,"ja",""),"")</f>
        <v/>
      </c>
    </row>
    <row r="275" spans="1:27" x14ac:dyDescent="0.25">
      <c r="A275" s="320"/>
      <c r="B275" s="321" t="str">
        <f>IF(A275&lt;&gt;"",_xlfn.MAXIFS($B$1:B274,$A$1:A274,A275)+1,"")</f>
        <v/>
      </c>
      <c r="C275" s="299"/>
      <c r="D275" s="299"/>
      <c r="E275" s="299"/>
      <c r="F275" s="299"/>
      <c r="G275" s="330"/>
      <c r="H275" s="328"/>
      <c r="I275" s="329"/>
      <c r="J275" s="329"/>
      <c r="K275" s="322"/>
      <c r="L275" s="322"/>
      <c r="M275" s="323" t="str">
        <f>IFERROR(VLOOKUP(H275,Lijsten!$H$1:$I$100,2,0),"")</f>
        <v/>
      </c>
      <c r="N275" s="323" t="str">
        <f ca="1">IFERROR(IF(VLOOKUP(F275,Kostentypen!$A$3:$E$21,3,0)=0,"",IF(OR(F275="Arbeidskosten",F275="Vergoeding"),VLOOKUP(G275,Tb_KostenTypen[],2,0),VLOOKUP(F275,Kostentypen!$A$3:$E$20,3,0))),"")</f>
        <v/>
      </c>
      <c r="O275" s="324"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4"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3"/>
      <c r="R275" s="363"/>
      <c r="S275" s="325"/>
      <c r="T275" s="325"/>
      <c r="U275" s="317" t="str" cm="1">
        <f t="array" aca="1" ref="U275" ca="1">IFERROR(IF(AA275&lt;&gt;"ja",_xlfn.IFNA(_xlfn.IFS(AND(O275&lt;&gt;"",F275&lt;&gt;"",RIGHT($N275,6)="tarief",F275="Vergoeding"),SUM(O275)*FLOOR(SUM(Q275),0.0001),AND(O275&lt;&gt;"",F275&lt;&gt;"",RIGHT($N275,6)="tarief"),SUM(O275)*FLOOR(SUM(Q275),0.01),S275&gt;0,IF(F275&lt;&gt;"",FLOOR(SUM(S275),0.01),"")),""),""),"")</f>
        <v/>
      </c>
      <c r="V275" s="317" t="str" cm="1">
        <f t="array" aca="1" ref="V275" ca="1">IFERROR(IF(AA275&lt;&gt;"ja",_xlfn.IFNA(_xlfn.IFS(AND(P275&lt;&gt;"",R275&lt;&gt;"",RIGHT($N275,6)="tarief",F275="Vergoeding"),SUM(P275)*FLOOR(SUM(R275),0.0001),AND(P275&lt;&gt;"",R275&lt;&gt;"",RIGHT($N275,6)="tarief"),P275*FLOOR(R275,0.01),T275&gt;0,FLOOR(SUM(T275),0.01)),""),""),"")</f>
        <v/>
      </c>
      <c r="W275" s="317" t="str" cm="1">
        <f t="array" aca="1" ref="W275" ca="1">IFERROR(_xlfn.IFS(OR(F275="",LEFT(Methode_Keuze,4)="Geen",Methode_Keuze=""),"",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17" t="str" cm="1">
        <f t="array" aca="1" ref="X275" ca="1">IFERROR(_xlfn.IFS(OR(F275="",LEFT(Methode_Keuze,4)="Geen",Methode_Keuze=""),"",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26"/>
      <c r="Z275" s="319"/>
      <c r="AA275" s="32" t="str" cm="1">
        <f t="array" ref="AA275">IFERROR(IF(INDEX(SubsidieTabel!$AD$1:$AG$12,MATCH($F275,SubsidieTabel!$AD$1:$AD$12,0),IFERROR(MATCH(Methode_Keuze,SubsidieTabel!$AD$1:$AG$1,0),2))&lt;&gt;1=TRUE,"ja",""),"")</f>
        <v/>
      </c>
    </row>
    <row r="276" spans="1:27" x14ac:dyDescent="0.25">
      <c r="A276" s="320"/>
      <c r="B276" s="321" t="str">
        <f>IF(A276&lt;&gt;"",_xlfn.MAXIFS($B$1:B275,$A$1:A275,A276)+1,"")</f>
        <v/>
      </c>
      <c r="C276" s="299"/>
      <c r="D276" s="299"/>
      <c r="E276" s="299"/>
      <c r="F276" s="299"/>
      <c r="G276" s="330"/>
      <c r="H276" s="328"/>
      <c r="I276" s="329"/>
      <c r="J276" s="329"/>
      <c r="K276" s="322"/>
      <c r="L276" s="322"/>
      <c r="M276" s="323" t="str">
        <f>IFERROR(VLOOKUP(H276,Lijsten!$H$1:$I$100,2,0),"")</f>
        <v/>
      </c>
      <c r="N276" s="323" t="str">
        <f ca="1">IFERROR(IF(VLOOKUP(F276,Kostentypen!$A$3:$E$21,3,0)=0,"",IF(OR(F276="Arbeidskosten",F276="Vergoeding"),VLOOKUP(G276,Tb_KostenTypen[],2,0),VLOOKUP(F276,Kostentypen!$A$3:$E$20,3,0))),"")</f>
        <v/>
      </c>
      <c r="O276" s="324"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4"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3"/>
      <c r="R276" s="363"/>
      <c r="S276" s="325"/>
      <c r="T276" s="325"/>
      <c r="U276" s="317" t="str" cm="1">
        <f t="array" aca="1" ref="U276" ca="1">IFERROR(IF(AA276&lt;&gt;"ja",_xlfn.IFNA(_xlfn.IFS(AND(O276&lt;&gt;"",F276&lt;&gt;"",RIGHT($N276,6)="tarief",F276="Vergoeding"),SUM(O276)*FLOOR(SUM(Q276),0.0001),AND(O276&lt;&gt;"",F276&lt;&gt;"",RIGHT($N276,6)="tarief"),SUM(O276)*FLOOR(SUM(Q276),0.01),S276&gt;0,IF(F276&lt;&gt;"",FLOOR(SUM(S276),0.01),"")),""),""),"")</f>
        <v/>
      </c>
      <c r="V276" s="317" t="str" cm="1">
        <f t="array" aca="1" ref="V276" ca="1">IFERROR(IF(AA276&lt;&gt;"ja",_xlfn.IFNA(_xlfn.IFS(AND(P276&lt;&gt;"",R276&lt;&gt;"",RIGHT($N276,6)="tarief",F276="Vergoeding"),SUM(P276)*FLOOR(SUM(R276),0.0001),AND(P276&lt;&gt;"",R276&lt;&gt;"",RIGHT($N276,6)="tarief"),P276*FLOOR(R276,0.01),T276&gt;0,FLOOR(SUM(T276),0.01)),""),""),"")</f>
        <v/>
      </c>
      <c r="W276" s="317" t="str" cm="1">
        <f t="array" aca="1" ref="W276" ca="1">IFERROR(_xlfn.IFS(OR(F276="",LEFT(Methode_Keuze,4)="Geen",Methode_Keuze=""),"",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17" t="str" cm="1">
        <f t="array" aca="1" ref="X276" ca="1">IFERROR(_xlfn.IFS(OR(F276="",LEFT(Methode_Keuze,4)="Geen",Methode_Keuze=""),"",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26"/>
      <c r="Z276" s="319"/>
      <c r="AA276" s="32" t="str" cm="1">
        <f t="array" ref="AA276">IFERROR(IF(INDEX(SubsidieTabel!$AD$1:$AG$12,MATCH($F276,SubsidieTabel!$AD$1:$AD$12,0),IFERROR(MATCH(Methode_Keuze,SubsidieTabel!$AD$1:$AG$1,0),2))&lt;&gt;1=TRUE,"ja",""),"")</f>
        <v/>
      </c>
    </row>
    <row r="277" spans="1:27" x14ac:dyDescent="0.25">
      <c r="A277" s="320"/>
      <c r="B277" s="321" t="str">
        <f>IF(A277&lt;&gt;"",_xlfn.MAXIFS($B$1:B276,$A$1:A276,A277)+1,"")</f>
        <v/>
      </c>
      <c r="C277" s="299"/>
      <c r="D277" s="299"/>
      <c r="E277" s="299"/>
      <c r="F277" s="299"/>
      <c r="G277" s="330"/>
      <c r="H277" s="328"/>
      <c r="I277" s="329"/>
      <c r="J277" s="329"/>
      <c r="K277" s="322"/>
      <c r="L277" s="322"/>
      <c r="M277" s="323" t="str">
        <f>IFERROR(VLOOKUP(H277,Lijsten!$H$1:$I$100,2,0),"")</f>
        <v/>
      </c>
      <c r="N277" s="323" t="str">
        <f ca="1">IFERROR(IF(VLOOKUP(F277,Kostentypen!$A$3:$E$21,3,0)=0,"",IF(OR(F277="Arbeidskosten",F277="Vergoeding"),VLOOKUP(G277,Tb_KostenTypen[],2,0),VLOOKUP(F277,Kostentypen!$A$3:$E$20,3,0))),"")</f>
        <v/>
      </c>
      <c r="O277" s="324"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4"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3"/>
      <c r="R277" s="363"/>
      <c r="S277" s="325"/>
      <c r="T277" s="325"/>
      <c r="U277" s="317" t="str" cm="1">
        <f t="array" aca="1" ref="U277" ca="1">IFERROR(IF(AA277&lt;&gt;"ja",_xlfn.IFNA(_xlfn.IFS(AND(O277&lt;&gt;"",F277&lt;&gt;"",RIGHT($N277,6)="tarief",F277="Vergoeding"),SUM(O277)*FLOOR(SUM(Q277),0.0001),AND(O277&lt;&gt;"",F277&lt;&gt;"",RIGHT($N277,6)="tarief"),SUM(O277)*FLOOR(SUM(Q277),0.01),S277&gt;0,IF(F277&lt;&gt;"",FLOOR(SUM(S277),0.01),"")),""),""),"")</f>
        <v/>
      </c>
      <c r="V277" s="317" t="str" cm="1">
        <f t="array" aca="1" ref="V277" ca="1">IFERROR(IF(AA277&lt;&gt;"ja",_xlfn.IFNA(_xlfn.IFS(AND(P277&lt;&gt;"",R277&lt;&gt;"",RIGHT($N277,6)="tarief",F277="Vergoeding"),SUM(P277)*FLOOR(SUM(R277),0.0001),AND(P277&lt;&gt;"",R277&lt;&gt;"",RIGHT($N277,6)="tarief"),P277*FLOOR(R277,0.01),T277&gt;0,FLOOR(SUM(T277),0.01)),""),""),"")</f>
        <v/>
      </c>
      <c r="W277" s="317" t="str" cm="1">
        <f t="array" aca="1" ref="W277" ca="1">IFERROR(_xlfn.IFS(OR(F277="",LEFT(Methode_Keuze,4)="Geen",Methode_Keuze=""),"",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17" t="str" cm="1">
        <f t="array" aca="1" ref="X277" ca="1">IFERROR(_xlfn.IFS(OR(F277="",LEFT(Methode_Keuze,4)="Geen",Methode_Keuze=""),"",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26"/>
      <c r="Z277" s="319"/>
      <c r="AA277" s="32" t="str" cm="1">
        <f t="array" ref="AA277">IFERROR(IF(INDEX(SubsidieTabel!$AD$1:$AG$12,MATCH($F277,SubsidieTabel!$AD$1:$AD$12,0),IFERROR(MATCH(Methode_Keuze,SubsidieTabel!$AD$1:$AG$1,0),2))&lt;&gt;1=TRUE,"ja",""),"")</f>
        <v/>
      </c>
    </row>
    <row r="278" spans="1:27" x14ac:dyDescent="0.25">
      <c r="A278" s="320"/>
      <c r="B278" s="321" t="str">
        <f>IF(A278&lt;&gt;"",_xlfn.MAXIFS($B$1:B277,$A$1:A277,A278)+1,"")</f>
        <v/>
      </c>
      <c r="C278" s="299"/>
      <c r="D278" s="299"/>
      <c r="E278" s="299"/>
      <c r="F278" s="299"/>
      <c r="G278" s="330"/>
      <c r="H278" s="328"/>
      <c r="I278" s="329"/>
      <c r="J278" s="329"/>
      <c r="K278" s="322"/>
      <c r="L278" s="322"/>
      <c r="M278" s="323" t="str">
        <f>IFERROR(VLOOKUP(H278,Lijsten!$H$1:$I$100,2,0),"")</f>
        <v/>
      </c>
      <c r="N278" s="323" t="str">
        <f ca="1">IFERROR(IF(VLOOKUP(F278,Kostentypen!$A$3:$E$21,3,0)=0,"",IF(OR(F278="Arbeidskosten",F278="Vergoeding"),VLOOKUP(G278,Tb_KostenTypen[],2,0),VLOOKUP(F278,Kostentypen!$A$3:$E$20,3,0))),"")</f>
        <v/>
      </c>
      <c r="O278" s="324"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4"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3"/>
      <c r="R278" s="363"/>
      <c r="S278" s="325"/>
      <c r="T278" s="325"/>
      <c r="U278" s="317" t="str" cm="1">
        <f t="array" aca="1" ref="U278" ca="1">IFERROR(IF(AA278&lt;&gt;"ja",_xlfn.IFNA(_xlfn.IFS(AND(O278&lt;&gt;"",F278&lt;&gt;"",RIGHT($N278,6)="tarief",F278="Vergoeding"),SUM(O278)*FLOOR(SUM(Q278),0.0001),AND(O278&lt;&gt;"",F278&lt;&gt;"",RIGHT($N278,6)="tarief"),SUM(O278)*FLOOR(SUM(Q278),0.01),S278&gt;0,IF(F278&lt;&gt;"",FLOOR(SUM(S278),0.01),"")),""),""),"")</f>
        <v/>
      </c>
      <c r="V278" s="317" t="str" cm="1">
        <f t="array" aca="1" ref="V278" ca="1">IFERROR(IF(AA278&lt;&gt;"ja",_xlfn.IFNA(_xlfn.IFS(AND(P278&lt;&gt;"",R278&lt;&gt;"",RIGHT($N278,6)="tarief",F278="Vergoeding"),SUM(P278)*FLOOR(SUM(R278),0.0001),AND(P278&lt;&gt;"",R278&lt;&gt;"",RIGHT($N278,6)="tarief"),P278*FLOOR(R278,0.01),T278&gt;0,FLOOR(SUM(T278),0.01)),""),""),"")</f>
        <v/>
      </c>
      <c r="W278" s="317" t="str" cm="1">
        <f t="array" aca="1" ref="W278" ca="1">IFERROR(_xlfn.IFS(OR(F278="",LEFT(Methode_Keuze,4)="Geen",Methode_Keuze=""),"",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17" t="str" cm="1">
        <f t="array" aca="1" ref="X278" ca="1">IFERROR(_xlfn.IFS(OR(F278="",LEFT(Methode_Keuze,4)="Geen",Methode_Keuze=""),"",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26"/>
      <c r="Z278" s="319"/>
      <c r="AA278" s="32" t="str" cm="1">
        <f t="array" ref="AA278">IFERROR(IF(INDEX(SubsidieTabel!$AD$1:$AG$12,MATCH($F278,SubsidieTabel!$AD$1:$AD$12,0),IFERROR(MATCH(Methode_Keuze,SubsidieTabel!$AD$1:$AG$1,0),2))&lt;&gt;1=TRUE,"ja",""),"")</f>
        <v/>
      </c>
    </row>
    <row r="279" spans="1:27" x14ac:dyDescent="0.25">
      <c r="A279" s="320"/>
      <c r="B279" s="321" t="str">
        <f>IF(A279&lt;&gt;"",_xlfn.MAXIFS($B$1:B278,$A$1:A278,A279)+1,"")</f>
        <v/>
      </c>
      <c r="C279" s="299"/>
      <c r="D279" s="299"/>
      <c r="E279" s="299"/>
      <c r="F279" s="299"/>
      <c r="G279" s="330"/>
      <c r="H279" s="328"/>
      <c r="I279" s="329"/>
      <c r="J279" s="329"/>
      <c r="K279" s="322"/>
      <c r="L279" s="322"/>
      <c r="M279" s="323" t="str">
        <f>IFERROR(VLOOKUP(H279,Lijsten!$H$1:$I$100,2,0),"")</f>
        <v/>
      </c>
      <c r="N279" s="323" t="str">
        <f ca="1">IFERROR(IF(VLOOKUP(F279,Kostentypen!$A$3:$E$21,3,0)=0,"",IF(OR(F279="Arbeidskosten",F279="Vergoeding"),VLOOKUP(G279,Tb_KostenTypen[],2,0),VLOOKUP(F279,Kostentypen!$A$3:$E$20,3,0))),"")</f>
        <v/>
      </c>
      <c r="O279" s="324"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4"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3"/>
      <c r="R279" s="363"/>
      <c r="S279" s="325"/>
      <c r="T279" s="325"/>
      <c r="U279" s="317" t="str" cm="1">
        <f t="array" aca="1" ref="U279" ca="1">IFERROR(IF(AA279&lt;&gt;"ja",_xlfn.IFNA(_xlfn.IFS(AND(O279&lt;&gt;"",F279&lt;&gt;"",RIGHT($N279,6)="tarief",F279="Vergoeding"),SUM(O279)*FLOOR(SUM(Q279),0.0001),AND(O279&lt;&gt;"",F279&lt;&gt;"",RIGHT($N279,6)="tarief"),SUM(O279)*FLOOR(SUM(Q279),0.01),S279&gt;0,IF(F279&lt;&gt;"",FLOOR(SUM(S279),0.01),"")),""),""),"")</f>
        <v/>
      </c>
      <c r="V279" s="317" t="str" cm="1">
        <f t="array" aca="1" ref="V279" ca="1">IFERROR(IF(AA279&lt;&gt;"ja",_xlfn.IFNA(_xlfn.IFS(AND(P279&lt;&gt;"",R279&lt;&gt;"",RIGHT($N279,6)="tarief",F279="Vergoeding"),SUM(P279)*FLOOR(SUM(R279),0.0001),AND(P279&lt;&gt;"",R279&lt;&gt;"",RIGHT($N279,6)="tarief"),P279*FLOOR(R279,0.01),T279&gt;0,FLOOR(SUM(T279),0.01)),""),""),"")</f>
        <v/>
      </c>
      <c r="W279" s="317" t="str" cm="1">
        <f t="array" aca="1" ref="W279" ca="1">IFERROR(_xlfn.IFS(OR(F279="",LEFT(Methode_Keuze,4)="Geen",Methode_Keuze=""),"",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17" t="str" cm="1">
        <f t="array" aca="1" ref="X279" ca="1">IFERROR(_xlfn.IFS(OR(F279="",LEFT(Methode_Keuze,4)="Geen",Methode_Keuze=""),"",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26"/>
      <c r="Z279" s="319"/>
      <c r="AA279" s="32" t="str" cm="1">
        <f t="array" ref="AA279">IFERROR(IF(INDEX(SubsidieTabel!$AD$1:$AG$12,MATCH($F279,SubsidieTabel!$AD$1:$AD$12,0),IFERROR(MATCH(Methode_Keuze,SubsidieTabel!$AD$1:$AG$1,0),2))&lt;&gt;1=TRUE,"ja",""),"")</f>
        <v/>
      </c>
    </row>
    <row r="280" spans="1:27" x14ac:dyDescent="0.25">
      <c r="A280" s="320"/>
      <c r="B280" s="321" t="str">
        <f>IF(A280&lt;&gt;"",_xlfn.MAXIFS($B$1:B279,$A$1:A279,A280)+1,"")</f>
        <v/>
      </c>
      <c r="C280" s="299"/>
      <c r="D280" s="299"/>
      <c r="E280" s="299"/>
      <c r="F280" s="299"/>
      <c r="G280" s="330"/>
      <c r="H280" s="328"/>
      <c r="I280" s="329"/>
      <c r="J280" s="329"/>
      <c r="K280" s="322"/>
      <c r="L280" s="322"/>
      <c r="M280" s="323" t="str">
        <f>IFERROR(VLOOKUP(H280,Lijsten!$H$1:$I$100,2,0),"")</f>
        <v/>
      </c>
      <c r="N280" s="323" t="str">
        <f ca="1">IFERROR(IF(VLOOKUP(F280,Kostentypen!$A$3:$E$21,3,0)=0,"",IF(OR(F280="Arbeidskosten",F280="Vergoeding"),VLOOKUP(G280,Tb_KostenTypen[],2,0),VLOOKUP(F280,Kostentypen!$A$3:$E$20,3,0))),"")</f>
        <v/>
      </c>
      <c r="O280" s="324"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4"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3"/>
      <c r="R280" s="363"/>
      <c r="S280" s="325"/>
      <c r="T280" s="325"/>
      <c r="U280" s="317" t="str" cm="1">
        <f t="array" aca="1" ref="U280" ca="1">IFERROR(IF(AA280&lt;&gt;"ja",_xlfn.IFNA(_xlfn.IFS(AND(O280&lt;&gt;"",F280&lt;&gt;"",RIGHT($N280,6)="tarief",F280="Vergoeding"),SUM(O280)*FLOOR(SUM(Q280),0.0001),AND(O280&lt;&gt;"",F280&lt;&gt;"",RIGHT($N280,6)="tarief"),SUM(O280)*FLOOR(SUM(Q280),0.01),S280&gt;0,IF(F280&lt;&gt;"",FLOOR(SUM(S280),0.01),"")),""),""),"")</f>
        <v/>
      </c>
      <c r="V280" s="317" t="str" cm="1">
        <f t="array" aca="1" ref="V280" ca="1">IFERROR(IF(AA280&lt;&gt;"ja",_xlfn.IFNA(_xlfn.IFS(AND(P280&lt;&gt;"",R280&lt;&gt;"",RIGHT($N280,6)="tarief",F280="Vergoeding"),SUM(P280)*FLOOR(SUM(R280),0.0001),AND(P280&lt;&gt;"",R280&lt;&gt;"",RIGHT($N280,6)="tarief"),P280*FLOOR(R280,0.01),T280&gt;0,FLOOR(SUM(T280),0.01)),""),""),"")</f>
        <v/>
      </c>
      <c r="W280" s="317" t="str" cm="1">
        <f t="array" aca="1" ref="W280" ca="1">IFERROR(_xlfn.IFS(OR(F280="",LEFT(Methode_Keuze,4)="Geen",Methode_Keuze=""),"",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17" t="str" cm="1">
        <f t="array" aca="1" ref="X280" ca="1">IFERROR(_xlfn.IFS(OR(F280="",LEFT(Methode_Keuze,4)="Geen",Methode_Keuze=""),"",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26"/>
      <c r="Z280" s="319"/>
      <c r="AA280" s="32" t="str" cm="1">
        <f t="array" ref="AA280">IFERROR(IF(INDEX(SubsidieTabel!$AD$1:$AG$12,MATCH($F280,SubsidieTabel!$AD$1:$AD$12,0),IFERROR(MATCH(Methode_Keuze,SubsidieTabel!$AD$1:$AG$1,0),2))&lt;&gt;1=TRUE,"ja",""),"")</f>
        <v/>
      </c>
    </row>
    <row r="281" spans="1:27" x14ac:dyDescent="0.25">
      <c r="A281" s="320"/>
      <c r="B281" s="321" t="str">
        <f>IF(A281&lt;&gt;"",_xlfn.MAXIFS($B$1:B280,$A$1:A280,A281)+1,"")</f>
        <v/>
      </c>
      <c r="C281" s="299"/>
      <c r="D281" s="299"/>
      <c r="E281" s="299"/>
      <c r="F281" s="299"/>
      <c r="G281" s="330"/>
      <c r="H281" s="328"/>
      <c r="I281" s="329"/>
      <c r="J281" s="329"/>
      <c r="K281" s="322"/>
      <c r="L281" s="322"/>
      <c r="M281" s="323" t="str">
        <f>IFERROR(VLOOKUP(H281,Lijsten!$H$1:$I$100,2,0),"")</f>
        <v/>
      </c>
      <c r="N281" s="323" t="str">
        <f ca="1">IFERROR(IF(VLOOKUP(F281,Kostentypen!$A$3:$E$21,3,0)=0,"",IF(OR(F281="Arbeidskosten",F281="Vergoeding"),VLOOKUP(G281,Tb_KostenTypen[],2,0),VLOOKUP(F281,Kostentypen!$A$3:$E$20,3,0))),"")</f>
        <v/>
      </c>
      <c r="O281" s="324"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4"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3"/>
      <c r="R281" s="363"/>
      <c r="S281" s="325"/>
      <c r="T281" s="325"/>
      <c r="U281" s="317" t="str" cm="1">
        <f t="array" aca="1" ref="U281" ca="1">IFERROR(IF(AA281&lt;&gt;"ja",_xlfn.IFNA(_xlfn.IFS(AND(O281&lt;&gt;"",F281&lt;&gt;"",RIGHT($N281,6)="tarief",F281="Vergoeding"),SUM(O281)*FLOOR(SUM(Q281),0.0001),AND(O281&lt;&gt;"",F281&lt;&gt;"",RIGHT($N281,6)="tarief"),SUM(O281)*FLOOR(SUM(Q281),0.01),S281&gt;0,IF(F281&lt;&gt;"",FLOOR(SUM(S281),0.01),"")),""),""),"")</f>
        <v/>
      </c>
      <c r="V281" s="317" t="str" cm="1">
        <f t="array" aca="1" ref="V281" ca="1">IFERROR(IF(AA281&lt;&gt;"ja",_xlfn.IFNA(_xlfn.IFS(AND(P281&lt;&gt;"",R281&lt;&gt;"",RIGHT($N281,6)="tarief",F281="Vergoeding"),SUM(P281)*FLOOR(SUM(R281),0.0001),AND(P281&lt;&gt;"",R281&lt;&gt;"",RIGHT($N281,6)="tarief"),P281*FLOOR(R281,0.01),T281&gt;0,FLOOR(SUM(T281),0.01)),""),""),"")</f>
        <v/>
      </c>
      <c r="W281" s="317" t="str" cm="1">
        <f t="array" aca="1" ref="W281" ca="1">IFERROR(_xlfn.IFS(OR(F281="",LEFT(Methode_Keuze,4)="Geen",Methode_Keuze=""),"",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17" t="str" cm="1">
        <f t="array" aca="1" ref="X281" ca="1">IFERROR(_xlfn.IFS(OR(F281="",LEFT(Methode_Keuze,4)="Geen",Methode_Keuze=""),"",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26"/>
      <c r="Z281" s="319"/>
      <c r="AA281" s="32" t="str" cm="1">
        <f t="array" ref="AA281">IFERROR(IF(INDEX(SubsidieTabel!$AD$1:$AG$12,MATCH($F281,SubsidieTabel!$AD$1:$AD$12,0),IFERROR(MATCH(Methode_Keuze,SubsidieTabel!$AD$1:$AG$1,0),2))&lt;&gt;1=TRUE,"ja",""),"")</f>
        <v/>
      </c>
    </row>
    <row r="282" spans="1:27" x14ac:dyDescent="0.25">
      <c r="A282" s="320"/>
      <c r="B282" s="321" t="str">
        <f>IF(A282&lt;&gt;"",_xlfn.MAXIFS($B$1:B281,$A$1:A281,A282)+1,"")</f>
        <v/>
      </c>
      <c r="C282" s="299"/>
      <c r="D282" s="299"/>
      <c r="E282" s="299"/>
      <c r="F282" s="299"/>
      <c r="G282" s="330"/>
      <c r="H282" s="328"/>
      <c r="I282" s="329"/>
      <c r="J282" s="329"/>
      <c r="K282" s="322"/>
      <c r="L282" s="322"/>
      <c r="M282" s="323" t="str">
        <f>IFERROR(VLOOKUP(H282,Lijsten!$H$1:$I$100,2,0),"")</f>
        <v/>
      </c>
      <c r="N282" s="323" t="str">
        <f ca="1">IFERROR(IF(VLOOKUP(F282,Kostentypen!$A$3:$E$21,3,0)=0,"",IF(OR(F282="Arbeidskosten",F282="Vergoeding"),VLOOKUP(G282,Tb_KostenTypen[],2,0),VLOOKUP(F282,Kostentypen!$A$3:$E$20,3,0))),"")</f>
        <v/>
      </c>
      <c r="O282" s="324"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4"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3"/>
      <c r="R282" s="363"/>
      <c r="S282" s="325"/>
      <c r="T282" s="325"/>
      <c r="U282" s="317" t="str" cm="1">
        <f t="array" aca="1" ref="U282" ca="1">IFERROR(IF(AA282&lt;&gt;"ja",_xlfn.IFNA(_xlfn.IFS(AND(O282&lt;&gt;"",F282&lt;&gt;"",RIGHT($N282,6)="tarief",F282="Vergoeding"),SUM(O282)*FLOOR(SUM(Q282),0.0001),AND(O282&lt;&gt;"",F282&lt;&gt;"",RIGHT($N282,6)="tarief"),SUM(O282)*FLOOR(SUM(Q282),0.01),S282&gt;0,IF(F282&lt;&gt;"",FLOOR(SUM(S282),0.01),"")),""),""),"")</f>
        <v/>
      </c>
      <c r="V282" s="317" t="str" cm="1">
        <f t="array" aca="1" ref="V282" ca="1">IFERROR(IF(AA282&lt;&gt;"ja",_xlfn.IFNA(_xlfn.IFS(AND(P282&lt;&gt;"",R282&lt;&gt;"",RIGHT($N282,6)="tarief",F282="Vergoeding"),SUM(P282)*FLOOR(SUM(R282),0.0001),AND(P282&lt;&gt;"",R282&lt;&gt;"",RIGHT($N282,6)="tarief"),P282*FLOOR(R282,0.01),T282&gt;0,FLOOR(SUM(T282),0.01)),""),""),"")</f>
        <v/>
      </c>
      <c r="W282" s="317" t="str" cm="1">
        <f t="array" aca="1" ref="W282" ca="1">IFERROR(_xlfn.IFS(OR(F282="",LEFT(Methode_Keuze,4)="Geen",Methode_Keuze=""),"",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17" t="str" cm="1">
        <f t="array" aca="1" ref="X282" ca="1">IFERROR(_xlfn.IFS(OR(F282="",LEFT(Methode_Keuze,4)="Geen",Methode_Keuze=""),"",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26"/>
      <c r="Z282" s="319"/>
      <c r="AA282" s="32" t="str" cm="1">
        <f t="array" ref="AA282">IFERROR(IF(INDEX(SubsidieTabel!$AD$1:$AG$12,MATCH($F282,SubsidieTabel!$AD$1:$AD$12,0),IFERROR(MATCH(Methode_Keuze,SubsidieTabel!$AD$1:$AG$1,0),2))&lt;&gt;1=TRUE,"ja",""),"")</f>
        <v/>
      </c>
    </row>
    <row r="283" spans="1:27" x14ac:dyDescent="0.25">
      <c r="A283" s="320"/>
      <c r="B283" s="321" t="str">
        <f>IF(A283&lt;&gt;"",_xlfn.MAXIFS($B$1:B282,$A$1:A282,A283)+1,"")</f>
        <v/>
      </c>
      <c r="C283" s="299"/>
      <c r="D283" s="299"/>
      <c r="E283" s="299"/>
      <c r="F283" s="299"/>
      <c r="G283" s="330"/>
      <c r="H283" s="328"/>
      <c r="I283" s="329"/>
      <c r="J283" s="329"/>
      <c r="K283" s="322"/>
      <c r="L283" s="322"/>
      <c r="M283" s="323" t="str">
        <f>IFERROR(VLOOKUP(H283,Lijsten!$H$1:$I$100,2,0),"")</f>
        <v/>
      </c>
      <c r="N283" s="323" t="str">
        <f ca="1">IFERROR(IF(VLOOKUP(F283,Kostentypen!$A$3:$E$21,3,0)=0,"",IF(OR(F283="Arbeidskosten",F283="Vergoeding"),VLOOKUP(G283,Tb_KostenTypen[],2,0),VLOOKUP(F283,Kostentypen!$A$3:$E$20,3,0))),"")</f>
        <v/>
      </c>
      <c r="O283" s="324"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4"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3"/>
      <c r="R283" s="363"/>
      <c r="S283" s="325"/>
      <c r="T283" s="325"/>
      <c r="U283" s="317" t="str" cm="1">
        <f t="array" aca="1" ref="U283" ca="1">IFERROR(IF(AA283&lt;&gt;"ja",_xlfn.IFNA(_xlfn.IFS(AND(O283&lt;&gt;"",F283&lt;&gt;"",RIGHT($N283,6)="tarief",F283="Vergoeding"),SUM(O283)*FLOOR(SUM(Q283),0.0001),AND(O283&lt;&gt;"",F283&lt;&gt;"",RIGHT($N283,6)="tarief"),SUM(O283)*FLOOR(SUM(Q283),0.01),S283&gt;0,IF(F283&lt;&gt;"",FLOOR(SUM(S283),0.01),"")),""),""),"")</f>
        <v/>
      </c>
      <c r="V283" s="317" t="str" cm="1">
        <f t="array" aca="1" ref="V283" ca="1">IFERROR(IF(AA283&lt;&gt;"ja",_xlfn.IFNA(_xlfn.IFS(AND(P283&lt;&gt;"",R283&lt;&gt;"",RIGHT($N283,6)="tarief",F283="Vergoeding"),SUM(P283)*FLOOR(SUM(R283),0.0001),AND(P283&lt;&gt;"",R283&lt;&gt;"",RIGHT($N283,6)="tarief"),P283*FLOOR(R283,0.01),T283&gt;0,FLOOR(SUM(T283),0.01)),""),""),"")</f>
        <v/>
      </c>
      <c r="W283" s="317" t="str" cm="1">
        <f t="array" aca="1" ref="W283" ca="1">IFERROR(_xlfn.IFS(OR(F283="",LEFT(Methode_Keuze,4)="Geen",Methode_Keuze=""),"",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17" t="str" cm="1">
        <f t="array" aca="1" ref="X283" ca="1">IFERROR(_xlfn.IFS(OR(F283="",LEFT(Methode_Keuze,4)="Geen",Methode_Keuze=""),"",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26"/>
      <c r="Z283" s="319"/>
      <c r="AA283" s="32" t="str" cm="1">
        <f t="array" ref="AA283">IFERROR(IF(INDEX(SubsidieTabel!$AD$1:$AG$12,MATCH($F283,SubsidieTabel!$AD$1:$AD$12,0),IFERROR(MATCH(Methode_Keuze,SubsidieTabel!$AD$1:$AG$1,0),2))&lt;&gt;1=TRUE,"ja",""),"")</f>
        <v/>
      </c>
    </row>
    <row r="284" spans="1:27" x14ac:dyDescent="0.25">
      <c r="A284" s="320"/>
      <c r="B284" s="321" t="str">
        <f>IF(A284&lt;&gt;"",_xlfn.MAXIFS($B$1:B283,$A$1:A283,A284)+1,"")</f>
        <v/>
      </c>
      <c r="C284" s="299"/>
      <c r="D284" s="299"/>
      <c r="E284" s="299"/>
      <c r="F284" s="299"/>
      <c r="G284" s="330"/>
      <c r="H284" s="328"/>
      <c r="I284" s="329"/>
      <c r="J284" s="329"/>
      <c r="K284" s="322"/>
      <c r="L284" s="322"/>
      <c r="M284" s="323" t="str">
        <f>IFERROR(VLOOKUP(H284,Lijsten!$H$1:$I$100,2,0),"")</f>
        <v/>
      </c>
      <c r="N284" s="323" t="str">
        <f ca="1">IFERROR(IF(VLOOKUP(F284,Kostentypen!$A$3:$E$21,3,0)=0,"",IF(OR(F284="Arbeidskosten",F284="Vergoeding"),VLOOKUP(G284,Tb_KostenTypen[],2,0),VLOOKUP(F284,Kostentypen!$A$3:$E$20,3,0))),"")</f>
        <v/>
      </c>
      <c r="O284" s="324"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4"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3"/>
      <c r="R284" s="363"/>
      <c r="S284" s="325"/>
      <c r="T284" s="325"/>
      <c r="U284" s="317" t="str" cm="1">
        <f t="array" aca="1" ref="U284" ca="1">IFERROR(IF(AA284&lt;&gt;"ja",_xlfn.IFNA(_xlfn.IFS(AND(O284&lt;&gt;"",F284&lt;&gt;"",RIGHT($N284,6)="tarief",F284="Vergoeding"),SUM(O284)*FLOOR(SUM(Q284),0.0001),AND(O284&lt;&gt;"",F284&lt;&gt;"",RIGHT($N284,6)="tarief"),SUM(O284)*FLOOR(SUM(Q284),0.01),S284&gt;0,IF(F284&lt;&gt;"",FLOOR(SUM(S284),0.01),"")),""),""),"")</f>
        <v/>
      </c>
      <c r="V284" s="317" t="str" cm="1">
        <f t="array" aca="1" ref="V284" ca="1">IFERROR(IF(AA284&lt;&gt;"ja",_xlfn.IFNA(_xlfn.IFS(AND(P284&lt;&gt;"",R284&lt;&gt;"",RIGHT($N284,6)="tarief",F284="Vergoeding"),SUM(P284)*FLOOR(SUM(R284),0.0001),AND(P284&lt;&gt;"",R284&lt;&gt;"",RIGHT($N284,6)="tarief"),P284*FLOOR(R284,0.01),T284&gt;0,FLOOR(SUM(T284),0.01)),""),""),"")</f>
        <v/>
      </c>
      <c r="W284" s="317" t="str" cm="1">
        <f t="array" aca="1" ref="W284" ca="1">IFERROR(_xlfn.IFS(OR(F284="",LEFT(Methode_Keuze,4)="Geen",Methode_Keuze=""),"",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17" t="str" cm="1">
        <f t="array" aca="1" ref="X284" ca="1">IFERROR(_xlfn.IFS(OR(F284="",LEFT(Methode_Keuze,4)="Geen",Methode_Keuze=""),"",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26"/>
      <c r="Z284" s="319"/>
      <c r="AA284" s="32" t="str" cm="1">
        <f t="array" ref="AA284">IFERROR(IF(INDEX(SubsidieTabel!$AD$1:$AG$12,MATCH($F284,SubsidieTabel!$AD$1:$AD$12,0),IFERROR(MATCH(Methode_Keuze,SubsidieTabel!$AD$1:$AG$1,0),2))&lt;&gt;1=TRUE,"ja",""),"")</f>
        <v/>
      </c>
    </row>
    <row r="285" spans="1:27" x14ac:dyDescent="0.25">
      <c r="A285" s="320"/>
      <c r="B285" s="321" t="str">
        <f>IF(A285&lt;&gt;"",_xlfn.MAXIFS($B$1:B284,$A$1:A284,A285)+1,"")</f>
        <v/>
      </c>
      <c r="C285" s="299"/>
      <c r="D285" s="299"/>
      <c r="E285" s="299"/>
      <c r="F285" s="299"/>
      <c r="G285" s="330"/>
      <c r="H285" s="328"/>
      <c r="I285" s="329"/>
      <c r="J285" s="329"/>
      <c r="K285" s="322"/>
      <c r="L285" s="322"/>
      <c r="M285" s="323" t="str">
        <f>IFERROR(VLOOKUP(H285,Lijsten!$H$1:$I$100,2,0),"")</f>
        <v/>
      </c>
      <c r="N285" s="323" t="str">
        <f ca="1">IFERROR(IF(VLOOKUP(F285,Kostentypen!$A$3:$E$21,3,0)=0,"",IF(OR(F285="Arbeidskosten",F285="Vergoeding"),VLOOKUP(G285,Tb_KostenTypen[],2,0),VLOOKUP(F285,Kostentypen!$A$3:$E$20,3,0))),"")</f>
        <v/>
      </c>
      <c r="O285" s="324"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4"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3"/>
      <c r="R285" s="363"/>
      <c r="S285" s="325"/>
      <c r="T285" s="325"/>
      <c r="U285" s="317" t="str" cm="1">
        <f t="array" aca="1" ref="U285" ca="1">IFERROR(IF(AA285&lt;&gt;"ja",_xlfn.IFNA(_xlfn.IFS(AND(O285&lt;&gt;"",F285&lt;&gt;"",RIGHT($N285,6)="tarief",F285="Vergoeding"),SUM(O285)*FLOOR(SUM(Q285),0.0001),AND(O285&lt;&gt;"",F285&lt;&gt;"",RIGHT($N285,6)="tarief"),SUM(O285)*FLOOR(SUM(Q285),0.01),S285&gt;0,IF(F285&lt;&gt;"",FLOOR(SUM(S285),0.01),"")),""),""),"")</f>
        <v/>
      </c>
      <c r="V285" s="317" t="str" cm="1">
        <f t="array" aca="1" ref="V285" ca="1">IFERROR(IF(AA285&lt;&gt;"ja",_xlfn.IFNA(_xlfn.IFS(AND(P285&lt;&gt;"",R285&lt;&gt;"",RIGHT($N285,6)="tarief",F285="Vergoeding"),SUM(P285)*FLOOR(SUM(R285),0.0001),AND(P285&lt;&gt;"",R285&lt;&gt;"",RIGHT($N285,6)="tarief"),P285*FLOOR(R285,0.01),T285&gt;0,FLOOR(SUM(T285),0.01)),""),""),"")</f>
        <v/>
      </c>
      <c r="W285" s="317" t="str" cm="1">
        <f t="array" aca="1" ref="W285" ca="1">IFERROR(_xlfn.IFS(OR(F285="",LEFT(Methode_Keuze,4)="Geen",Methode_Keuze=""),"",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17" t="str" cm="1">
        <f t="array" aca="1" ref="X285" ca="1">IFERROR(_xlfn.IFS(OR(F285="",LEFT(Methode_Keuze,4)="Geen",Methode_Keuze=""),"",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26"/>
      <c r="Z285" s="319"/>
      <c r="AA285" s="32" t="str" cm="1">
        <f t="array" ref="AA285">IFERROR(IF(INDEX(SubsidieTabel!$AD$1:$AG$12,MATCH($F285,SubsidieTabel!$AD$1:$AD$12,0),IFERROR(MATCH(Methode_Keuze,SubsidieTabel!$AD$1:$AG$1,0),2))&lt;&gt;1=TRUE,"ja",""),"")</f>
        <v/>
      </c>
    </row>
    <row r="286" spans="1:27" x14ac:dyDescent="0.25">
      <c r="A286" s="320"/>
      <c r="B286" s="321" t="str">
        <f>IF(A286&lt;&gt;"",_xlfn.MAXIFS($B$1:B285,$A$1:A285,A286)+1,"")</f>
        <v/>
      </c>
      <c r="C286" s="299"/>
      <c r="D286" s="299"/>
      <c r="E286" s="299"/>
      <c r="F286" s="299"/>
      <c r="G286" s="330"/>
      <c r="H286" s="328"/>
      <c r="I286" s="329"/>
      <c r="J286" s="329"/>
      <c r="K286" s="322"/>
      <c r="L286" s="322"/>
      <c r="M286" s="323" t="str">
        <f>IFERROR(VLOOKUP(H286,Lijsten!$H$1:$I$100,2,0),"")</f>
        <v/>
      </c>
      <c r="N286" s="323" t="str">
        <f ca="1">IFERROR(IF(VLOOKUP(F286,Kostentypen!$A$3:$E$21,3,0)=0,"",IF(OR(F286="Arbeidskosten",F286="Vergoeding"),VLOOKUP(G286,Tb_KostenTypen[],2,0),VLOOKUP(F286,Kostentypen!$A$3:$E$20,3,0))),"")</f>
        <v/>
      </c>
      <c r="O286" s="324"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4"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3"/>
      <c r="R286" s="363"/>
      <c r="S286" s="325"/>
      <c r="T286" s="325"/>
      <c r="U286" s="317" t="str" cm="1">
        <f t="array" aca="1" ref="U286" ca="1">IFERROR(IF(AA286&lt;&gt;"ja",_xlfn.IFNA(_xlfn.IFS(AND(O286&lt;&gt;"",F286&lt;&gt;"",RIGHT($N286,6)="tarief",F286="Vergoeding"),SUM(O286)*FLOOR(SUM(Q286),0.0001),AND(O286&lt;&gt;"",F286&lt;&gt;"",RIGHT($N286,6)="tarief"),SUM(O286)*FLOOR(SUM(Q286),0.01),S286&gt;0,IF(F286&lt;&gt;"",FLOOR(SUM(S286),0.01),"")),""),""),"")</f>
        <v/>
      </c>
      <c r="V286" s="317" t="str" cm="1">
        <f t="array" aca="1" ref="V286" ca="1">IFERROR(IF(AA286&lt;&gt;"ja",_xlfn.IFNA(_xlfn.IFS(AND(P286&lt;&gt;"",R286&lt;&gt;"",RIGHT($N286,6)="tarief",F286="Vergoeding"),SUM(P286)*FLOOR(SUM(R286),0.0001),AND(P286&lt;&gt;"",R286&lt;&gt;"",RIGHT($N286,6)="tarief"),P286*FLOOR(R286,0.01),T286&gt;0,FLOOR(SUM(T286),0.01)),""),""),"")</f>
        <v/>
      </c>
      <c r="W286" s="317" t="str" cm="1">
        <f t="array" aca="1" ref="W286" ca="1">IFERROR(_xlfn.IFS(OR(F286="",LEFT(Methode_Keuze,4)="Geen",Methode_Keuze=""),"",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17" t="str" cm="1">
        <f t="array" aca="1" ref="X286" ca="1">IFERROR(_xlfn.IFS(OR(F286="",LEFT(Methode_Keuze,4)="Geen",Methode_Keuze=""),"",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26"/>
      <c r="Z286" s="319"/>
      <c r="AA286" s="32" t="str" cm="1">
        <f t="array" ref="AA286">IFERROR(IF(INDEX(SubsidieTabel!$AD$1:$AG$12,MATCH($F286,SubsidieTabel!$AD$1:$AD$12,0),IFERROR(MATCH(Methode_Keuze,SubsidieTabel!$AD$1:$AG$1,0),2))&lt;&gt;1=TRUE,"ja",""),"")</f>
        <v/>
      </c>
    </row>
    <row r="287" spans="1:27" x14ac:dyDescent="0.25">
      <c r="A287" s="320"/>
      <c r="B287" s="321" t="str">
        <f>IF(A287&lt;&gt;"",_xlfn.MAXIFS($B$1:B286,$A$1:A286,A287)+1,"")</f>
        <v/>
      </c>
      <c r="C287" s="299"/>
      <c r="D287" s="299"/>
      <c r="E287" s="299"/>
      <c r="F287" s="299"/>
      <c r="G287" s="330"/>
      <c r="H287" s="328"/>
      <c r="I287" s="329"/>
      <c r="J287" s="329"/>
      <c r="K287" s="322"/>
      <c r="L287" s="322"/>
      <c r="M287" s="323" t="str">
        <f>IFERROR(VLOOKUP(H287,Lijsten!$H$1:$I$100,2,0),"")</f>
        <v/>
      </c>
      <c r="N287" s="323" t="str">
        <f ca="1">IFERROR(IF(VLOOKUP(F287,Kostentypen!$A$3:$E$21,3,0)=0,"",IF(OR(F287="Arbeidskosten",F287="Vergoeding"),VLOOKUP(G287,Tb_KostenTypen[],2,0),VLOOKUP(F287,Kostentypen!$A$3:$E$20,3,0))),"")</f>
        <v/>
      </c>
      <c r="O287" s="324"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4"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3"/>
      <c r="R287" s="363"/>
      <c r="S287" s="325"/>
      <c r="T287" s="325"/>
      <c r="U287" s="317" t="str" cm="1">
        <f t="array" aca="1" ref="U287" ca="1">IFERROR(IF(AA287&lt;&gt;"ja",_xlfn.IFNA(_xlfn.IFS(AND(O287&lt;&gt;"",F287&lt;&gt;"",RIGHT($N287,6)="tarief",F287="Vergoeding"),SUM(O287)*FLOOR(SUM(Q287),0.0001),AND(O287&lt;&gt;"",F287&lt;&gt;"",RIGHT($N287,6)="tarief"),SUM(O287)*FLOOR(SUM(Q287),0.01),S287&gt;0,IF(F287&lt;&gt;"",FLOOR(SUM(S287),0.01),"")),""),""),"")</f>
        <v/>
      </c>
      <c r="V287" s="317" t="str" cm="1">
        <f t="array" aca="1" ref="V287" ca="1">IFERROR(IF(AA287&lt;&gt;"ja",_xlfn.IFNA(_xlfn.IFS(AND(P287&lt;&gt;"",R287&lt;&gt;"",RIGHT($N287,6)="tarief",F287="Vergoeding"),SUM(P287)*FLOOR(SUM(R287),0.0001),AND(P287&lt;&gt;"",R287&lt;&gt;"",RIGHT($N287,6)="tarief"),P287*FLOOR(R287,0.01),T287&gt;0,FLOOR(SUM(T287),0.01)),""),""),"")</f>
        <v/>
      </c>
      <c r="W287" s="317" t="str" cm="1">
        <f t="array" aca="1" ref="W287" ca="1">IFERROR(_xlfn.IFS(OR(F287="",LEFT(Methode_Keuze,4)="Geen",Methode_Keuze=""),"",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17" t="str" cm="1">
        <f t="array" aca="1" ref="X287" ca="1">IFERROR(_xlfn.IFS(OR(F287="",LEFT(Methode_Keuze,4)="Geen",Methode_Keuze=""),"",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26"/>
      <c r="Z287" s="319"/>
      <c r="AA287" s="32" t="str" cm="1">
        <f t="array" ref="AA287">IFERROR(IF(INDEX(SubsidieTabel!$AD$1:$AG$12,MATCH($F287,SubsidieTabel!$AD$1:$AD$12,0),IFERROR(MATCH(Methode_Keuze,SubsidieTabel!$AD$1:$AG$1,0),2))&lt;&gt;1=TRUE,"ja",""),"")</f>
        <v/>
      </c>
    </row>
    <row r="288" spans="1:27" x14ac:dyDescent="0.25">
      <c r="A288" s="320"/>
      <c r="B288" s="321" t="str">
        <f>IF(A288&lt;&gt;"",_xlfn.MAXIFS($B$1:B287,$A$1:A287,A288)+1,"")</f>
        <v/>
      </c>
      <c r="C288" s="299"/>
      <c r="D288" s="299"/>
      <c r="E288" s="299"/>
      <c r="F288" s="299"/>
      <c r="G288" s="330"/>
      <c r="H288" s="328"/>
      <c r="I288" s="329"/>
      <c r="J288" s="329"/>
      <c r="K288" s="322"/>
      <c r="L288" s="322"/>
      <c r="M288" s="323" t="str">
        <f>IFERROR(VLOOKUP(H288,Lijsten!$H$1:$I$100,2,0),"")</f>
        <v/>
      </c>
      <c r="N288" s="323" t="str">
        <f ca="1">IFERROR(IF(VLOOKUP(F288,Kostentypen!$A$3:$E$21,3,0)=0,"",IF(OR(F288="Arbeidskosten",F288="Vergoeding"),VLOOKUP(G288,Tb_KostenTypen[],2,0),VLOOKUP(F288,Kostentypen!$A$3:$E$20,3,0))),"")</f>
        <v/>
      </c>
      <c r="O288" s="324"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4"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3"/>
      <c r="R288" s="363"/>
      <c r="S288" s="325"/>
      <c r="T288" s="325"/>
      <c r="U288" s="317" t="str" cm="1">
        <f t="array" aca="1" ref="U288" ca="1">IFERROR(IF(AA288&lt;&gt;"ja",_xlfn.IFNA(_xlfn.IFS(AND(O288&lt;&gt;"",F288&lt;&gt;"",RIGHT($N288,6)="tarief",F288="Vergoeding"),SUM(O288)*FLOOR(SUM(Q288),0.0001),AND(O288&lt;&gt;"",F288&lt;&gt;"",RIGHT($N288,6)="tarief"),SUM(O288)*FLOOR(SUM(Q288),0.01),S288&gt;0,IF(F288&lt;&gt;"",FLOOR(SUM(S288),0.01),"")),""),""),"")</f>
        <v/>
      </c>
      <c r="V288" s="317" t="str" cm="1">
        <f t="array" aca="1" ref="V288" ca="1">IFERROR(IF(AA288&lt;&gt;"ja",_xlfn.IFNA(_xlfn.IFS(AND(P288&lt;&gt;"",R288&lt;&gt;"",RIGHT($N288,6)="tarief",F288="Vergoeding"),SUM(P288)*FLOOR(SUM(R288),0.0001),AND(P288&lt;&gt;"",R288&lt;&gt;"",RIGHT($N288,6)="tarief"),P288*FLOOR(R288,0.01),T288&gt;0,FLOOR(SUM(T288),0.01)),""),""),"")</f>
        <v/>
      </c>
      <c r="W288" s="317" t="str" cm="1">
        <f t="array" aca="1" ref="W288" ca="1">IFERROR(_xlfn.IFS(OR(F288="",LEFT(Methode_Keuze,4)="Geen",Methode_Keuze=""),"",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17" t="str" cm="1">
        <f t="array" aca="1" ref="X288" ca="1">IFERROR(_xlfn.IFS(OR(F288="",LEFT(Methode_Keuze,4)="Geen",Methode_Keuze=""),"",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26"/>
      <c r="Z288" s="319"/>
      <c r="AA288" s="32" t="str" cm="1">
        <f t="array" ref="AA288">IFERROR(IF(INDEX(SubsidieTabel!$AD$1:$AG$12,MATCH($F288,SubsidieTabel!$AD$1:$AD$12,0),IFERROR(MATCH(Methode_Keuze,SubsidieTabel!$AD$1:$AG$1,0),2))&lt;&gt;1=TRUE,"ja",""),"")</f>
        <v/>
      </c>
    </row>
    <row r="289" spans="1:27" x14ac:dyDescent="0.25">
      <c r="A289" s="320"/>
      <c r="B289" s="321" t="str">
        <f>IF(A289&lt;&gt;"",_xlfn.MAXIFS($B$1:B288,$A$1:A288,A289)+1,"")</f>
        <v/>
      </c>
      <c r="C289" s="299"/>
      <c r="D289" s="299"/>
      <c r="E289" s="299"/>
      <c r="F289" s="299"/>
      <c r="G289" s="330"/>
      <c r="H289" s="328"/>
      <c r="I289" s="329"/>
      <c r="J289" s="329"/>
      <c r="K289" s="322"/>
      <c r="L289" s="322"/>
      <c r="M289" s="323" t="str">
        <f>IFERROR(VLOOKUP(H289,Lijsten!$H$1:$I$100,2,0),"")</f>
        <v/>
      </c>
      <c r="N289" s="323" t="str">
        <f ca="1">IFERROR(IF(VLOOKUP(F289,Kostentypen!$A$3:$E$21,3,0)=0,"",IF(OR(F289="Arbeidskosten",F289="Vergoeding"),VLOOKUP(G289,Tb_KostenTypen[],2,0),VLOOKUP(F289,Kostentypen!$A$3:$E$20,3,0))),"")</f>
        <v/>
      </c>
      <c r="O289" s="324"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4"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3"/>
      <c r="R289" s="363"/>
      <c r="S289" s="325"/>
      <c r="T289" s="325"/>
      <c r="U289" s="317" t="str" cm="1">
        <f t="array" aca="1" ref="U289" ca="1">IFERROR(IF(AA289&lt;&gt;"ja",_xlfn.IFNA(_xlfn.IFS(AND(O289&lt;&gt;"",F289&lt;&gt;"",RIGHT($N289,6)="tarief",F289="Vergoeding"),SUM(O289)*FLOOR(SUM(Q289),0.0001),AND(O289&lt;&gt;"",F289&lt;&gt;"",RIGHT($N289,6)="tarief"),SUM(O289)*FLOOR(SUM(Q289),0.01),S289&gt;0,IF(F289&lt;&gt;"",FLOOR(SUM(S289),0.01),"")),""),""),"")</f>
        <v/>
      </c>
      <c r="V289" s="317" t="str" cm="1">
        <f t="array" aca="1" ref="V289" ca="1">IFERROR(IF(AA289&lt;&gt;"ja",_xlfn.IFNA(_xlfn.IFS(AND(P289&lt;&gt;"",R289&lt;&gt;"",RIGHT($N289,6)="tarief",F289="Vergoeding"),SUM(P289)*FLOOR(SUM(R289),0.0001),AND(P289&lt;&gt;"",R289&lt;&gt;"",RIGHT($N289,6)="tarief"),P289*FLOOR(R289,0.01),T289&gt;0,FLOOR(SUM(T289),0.01)),""),""),"")</f>
        <v/>
      </c>
      <c r="W289" s="317" t="str" cm="1">
        <f t="array" aca="1" ref="W289" ca="1">IFERROR(_xlfn.IFS(OR(F289="",LEFT(Methode_Keuze,4)="Geen",Methode_Keuze=""),"",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17" t="str" cm="1">
        <f t="array" aca="1" ref="X289" ca="1">IFERROR(_xlfn.IFS(OR(F289="",LEFT(Methode_Keuze,4)="Geen",Methode_Keuze=""),"",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26"/>
      <c r="Z289" s="319"/>
      <c r="AA289" s="32" t="str" cm="1">
        <f t="array" ref="AA289">IFERROR(IF(INDEX(SubsidieTabel!$AD$1:$AG$12,MATCH($F289,SubsidieTabel!$AD$1:$AD$12,0),IFERROR(MATCH(Methode_Keuze,SubsidieTabel!$AD$1:$AG$1,0),2))&lt;&gt;1=TRUE,"ja",""),"")</f>
        <v/>
      </c>
    </row>
    <row r="290" spans="1:27" x14ac:dyDescent="0.25">
      <c r="A290" s="320"/>
      <c r="B290" s="321" t="str">
        <f>IF(A290&lt;&gt;"",_xlfn.MAXIFS($B$1:B289,$A$1:A289,A290)+1,"")</f>
        <v/>
      </c>
      <c r="C290" s="299"/>
      <c r="D290" s="299"/>
      <c r="E290" s="299"/>
      <c r="F290" s="299"/>
      <c r="G290" s="330"/>
      <c r="H290" s="328"/>
      <c r="I290" s="329"/>
      <c r="J290" s="329"/>
      <c r="K290" s="322"/>
      <c r="L290" s="322"/>
      <c r="M290" s="323" t="str">
        <f>IFERROR(VLOOKUP(H290,Lijsten!$H$1:$I$100,2,0),"")</f>
        <v/>
      </c>
      <c r="N290" s="323" t="str">
        <f ca="1">IFERROR(IF(VLOOKUP(F290,Kostentypen!$A$3:$E$21,3,0)=0,"",IF(OR(F290="Arbeidskosten",F290="Vergoeding"),VLOOKUP(G290,Tb_KostenTypen[],2,0),VLOOKUP(F290,Kostentypen!$A$3:$E$20,3,0))),"")</f>
        <v/>
      </c>
      <c r="O290" s="324"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4"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3"/>
      <c r="R290" s="363"/>
      <c r="S290" s="325"/>
      <c r="T290" s="325"/>
      <c r="U290" s="317" t="str" cm="1">
        <f t="array" aca="1" ref="U290" ca="1">IFERROR(IF(AA290&lt;&gt;"ja",_xlfn.IFNA(_xlfn.IFS(AND(O290&lt;&gt;"",F290&lt;&gt;"",RIGHT($N290,6)="tarief",F290="Vergoeding"),SUM(O290)*FLOOR(SUM(Q290),0.0001),AND(O290&lt;&gt;"",F290&lt;&gt;"",RIGHT($N290,6)="tarief"),SUM(O290)*FLOOR(SUM(Q290),0.01),S290&gt;0,IF(F290&lt;&gt;"",FLOOR(SUM(S290),0.01),"")),""),""),"")</f>
        <v/>
      </c>
      <c r="V290" s="317" t="str" cm="1">
        <f t="array" aca="1" ref="V290" ca="1">IFERROR(IF(AA290&lt;&gt;"ja",_xlfn.IFNA(_xlfn.IFS(AND(P290&lt;&gt;"",R290&lt;&gt;"",RIGHT($N290,6)="tarief",F290="Vergoeding"),SUM(P290)*FLOOR(SUM(R290),0.0001),AND(P290&lt;&gt;"",R290&lt;&gt;"",RIGHT($N290,6)="tarief"),P290*FLOOR(R290,0.01),T290&gt;0,FLOOR(SUM(T290),0.01)),""),""),"")</f>
        <v/>
      </c>
      <c r="W290" s="317" t="str" cm="1">
        <f t="array" aca="1" ref="W290" ca="1">IFERROR(_xlfn.IFS(OR(F290="",LEFT(Methode_Keuze,4)="Geen",Methode_Keuze=""),"",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17" t="str" cm="1">
        <f t="array" aca="1" ref="X290" ca="1">IFERROR(_xlfn.IFS(OR(F290="",LEFT(Methode_Keuze,4)="Geen",Methode_Keuze=""),"",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26"/>
      <c r="Z290" s="319"/>
      <c r="AA290" s="32" t="str" cm="1">
        <f t="array" ref="AA290">IFERROR(IF(INDEX(SubsidieTabel!$AD$1:$AG$12,MATCH($F290,SubsidieTabel!$AD$1:$AD$12,0),IFERROR(MATCH(Methode_Keuze,SubsidieTabel!$AD$1:$AG$1,0),2))&lt;&gt;1=TRUE,"ja",""),"")</f>
        <v/>
      </c>
    </row>
    <row r="291" spans="1:27" x14ac:dyDescent="0.25">
      <c r="A291" s="320"/>
      <c r="B291" s="321" t="str">
        <f>IF(A291&lt;&gt;"",_xlfn.MAXIFS($B$1:B290,$A$1:A290,A291)+1,"")</f>
        <v/>
      </c>
      <c r="C291" s="299"/>
      <c r="D291" s="299"/>
      <c r="E291" s="299"/>
      <c r="F291" s="299"/>
      <c r="G291" s="330"/>
      <c r="H291" s="328"/>
      <c r="I291" s="329"/>
      <c r="J291" s="329"/>
      <c r="K291" s="322"/>
      <c r="L291" s="322"/>
      <c r="M291" s="323" t="str">
        <f>IFERROR(VLOOKUP(H291,Lijsten!$H$1:$I$100,2,0),"")</f>
        <v/>
      </c>
      <c r="N291" s="323" t="str">
        <f ca="1">IFERROR(IF(VLOOKUP(F291,Kostentypen!$A$3:$E$21,3,0)=0,"",IF(OR(F291="Arbeidskosten",F291="Vergoeding"),VLOOKUP(G291,Tb_KostenTypen[],2,0),VLOOKUP(F291,Kostentypen!$A$3:$E$20,3,0))),"")</f>
        <v/>
      </c>
      <c r="O291" s="324"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4"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3"/>
      <c r="R291" s="363"/>
      <c r="S291" s="325"/>
      <c r="T291" s="325"/>
      <c r="U291" s="317" t="str" cm="1">
        <f t="array" aca="1" ref="U291" ca="1">IFERROR(IF(AA291&lt;&gt;"ja",_xlfn.IFNA(_xlfn.IFS(AND(O291&lt;&gt;"",F291&lt;&gt;"",RIGHT($N291,6)="tarief",F291="Vergoeding"),SUM(O291)*FLOOR(SUM(Q291),0.0001),AND(O291&lt;&gt;"",F291&lt;&gt;"",RIGHT($N291,6)="tarief"),SUM(O291)*FLOOR(SUM(Q291),0.01),S291&gt;0,IF(F291&lt;&gt;"",FLOOR(SUM(S291),0.01),"")),""),""),"")</f>
        <v/>
      </c>
      <c r="V291" s="317" t="str" cm="1">
        <f t="array" aca="1" ref="V291" ca="1">IFERROR(IF(AA291&lt;&gt;"ja",_xlfn.IFNA(_xlfn.IFS(AND(P291&lt;&gt;"",R291&lt;&gt;"",RIGHT($N291,6)="tarief",F291="Vergoeding"),SUM(P291)*FLOOR(SUM(R291),0.0001),AND(P291&lt;&gt;"",R291&lt;&gt;"",RIGHT($N291,6)="tarief"),P291*FLOOR(R291,0.01),T291&gt;0,FLOOR(SUM(T291),0.01)),""),""),"")</f>
        <v/>
      </c>
      <c r="W291" s="317" t="str" cm="1">
        <f t="array" aca="1" ref="W291" ca="1">IFERROR(_xlfn.IFS(OR(F291="",LEFT(Methode_Keuze,4)="Geen",Methode_Keuze=""),"",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17" t="str" cm="1">
        <f t="array" aca="1" ref="X291" ca="1">IFERROR(_xlfn.IFS(OR(F291="",LEFT(Methode_Keuze,4)="Geen",Methode_Keuze=""),"",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26"/>
      <c r="Z291" s="319"/>
      <c r="AA291" s="32" t="str" cm="1">
        <f t="array" ref="AA291">IFERROR(IF(INDEX(SubsidieTabel!$AD$1:$AG$12,MATCH($F291,SubsidieTabel!$AD$1:$AD$12,0),IFERROR(MATCH(Methode_Keuze,SubsidieTabel!$AD$1:$AG$1,0),2))&lt;&gt;1=TRUE,"ja",""),"")</f>
        <v/>
      </c>
    </row>
    <row r="292" spans="1:27" x14ac:dyDescent="0.25">
      <c r="A292" s="320"/>
      <c r="B292" s="321" t="str">
        <f>IF(A292&lt;&gt;"",_xlfn.MAXIFS($B$1:B291,$A$1:A291,A292)+1,"")</f>
        <v/>
      </c>
      <c r="C292" s="299"/>
      <c r="D292" s="299"/>
      <c r="E292" s="299"/>
      <c r="F292" s="299"/>
      <c r="G292" s="330"/>
      <c r="H292" s="328"/>
      <c r="I292" s="329"/>
      <c r="J292" s="329"/>
      <c r="K292" s="322"/>
      <c r="L292" s="322"/>
      <c r="M292" s="323" t="str">
        <f>IFERROR(VLOOKUP(H292,Lijsten!$H$1:$I$100,2,0),"")</f>
        <v/>
      </c>
      <c r="N292" s="323" t="str">
        <f ca="1">IFERROR(IF(VLOOKUP(F292,Kostentypen!$A$3:$E$21,3,0)=0,"",IF(OR(F292="Arbeidskosten",F292="Vergoeding"),VLOOKUP(G292,Tb_KostenTypen[],2,0),VLOOKUP(F292,Kostentypen!$A$3:$E$20,3,0))),"")</f>
        <v/>
      </c>
      <c r="O292" s="324"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4"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3"/>
      <c r="R292" s="363"/>
      <c r="S292" s="325"/>
      <c r="T292" s="325"/>
      <c r="U292" s="317" t="str" cm="1">
        <f t="array" aca="1" ref="U292" ca="1">IFERROR(IF(AA292&lt;&gt;"ja",_xlfn.IFNA(_xlfn.IFS(AND(O292&lt;&gt;"",F292&lt;&gt;"",RIGHT($N292,6)="tarief",F292="Vergoeding"),SUM(O292)*FLOOR(SUM(Q292),0.0001),AND(O292&lt;&gt;"",F292&lt;&gt;"",RIGHT($N292,6)="tarief"),SUM(O292)*FLOOR(SUM(Q292),0.01),S292&gt;0,IF(F292&lt;&gt;"",FLOOR(SUM(S292),0.01),"")),""),""),"")</f>
        <v/>
      </c>
      <c r="V292" s="317" t="str" cm="1">
        <f t="array" aca="1" ref="V292" ca="1">IFERROR(IF(AA292&lt;&gt;"ja",_xlfn.IFNA(_xlfn.IFS(AND(P292&lt;&gt;"",R292&lt;&gt;"",RIGHT($N292,6)="tarief",F292="Vergoeding"),SUM(P292)*FLOOR(SUM(R292),0.0001),AND(P292&lt;&gt;"",R292&lt;&gt;"",RIGHT($N292,6)="tarief"),P292*FLOOR(R292,0.01),T292&gt;0,FLOOR(SUM(T292),0.01)),""),""),"")</f>
        <v/>
      </c>
      <c r="W292" s="317" t="str" cm="1">
        <f t="array" aca="1" ref="W292" ca="1">IFERROR(_xlfn.IFS(OR(F292="",LEFT(Methode_Keuze,4)="Geen",Methode_Keuze=""),"",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17" t="str" cm="1">
        <f t="array" aca="1" ref="X292" ca="1">IFERROR(_xlfn.IFS(OR(F292="",LEFT(Methode_Keuze,4)="Geen",Methode_Keuze=""),"",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26"/>
      <c r="Z292" s="319"/>
      <c r="AA292" s="32" t="str" cm="1">
        <f t="array" ref="AA292">IFERROR(IF(INDEX(SubsidieTabel!$AD$1:$AG$12,MATCH($F292,SubsidieTabel!$AD$1:$AD$12,0),IFERROR(MATCH(Methode_Keuze,SubsidieTabel!$AD$1:$AG$1,0),2))&lt;&gt;1=TRUE,"ja",""),"")</f>
        <v/>
      </c>
    </row>
    <row r="293" spans="1:27" x14ac:dyDescent="0.25">
      <c r="A293" s="320"/>
      <c r="B293" s="321" t="str">
        <f>IF(A293&lt;&gt;"",_xlfn.MAXIFS($B$1:B292,$A$1:A292,A293)+1,"")</f>
        <v/>
      </c>
      <c r="C293" s="299"/>
      <c r="D293" s="299"/>
      <c r="E293" s="299"/>
      <c r="F293" s="299"/>
      <c r="G293" s="330"/>
      <c r="H293" s="328"/>
      <c r="I293" s="329"/>
      <c r="J293" s="329"/>
      <c r="K293" s="322"/>
      <c r="L293" s="322"/>
      <c r="M293" s="323" t="str">
        <f>IFERROR(VLOOKUP(H293,Lijsten!$H$1:$I$100,2,0),"")</f>
        <v/>
      </c>
      <c r="N293" s="323" t="str">
        <f ca="1">IFERROR(IF(VLOOKUP(F293,Kostentypen!$A$3:$E$21,3,0)=0,"",IF(OR(F293="Arbeidskosten",F293="Vergoeding"),VLOOKUP(G293,Tb_KostenTypen[],2,0),VLOOKUP(F293,Kostentypen!$A$3:$E$20,3,0))),"")</f>
        <v/>
      </c>
      <c r="O293" s="324"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4"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3"/>
      <c r="R293" s="363"/>
      <c r="S293" s="325"/>
      <c r="T293" s="325"/>
      <c r="U293" s="317" t="str" cm="1">
        <f t="array" aca="1" ref="U293" ca="1">IFERROR(IF(AA293&lt;&gt;"ja",_xlfn.IFNA(_xlfn.IFS(AND(O293&lt;&gt;"",F293&lt;&gt;"",RIGHT($N293,6)="tarief",F293="Vergoeding"),SUM(O293)*FLOOR(SUM(Q293),0.0001),AND(O293&lt;&gt;"",F293&lt;&gt;"",RIGHT($N293,6)="tarief"),SUM(O293)*FLOOR(SUM(Q293),0.01),S293&gt;0,IF(F293&lt;&gt;"",FLOOR(SUM(S293),0.01),"")),""),""),"")</f>
        <v/>
      </c>
      <c r="V293" s="317" t="str" cm="1">
        <f t="array" aca="1" ref="V293" ca="1">IFERROR(IF(AA293&lt;&gt;"ja",_xlfn.IFNA(_xlfn.IFS(AND(P293&lt;&gt;"",R293&lt;&gt;"",RIGHT($N293,6)="tarief",F293="Vergoeding"),SUM(P293)*FLOOR(SUM(R293),0.0001),AND(P293&lt;&gt;"",R293&lt;&gt;"",RIGHT($N293,6)="tarief"),P293*FLOOR(R293,0.01),T293&gt;0,FLOOR(SUM(T293),0.01)),""),""),"")</f>
        <v/>
      </c>
      <c r="W293" s="317" t="str" cm="1">
        <f t="array" aca="1" ref="W293" ca="1">IFERROR(_xlfn.IFS(OR(F293="",LEFT(Methode_Keuze,4)="Geen",Methode_Keuze=""),"",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17" t="str" cm="1">
        <f t="array" aca="1" ref="X293" ca="1">IFERROR(_xlfn.IFS(OR(F293="",LEFT(Methode_Keuze,4)="Geen",Methode_Keuze=""),"",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26"/>
      <c r="Z293" s="319"/>
      <c r="AA293" s="32" t="str" cm="1">
        <f t="array" ref="AA293">IFERROR(IF(INDEX(SubsidieTabel!$AD$1:$AG$12,MATCH($F293,SubsidieTabel!$AD$1:$AD$12,0),IFERROR(MATCH(Methode_Keuze,SubsidieTabel!$AD$1:$AG$1,0),2))&lt;&gt;1=TRUE,"ja",""),"")</f>
        <v/>
      </c>
    </row>
    <row r="294" spans="1:27" x14ac:dyDescent="0.25">
      <c r="A294" s="320"/>
      <c r="B294" s="321" t="str">
        <f>IF(A294&lt;&gt;"",_xlfn.MAXIFS($B$1:B293,$A$1:A293,A294)+1,"")</f>
        <v/>
      </c>
      <c r="C294" s="299"/>
      <c r="D294" s="299"/>
      <c r="E294" s="299"/>
      <c r="F294" s="299"/>
      <c r="G294" s="330"/>
      <c r="H294" s="328"/>
      <c r="I294" s="329"/>
      <c r="J294" s="329"/>
      <c r="K294" s="322"/>
      <c r="L294" s="322"/>
      <c r="M294" s="323" t="str">
        <f>IFERROR(VLOOKUP(H294,Lijsten!$H$1:$I$100,2,0),"")</f>
        <v/>
      </c>
      <c r="N294" s="323" t="str">
        <f ca="1">IFERROR(IF(VLOOKUP(F294,Kostentypen!$A$3:$E$21,3,0)=0,"",IF(OR(F294="Arbeidskosten",F294="Vergoeding"),VLOOKUP(G294,Tb_KostenTypen[],2,0),VLOOKUP(F294,Kostentypen!$A$3:$E$20,3,0))),"")</f>
        <v/>
      </c>
      <c r="O294" s="324"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4"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3"/>
      <c r="R294" s="363"/>
      <c r="S294" s="325"/>
      <c r="T294" s="325"/>
      <c r="U294" s="317" t="str" cm="1">
        <f t="array" aca="1" ref="U294" ca="1">IFERROR(IF(AA294&lt;&gt;"ja",_xlfn.IFNA(_xlfn.IFS(AND(O294&lt;&gt;"",F294&lt;&gt;"",RIGHT($N294,6)="tarief",F294="Vergoeding"),SUM(O294)*FLOOR(SUM(Q294),0.0001),AND(O294&lt;&gt;"",F294&lt;&gt;"",RIGHT($N294,6)="tarief"),SUM(O294)*FLOOR(SUM(Q294),0.01),S294&gt;0,IF(F294&lt;&gt;"",FLOOR(SUM(S294),0.01),"")),""),""),"")</f>
        <v/>
      </c>
      <c r="V294" s="317" t="str" cm="1">
        <f t="array" aca="1" ref="V294" ca="1">IFERROR(IF(AA294&lt;&gt;"ja",_xlfn.IFNA(_xlfn.IFS(AND(P294&lt;&gt;"",R294&lt;&gt;"",RIGHT($N294,6)="tarief",F294="Vergoeding"),SUM(P294)*FLOOR(SUM(R294),0.0001),AND(P294&lt;&gt;"",R294&lt;&gt;"",RIGHT($N294,6)="tarief"),P294*FLOOR(R294,0.01),T294&gt;0,FLOOR(SUM(T294),0.01)),""),""),"")</f>
        <v/>
      </c>
      <c r="W294" s="317" t="str" cm="1">
        <f t="array" aca="1" ref="W294" ca="1">IFERROR(_xlfn.IFS(OR(F294="",LEFT(Methode_Keuze,4)="Geen",Methode_Keuze=""),"",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17" t="str" cm="1">
        <f t="array" aca="1" ref="X294" ca="1">IFERROR(_xlfn.IFS(OR(F294="",LEFT(Methode_Keuze,4)="Geen",Methode_Keuze=""),"",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26"/>
      <c r="Z294" s="319"/>
      <c r="AA294" s="32" t="str" cm="1">
        <f t="array" ref="AA294">IFERROR(IF(INDEX(SubsidieTabel!$AD$1:$AG$12,MATCH($F294,SubsidieTabel!$AD$1:$AD$12,0),IFERROR(MATCH(Methode_Keuze,SubsidieTabel!$AD$1:$AG$1,0),2))&lt;&gt;1=TRUE,"ja",""),"")</f>
        <v/>
      </c>
    </row>
    <row r="295" spans="1:27" x14ac:dyDescent="0.25">
      <c r="A295" s="320"/>
      <c r="B295" s="321" t="str">
        <f>IF(A295&lt;&gt;"",_xlfn.MAXIFS($B$1:B294,$A$1:A294,A295)+1,"")</f>
        <v/>
      </c>
      <c r="C295" s="299"/>
      <c r="D295" s="299"/>
      <c r="E295" s="299"/>
      <c r="F295" s="299"/>
      <c r="G295" s="330"/>
      <c r="H295" s="328"/>
      <c r="I295" s="329"/>
      <c r="J295" s="329"/>
      <c r="K295" s="322"/>
      <c r="L295" s="322"/>
      <c r="M295" s="323" t="str">
        <f>IFERROR(VLOOKUP(H295,Lijsten!$H$1:$I$100,2,0),"")</f>
        <v/>
      </c>
      <c r="N295" s="323" t="str">
        <f ca="1">IFERROR(IF(VLOOKUP(F295,Kostentypen!$A$3:$E$21,3,0)=0,"",IF(OR(F295="Arbeidskosten",F295="Vergoeding"),VLOOKUP(G295,Tb_KostenTypen[],2,0),VLOOKUP(F295,Kostentypen!$A$3:$E$20,3,0))),"")</f>
        <v/>
      </c>
      <c r="O295" s="324"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4"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3"/>
      <c r="R295" s="363"/>
      <c r="S295" s="325"/>
      <c r="T295" s="325"/>
      <c r="U295" s="317" t="str" cm="1">
        <f t="array" aca="1" ref="U295" ca="1">IFERROR(IF(AA295&lt;&gt;"ja",_xlfn.IFNA(_xlfn.IFS(AND(O295&lt;&gt;"",F295&lt;&gt;"",RIGHT($N295,6)="tarief",F295="Vergoeding"),SUM(O295)*FLOOR(SUM(Q295),0.0001),AND(O295&lt;&gt;"",F295&lt;&gt;"",RIGHT($N295,6)="tarief"),SUM(O295)*FLOOR(SUM(Q295),0.01),S295&gt;0,IF(F295&lt;&gt;"",FLOOR(SUM(S295),0.01),"")),""),""),"")</f>
        <v/>
      </c>
      <c r="V295" s="317" t="str" cm="1">
        <f t="array" aca="1" ref="V295" ca="1">IFERROR(IF(AA295&lt;&gt;"ja",_xlfn.IFNA(_xlfn.IFS(AND(P295&lt;&gt;"",R295&lt;&gt;"",RIGHT($N295,6)="tarief",F295="Vergoeding"),SUM(P295)*FLOOR(SUM(R295),0.0001),AND(P295&lt;&gt;"",R295&lt;&gt;"",RIGHT($N295,6)="tarief"),P295*FLOOR(R295,0.01),T295&gt;0,FLOOR(SUM(T295),0.01)),""),""),"")</f>
        <v/>
      </c>
      <c r="W295" s="317" t="str" cm="1">
        <f t="array" aca="1" ref="W295" ca="1">IFERROR(_xlfn.IFS(OR(F295="",LEFT(Methode_Keuze,4)="Geen",Methode_Keuze=""),"",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17" t="str" cm="1">
        <f t="array" aca="1" ref="X295" ca="1">IFERROR(_xlfn.IFS(OR(F295="",LEFT(Methode_Keuze,4)="Geen",Methode_Keuze=""),"",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26"/>
      <c r="Z295" s="319"/>
      <c r="AA295" s="32" t="str" cm="1">
        <f t="array" ref="AA295">IFERROR(IF(INDEX(SubsidieTabel!$AD$1:$AG$12,MATCH($F295,SubsidieTabel!$AD$1:$AD$12,0),IFERROR(MATCH(Methode_Keuze,SubsidieTabel!$AD$1:$AG$1,0),2))&lt;&gt;1=TRUE,"ja",""),"")</f>
        <v/>
      </c>
    </row>
    <row r="296" spans="1:27" x14ac:dyDescent="0.25">
      <c r="A296" s="320"/>
      <c r="B296" s="321" t="str">
        <f>IF(A296&lt;&gt;"",_xlfn.MAXIFS($B$1:B295,$A$1:A295,A296)+1,"")</f>
        <v/>
      </c>
      <c r="C296" s="299"/>
      <c r="D296" s="299"/>
      <c r="E296" s="299"/>
      <c r="F296" s="299"/>
      <c r="G296" s="330"/>
      <c r="H296" s="328"/>
      <c r="I296" s="329"/>
      <c r="J296" s="329"/>
      <c r="K296" s="322"/>
      <c r="L296" s="322"/>
      <c r="M296" s="323" t="str">
        <f>IFERROR(VLOOKUP(H296,Lijsten!$H$1:$I$100,2,0),"")</f>
        <v/>
      </c>
      <c r="N296" s="323" t="str">
        <f ca="1">IFERROR(IF(VLOOKUP(F296,Kostentypen!$A$3:$E$21,3,0)=0,"",IF(OR(F296="Arbeidskosten",F296="Vergoeding"),VLOOKUP(G296,Tb_KostenTypen[],2,0),VLOOKUP(F296,Kostentypen!$A$3:$E$20,3,0))),"")</f>
        <v/>
      </c>
      <c r="O296" s="324"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4"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3"/>
      <c r="R296" s="363"/>
      <c r="S296" s="325"/>
      <c r="T296" s="325"/>
      <c r="U296" s="317" t="str" cm="1">
        <f t="array" aca="1" ref="U296" ca="1">IFERROR(IF(AA296&lt;&gt;"ja",_xlfn.IFNA(_xlfn.IFS(AND(O296&lt;&gt;"",F296&lt;&gt;"",RIGHT($N296,6)="tarief",F296="Vergoeding"),SUM(O296)*FLOOR(SUM(Q296),0.0001),AND(O296&lt;&gt;"",F296&lt;&gt;"",RIGHT($N296,6)="tarief"),SUM(O296)*FLOOR(SUM(Q296),0.01),S296&gt;0,IF(F296&lt;&gt;"",FLOOR(SUM(S296),0.01),"")),""),""),"")</f>
        <v/>
      </c>
      <c r="V296" s="317" t="str" cm="1">
        <f t="array" aca="1" ref="V296" ca="1">IFERROR(IF(AA296&lt;&gt;"ja",_xlfn.IFNA(_xlfn.IFS(AND(P296&lt;&gt;"",R296&lt;&gt;"",RIGHT($N296,6)="tarief",F296="Vergoeding"),SUM(P296)*FLOOR(SUM(R296),0.0001),AND(P296&lt;&gt;"",R296&lt;&gt;"",RIGHT($N296,6)="tarief"),P296*FLOOR(R296,0.01),T296&gt;0,FLOOR(SUM(T296),0.01)),""),""),"")</f>
        <v/>
      </c>
      <c r="W296" s="317" t="str" cm="1">
        <f t="array" aca="1" ref="W296" ca="1">IFERROR(_xlfn.IFS(OR(F296="",LEFT(Methode_Keuze,4)="Geen",Methode_Keuze=""),"",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17" t="str" cm="1">
        <f t="array" aca="1" ref="X296" ca="1">IFERROR(_xlfn.IFS(OR(F296="",LEFT(Methode_Keuze,4)="Geen",Methode_Keuze=""),"",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26"/>
      <c r="Z296" s="319"/>
      <c r="AA296" s="32" t="str" cm="1">
        <f t="array" ref="AA296">IFERROR(IF(INDEX(SubsidieTabel!$AD$1:$AG$12,MATCH($F296,SubsidieTabel!$AD$1:$AD$12,0),IFERROR(MATCH(Methode_Keuze,SubsidieTabel!$AD$1:$AG$1,0),2))&lt;&gt;1=TRUE,"ja",""),"")</f>
        <v/>
      </c>
    </row>
    <row r="297" spans="1:27" x14ac:dyDescent="0.25">
      <c r="A297" s="320"/>
      <c r="B297" s="321" t="str">
        <f>IF(A297&lt;&gt;"",_xlfn.MAXIFS($B$1:B296,$A$1:A296,A297)+1,"")</f>
        <v/>
      </c>
      <c r="C297" s="299"/>
      <c r="D297" s="299"/>
      <c r="E297" s="299"/>
      <c r="F297" s="299"/>
      <c r="G297" s="330"/>
      <c r="H297" s="328"/>
      <c r="I297" s="329"/>
      <c r="J297" s="329"/>
      <c r="K297" s="322"/>
      <c r="L297" s="322"/>
      <c r="M297" s="323" t="str">
        <f>IFERROR(VLOOKUP(H297,Lijsten!$H$1:$I$100,2,0),"")</f>
        <v/>
      </c>
      <c r="N297" s="323" t="str">
        <f ca="1">IFERROR(IF(VLOOKUP(F297,Kostentypen!$A$3:$E$21,3,0)=0,"",IF(OR(F297="Arbeidskosten",F297="Vergoeding"),VLOOKUP(G297,Tb_KostenTypen[],2,0),VLOOKUP(F297,Kostentypen!$A$3:$E$20,3,0))),"")</f>
        <v/>
      </c>
      <c r="O297" s="324"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4"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3"/>
      <c r="R297" s="363"/>
      <c r="S297" s="325"/>
      <c r="T297" s="325"/>
      <c r="U297" s="317" t="str" cm="1">
        <f t="array" aca="1" ref="U297" ca="1">IFERROR(IF(AA297&lt;&gt;"ja",_xlfn.IFNA(_xlfn.IFS(AND(O297&lt;&gt;"",F297&lt;&gt;"",RIGHT($N297,6)="tarief",F297="Vergoeding"),SUM(O297)*FLOOR(SUM(Q297),0.0001),AND(O297&lt;&gt;"",F297&lt;&gt;"",RIGHT($N297,6)="tarief"),SUM(O297)*FLOOR(SUM(Q297),0.01),S297&gt;0,IF(F297&lt;&gt;"",FLOOR(SUM(S297),0.01),"")),""),""),"")</f>
        <v/>
      </c>
      <c r="V297" s="317" t="str" cm="1">
        <f t="array" aca="1" ref="V297" ca="1">IFERROR(IF(AA297&lt;&gt;"ja",_xlfn.IFNA(_xlfn.IFS(AND(P297&lt;&gt;"",R297&lt;&gt;"",RIGHT($N297,6)="tarief",F297="Vergoeding"),SUM(P297)*FLOOR(SUM(R297),0.0001),AND(P297&lt;&gt;"",R297&lt;&gt;"",RIGHT($N297,6)="tarief"),P297*FLOOR(R297,0.01),T297&gt;0,FLOOR(SUM(T297),0.01)),""),""),"")</f>
        <v/>
      </c>
      <c r="W297" s="317" t="str" cm="1">
        <f t="array" aca="1" ref="W297" ca="1">IFERROR(_xlfn.IFS(OR(F297="",LEFT(Methode_Keuze,4)="Geen",Methode_Keuze=""),"",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17" t="str" cm="1">
        <f t="array" aca="1" ref="X297" ca="1">IFERROR(_xlfn.IFS(OR(F297="",LEFT(Methode_Keuze,4)="Geen",Methode_Keuze=""),"",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26"/>
      <c r="Z297" s="319"/>
      <c r="AA297" s="32" t="str" cm="1">
        <f t="array" ref="AA297">IFERROR(IF(INDEX(SubsidieTabel!$AD$1:$AG$12,MATCH($F297,SubsidieTabel!$AD$1:$AD$12,0),IFERROR(MATCH(Methode_Keuze,SubsidieTabel!$AD$1:$AG$1,0),2))&lt;&gt;1=TRUE,"ja",""),"")</f>
        <v/>
      </c>
    </row>
    <row r="298" spans="1:27" x14ac:dyDescent="0.25">
      <c r="A298" s="320"/>
      <c r="B298" s="321" t="str">
        <f>IF(A298&lt;&gt;"",_xlfn.MAXIFS($B$1:B297,$A$1:A297,A298)+1,"")</f>
        <v/>
      </c>
      <c r="C298" s="299"/>
      <c r="D298" s="299"/>
      <c r="E298" s="299"/>
      <c r="F298" s="299"/>
      <c r="G298" s="330"/>
      <c r="H298" s="328"/>
      <c r="I298" s="329"/>
      <c r="J298" s="329"/>
      <c r="K298" s="322"/>
      <c r="L298" s="322"/>
      <c r="M298" s="323" t="str">
        <f>IFERROR(VLOOKUP(H298,Lijsten!$H$1:$I$100,2,0),"")</f>
        <v/>
      </c>
      <c r="N298" s="323" t="str">
        <f ca="1">IFERROR(IF(VLOOKUP(F298,Kostentypen!$A$3:$E$21,3,0)=0,"",IF(OR(F298="Arbeidskosten",F298="Vergoeding"),VLOOKUP(G298,Tb_KostenTypen[],2,0),VLOOKUP(F298,Kostentypen!$A$3:$E$20,3,0))),"")</f>
        <v/>
      </c>
      <c r="O298" s="324"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4"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3"/>
      <c r="R298" s="363"/>
      <c r="S298" s="325"/>
      <c r="T298" s="325"/>
      <c r="U298" s="317" t="str" cm="1">
        <f t="array" aca="1" ref="U298" ca="1">IFERROR(IF(AA298&lt;&gt;"ja",_xlfn.IFNA(_xlfn.IFS(AND(O298&lt;&gt;"",F298&lt;&gt;"",RIGHT($N298,6)="tarief",F298="Vergoeding"),SUM(O298)*FLOOR(SUM(Q298),0.0001),AND(O298&lt;&gt;"",F298&lt;&gt;"",RIGHT($N298,6)="tarief"),SUM(O298)*FLOOR(SUM(Q298),0.01),S298&gt;0,IF(F298&lt;&gt;"",FLOOR(SUM(S298),0.01),"")),""),""),"")</f>
        <v/>
      </c>
      <c r="V298" s="317" t="str" cm="1">
        <f t="array" aca="1" ref="V298" ca="1">IFERROR(IF(AA298&lt;&gt;"ja",_xlfn.IFNA(_xlfn.IFS(AND(P298&lt;&gt;"",R298&lt;&gt;"",RIGHT($N298,6)="tarief",F298="Vergoeding"),SUM(P298)*FLOOR(SUM(R298),0.0001),AND(P298&lt;&gt;"",R298&lt;&gt;"",RIGHT($N298,6)="tarief"),P298*FLOOR(R298,0.01),T298&gt;0,FLOOR(SUM(T298),0.01)),""),""),"")</f>
        <v/>
      </c>
      <c r="W298" s="317" t="str" cm="1">
        <f t="array" aca="1" ref="W298" ca="1">IFERROR(_xlfn.IFS(OR(F298="",LEFT(Methode_Keuze,4)="Geen",Methode_Keuze=""),"",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17" t="str" cm="1">
        <f t="array" aca="1" ref="X298" ca="1">IFERROR(_xlfn.IFS(OR(F298="",LEFT(Methode_Keuze,4)="Geen",Methode_Keuze=""),"",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26"/>
      <c r="Z298" s="319"/>
      <c r="AA298" s="32" t="str" cm="1">
        <f t="array" ref="AA298">IFERROR(IF(INDEX(SubsidieTabel!$AD$1:$AG$12,MATCH($F298,SubsidieTabel!$AD$1:$AD$12,0),IFERROR(MATCH(Methode_Keuze,SubsidieTabel!$AD$1:$AG$1,0),2))&lt;&gt;1=TRUE,"ja",""),"")</f>
        <v/>
      </c>
    </row>
    <row r="299" spans="1:27" x14ac:dyDescent="0.25">
      <c r="A299" s="320"/>
      <c r="B299" s="321" t="str">
        <f>IF(A299&lt;&gt;"",_xlfn.MAXIFS($B$1:B298,$A$1:A298,A299)+1,"")</f>
        <v/>
      </c>
      <c r="C299" s="299"/>
      <c r="D299" s="299"/>
      <c r="E299" s="299"/>
      <c r="F299" s="299"/>
      <c r="G299" s="330"/>
      <c r="H299" s="328"/>
      <c r="I299" s="329"/>
      <c r="J299" s="329"/>
      <c r="K299" s="322"/>
      <c r="L299" s="322"/>
      <c r="M299" s="323" t="str">
        <f>IFERROR(VLOOKUP(H299,Lijsten!$H$1:$I$100,2,0),"")</f>
        <v/>
      </c>
      <c r="N299" s="323" t="str">
        <f ca="1">IFERROR(IF(VLOOKUP(F299,Kostentypen!$A$3:$E$21,3,0)=0,"",IF(OR(F299="Arbeidskosten",F299="Vergoeding"),VLOOKUP(G299,Tb_KostenTypen[],2,0),VLOOKUP(F299,Kostentypen!$A$3:$E$20,3,0))),"")</f>
        <v/>
      </c>
      <c r="O299" s="324"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4"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3"/>
      <c r="R299" s="363"/>
      <c r="S299" s="325"/>
      <c r="T299" s="325"/>
      <c r="U299" s="317" t="str" cm="1">
        <f t="array" aca="1" ref="U299" ca="1">IFERROR(IF(AA299&lt;&gt;"ja",_xlfn.IFNA(_xlfn.IFS(AND(O299&lt;&gt;"",F299&lt;&gt;"",RIGHT($N299,6)="tarief",F299="Vergoeding"),SUM(O299)*FLOOR(SUM(Q299),0.0001),AND(O299&lt;&gt;"",F299&lt;&gt;"",RIGHT($N299,6)="tarief"),SUM(O299)*FLOOR(SUM(Q299),0.01),S299&gt;0,IF(F299&lt;&gt;"",FLOOR(SUM(S299),0.01),"")),""),""),"")</f>
        <v/>
      </c>
      <c r="V299" s="317" t="str" cm="1">
        <f t="array" aca="1" ref="V299" ca="1">IFERROR(IF(AA299&lt;&gt;"ja",_xlfn.IFNA(_xlfn.IFS(AND(P299&lt;&gt;"",R299&lt;&gt;"",RIGHT($N299,6)="tarief",F299="Vergoeding"),SUM(P299)*FLOOR(SUM(R299),0.0001),AND(P299&lt;&gt;"",R299&lt;&gt;"",RIGHT($N299,6)="tarief"),P299*FLOOR(R299,0.01),T299&gt;0,FLOOR(SUM(T299),0.01)),""),""),"")</f>
        <v/>
      </c>
      <c r="W299" s="317" t="str" cm="1">
        <f t="array" aca="1" ref="W299" ca="1">IFERROR(_xlfn.IFS(OR(F299="",LEFT(Methode_Keuze,4)="Geen",Methode_Keuze=""),"",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17" t="str" cm="1">
        <f t="array" aca="1" ref="X299" ca="1">IFERROR(_xlfn.IFS(OR(F299="",LEFT(Methode_Keuze,4)="Geen",Methode_Keuze=""),"",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26"/>
      <c r="Z299" s="319"/>
      <c r="AA299" s="32" t="str" cm="1">
        <f t="array" ref="AA299">IFERROR(IF(INDEX(SubsidieTabel!$AD$1:$AG$12,MATCH($F299,SubsidieTabel!$AD$1:$AD$12,0),IFERROR(MATCH(Methode_Keuze,SubsidieTabel!$AD$1:$AG$1,0),2))&lt;&gt;1=TRUE,"ja",""),"")</f>
        <v/>
      </c>
    </row>
    <row r="300" spans="1:27" x14ac:dyDescent="0.25">
      <c r="A300" s="320"/>
      <c r="B300" s="321" t="str">
        <f>IF(A300&lt;&gt;"",_xlfn.MAXIFS($B$1:B299,$A$1:A299,A300)+1,"")</f>
        <v/>
      </c>
      <c r="C300" s="299"/>
      <c r="D300" s="299"/>
      <c r="E300" s="299"/>
      <c r="F300" s="299"/>
      <c r="G300" s="330"/>
      <c r="H300" s="328"/>
      <c r="I300" s="329"/>
      <c r="J300" s="329"/>
      <c r="K300" s="322"/>
      <c r="L300" s="322"/>
      <c r="M300" s="323" t="str">
        <f>IFERROR(VLOOKUP(H300,Lijsten!$H$1:$I$100,2,0),"")</f>
        <v/>
      </c>
      <c r="N300" s="323" t="str">
        <f ca="1">IFERROR(IF(VLOOKUP(F300,Kostentypen!$A$3:$E$21,3,0)=0,"",IF(OR(F300="Arbeidskosten",F300="Vergoeding"),VLOOKUP(G300,Tb_KostenTypen[],2,0),VLOOKUP(F300,Kostentypen!$A$3:$E$20,3,0))),"")</f>
        <v/>
      </c>
      <c r="O300" s="324"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4"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3"/>
      <c r="R300" s="363"/>
      <c r="S300" s="325"/>
      <c r="T300" s="325"/>
      <c r="U300" s="317" t="str" cm="1">
        <f t="array" aca="1" ref="U300" ca="1">IFERROR(IF(AA300&lt;&gt;"ja",_xlfn.IFNA(_xlfn.IFS(AND(O300&lt;&gt;"",F300&lt;&gt;"",RIGHT($N300,6)="tarief",F300="Vergoeding"),SUM(O300)*FLOOR(SUM(Q300),0.0001),AND(O300&lt;&gt;"",F300&lt;&gt;"",RIGHT($N300,6)="tarief"),SUM(O300)*FLOOR(SUM(Q300),0.01),S300&gt;0,IF(F300&lt;&gt;"",FLOOR(SUM(S300),0.01),"")),""),""),"")</f>
        <v/>
      </c>
      <c r="V300" s="317" t="str" cm="1">
        <f t="array" aca="1" ref="V300" ca="1">IFERROR(IF(AA300&lt;&gt;"ja",_xlfn.IFNA(_xlfn.IFS(AND(P300&lt;&gt;"",R300&lt;&gt;"",RIGHT($N300,6)="tarief",F300="Vergoeding"),SUM(P300)*FLOOR(SUM(R300),0.0001),AND(P300&lt;&gt;"",R300&lt;&gt;"",RIGHT($N300,6)="tarief"),P300*FLOOR(R300,0.01),T300&gt;0,FLOOR(SUM(T300),0.01)),""),""),"")</f>
        <v/>
      </c>
      <c r="W300" s="317" t="str" cm="1">
        <f t="array" aca="1" ref="W300" ca="1">IFERROR(_xlfn.IFS(OR(F300="",LEFT(Methode_Keuze,4)="Geen",Methode_Keuze=""),"",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17" t="str" cm="1">
        <f t="array" aca="1" ref="X300" ca="1">IFERROR(_xlfn.IFS(OR(F300="",LEFT(Methode_Keuze,4)="Geen",Methode_Keuze=""),"",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26"/>
      <c r="Z300" s="319"/>
      <c r="AA300" s="32" t="str" cm="1">
        <f t="array" ref="AA300">IFERROR(IF(INDEX(SubsidieTabel!$AD$1:$AG$12,MATCH($F300,SubsidieTabel!$AD$1:$AD$12,0),IFERROR(MATCH(Methode_Keuze,SubsidieTabel!$AD$1:$AG$1,0),2))&lt;&gt;1=TRUE,"ja",""),"")</f>
        <v/>
      </c>
    </row>
    <row r="301" spans="1:27" x14ac:dyDescent="0.25">
      <c r="A301" s="320"/>
      <c r="B301" s="321" t="str">
        <f>IF(A301&lt;&gt;"",_xlfn.MAXIFS($B$1:B300,$A$1:A300,A301)+1,"")</f>
        <v/>
      </c>
      <c r="C301" s="299"/>
      <c r="D301" s="299"/>
      <c r="E301" s="299"/>
      <c r="F301" s="299"/>
      <c r="G301" s="330"/>
      <c r="H301" s="328"/>
      <c r="I301" s="329"/>
      <c r="J301" s="329"/>
      <c r="K301" s="322"/>
      <c r="L301" s="322"/>
      <c r="M301" s="323" t="str">
        <f>IFERROR(VLOOKUP(H301,Lijsten!$H$1:$I$100,2,0),"")</f>
        <v/>
      </c>
      <c r="N301" s="323" t="str">
        <f ca="1">IFERROR(IF(VLOOKUP(F301,Kostentypen!$A$3:$E$21,3,0)=0,"",IF(OR(F301="Arbeidskosten",F301="Vergoeding"),VLOOKUP(G301,Tb_KostenTypen[],2,0),VLOOKUP(F301,Kostentypen!$A$3:$E$20,3,0))),"")</f>
        <v/>
      </c>
      <c r="O301" s="324"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4"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3"/>
      <c r="R301" s="363"/>
      <c r="S301" s="325"/>
      <c r="T301" s="325"/>
      <c r="U301" s="317" t="str" cm="1">
        <f t="array" aca="1" ref="U301" ca="1">IFERROR(IF(AA301&lt;&gt;"ja",_xlfn.IFNA(_xlfn.IFS(AND(O301&lt;&gt;"",F301&lt;&gt;"",RIGHT($N301,6)="tarief",F301="Vergoeding"),SUM(O301)*FLOOR(SUM(Q301),0.0001),AND(O301&lt;&gt;"",F301&lt;&gt;"",RIGHT($N301,6)="tarief"),SUM(O301)*FLOOR(SUM(Q301),0.01),S301&gt;0,IF(F301&lt;&gt;"",FLOOR(SUM(S301),0.01),"")),""),""),"")</f>
        <v/>
      </c>
      <c r="V301" s="317" t="str" cm="1">
        <f t="array" aca="1" ref="V301" ca="1">IFERROR(IF(AA301&lt;&gt;"ja",_xlfn.IFNA(_xlfn.IFS(AND(P301&lt;&gt;"",R301&lt;&gt;"",RIGHT($N301,6)="tarief",F301="Vergoeding"),SUM(P301)*FLOOR(SUM(R301),0.0001),AND(P301&lt;&gt;"",R301&lt;&gt;"",RIGHT($N301,6)="tarief"),P301*FLOOR(R301,0.01),T301&gt;0,FLOOR(SUM(T301),0.01)),""),""),"")</f>
        <v/>
      </c>
      <c r="W301" s="317" t="str" cm="1">
        <f t="array" aca="1" ref="W301" ca="1">IFERROR(_xlfn.IFS(OR(F301="",LEFT(Methode_Keuze,4)="Geen",Methode_Keuze=""),"",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17" t="str" cm="1">
        <f t="array" aca="1" ref="X301" ca="1">IFERROR(_xlfn.IFS(OR(F301="",LEFT(Methode_Keuze,4)="Geen",Methode_Keuze=""),"",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26"/>
      <c r="Z301" s="319"/>
      <c r="AA301" s="32" t="str" cm="1">
        <f t="array" ref="AA301">IFERROR(IF(INDEX(SubsidieTabel!$AD$1:$AG$12,MATCH($F301,SubsidieTabel!$AD$1:$AD$12,0),IFERROR(MATCH(Methode_Keuze,SubsidieTabel!$AD$1:$AG$1,0),2))&lt;&gt;1=TRUE,"ja",""),"")</f>
        <v/>
      </c>
    </row>
    <row r="302" spans="1:27" x14ac:dyDescent="0.25">
      <c r="A302" s="320"/>
      <c r="B302" s="321" t="str">
        <f>IF(A302&lt;&gt;"",_xlfn.MAXIFS($B$1:B301,$A$1:A301,A302)+1,"")</f>
        <v/>
      </c>
      <c r="C302" s="299"/>
      <c r="D302" s="299"/>
      <c r="E302" s="299"/>
      <c r="F302" s="299"/>
      <c r="G302" s="330"/>
      <c r="H302" s="328"/>
      <c r="I302" s="329"/>
      <c r="J302" s="329"/>
      <c r="K302" s="322"/>
      <c r="L302" s="322"/>
      <c r="M302" s="323" t="str">
        <f>IFERROR(VLOOKUP(H302,Lijsten!$H$1:$I$100,2,0),"")</f>
        <v/>
      </c>
      <c r="N302" s="323" t="str">
        <f ca="1">IFERROR(IF(VLOOKUP(F302,Kostentypen!$A$3:$E$21,3,0)=0,"",IF(OR(F302="Arbeidskosten",F302="Vergoeding"),VLOOKUP(G302,Tb_KostenTypen[],2,0),VLOOKUP(F302,Kostentypen!$A$3:$E$20,3,0))),"")</f>
        <v/>
      </c>
      <c r="O302" s="324"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4"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3"/>
      <c r="R302" s="363"/>
      <c r="S302" s="325"/>
      <c r="T302" s="325"/>
      <c r="U302" s="317" t="str" cm="1">
        <f t="array" aca="1" ref="U302" ca="1">IFERROR(IF(AA302&lt;&gt;"ja",_xlfn.IFNA(_xlfn.IFS(AND(O302&lt;&gt;"",F302&lt;&gt;"",RIGHT($N302,6)="tarief",F302="Vergoeding"),SUM(O302)*FLOOR(SUM(Q302),0.0001),AND(O302&lt;&gt;"",F302&lt;&gt;"",RIGHT($N302,6)="tarief"),SUM(O302)*FLOOR(SUM(Q302),0.01),S302&gt;0,IF(F302&lt;&gt;"",FLOOR(SUM(S302),0.01),"")),""),""),"")</f>
        <v/>
      </c>
      <c r="V302" s="317" t="str" cm="1">
        <f t="array" aca="1" ref="V302" ca="1">IFERROR(IF(AA302&lt;&gt;"ja",_xlfn.IFNA(_xlfn.IFS(AND(P302&lt;&gt;"",R302&lt;&gt;"",RIGHT($N302,6)="tarief",F302="Vergoeding"),SUM(P302)*FLOOR(SUM(R302),0.0001),AND(P302&lt;&gt;"",R302&lt;&gt;"",RIGHT($N302,6)="tarief"),P302*FLOOR(R302,0.01),T302&gt;0,FLOOR(SUM(T302),0.01)),""),""),"")</f>
        <v/>
      </c>
      <c r="W302" s="317" t="str" cm="1">
        <f t="array" aca="1" ref="W302" ca="1">IFERROR(_xlfn.IFS(OR(F302="",LEFT(Methode_Keuze,4)="Geen",Methode_Keuze=""),"",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17" t="str" cm="1">
        <f t="array" aca="1" ref="X302" ca="1">IFERROR(_xlfn.IFS(OR(F302="",LEFT(Methode_Keuze,4)="Geen",Methode_Keuze=""),"",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26"/>
      <c r="Z302" s="319"/>
      <c r="AA302" s="32" t="str" cm="1">
        <f t="array" ref="AA302">IFERROR(IF(INDEX(SubsidieTabel!$AD$1:$AG$12,MATCH($F302,SubsidieTabel!$AD$1:$AD$12,0),IFERROR(MATCH(Methode_Keuze,SubsidieTabel!$AD$1:$AG$1,0),2))&lt;&gt;1=TRUE,"ja",""),"")</f>
        <v/>
      </c>
    </row>
    <row r="303" spans="1:27" x14ac:dyDescent="0.25">
      <c r="A303" s="320"/>
      <c r="B303" s="321" t="str">
        <f>IF(A303&lt;&gt;"",_xlfn.MAXIFS($B$1:B302,$A$1:A302,A303)+1,"")</f>
        <v/>
      </c>
      <c r="C303" s="299"/>
      <c r="D303" s="299"/>
      <c r="E303" s="299"/>
      <c r="F303" s="299"/>
      <c r="G303" s="330"/>
      <c r="H303" s="328"/>
      <c r="I303" s="329"/>
      <c r="J303" s="329"/>
      <c r="K303" s="322"/>
      <c r="L303" s="322"/>
      <c r="M303" s="323" t="str">
        <f>IFERROR(VLOOKUP(H303,Lijsten!$H$1:$I$100,2,0),"")</f>
        <v/>
      </c>
      <c r="N303" s="323" t="str">
        <f ca="1">IFERROR(IF(VLOOKUP(F303,Kostentypen!$A$3:$E$21,3,0)=0,"",IF(OR(F303="Arbeidskosten",F303="Vergoeding"),VLOOKUP(G303,Tb_KostenTypen[],2,0),VLOOKUP(F303,Kostentypen!$A$3:$E$20,3,0))),"")</f>
        <v/>
      </c>
      <c r="O303" s="324"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4"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3"/>
      <c r="R303" s="363"/>
      <c r="S303" s="325"/>
      <c r="T303" s="325"/>
      <c r="U303" s="317" t="str" cm="1">
        <f t="array" aca="1" ref="U303" ca="1">IFERROR(IF(AA303&lt;&gt;"ja",_xlfn.IFNA(_xlfn.IFS(AND(O303&lt;&gt;"",F303&lt;&gt;"",RIGHT($N303,6)="tarief",F303="Vergoeding"),SUM(O303)*FLOOR(SUM(Q303),0.0001),AND(O303&lt;&gt;"",F303&lt;&gt;"",RIGHT($N303,6)="tarief"),SUM(O303)*FLOOR(SUM(Q303),0.01),S303&gt;0,IF(F303&lt;&gt;"",FLOOR(SUM(S303),0.01),"")),""),""),"")</f>
        <v/>
      </c>
      <c r="V303" s="317" t="str" cm="1">
        <f t="array" aca="1" ref="V303" ca="1">IFERROR(IF(AA303&lt;&gt;"ja",_xlfn.IFNA(_xlfn.IFS(AND(P303&lt;&gt;"",R303&lt;&gt;"",RIGHT($N303,6)="tarief",F303="Vergoeding"),SUM(P303)*FLOOR(SUM(R303),0.0001),AND(P303&lt;&gt;"",R303&lt;&gt;"",RIGHT($N303,6)="tarief"),P303*FLOOR(R303,0.01),T303&gt;0,FLOOR(SUM(T303),0.01)),""),""),"")</f>
        <v/>
      </c>
      <c r="W303" s="317" t="str" cm="1">
        <f t="array" aca="1" ref="W303" ca="1">IFERROR(_xlfn.IFS(OR(F303="",LEFT(Methode_Keuze,4)="Geen",Methode_Keuze=""),"",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17" t="str" cm="1">
        <f t="array" aca="1" ref="X303" ca="1">IFERROR(_xlfn.IFS(OR(F303="",LEFT(Methode_Keuze,4)="Geen",Methode_Keuze=""),"",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26"/>
      <c r="Z303" s="319"/>
      <c r="AA303" s="32" t="str" cm="1">
        <f t="array" ref="AA303">IFERROR(IF(INDEX(SubsidieTabel!$AD$1:$AG$12,MATCH($F303,SubsidieTabel!$AD$1:$AD$12,0),IFERROR(MATCH(Methode_Keuze,SubsidieTabel!$AD$1:$AG$1,0),2))&lt;&gt;1=TRUE,"ja",""),"")</f>
        <v/>
      </c>
    </row>
    <row r="304" spans="1:27" x14ac:dyDescent="0.25">
      <c r="A304" s="320"/>
      <c r="B304" s="321" t="str">
        <f>IF(A304&lt;&gt;"",_xlfn.MAXIFS($B$1:B303,$A$1:A303,A304)+1,"")</f>
        <v/>
      </c>
      <c r="C304" s="299"/>
      <c r="D304" s="299"/>
      <c r="E304" s="299"/>
      <c r="F304" s="299"/>
      <c r="G304" s="330"/>
      <c r="H304" s="328"/>
      <c r="I304" s="329"/>
      <c r="J304" s="329"/>
      <c r="K304" s="322"/>
      <c r="L304" s="322"/>
      <c r="M304" s="323" t="str">
        <f>IFERROR(VLOOKUP(H304,Lijsten!$H$1:$I$100,2,0),"")</f>
        <v/>
      </c>
      <c r="N304" s="323" t="str">
        <f ca="1">IFERROR(IF(VLOOKUP(F304,Kostentypen!$A$3:$E$21,3,0)=0,"",IF(OR(F304="Arbeidskosten",F304="Vergoeding"),VLOOKUP(G304,Tb_KostenTypen[],2,0),VLOOKUP(F304,Kostentypen!$A$3:$E$20,3,0))),"")</f>
        <v/>
      </c>
      <c r="O304" s="324"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4"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3"/>
      <c r="R304" s="363"/>
      <c r="S304" s="325"/>
      <c r="T304" s="325"/>
      <c r="U304" s="317" t="str" cm="1">
        <f t="array" aca="1" ref="U304" ca="1">IFERROR(IF(AA304&lt;&gt;"ja",_xlfn.IFNA(_xlfn.IFS(AND(O304&lt;&gt;"",F304&lt;&gt;"",RIGHT($N304,6)="tarief",F304="Vergoeding"),SUM(O304)*FLOOR(SUM(Q304),0.0001),AND(O304&lt;&gt;"",F304&lt;&gt;"",RIGHT($N304,6)="tarief"),SUM(O304)*FLOOR(SUM(Q304),0.01),S304&gt;0,IF(F304&lt;&gt;"",FLOOR(SUM(S304),0.01),"")),""),""),"")</f>
        <v/>
      </c>
      <c r="V304" s="317" t="str" cm="1">
        <f t="array" aca="1" ref="V304" ca="1">IFERROR(IF(AA304&lt;&gt;"ja",_xlfn.IFNA(_xlfn.IFS(AND(P304&lt;&gt;"",R304&lt;&gt;"",RIGHT($N304,6)="tarief",F304="Vergoeding"),SUM(P304)*FLOOR(SUM(R304),0.0001),AND(P304&lt;&gt;"",R304&lt;&gt;"",RIGHT($N304,6)="tarief"),P304*FLOOR(R304,0.01),T304&gt;0,FLOOR(SUM(T304),0.01)),""),""),"")</f>
        <v/>
      </c>
      <c r="W304" s="317" t="str" cm="1">
        <f t="array" aca="1" ref="W304" ca="1">IFERROR(_xlfn.IFS(OR(F304="",LEFT(Methode_Keuze,4)="Geen",Methode_Keuze=""),"",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17" t="str" cm="1">
        <f t="array" aca="1" ref="X304" ca="1">IFERROR(_xlfn.IFS(OR(F304="",LEFT(Methode_Keuze,4)="Geen",Methode_Keuze=""),"",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26"/>
      <c r="Z304" s="319"/>
      <c r="AA304" s="32" t="str" cm="1">
        <f t="array" ref="AA304">IFERROR(IF(INDEX(SubsidieTabel!$AD$1:$AG$12,MATCH($F304,SubsidieTabel!$AD$1:$AD$12,0),IFERROR(MATCH(Methode_Keuze,SubsidieTabel!$AD$1:$AG$1,0),2))&lt;&gt;1=TRUE,"ja",""),"")</f>
        <v/>
      </c>
    </row>
    <row r="305" spans="1:27" x14ac:dyDescent="0.25">
      <c r="A305" s="320"/>
      <c r="B305" s="321" t="str">
        <f>IF(A305&lt;&gt;"",_xlfn.MAXIFS($B$1:B304,$A$1:A304,A305)+1,"")</f>
        <v/>
      </c>
      <c r="C305" s="299"/>
      <c r="D305" s="299"/>
      <c r="E305" s="299"/>
      <c r="F305" s="299"/>
      <c r="G305" s="330"/>
      <c r="H305" s="328"/>
      <c r="I305" s="329"/>
      <c r="J305" s="329"/>
      <c r="K305" s="322"/>
      <c r="L305" s="322"/>
      <c r="M305" s="323" t="str">
        <f>IFERROR(VLOOKUP(H305,Lijsten!$H$1:$I$100,2,0),"")</f>
        <v/>
      </c>
      <c r="N305" s="323" t="str">
        <f ca="1">IFERROR(IF(VLOOKUP(F305,Kostentypen!$A$3:$E$21,3,0)=0,"",IF(OR(F305="Arbeidskosten",F305="Vergoeding"),VLOOKUP(G305,Tb_KostenTypen[],2,0),VLOOKUP(F305,Kostentypen!$A$3:$E$20,3,0))),"")</f>
        <v/>
      </c>
      <c r="O305" s="324"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4"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3"/>
      <c r="R305" s="363"/>
      <c r="S305" s="325"/>
      <c r="T305" s="325"/>
      <c r="U305" s="317" t="str" cm="1">
        <f t="array" aca="1" ref="U305" ca="1">IFERROR(IF(AA305&lt;&gt;"ja",_xlfn.IFNA(_xlfn.IFS(AND(O305&lt;&gt;"",F305&lt;&gt;"",RIGHT($N305,6)="tarief",F305="Vergoeding"),SUM(O305)*FLOOR(SUM(Q305),0.0001),AND(O305&lt;&gt;"",F305&lt;&gt;"",RIGHT($N305,6)="tarief"),SUM(O305)*FLOOR(SUM(Q305),0.01),S305&gt;0,IF(F305&lt;&gt;"",FLOOR(SUM(S305),0.01),"")),""),""),"")</f>
        <v/>
      </c>
      <c r="V305" s="317" t="str" cm="1">
        <f t="array" aca="1" ref="V305" ca="1">IFERROR(IF(AA305&lt;&gt;"ja",_xlfn.IFNA(_xlfn.IFS(AND(P305&lt;&gt;"",R305&lt;&gt;"",RIGHT($N305,6)="tarief",F305="Vergoeding"),SUM(P305)*FLOOR(SUM(R305),0.0001),AND(P305&lt;&gt;"",R305&lt;&gt;"",RIGHT($N305,6)="tarief"),P305*FLOOR(R305,0.01),T305&gt;0,FLOOR(SUM(T305),0.01)),""),""),"")</f>
        <v/>
      </c>
      <c r="W305" s="317" t="str" cm="1">
        <f t="array" aca="1" ref="W305" ca="1">IFERROR(_xlfn.IFS(OR(F305="",LEFT(Methode_Keuze,4)="Geen",Methode_Keuze=""),"",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17" t="str" cm="1">
        <f t="array" aca="1" ref="X305" ca="1">IFERROR(_xlfn.IFS(OR(F305="",LEFT(Methode_Keuze,4)="Geen",Methode_Keuze=""),"",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26"/>
      <c r="Z305" s="319"/>
      <c r="AA305" s="32" t="str" cm="1">
        <f t="array" ref="AA305">IFERROR(IF(INDEX(SubsidieTabel!$AD$1:$AG$12,MATCH($F305,SubsidieTabel!$AD$1:$AD$12,0),IFERROR(MATCH(Methode_Keuze,SubsidieTabel!$AD$1:$AG$1,0),2))&lt;&gt;1=TRUE,"ja",""),"")</f>
        <v/>
      </c>
    </row>
    <row r="306" spans="1:27" x14ac:dyDescent="0.25">
      <c r="A306" s="320"/>
      <c r="B306" s="321" t="str">
        <f>IF(A306&lt;&gt;"",_xlfn.MAXIFS($B$1:B305,$A$1:A305,A306)+1,"")</f>
        <v/>
      </c>
      <c r="C306" s="299"/>
      <c r="D306" s="299"/>
      <c r="E306" s="299"/>
      <c r="F306" s="299"/>
      <c r="G306" s="330"/>
      <c r="H306" s="328"/>
      <c r="I306" s="329"/>
      <c r="J306" s="329"/>
      <c r="K306" s="322"/>
      <c r="L306" s="322"/>
      <c r="M306" s="323" t="str">
        <f>IFERROR(VLOOKUP(H306,Lijsten!$H$1:$I$100,2,0),"")</f>
        <v/>
      </c>
      <c r="N306" s="323" t="str">
        <f ca="1">IFERROR(IF(VLOOKUP(F306,Kostentypen!$A$3:$E$21,3,0)=0,"",IF(OR(F306="Arbeidskosten",F306="Vergoeding"),VLOOKUP(G306,Tb_KostenTypen[],2,0),VLOOKUP(F306,Kostentypen!$A$3:$E$20,3,0))),"")</f>
        <v/>
      </c>
      <c r="O306" s="324"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4"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3"/>
      <c r="R306" s="363"/>
      <c r="S306" s="325"/>
      <c r="T306" s="325"/>
      <c r="U306" s="317" t="str" cm="1">
        <f t="array" aca="1" ref="U306" ca="1">IFERROR(IF(AA306&lt;&gt;"ja",_xlfn.IFNA(_xlfn.IFS(AND(O306&lt;&gt;"",F306&lt;&gt;"",RIGHT($N306,6)="tarief",F306="Vergoeding"),SUM(O306)*FLOOR(SUM(Q306),0.0001),AND(O306&lt;&gt;"",F306&lt;&gt;"",RIGHT($N306,6)="tarief"),SUM(O306)*FLOOR(SUM(Q306),0.01),S306&gt;0,IF(F306&lt;&gt;"",FLOOR(SUM(S306),0.01),"")),""),""),"")</f>
        <v/>
      </c>
      <c r="V306" s="317" t="str" cm="1">
        <f t="array" aca="1" ref="V306" ca="1">IFERROR(IF(AA306&lt;&gt;"ja",_xlfn.IFNA(_xlfn.IFS(AND(P306&lt;&gt;"",R306&lt;&gt;"",RIGHT($N306,6)="tarief",F306="Vergoeding"),SUM(P306)*FLOOR(SUM(R306),0.0001),AND(P306&lt;&gt;"",R306&lt;&gt;"",RIGHT($N306,6)="tarief"),P306*FLOOR(R306,0.01),T306&gt;0,FLOOR(SUM(T306),0.01)),""),""),"")</f>
        <v/>
      </c>
      <c r="W306" s="317" t="str" cm="1">
        <f t="array" aca="1" ref="W306" ca="1">IFERROR(_xlfn.IFS(OR(F306="",LEFT(Methode_Keuze,4)="Geen",Methode_Keuze=""),"",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17" t="str" cm="1">
        <f t="array" aca="1" ref="X306" ca="1">IFERROR(_xlfn.IFS(OR(F306="",LEFT(Methode_Keuze,4)="Geen",Methode_Keuze=""),"",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26"/>
      <c r="Z306" s="319"/>
      <c r="AA306" s="32" t="str" cm="1">
        <f t="array" ref="AA306">IFERROR(IF(INDEX(SubsidieTabel!$AD$1:$AG$12,MATCH($F306,SubsidieTabel!$AD$1:$AD$12,0),IFERROR(MATCH(Methode_Keuze,SubsidieTabel!$AD$1:$AG$1,0),2))&lt;&gt;1=TRUE,"ja",""),"")</f>
        <v/>
      </c>
    </row>
    <row r="307" spans="1:27" x14ac:dyDescent="0.25">
      <c r="A307" s="320"/>
      <c r="B307" s="321" t="str">
        <f>IF(A307&lt;&gt;"",_xlfn.MAXIFS($B$1:B306,$A$1:A306,A307)+1,"")</f>
        <v/>
      </c>
      <c r="C307" s="299"/>
      <c r="D307" s="299"/>
      <c r="E307" s="299"/>
      <c r="F307" s="299"/>
      <c r="G307" s="330"/>
      <c r="H307" s="328"/>
      <c r="I307" s="329"/>
      <c r="J307" s="329"/>
      <c r="K307" s="322"/>
      <c r="L307" s="322"/>
      <c r="M307" s="323" t="str">
        <f>IFERROR(VLOOKUP(H307,Lijsten!$H$1:$I$100,2,0),"")</f>
        <v/>
      </c>
      <c r="N307" s="323" t="str">
        <f ca="1">IFERROR(IF(VLOOKUP(F307,Kostentypen!$A$3:$E$21,3,0)=0,"",IF(OR(F307="Arbeidskosten",F307="Vergoeding"),VLOOKUP(G307,Tb_KostenTypen[],2,0),VLOOKUP(F307,Kostentypen!$A$3:$E$20,3,0))),"")</f>
        <v/>
      </c>
      <c r="O307" s="324"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4"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3"/>
      <c r="R307" s="363"/>
      <c r="S307" s="325"/>
      <c r="T307" s="325"/>
      <c r="U307" s="317" t="str" cm="1">
        <f t="array" aca="1" ref="U307" ca="1">IFERROR(IF(AA307&lt;&gt;"ja",_xlfn.IFNA(_xlfn.IFS(AND(O307&lt;&gt;"",F307&lt;&gt;"",RIGHT($N307,6)="tarief",F307="Vergoeding"),SUM(O307)*FLOOR(SUM(Q307),0.0001),AND(O307&lt;&gt;"",F307&lt;&gt;"",RIGHT($N307,6)="tarief"),SUM(O307)*FLOOR(SUM(Q307),0.01),S307&gt;0,IF(F307&lt;&gt;"",FLOOR(SUM(S307),0.01),"")),""),""),"")</f>
        <v/>
      </c>
      <c r="V307" s="317" t="str" cm="1">
        <f t="array" aca="1" ref="V307" ca="1">IFERROR(IF(AA307&lt;&gt;"ja",_xlfn.IFNA(_xlfn.IFS(AND(P307&lt;&gt;"",R307&lt;&gt;"",RIGHT($N307,6)="tarief",F307="Vergoeding"),SUM(P307)*FLOOR(SUM(R307),0.0001),AND(P307&lt;&gt;"",R307&lt;&gt;"",RIGHT($N307,6)="tarief"),P307*FLOOR(R307,0.01),T307&gt;0,FLOOR(SUM(T307),0.01)),""),""),"")</f>
        <v/>
      </c>
      <c r="W307" s="317" t="str" cm="1">
        <f t="array" aca="1" ref="W307" ca="1">IFERROR(_xlfn.IFS(OR(F307="",LEFT(Methode_Keuze,4)="Geen",Methode_Keuze=""),"",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17" t="str" cm="1">
        <f t="array" aca="1" ref="X307" ca="1">IFERROR(_xlfn.IFS(OR(F307="",LEFT(Methode_Keuze,4)="Geen",Methode_Keuze=""),"",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26"/>
      <c r="Z307" s="319"/>
      <c r="AA307" s="32" t="str" cm="1">
        <f t="array" ref="AA307">IFERROR(IF(INDEX(SubsidieTabel!$AD$1:$AG$12,MATCH($F307,SubsidieTabel!$AD$1:$AD$12,0),IFERROR(MATCH(Methode_Keuze,SubsidieTabel!$AD$1:$AG$1,0),2))&lt;&gt;1=TRUE,"ja",""),"")</f>
        <v/>
      </c>
    </row>
    <row r="308" spans="1:27" x14ac:dyDescent="0.25">
      <c r="A308" s="320"/>
      <c r="B308" s="321" t="str">
        <f>IF(A308&lt;&gt;"",_xlfn.MAXIFS($B$1:B307,$A$1:A307,A308)+1,"")</f>
        <v/>
      </c>
      <c r="C308" s="299"/>
      <c r="D308" s="299"/>
      <c r="E308" s="299"/>
      <c r="F308" s="299"/>
      <c r="G308" s="330"/>
      <c r="H308" s="328"/>
      <c r="I308" s="329"/>
      <c r="J308" s="329"/>
      <c r="K308" s="322"/>
      <c r="L308" s="322"/>
      <c r="M308" s="323" t="str">
        <f>IFERROR(VLOOKUP(H308,Lijsten!$H$1:$I$100,2,0),"")</f>
        <v/>
      </c>
      <c r="N308" s="323" t="str">
        <f ca="1">IFERROR(IF(VLOOKUP(F308,Kostentypen!$A$3:$E$21,3,0)=0,"",IF(OR(F308="Arbeidskosten",F308="Vergoeding"),VLOOKUP(G308,Tb_KostenTypen[],2,0),VLOOKUP(F308,Kostentypen!$A$3:$E$20,3,0))),"")</f>
        <v/>
      </c>
      <c r="O308" s="324"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4"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3"/>
      <c r="R308" s="363"/>
      <c r="S308" s="325"/>
      <c r="T308" s="325"/>
      <c r="U308" s="317" t="str" cm="1">
        <f t="array" aca="1" ref="U308" ca="1">IFERROR(IF(AA308&lt;&gt;"ja",_xlfn.IFNA(_xlfn.IFS(AND(O308&lt;&gt;"",F308&lt;&gt;"",RIGHT($N308,6)="tarief",F308="Vergoeding"),SUM(O308)*FLOOR(SUM(Q308),0.0001),AND(O308&lt;&gt;"",F308&lt;&gt;"",RIGHT($N308,6)="tarief"),SUM(O308)*FLOOR(SUM(Q308),0.01),S308&gt;0,IF(F308&lt;&gt;"",FLOOR(SUM(S308),0.01),"")),""),""),"")</f>
        <v/>
      </c>
      <c r="V308" s="317" t="str" cm="1">
        <f t="array" aca="1" ref="V308" ca="1">IFERROR(IF(AA308&lt;&gt;"ja",_xlfn.IFNA(_xlfn.IFS(AND(P308&lt;&gt;"",R308&lt;&gt;"",RIGHT($N308,6)="tarief",F308="Vergoeding"),SUM(P308)*FLOOR(SUM(R308),0.0001),AND(P308&lt;&gt;"",R308&lt;&gt;"",RIGHT($N308,6)="tarief"),P308*FLOOR(R308,0.01),T308&gt;0,FLOOR(SUM(T308),0.01)),""),""),"")</f>
        <v/>
      </c>
      <c r="W308" s="317" t="str" cm="1">
        <f t="array" aca="1" ref="W308" ca="1">IFERROR(_xlfn.IFS(OR(F308="",LEFT(Methode_Keuze,4)="Geen",Methode_Keuze=""),"",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17" t="str" cm="1">
        <f t="array" aca="1" ref="X308" ca="1">IFERROR(_xlfn.IFS(OR(F308="",LEFT(Methode_Keuze,4)="Geen",Methode_Keuze=""),"",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26"/>
      <c r="Z308" s="319"/>
      <c r="AA308" s="32" t="str" cm="1">
        <f t="array" ref="AA308">IFERROR(IF(INDEX(SubsidieTabel!$AD$1:$AG$12,MATCH($F308,SubsidieTabel!$AD$1:$AD$12,0),IFERROR(MATCH(Methode_Keuze,SubsidieTabel!$AD$1:$AG$1,0),2))&lt;&gt;1=TRUE,"ja",""),"")</f>
        <v/>
      </c>
    </row>
    <row r="309" spans="1:27" x14ac:dyDescent="0.25">
      <c r="A309" s="320"/>
      <c r="B309" s="321" t="str">
        <f>IF(A309&lt;&gt;"",_xlfn.MAXIFS($B$1:B308,$A$1:A308,A309)+1,"")</f>
        <v/>
      </c>
      <c r="C309" s="299"/>
      <c r="D309" s="299"/>
      <c r="E309" s="299"/>
      <c r="F309" s="299"/>
      <c r="G309" s="330"/>
      <c r="H309" s="328"/>
      <c r="I309" s="329"/>
      <c r="J309" s="329"/>
      <c r="K309" s="322"/>
      <c r="L309" s="322"/>
      <c r="M309" s="323" t="str">
        <f>IFERROR(VLOOKUP(H309,Lijsten!$H$1:$I$100,2,0),"")</f>
        <v/>
      </c>
      <c r="N309" s="323" t="str">
        <f ca="1">IFERROR(IF(VLOOKUP(F309,Kostentypen!$A$3:$E$21,3,0)=0,"",IF(OR(F309="Arbeidskosten",F309="Vergoeding"),VLOOKUP(G309,Tb_KostenTypen[],2,0),VLOOKUP(F309,Kostentypen!$A$3:$E$20,3,0))),"")</f>
        <v/>
      </c>
      <c r="O309" s="324"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4"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3"/>
      <c r="R309" s="363"/>
      <c r="S309" s="325"/>
      <c r="T309" s="325"/>
      <c r="U309" s="317" t="str" cm="1">
        <f t="array" aca="1" ref="U309" ca="1">IFERROR(IF(AA309&lt;&gt;"ja",_xlfn.IFNA(_xlfn.IFS(AND(O309&lt;&gt;"",F309&lt;&gt;"",RIGHT($N309,6)="tarief",F309="Vergoeding"),SUM(O309)*FLOOR(SUM(Q309),0.0001),AND(O309&lt;&gt;"",F309&lt;&gt;"",RIGHT($N309,6)="tarief"),SUM(O309)*FLOOR(SUM(Q309),0.01),S309&gt;0,IF(F309&lt;&gt;"",FLOOR(SUM(S309),0.01),"")),""),""),"")</f>
        <v/>
      </c>
      <c r="V309" s="317" t="str" cm="1">
        <f t="array" aca="1" ref="V309" ca="1">IFERROR(IF(AA309&lt;&gt;"ja",_xlfn.IFNA(_xlfn.IFS(AND(P309&lt;&gt;"",R309&lt;&gt;"",RIGHT($N309,6)="tarief",F309="Vergoeding"),SUM(P309)*FLOOR(SUM(R309),0.0001),AND(P309&lt;&gt;"",R309&lt;&gt;"",RIGHT($N309,6)="tarief"),P309*FLOOR(R309,0.01),T309&gt;0,FLOOR(SUM(T309),0.01)),""),""),"")</f>
        <v/>
      </c>
      <c r="W309" s="317" t="str" cm="1">
        <f t="array" aca="1" ref="W309" ca="1">IFERROR(_xlfn.IFS(OR(F309="",LEFT(Methode_Keuze,4)="Geen",Methode_Keuze=""),"",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17" t="str" cm="1">
        <f t="array" aca="1" ref="X309" ca="1">IFERROR(_xlfn.IFS(OR(F309="",LEFT(Methode_Keuze,4)="Geen",Methode_Keuze=""),"",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26"/>
      <c r="Z309" s="319"/>
      <c r="AA309" s="32" t="str" cm="1">
        <f t="array" ref="AA309">IFERROR(IF(INDEX(SubsidieTabel!$AD$1:$AG$12,MATCH($F309,SubsidieTabel!$AD$1:$AD$12,0),IFERROR(MATCH(Methode_Keuze,SubsidieTabel!$AD$1:$AG$1,0),2))&lt;&gt;1=TRUE,"ja",""),"")</f>
        <v/>
      </c>
    </row>
    <row r="310" spans="1:27" x14ac:dyDescent="0.25">
      <c r="A310" s="320"/>
      <c r="B310" s="321" t="str">
        <f>IF(A310&lt;&gt;"",_xlfn.MAXIFS($B$1:B309,$A$1:A309,A310)+1,"")</f>
        <v/>
      </c>
      <c r="C310" s="299"/>
      <c r="D310" s="299"/>
      <c r="E310" s="299"/>
      <c r="F310" s="299"/>
      <c r="G310" s="330"/>
      <c r="H310" s="328"/>
      <c r="I310" s="329"/>
      <c r="J310" s="329"/>
      <c r="K310" s="322"/>
      <c r="L310" s="322"/>
      <c r="M310" s="323" t="str">
        <f>IFERROR(VLOOKUP(H310,Lijsten!$H$1:$I$100,2,0),"")</f>
        <v/>
      </c>
      <c r="N310" s="323" t="str">
        <f ca="1">IFERROR(IF(VLOOKUP(F310,Kostentypen!$A$3:$E$21,3,0)=0,"",IF(OR(F310="Arbeidskosten",F310="Vergoeding"),VLOOKUP(G310,Tb_KostenTypen[],2,0),VLOOKUP(F310,Kostentypen!$A$3:$E$20,3,0))),"")</f>
        <v/>
      </c>
      <c r="O310" s="324"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4"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3"/>
      <c r="R310" s="363"/>
      <c r="S310" s="325"/>
      <c r="T310" s="325"/>
      <c r="U310" s="317" t="str" cm="1">
        <f t="array" aca="1" ref="U310" ca="1">IFERROR(IF(AA310&lt;&gt;"ja",_xlfn.IFNA(_xlfn.IFS(AND(O310&lt;&gt;"",F310&lt;&gt;"",RIGHT($N310,6)="tarief",F310="Vergoeding"),SUM(O310)*FLOOR(SUM(Q310),0.0001),AND(O310&lt;&gt;"",F310&lt;&gt;"",RIGHT($N310,6)="tarief"),SUM(O310)*FLOOR(SUM(Q310),0.01),S310&gt;0,IF(F310&lt;&gt;"",FLOOR(SUM(S310),0.01),"")),""),""),"")</f>
        <v/>
      </c>
      <c r="V310" s="317" t="str" cm="1">
        <f t="array" aca="1" ref="V310" ca="1">IFERROR(IF(AA310&lt;&gt;"ja",_xlfn.IFNA(_xlfn.IFS(AND(P310&lt;&gt;"",R310&lt;&gt;"",RIGHT($N310,6)="tarief",F310="Vergoeding"),SUM(P310)*FLOOR(SUM(R310),0.0001),AND(P310&lt;&gt;"",R310&lt;&gt;"",RIGHT($N310,6)="tarief"),P310*FLOOR(R310,0.01),T310&gt;0,FLOOR(SUM(T310),0.01)),""),""),"")</f>
        <v/>
      </c>
      <c r="W310" s="317" t="str" cm="1">
        <f t="array" aca="1" ref="W310" ca="1">IFERROR(_xlfn.IFS(OR(F310="",LEFT(Methode_Keuze,4)="Geen",Methode_Keuze=""),"",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17" t="str" cm="1">
        <f t="array" aca="1" ref="X310" ca="1">IFERROR(_xlfn.IFS(OR(F310="",LEFT(Methode_Keuze,4)="Geen",Methode_Keuze=""),"",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26"/>
      <c r="Z310" s="319"/>
      <c r="AA310" s="32" t="str" cm="1">
        <f t="array" ref="AA310">IFERROR(IF(INDEX(SubsidieTabel!$AD$1:$AG$12,MATCH($F310,SubsidieTabel!$AD$1:$AD$12,0),IFERROR(MATCH(Methode_Keuze,SubsidieTabel!$AD$1:$AG$1,0),2))&lt;&gt;1=TRUE,"ja",""),"")</f>
        <v/>
      </c>
    </row>
    <row r="311" spans="1:27" x14ac:dyDescent="0.25">
      <c r="A311" s="320"/>
      <c r="B311" s="321" t="str">
        <f>IF(A311&lt;&gt;"",_xlfn.MAXIFS($B$1:B310,$A$1:A310,A311)+1,"")</f>
        <v/>
      </c>
      <c r="C311" s="299"/>
      <c r="D311" s="299"/>
      <c r="E311" s="299"/>
      <c r="F311" s="299"/>
      <c r="G311" s="330"/>
      <c r="H311" s="328"/>
      <c r="I311" s="329"/>
      <c r="J311" s="329"/>
      <c r="K311" s="322"/>
      <c r="L311" s="322"/>
      <c r="M311" s="323" t="str">
        <f>IFERROR(VLOOKUP(H311,Lijsten!$H$1:$I$100,2,0),"")</f>
        <v/>
      </c>
      <c r="N311" s="323" t="str">
        <f ca="1">IFERROR(IF(VLOOKUP(F311,Kostentypen!$A$3:$E$21,3,0)=0,"",IF(OR(F311="Arbeidskosten",F311="Vergoeding"),VLOOKUP(G311,Tb_KostenTypen[],2,0),VLOOKUP(F311,Kostentypen!$A$3:$E$20,3,0))),"")</f>
        <v/>
      </c>
      <c r="O311" s="324"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4"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3"/>
      <c r="R311" s="363"/>
      <c r="S311" s="325"/>
      <c r="T311" s="325"/>
      <c r="U311" s="317" t="str" cm="1">
        <f t="array" aca="1" ref="U311" ca="1">IFERROR(IF(AA311&lt;&gt;"ja",_xlfn.IFNA(_xlfn.IFS(AND(O311&lt;&gt;"",F311&lt;&gt;"",RIGHT($N311,6)="tarief",F311="Vergoeding"),SUM(O311)*FLOOR(SUM(Q311),0.0001),AND(O311&lt;&gt;"",F311&lt;&gt;"",RIGHT($N311,6)="tarief"),SUM(O311)*FLOOR(SUM(Q311),0.01),S311&gt;0,IF(F311&lt;&gt;"",FLOOR(SUM(S311),0.01),"")),""),""),"")</f>
        <v/>
      </c>
      <c r="V311" s="317" t="str" cm="1">
        <f t="array" aca="1" ref="V311" ca="1">IFERROR(IF(AA311&lt;&gt;"ja",_xlfn.IFNA(_xlfn.IFS(AND(P311&lt;&gt;"",R311&lt;&gt;"",RIGHT($N311,6)="tarief",F311="Vergoeding"),SUM(P311)*FLOOR(SUM(R311),0.0001),AND(P311&lt;&gt;"",R311&lt;&gt;"",RIGHT($N311,6)="tarief"),P311*FLOOR(R311,0.01),T311&gt;0,FLOOR(SUM(T311),0.01)),""),""),"")</f>
        <v/>
      </c>
      <c r="W311" s="317" t="str" cm="1">
        <f t="array" aca="1" ref="W311" ca="1">IFERROR(_xlfn.IFS(OR(F311="",LEFT(Methode_Keuze,4)="Geen",Methode_Keuze=""),"",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17" t="str" cm="1">
        <f t="array" aca="1" ref="X311" ca="1">IFERROR(_xlfn.IFS(OR(F311="",LEFT(Methode_Keuze,4)="Geen",Methode_Keuze=""),"",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26"/>
      <c r="Z311" s="319"/>
      <c r="AA311" s="32" t="str" cm="1">
        <f t="array" ref="AA311">IFERROR(IF(INDEX(SubsidieTabel!$AD$1:$AG$12,MATCH($F311,SubsidieTabel!$AD$1:$AD$12,0),IFERROR(MATCH(Methode_Keuze,SubsidieTabel!$AD$1:$AG$1,0),2))&lt;&gt;1=TRUE,"ja",""),"")</f>
        <v/>
      </c>
    </row>
    <row r="312" spans="1:27" x14ac:dyDescent="0.25">
      <c r="A312" s="320"/>
      <c r="B312" s="321" t="str">
        <f>IF(A312&lt;&gt;"",_xlfn.MAXIFS($B$1:B311,$A$1:A311,A312)+1,"")</f>
        <v/>
      </c>
      <c r="C312" s="299"/>
      <c r="D312" s="299"/>
      <c r="E312" s="299"/>
      <c r="F312" s="299"/>
      <c r="G312" s="330"/>
      <c r="H312" s="328"/>
      <c r="I312" s="329"/>
      <c r="J312" s="329"/>
      <c r="K312" s="322"/>
      <c r="L312" s="322"/>
      <c r="M312" s="323" t="str">
        <f>IFERROR(VLOOKUP(H312,Lijsten!$H$1:$I$100,2,0),"")</f>
        <v/>
      </c>
      <c r="N312" s="323" t="str">
        <f ca="1">IFERROR(IF(VLOOKUP(F312,Kostentypen!$A$3:$E$21,3,0)=0,"",IF(OR(F312="Arbeidskosten",F312="Vergoeding"),VLOOKUP(G312,Tb_KostenTypen[],2,0),VLOOKUP(F312,Kostentypen!$A$3:$E$20,3,0))),"")</f>
        <v/>
      </c>
      <c r="O312" s="324"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4"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3"/>
      <c r="R312" s="363"/>
      <c r="S312" s="325"/>
      <c r="T312" s="325"/>
      <c r="U312" s="317" t="str" cm="1">
        <f t="array" aca="1" ref="U312" ca="1">IFERROR(IF(AA312&lt;&gt;"ja",_xlfn.IFNA(_xlfn.IFS(AND(O312&lt;&gt;"",F312&lt;&gt;"",RIGHT($N312,6)="tarief",F312="Vergoeding"),SUM(O312)*FLOOR(SUM(Q312),0.0001),AND(O312&lt;&gt;"",F312&lt;&gt;"",RIGHT($N312,6)="tarief"),SUM(O312)*FLOOR(SUM(Q312),0.01),S312&gt;0,IF(F312&lt;&gt;"",FLOOR(SUM(S312),0.01),"")),""),""),"")</f>
        <v/>
      </c>
      <c r="V312" s="317" t="str" cm="1">
        <f t="array" aca="1" ref="V312" ca="1">IFERROR(IF(AA312&lt;&gt;"ja",_xlfn.IFNA(_xlfn.IFS(AND(P312&lt;&gt;"",R312&lt;&gt;"",RIGHT($N312,6)="tarief",F312="Vergoeding"),SUM(P312)*FLOOR(SUM(R312),0.0001),AND(P312&lt;&gt;"",R312&lt;&gt;"",RIGHT($N312,6)="tarief"),P312*FLOOR(R312,0.01),T312&gt;0,FLOOR(SUM(T312),0.01)),""),""),"")</f>
        <v/>
      </c>
      <c r="W312" s="317" t="str" cm="1">
        <f t="array" aca="1" ref="W312" ca="1">IFERROR(_xlfn.IFS(OR(F312="",LEFT(Methode_Keuze,4)="Geen",Methode_Keuze=""),"",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17" t="str" cm="1">
        <f t="array" aca="1" ref="X312" ca="1">IFERROR(_xlfn.IFS(OR(F312="",LEFT(Methode_Keuze,4)="Geen",Methode_Keuze=""),"",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26"/>
      <c r="Z312" s="319"/>
      <c r="AA312" s="32" t="str" cm="1">
        <f t="array" ref="AA312">IFERROR(IF(INDEX(SubsidieTabel!$AD$1:$AG$12,MATCH($F312,SubsidieTabel!$AD$1:$AD$12,0),IFERROR(MATCH(Methode_Keuze,SubsidieTabel!$AD$1:$AG$1,0),2))&lt;&gt;1=TRUE,"ja",""),"")</f>
        <v/>
      </c>
    </row>
    <row r="313" spans="1:27" x14ac:dyDescent="0.25">
      <c r="A313" s="320"/>
      <c r="B313" s="321" t="str">
        <f>IF(A313&lt;&gt;"",_xlfn.MAXIFS($B$1:B312,$A$1:A312,A313)+1,"")</f>
        <v/>
      </c>
      <c r="C313" s="299"/>
      <c r="D313" s="299"/>
      <c r="E313" s="299"/>
      <c r="F313" s="299"/>
      <c r="G313" s="330"/>
      <c r="H313" s="328"/>
      <c r="I313" s="329"/>
      <c r="J313" s="329"/>
      <c r="K313" s="322"/>
      <c r="L313" s="322"/>
      <c r="M313" s="323" t="str">
        <f>IFERROR(VLOOKUP(H313,Lijsten!$H$1:$I$100,2,0),"")</f>
        <v/>
      </c>
      <c r="N313" s="323" t="str">
        <f ca="1">IFERROR(IF(VLOOKUP(F313,Kostentypen!$A$3:$E$21,3,0)=0,"",IF(OR(F313="Arbeidskosten",F313="Vergoeding"),VLOOKUP(G313,Tb_KostenTypen[],2,0),VLOOKUP(F313,Kostentypen!$A$3:$E$20,3,0))),"")</f>
        <v/>
      </c>
      <c r="O313" s="324"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4"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3"/>
      <c r="R313" s="363"/>
      <c r="S313" s="325"/>
      <c r="T313" s="325"/>
      <c r="U313" s="317" t="str" cm="1">
        <f t="array" aca="1" ref="U313" ca="1">IFERROR(IF(AA313&lt;&gt;"ja",_xlfn.IFNA(_xlfn.IFS(AND(O313&lt;&gt;"",F313&lt;&gt;"",RIGHT($N313,6)="tarief",F313="Vergoeding"),SUM(O313)*FLOOR(SUM(Q313),0.0001),AND(O313&lt;&gt;"",F313&lt;&gt;"",RIGHT($N313,6)="tarief"),SUM(O313)*FLOOR(SUM(Q313),0.01),S313&gt;0,IF(F313&lt;&gt;"",FLOOR(SUM(S313),0.01),"")),""),""),"")</f>
        <v/>
      </c>
      <c r="V313" s="317" t="str" cm="1">
        <f t="array" aca="1" ref="V313" ca="1">IFERROR(IF(AA313&lt;&gt;"ja",_xlfn.IFNA(_xlfn.IFS(AND(P313&lt;&gt;"",R313&lt;&gt;"",RIGHT($N313,6)="tarief",F313="Vergoeding"),SUM(P313)*FLOOR(SUM(R313),0.0001),AND(P313&lt;&gt;"",R313&lt;&gt;"",RIGHT($N313,6)="tarief"),P313*FLOOR(R313,0.01),T313&gt;0,FLOOR(SUM(T313),0.01)),""),""),"")</f>
        <v/>
      </c>
      <c r="W313" s="317" t="str" cm="1">
        <f t="array" aca="1" ref="W313" ca="1">IFERROR(_xlfn.IFS(OR(F313="",LEFT(Methode_Keuze,4)="Geen",Methode_Keuze=""),"",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17" t="str" cm="1">
        <f t="array" aca="1" ref="X313" ca="1">IFERROR(_xlfn.IFS(OR(F313="",LEFT(Methode_Keuze,4)="Geen",Methode_Keuze=""),"",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26"/>
      <c r="Z313" s="319"/>
      <c r="AA313" s="32" t="str" cm="1">
        <f t="array" ref="AA313">IFERROR(IF(INDEX(SubsidieTabel!$AD$1:$AG$12,MATCH($F313,SubsidieTabel!$AD$1:$AD$12,0),IFERROR(MATCH(Methode_Keuze,SubsidieTabel!$AD$1:$AG$1,0),2))&lt;&gt;1=TRUE,"ja",""),"")</f>
        <v/>
      </c>
    </row>
    <row r="314" spans="1:27" x14ac:dyDescent="0.25">
      <c r="A314" s="320"/>
      <c r="B314" s="321" t="str">
        <f>IF(A314&lt;&gt;"",_xlfn.MAXIFS($B$1:B313,$A$1:A313,A314)+1,"")</f>
        <v/>
      </c>
      <c r="C314" s="299"/>
      <c r="D314" s="299"/>
      <c r="E314" s="299"/>
      <c r="F314" s="299"/>
      <c r="G314" s="330"/>
      <c r="H314" s="328"/>
      <c r="I314" s="329"/>
      <c r="J314" s="329"/>
      <c r="K314" s="322"/>
      <c r="L314" s="322"/>
      <c r="M314" s="323" t="str">
        <f>IFERROR(VLOOKUP(H314,Lijsten!$H$1:$I$100,2,0),"")</f>
        <v/>
      </c>
      <c r="N314" s="323" t="str">
        <f ca="1">IFERROR(IF(VLOOKUP(F314,Kostentypen!$A$3:$E$21,3,0)=0,"",IF(OR(F314="Arbeidskosten",F314="Vergoeding"),VLOOKUP(G314,Tb_KostenTypen[],2,0),VLOOKUP(F314,Kostentypen!$A$3:$E$20,3,0))),"")</f>
        <v/>
      </c>
      <c r="O314" s="324"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4"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3"/>
      <c r="R314" s="363"/>
      <c r="S314" s="325"/>
      <c r="T314" s="325"/>
      <c r="U314" s="317" t="str" cm="1">
        <f t="array" aca="1" ref="U314" ca="1">IFERROR(IF(AA314&lt;&gt;"ja",_xlfn.IFNA(_xlfn.IFS(AND(O314&lt;&gt;"",F314&lt;&gt;"",RIGHT($N314,6)="tarief",F314="Vergoeding"),SUM(O314)*FLOOR(SUM(Q314),0.0001),AND(O314&lt;&gt;"",F314&lt;&gt;"",RIGHT($N314,6)="tarief"),SUM(O314)*FLOOR(SUM(Q314),0.01),S314&gt;0,IF(F314&lt;&gt;"",FLOOR(SUM(S314),0.01),"")),""),""),"")</f>
        <v/>
      </c>
      <c r="V314" s="317" t="str" cm="1">
        <f t="array" aca="1" ref="V314" ca="1">IFERROR(IF(AA314&lt;&gt;"ja",_xlfn.IFNA(_xlfn.IFS(AND(P314&lt;&gt;"",R314&lt;&gt;"",RIGHT($N314,6)="tarief",F314="Vergoeding"),SUM(P314)*FLOOR(SUM(R314),0.0001),AND(P314&lt;&gt;"",R314&lt;&gt;"",RIGHT($N314,6)="tarief"),P314*FLOOR(R314,0.01),T314&gt;0,FLOOR(SUM(T314),0.01)),""),""),"")</f>
        <v/>
      </c>
      <c r="W314" s="317" t="str" cm="1">
        <f t="array" aca="1" ref="W314" ca="1">IFERROR(_xlfn.IFS(OR(F314="",LEFT(Methode_Keuze,4)="Geen",Methode_Keuze=""),"",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17" t="str" cm="1">
        <f t="array" aca="1" ref="X314" ca="1">IFERROR(_xlfn.IFS(OR(F314="",LEFT(Methode_Keuze,4)="Geen",Methode_Keuze=""),"",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26"/>
      <c r="Z314" s="319"/>
      <c r="AA314" s="32" t="str" cm="1">
        <f t="array" ref="AA314">IFERROR(IF(INDEX(SubsidieTabel!$AD$1:$AG$12,MATCH($F314,SubsidieTabel!$AD$1:$AD$12,0),IFERROR(MATCH(Methode_Keuze,SubsidieTabel!$AD$1:$AG$1,0),2))&lt;&gt;1=TRUE,"ja",""),"")</f>
        <v/>
      </c>
    </row>
    <row r="315" spans="1:27" x14ac:dyDescent="0.25">
      <c r="A315" s="320"/>
      <c r="B315" s="321" t="str">
        <f>IF(A315&lt;&gt;"",_xlfn.MAXIFS($B$1:B314,$A$1:A314,A315)+1,"")</f>
        <v/>
      </c>
      <c r="C315" s="299"/>
      <c r="D315" s="299"/>
      <c r="E315" s="299"/>
      <c r="F315" s="299"/>
      <c r="G315" s="330"/>
      <c r="H315" s="328"/>
      <c r="I315" s="329"/>
      <c r="J315" s="329"/>
      <c r="K315" s="322"/>
      <c r="L315" s="322"/>
      <c r="M315" s="323" t="str">
        <f>IFERROR(VLOOKUP(H315,Lijsten!$H$1:$I$100,2,0),"")</f>
        <v/>
      </c>
      <c r="N315" s="323" t="str">
        <f ca="1">IFERROR(IF(VLOOKUP(F315,Kostentypen!$A$3:$E$21,3,0)=0,"",IF(OR(F315="Arbeidskosten",F315="Vergoeding"),VLOOKUP(G315,Tb_KostenTypen[],2,0),VLOOKUP(F315,Kostentypen!$A$3:$E$20,3,0))),"")</f>
        <v/>
      </c>
      <c r="O315" s="324"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4"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3"/>
      <c r="R315" s="363"/>
      <c r="S315" s="325"/>
      <c r="T315" s="325"/>
      <c r="U315" s="317" t="str" cm="1">
        <f t="array" aca="1" ref="U315" ca="1">IFERROR(IF(AA315&lt;&gt;"ja",_xlfn.IFNA(_xlfn.IFS(AND(O315&lt;&gt;"",F315&lt;&gt;"",RIGHT($N315,6)="tarief",F315="Vergoeding"),SUM(O315)*FLOOR(SUM(Q315),0.0001),AND(O315&lt;&gt;"",F315&lt;&gt;"",RIGHT($N315,6)="tarief"),SUM(O315)*FLOOR(SUM(Q315),0.01),S315&gt;0,IF(F315&lt;&gt;"",FLOOR(SUM(S315),0.01),"")),""),""),"")</f>
        <v/>
      </c>
      <c r="V315" s="317" t="str" cm="1">
        <f t="array" aca="1" ref="V315" ca="1">IFERROR(IF(AA315&lt;&gt;"ja",_xlfn.IFNA(_xlfn.IFS(AND(P315&lt;&gt;"",R315&lt;&gt;"",RIGHT($N315,6)="tarief",F315="Vergoeding"),SUM(P315)*FLOOR(SUM(R315),0.0001),AND(P315&lt;&gt;"",R315&lt;&gt;"",RIGHT($N315,6)="tarief"),P315*FLOOR(R315,0.01),T315&gt;0,FLOOR(SUM(T315),0.01)),""),""),"")</f>
        <v/>
      </c>
      <c r="W315" s="317" t="str" cm="1">
        <f t="array" aca="1" ref="W315" ca="1">IFERROR(_xlfn.IFS(OR(F315="",LEFT(Methode_Keuze,4)="Geen",Methode_Keuze=""),"",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17" t="str" cm="1">
        <f t="array" aca="1" ref="X315" ca="1">IFERROR(_xlfn.IFS(OR(F315="",LEFT(Methode_Keuze,4)="Geen",Methode_Keuze=""),"",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26"/>
      <c r="Z315" s="319"/>
      <c r="AA315" s="32" t="str" cm="1">
        <f t="array" ref="AA315">IFERROR(IF(INDEX(SubsidieTabel!$AD$1:$AG$12,MATCH($F315,SubsidieTabel!$AD$1:$AD$12,0),IFERROR(MATCH(Methode_Keuze,SubsidieTabel!$AD$1:$AG$1,0),2))&lt;&gt;1=TRUE,"ja",""),"")</f>
        <v/>
      </c>
    </row>
    <row r="316" spans="1:27" x14ac:dyDescent="0.25">
      <c r="A316" s="320"/>
      <c r="B316" s="321" t="str">
        <f>IF(A316&lt;&gt;"",_xlfn.MAXIFS($B$1:B315,$A$1:A315,A316)+1,"")</f>
        <v/>
      </c>
      <c r="C316" s="299"/>
      <c r="D316" s="299"/>
      <c r="E316" s="299"/>
      <c r="F316" s="299"/>
      <c r="G316" s="330"/>
      <c r="H316" s="328"/>
      <c r="I316" s="329"/>
      <c r="J316" s="329"/>
      <c r="K316" s="322"/>
      <c r="L316" s="322"/>
      <c r="M316" s="323" t="str">
        <f>IFERROR(VLOOKUP(H316,Lijsten!$H$1:$I$100,2,0),"")</f>
        <v/>
      </c>
      <c r="N316" s="323" t="str">
        <f ca="1">IFERROR(IF(VLOOKUP(F316,Kostentypen!$A$3:$E$21,3,0)=0,"",IF(OR(F316="Arbeidskosten",F316="Vergoeding"),VLOOKUP(G316,Tb_KostenTypen[],2,0),VLOOKUP(F316,Kostentypen!$A$3:$E$20,3,0))),"")</f>
        <v/>
      </c>
      <c r="O316" s="324"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4"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3"/>
      <c r="R316" s="363"/>
      <c r="S316" s="325"/>
      <c r="T316" s="325"/>
      <c r="U316" s="317" t="str" cm="1">
        <f t="array" aca="1" ref="U316" ca="1">IFERROR(IF(AA316&lt;&gt;"ja",_xlfn.IFNA(_xlfn.IFS(AND(O316&lt;&gt;"",F316&lt;&gt;"",RIGHT($N316,6)="tarief",F316="Vergoeding"),SUM(O316)*FLOOR(SUM(Q316),0.0001),AND(O316&lt;&gt;"",F316&lt;&gt;"",RIGHT($N316,6)="tarief"),SUM(O316)*FLOOR(SUM(Q316),0.01),S316&gt;0,IF(F316&lt;&gt;"",FLOOR(SUM(S316),0.01),"")),""),""),"")</f>
        <v/>
      </c>
      <c r="V316" s="317" t="str" cm="1">
        <f t="array" aca="1" ref="V316" ca="1">IFERROR(IF(AA316&lt;&gt;"ja",_xlfn.IFNA(_xlfn.IFS(AND(P316&lt;&gt;"",R316&lt;&gt;"",RIGHT($N316,6)="tarief",F316="Vergoeding"),SUM(P316)*FLOOR(SUM(R316),0.0001),AND(P316&lt;&gt;"",R316&lt;&gt;"",RIGHT($N316,6)="tarief"),P316*FLOOR(R316,0.01),T316&gt;0,FLOOR(SUM(T316),0.01)),""),""),"")</f>
        <v/>
      </c>
      <c r="W316" s="317" t="str" cm="1">
        <f t="array" aca="1" ref="W316" ca="1">IFERROR(_xlfn.IFS(OR(F316="",LEFT(Methode_Keuze,4)="Geen",Methode_Keuze=""),"",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17" t="str" cm="1">
        <f t="array" aca="1" ref="X316" ca="1">IFERROR(_xlfn.IFS(OR(F316="",LEFT(Methode_Keuze,4)="Geen",Methode_Keuze=""),"",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26"/>
      <c r="Z316" s="319"/>
      <c r="AA316" s="32" t="str" cm="1">
        <f t="array" ref="AA316">IFERROR(IF(INDEX(SubsidieTabel!$AD$1:$AG$12,MATCH($F316,SubsidieTabel!$AD$1:$AD$12,0),IFERROR(MATCH(Methode_Keuze,SubsidieTabel!$AD$1:$AG$1,0),2))&lt;&gt;1=TRUE,"ja",""),"")</f>
        <v/>
      </c>
    </row>
    <row r="317" spans="1:27" x14ac:dyDescent="0.25">
      <c r="A317" s="320"/>
      <c r="B317" s="321" t="str">
        <f>IF(A317&lt;&gt;"",_xlfn.MAXIFS($B$1:B316,$A$1:A316,A317)+1,"")</f>
        <v/>
      </c>
      <c r="C317" s="299"/>
      <c r="D317" s="299"/>
      <c r="E317" s="299"/>
      <c r="F317" s="299"/>
      <c r="G317" s="330"/>
      <c r="H317" s="328"/>
      <c r="I317" s="329"/>
      <c r="J317" s="329"/>
      <c r="K317" s="322"/>
      <c r="L317" s="322"/>
      <c r="M317" s="323" t="str">
        <f>IFERROR(VLOOKUP(H317,Lijsten!$H$1:$I$100,2,0),"")</f>
        <v/>
      </c>
      <c r="N317" s="323" t="str">
        <f ca="1">IFERROR(IF(VLOOKUP(F317,Kostentypen!$A$3:$E$21,3,0)=0,"",IF(OR(F317="Arbeidskosten",F317="Vergoeding"),VLOOKUP(G317,Tb_KostenTypen[],2,0),VLOOKUP(F317,Kostentypen!$A$3:$E$20,3,0))),"")</f>
        <v/>
      </c>
      <c r="O317" s="324"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4"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3"/>
      <c r="R317" s="363"/>
      <c r="S317" s="325"/>
      <c r="T317" s="325"/>
      <c r="U317" s="317" t="str" cm="1">
        <f t="array" aca="1" ref="U317" ca="1">IFERROR(IF(AA317&lt;&gt;"ja",_xlfn.IFNA(_xlfn.IFS(AND(O317&lt;&gt;"",F317&lt;&gt;"",RIGHT($N317,6)="tarief",F317="Vergoeding"),SUM(O317)*FLOOR(SUM(Q317),0.0001),AND(O317&lt;&gt;"",F317&lt;&gt;"",RIGHT($N317,6)="tarief"),SUM(O317)*FLOOR(SUM(Q317),0.01),S317&gt;0,IF(F317&lt;&gt;"",FLOOR(SUM(S317),0.01),"")),""),""),"")</f>
        <v/>
      </c>
      <c r="V317" s="317" t="str" cm="1">
        <f t="array" aca="1" ref="V317" ca="1">IFERROR(IF(AA317&lt;&gt;"ja",_xlfn.IFNA(_xlfn.IFS(AND(P317&lt;&gt;"",R317&lt;&gt;"",RIGHT($N317,6)="tarief",F317="Vergoeding"),SUM(P317)*FLOOR(SUM(R317),0.0001),AND(P317&lt;&gt;"",R317&lt;&gt;"",RIGHT($N317,6)="tarief"),P317*FLOOR(R317,0.01),T317&gt;0,FLOOR(SUM(T317),0.01)),""),""),"")</f>
        <v/>
      </c>
      <c r="W317" s="317" t="str" cm="1">
        <f t="array" aca="1" ref="W317" ca="1">IFERROR(_xlfn.IFS(OR(F317="",LEFT(Methode_Keuze,4)="Geen",Methode_Keuze=""),"",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17" t="str" cm="1">
        <f t="array" aca="1" ref="X317" ca="1">IFERROR(_xlfn.IFS(OR(F317="",LEFT(Methode_Keuze,4)="Geen",Methode_Keuze=""),"",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26"/>
      <c r="Z317" s="319"/>
      <c r="AA317" s="32" t="str" cm="1">
        <f t="array" ref="AA317">IFERROR(IF(INDEX(SubsidieTabel!$AD$1:$AG$12,MATCH($F317,SubsidieTabel!$AD$1:$AD$12,0),IFERROR(MATCH(Methode_Keuze,SubsidieTabel!$AD$1:$AG$1,0),2))&lt;&gt;1=TRUE,"ja",""),"")</f>
        <v/>
      </c>
    </row>
    <row r="318" spans="1:27" x14ac:dyDescent="0.25">
      <c r="A318" s="320"/>
      <c r="B318" s="321" t="str">
        <f>IF(A318&lt;&gt;"",_xlfn.MAXIFS($B$1:B317,$A$1:A317,A318)+1,"")</f>
        <v/>
      </c>
      <c r="C318" s="299"/>
      <c r="D318" s="299"/>
      <c r="E318" s="299"/>
      <c r="F318" s="299"/>
      <c r="G318" s="330"/>
      <c r="H318" s="328"/>
      <c r="I318" s="329"/>
      <c r="J318" s="329"/>
      <c r="K318" s="322"/>
      <c r="L318" s="322"/>
      <c r="M318" s="323" t="str">
        <f>IFERROR(VLOOKUP(H318,Lijsten!$H$1:$I$100,2,0),"")</f>
        <v/>
      </c>
      <c r="N318" s="323" t="str">
        <f ca="1">IFERROR(IF(VLOOKUP(F318,Kostentypen!$A$3:$E$21,3,0)=0,"",IF(OR(F318="Arbeidskosten",F318="Vergoeding"),VLOOKUP(G318,Tb_KostenTypen[],2,0),VLOOKUP(F318,Kostentypen!$A$3:$E$20,3,0))),"")</f>
        <v/>
      </c>
      <c r="O318" s="324"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4"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3"/>
      <c r="R318" s="363"/>
      <c r="S318" s="325"/>
      <c r="T318" s="325"/>
      <c r="U318" s="317" t="str" cm="1">
        <f t="array" aca="1" ref="U318" ca="1">IFERROR(IF(AA318&lt;&gt;"ja",_xlfn.IFNA(_xlfn.IFS(AND(O318&lt;&gt;"",F318&lt;&gt;"",RIGHT($N318,6)="tarief",F318="Vergoeding"),SUM(O318)*FLOOR(SUM(Q318),0.0001),AND(O318&lt;&gt;"",F318&lt;&gt;"",RIGHT($N318,6)="tarief"),SUM(O318)*FLOOR(SUM(Q318),0.01),S318&gt;0,IF(F318&lt;&gt;"",FLOOR(SUM(S318),0.01),"")),""),""),"")</f>
        <v/>
      </c>
      <c r="V318" s="317" t="str" cm="1">
        <f t="array" aca="1" ref="V318" ca="1">IFERROR(IF(AA318&lt;&gt;"ja",_xlfn.IFNA(_xlfn.IFS(AND(P318&lt;&gt;"",R318&lt;&gt;"",RIGHT($N318,6)="tarief",F318="Vergoeding"),SUM(P318)*FLOOR(SUM(R318),0.0001),AND(P318&lt;&gt;"",R318&lt;&gt;"",RIGHT($N318,6)="tarief"),P318*FLOOR(R318,0.01),T318&gt;0,FLOOR(SUM(T318),0.01)),""),""),"")</f>
        <v/>
      </c>
      <c r="W318" s="317" t="str" cm="1">
        <f t="array" aca="1" ref="W318" ca="1">IFERROR(_xlfn.IFS(OR(F318="",LEFT(Methode_Keuze,4)="Geen",Methode_Keuze=""),"",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17" t="str" cm="1">
        <f t="array" aca="1" ref="X318" ca="1">IFERROR(_xlfn.IFS(OR(F318="",LEFT(Methode_Keuze,4)="Geen",Methode_Keuze=""),"",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26"/>
      <c r="Z318" s="319"/>
      <c r="AA318" s="32" t="str" cm="1">
        <f t="array" ref="AA318">IFERROR(IF(INDEX(SubsidieTabel!$AD$1:$AG$12,MATCH($F318,SubsidieTabel!$AD$1:$AD$12,0),IFERROR(MATCH(Methode_Keuze,SubsidieTabel!$AD$1:$AG$1,0),2))&lt;&gt;1=TRUE,"ja",""),"")</f>
        <v/>
      </c>
    </row>
    <row r="319" spans="1:27" x14ac:dyDescent="0.25">
      <c r="A319" s="320"/>
      <c r="B319" s="321" t="str">
        <f>IF(A319&lt;&gt;"",_xlfn.MAXIFS($B$1:B318,$A$1:A318,A319)+1,"")</f>
        <v/>
      </c>
      <c r="C319" s="299"/>
      <c r="D319" s="299"/>
      <c r="E319" s="299"/>
      <c r="F319" s="299"/>
      <c r="G319" s="330"/>
      <c r="H319" s="328"/>
      <c r="I319" s="329"/>
      <c r="J319" s="329"/>
      <c r="K319" s="322"/>
      <c r="L319" s="322"/>
      <c r="M319" s="323" t="str">
        <f>IFERROR(VLOOKUP(H319,Lijsten!$H$1:$I$100,2,0),"")</f>
        <v/>
      </c>
      <c r="N319" s="323" t="str">
        <f ca="1">IFERROR(IF(VLOOKUP(F319,Kostentypen!$A$3:$E$21,3,0)=0,"",IF(OR(F319="Arbeidskosten",F319="Vergoeding"),VLOOKUP(G319,Tb_KostenTypen[],2,0),VLOOKUP(F319,Kostentypen!$A$3:$E$20,3,0))),"")</f>
        <v/>
      </c>
      <c r="O319" s="324"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4"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3"/>
      <c r="R319" s="363"/>
      <c r="S319" s="325"/>
      <c r="T319" s="325"/>
      <c r="U319" s="317" t="str" cm="1">
        <f t="array" aca="1" ref="U319" ca="1">IFERROR(IF(AA319&lt;&gt;"ja",_xlfn.IFNA(_xlfn.IFS(AND(O319&lt;&gt;"",F319&lt;&gt;"",RIGHT($N319,6)="tarief",F319="Vergoeding"),SUM(O319)*FLOOR(SUM(Q319),0.0001),AND(O319&lt;&gt;"",F319&lt;&gt;"",RIGHT($N319,6)="tarief"),SUM(O319)*FLOOR(SUM(Q319),0.01),S319&gt;0,IF(F319&lt;&gt;"",FLOOR(SUM(S319),0.01),"")),""),""),"")</f>
        <v/>
      </c>
      <c r="V319" s="317" t="str" cm="1">
        <f t="array" aca="1" ref="V319" ca="1">IFERROR(IF(AA319&lt;&gt;"ja",_xlfn.IFNA(_xlfn.IFS(AND(P319&lt;&gt;"",R319&lt;&gt;"",RIGHT($N319,6)="tarief",F319="Vergoeding"),SUM(P319)*FLOOR(SUM(R319),0.0001),AND(P319&lt;&gt;"",R319&lt;&gt;"",RIGHT($N319,6)="tarief"),P319*FLOOR(R319,0.01),T319&gt;0,FLOOR(SUM(T319),0.01)),""),""),"")</f>
        <v/>
      </c>
      <c r="W319" s="317" t="str" cm="1">
        <f t="array" aca="1" ref="W319" ca="1">IFERROR(_xlfn.IFS(OR(F319="",LEFT(Methode_Keuze,4)="Geen",Methode_Keuze=""),"",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17" t="str" cm="1">
        <f t="array" aca="1" ref="X319" ca="1">IFERROR(_xlfn.IFS(OR(F319="",LEFT(Methode_Keuze,4)="Geen",Methode_Keuze=""),"",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26"/>
      <c r="Z319" s="319"/>
      <c r="AA319" s="32" t="str" cm="1">
        <f t="array" ref="AA319">IFERROR(IF(INDEX(SubsidieTabel!$AD$1:$AG$12,MATCH($F319,SubsidieTabel!$AD$1:$AD$12,0),IFERROR(MATCH(Methode_Keuze,SubsidieTabel!$AD$1:$AG$1,0),2))&lt;&gt;1=TRUE,"ja",""),"")</f>
        <v/>
      </c>
    </row>
    <row r="320" spans="1:27" x14ac:dyDescent="0.25">
      <c r="A320" s="320"/>
      <c r="B320" s="321" t="str">
        <f>IF(A320&lt;&gt;"",_xlfn.MAXIFS($B$1:B319,$A$1:A319,A320)+1,"")</f>
        <v/>
      </c>
      <c r="C320" s="299"/>
      <c r="D320" s="299"/>
      <c r="E320" s="299"/>
      <c r="F320" s="299"/>
      <c r="G320" s="330"/>
      <c r="H320" s="328"/>
      <c r="I320" s="329"/>
      <c r="J320" s="329"/>
      <c r="K320" s="322"/>
      <c r="L320" s="322"/>
      <c r="M320" s="323" t="str">
        <f>IFERROR(VLOOKUP(H320,Lijsten!$H$1:$I$100,2,0),"")</f>
        <v/>
      </c>
      <c r="N320" s="323" t="str">
        <f ca="1">IFERROR(IF(VLOOKUP(F320,Kostentypen!$A$3:$E$21,3,0)=0,"",IF(OR(F320="Arbeidskosten",F320="Vergoeding"),VLOOKUP(G320,Tb_KostenTypen[],2,0),VLOOKUP(F320,Kostentypen!$A$3:$E$20,3,0))),"")</f>
        <v/>
      </c>
      <c r="O320" s="324"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4"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3"/>
      <c r="R320" s="363"/>
      <c r="S320" s="325"/>
      <c r="T320" s="325"/>
      <c r="U320" s="317" t="str" cm="1">
        <f t="array" aca="1" ref="U320" ca="1">IFERROR(IF(AA320&lt;&gt;"ja",_xlfn.IFNA(_xlfn.IFS(AND(O320&lt;&gt;"",F320&lt;&gt;"",RIGHT($N320,6)="tarief",F320="Vergoeding"),SUM(O320)*FLOOR(SUM(Q320),0.0001),AND(O320&lt;&gt;"",F320&lt;&gt;"",RIGHT($N320,6)="tarief"),SUM(O320)*FLOOR(SUM(Q320),0.01),S320&gt;0,IF(F320&lt;&gt;"",FLOOR(SUM(S320),0.01),"")),""),""),"")</f>
        <v/>
      </c>
      <c r="V320" s="317" t="str" cm="1">
        <f t="array" aca="1" ref="V320" ca="1">IFERROR(IF(AA320&lt;&gt;"ja",_xlfn.IFNA(_xlfn.IFS(AND(P320&lt;&gt;"",R320&lt;&gt;"",RIGHT($N320,6)="tarief",F320="Vergoeding"),SUM(P320)*FLOOR(SUM(R320),0.0001),AND(P320&lt;&gt;"",R320&lt;&gt;"",RIGHT($N320,6)="tarief"),P320*FLOOR(R320,0.01),T320&gt;0,FLOOR(SUM(T320),0.01)),""),""),"")</f>
        <v/>
      </c>
      <c r="W320" s="317" t="str" cm="1">
        <f t="array" aca="1" ref="W320" ca="1">IFERROR(_xlfn.IFS(OR(F320="",LEFT(Methode_Keuze,4)="Geen",Methode_Keuze=""),"",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17" t="str" cm="1">
        <f t="array" aca="1" ref="X320" ca="1">IFERROR(_xlfn.IFS(OR(F320="",LEFT(Methode_Keuze,4)="Geen",Methode_Keuze=""),"",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26"/>
      <c r="Z320" s="319"/>
      <c r="AA320" s="32" t="str" cm="1">
        <f t="array" ref="AA320">IFERROR(IF(INDEX(SubsidieTabel!$AD$1:$AG$12,MATCH($F320,SubsidieTabel!$AD$1:$AD$12,0),IFERROR(MATCH(Methode_Keuze,SubsidieTabel!$AD$1:$AG$1,0),2))&lt;&gt;1=TRUE,"ja",""),"")</f>
        <v/>
      </c>
    </row>
    <row r="321" spans="1:27" x14ac:dyDescent="0.25">
      <c r="A321" s="320"/>
      <c r="B321" s="321" t="str">
        <f>IF(A321&lt;&gt;"",_xlfn.MAXIFS($B$1:B320,$A$1:A320,A321)+1,"")</f>
        <v/>
      </c>
      <c r="C321" s="299"/>
      <c r="D321" s="299"/>
      <c r="E321" s="299"/>
      <c r="F321" s="299"/>
      <c r="G321" s="330"/>
      <c r="H321" s="328"/>
      <c r="I321" s="329"/>
      <c r="J321" s="329"/>
      <c r="K321" s="322"/>
      <c r="L321" s="322"/>
      <c r="M321" s="323" t="str">
        <f>IFERROR(VLOOKUP(H321,Lijsten!$H$1:$I$100,2,0),"")</f>
        <v/>
      </c>
      <c r="N321" s="323" t="str">
        <f ca="1">IFERROR(IF(VLOOKUP(F321,Kostentypen!$A$3:$E$21,3,0)=0,"",IF(OR(F321="Arbeidskosten",F321="Vergoeding"),VLOOKUP(G321,Tb_KostenTypen[],2,0),VLOOKUP(F321,Kostentypen!$A$3:$E$20,3,0))),"")</f>
        <v/>
      </c>
      <c r="O321" s="324"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4"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3"/>
      <c r="R321" s="363"/>
      <c r="S321" s="325"/>
      <c r="T321" s="325"/>
      <c r="U321" s="317" t="str" cm="1">
        <f t="array" aca="1" ref="U321" ca="1">IFERROR(IF(AA321&lt;&gt;"ja",_xlfn.IFNA(_xlfn.IFS(AND(O321&lt;&gt;"",F321&lt;&gt;"",RIGHT($N321,6)="tarief",F321="Vergoeding"),SUM(O321)*FLOOR(SUM(Q321),0.0001),AND(O321&lt;&gt;"",F321&lt;&gt;"",RIGHT($N321,6)="tarief"),SUM(O321)*FLOOR(SUM(Q321),0.01),S321&gt;0,IF(F321&lt;&gt;"",FLOOR(SUM(S321),0.01),"")),""),""),"")</f>
        <v/>
      </c>
      <c r="V321" s="317" t="str" cm="1">
        <f t="array" aca="1" ref="V321" ca="1">IFERROR(IF(AA321&lt;&gt;"ja",_xlfn.IFNA(_xlfn.IFS(AND(P321&lt;&gt;"",R321&lt;&gt;"",RIGHT($N321,6)="tarief",F321="Vergoeding"),SUM(P321)*FLOOR(SUM(R321),0.0001),AND(P321&lt;&gt;"",R321&lt;&gt;"",RIGHT($N321,6)="tarief"),P321*FLOOR(R321,0.01),T321&gt;0,FLOOR(SUM(T321),0.01)),""),""),"")</f>
        <v/>
      </c>
      <c r="W321" s="317" t="str" cm="1">
        <f t="array" aca="1" ref="W321" ca="1">IFERROR(_xlfn.IFS(OR(F321="",LEFT(Methode_Keuze,4)="Geen",Methode_Keuze=""),"",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17" t="str" cm="1">
        <f t="array" aca="1" ref="X321" ca="1">IFERROR(_xlfn.IFS(OR(F321="",LEFT(Methode_Keuze,4)="Geen",Methode_Keuze=""),"",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26"/>
      <c r="Z321" s="319"/>
      <c r="AA321" s="32" t="str" cm="1">
        <f t="array" ref="AA321">IFERROR(IF(INDEX(SubsidieTabel!$AD$1:$AG$12,MATCH($F321,SubsidieTabel!$AD$1:$AD$12,0),IFERROR(MATCH(Methode_Keuze,SubsidieTabel!$AD$1:$AG$1,0),2))&lt;&gt;1=TRUE,"ja",""),"")</f>
        <v/>
      </c>
    </row>
    <row r="322" spans="1:27" x14ac:dyDescent="0.25">
      <c r="A322" s="320"/>
      <c r="B322" s="321" t="str">
        <f>IF(A322&lt;&gt;"",_xlfn.MAXIFS($B$1:B321,$A$1:A321,A322)+1,"")</f>
        <v/>
      </c>
      <c r="C322" s="299"/>
      <c r="D322" s="299"/>
      <c r="E322" s="299"/>
      <c r="F322" s="299"/>
      <c r="G322" s="330"/>
      <c r="H322" s="328"/>
      <c r="I322" s="329"/>
      <c r="J322" s="329"/>
      <c r="K322" s="322"/>
      <c r="L322" s="322"/>
      <c r="M322" s="323" t="str">
        <f>IFERROR(VLOOKUP(H322,Lijsten!$H$1:$I$100,2,0),"")</f>
        <v/>
      </c>
      <c r="N322" s="323" t="str">
        <f ca="1">IFERROR(IF(VLOOKUP(F322,Kostentypen!$A$3:$E$21,3,0)=0,"",IF(OR(F322="Arbeidskosten",F322="Vergoeding"),VLOOKUP(G322,Tb_KostenTypen[],2,0),VLOOKUP(F322,Kostentypen!$A$3:$E$20,3,0))),"")</f>
        <v/>
      </c>
      <c r="O322" s="324"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4"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3"/>
      <c r="R322" s="363"/>
      <c r="S322" s="325"/>
      <c r="T322" s="325"/>
      <c r="U322" s="317" t="str" cm="1">
        <f t="array" aca="1" ref="U322" ca="1">IFERROR(IF(AA322&lt;&gt;"ja",_xlfn.IFNA(_xlfn.IFS(AND(O322&lt;&gt;"",F322&lt;&gt;"",RIGHT($N322,6)="tarief",F322="Vergoeding"),SUM(O322)*FLOOR(SUM(Q322),0.0001),AND(O322&lt;&gt;"",F322&lt;&gt;"",RIGHT($N322,6)="tarief"),SUM(O322)*FLOOR(SUM(Q322),0.01),S322&gt;0,IF(F322&lt;&gt;"",FLOOR(SUM(S322),0.01),"")),""),""),"")</f>
        <v/>
      </c>
      <c r="V322" s="317" t="str" cm="1">
        <f t="array" aca="1" ref="V322" ca="1">IFERROR(IF(AA322&lt;&gt;"ja",_xlfn.IFNA(_xlfn.IFS(AND(P322&lt;&gt;"",R322&lt;&gt;"",RIGHT($N322,6)="tarief",F322="Vergoeding"),SUM(P322)*FLOOR(SUM(R322),0.0001),AND(P322&lt;&gt;"",R322&lt;&gt;"",RIGHT($N322,6)="tarief"),P322*FLOOR(R322,0.01),T322&gt;0,FLOOR(SUM(T322),0.01)),""),""),"")</f>
        <v/>
      </c>
      <c r="W322" s="317" t="str" cm="1">
        <f t="array" aca="1" ref="W322" ca="1">IFERROR(_xlfn.IFS(OR(F322="",LEFT(Methode_Keuze,4)="Geen",Methode_Keuze=""),"",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17" t="str" cm="1">
        <f t="array" aca="1" ref="X322" ca="1">IFERROR(_xlfn.IFS(OR(F322="",LEFT(Methode_Keuze,4)="Geen",Methode_Keuze=""),"",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26"/>
      <c r="Z322" s="319"/>
      <c r="AA322" s="32" t="str" cm="1">
        <f t="array" ref="AA322">IFERROR(IF(INDEX(SubsidieTabel!$AD$1:$AG$12,MATCH($F322,SubsidieTabel!$AD$1:$AD$12,0),IFERROR(MATCH(Methode_Keuze,SubsidieTabel!$AD$1:$AG$1,0),2))&lt;&gt;1=TRUE,"ja",""),"")</f>
        <v/>
      </c>
    </row>
    <row r="323" spans="1:27" x14ac:dyDescent="0.25">
      <c r="A323" s="320"/>
      <c r="B323" s="321" t="str">
        <f>IF(A323&lt;&gt;"",_xlfn.MAXIFS($B$1:B322,$A$1:A322,A323)+1,"")</f>
        <v/>
      </c>
      <c r="C323" s="299"/>
      <c r="D323" s="299"/>
      <c r="E323" s="299"/>
      <c r="F323" s="299"/>
      <c r="G323" s="330"/>
      <c r="H323" s="328"/>
      <c r="I323" s="329"/>
      <c r="J323" s="329"/>
      <c r="K323" s="322"/>
      <c r="L323" s="322"/>
      <c r="M323" s="323" t="str">
        <f>IFERROR(VLOOKUP(H323,Lijsten!$H$1:$I$100,2,0),"")</f>
        <v/>
      </c>
      <c r="N323" s="323" t="str">
        <f ca="1">IFERROR(IF(VLOOKUP(F323,Kostentypen!$A$3:$E$21,3,0)=0,"",IF(OR(F323="Arbeidskosten",F323="Vergoeding"),VLOOKUP(G323,Tb_KostenTypen[],2,0),VLOOKUP(F323,Kostentypen!$A$3:$E$20,3,0))),"")</f>
        <v/>
      </c>
      <c r="O323" s="324"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4"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3"/>
      <c r="R323" s="363"/>
      <c r="S323" s="325"/>
      <c r="T323" s="325"/>
      <c r="U323" s="317" t="str" cm="1">
        <f t="array" aca="1" ref="U323" ca="1">IFERROR(IF(AA323&lt;&gt;"ja",_xlfn.IFNA(_xlfn.IFS(AND(O323&lt;&gt;"",F323&lt;&gt;"",RIGHT($N323,6)="tarief",F323="Vergoeding"),SUM(O323)*FLOOR(SUM(Q323),0.0001),AND(O323&lt;&gt;"",F323&lt;&gt;"",RIGHT($N323,6)="tarief"),SUM(O323)*FLOOR(SUM(Q323),0.01),S323&gt;0,IF(F323&lt;&gt;"",FLOOR(SUM(S323),0.01),"")),""),""),"")</f>
        <v/>
      </c>
      <c r="V323" s="317" t="str" cm="1">
        <f t="array" aca="1" ref="V323" ca="1">IFERROR(IF(AA323&lt;&gt;"ja",_xlfn.IFNA(_xlfn.IFS(AND(P323&lt;&gt;"",R323&lt;&gt;"",RIGHT($N323,6)="tarief",F323="Vergoeding"),SUM(P323)*FLOOR(SUM(R323),0.0001),AND(P323&lt;&gt;"",R323&lt;&gt;"",RIGHT($N323,6)="tarief"),P323*FLOOR(R323,0.01),T323&gt;0,FLOOR(SUM(T323),0.01)),""),""),"")</f>
        <v/>
      </c>
      <c r="W323" s="317" t="str" cm="1">
        <f t="array" aca="1" ref="W323" ca="1">IFERROR(_xlfn.IFS(OR(F323="",LEFT(Methode_Keuze,4)="Geen",Methode_Keuze=""),"",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17" t="str" cm="1">
        <f t="array" aca="1" ref="X323" ca="1">IFERROR(_xlfn.IFS(OR(F323="",LEFT(Methode_Keuze,4)="Geen",Methode_Keuze=""),"",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26"/>
      <c r="Z323" s="319"/>
      <c r="AA323" s="32" t="str" cm="1">
        <f t="array" ref="AA323">IFERROR(IF(INDEX(SubsidieTabel!$AD$1:$AG$12,MATCH($F323,SubsidieTabel!$AD$1:$AD$12,0),IFERROR(MATCH(Methode_Keuze,SubsidieTabel!$AD$1:$AG$1,0),2))&lt;&gt;1=TRUE,"ja",""),"")</f>
        <v/>
      </c>
    </row>
    <row r="324" spans="1:27" x14ac:dyDescent="0.25">
      <c r="A324" s="320"/>
      <c r="B324" s="321" t="str">
        <f>IF(A324&lt;&gt;"",_xlfn.MAXIFS($B$1:B323,$A$1:A323,A324)+1,"")</f>
        <v/>
      </c>
      <c r="C324" s="299"/>
      <c r="D324" s="299"/>
      <c r="E324" s="299"/>
      <c r="F324" s="299"/>
      <c r="G324" s="330"/>
      <c r="H324" s="328"/>
      <c r="I324" s="329"/>
      <c r="J324" s="329"/>
      <c r="K324" s="322"/>
      <c r="L324" s="322"/>
      <c r="M324" s="323" t="str">
        <f>IFERROR(VLOOKUP(H324,Lijsten!$H$1:$I$100,2,0),"")</f>
        <v/>
      </c>
      <c r="N324" s="323" t="str">
        <f ca="1">IFERROR(IF(VLOOKUP(F324,Kostentypen!$A$3:$E$21,3,0)=0,"",IF(OR(F324="Arbeidskosten",F324="Vergoeding"),VLOOKUP(G324,Tb_KostenTypen[],2,0),VLOOKUP(F324,Kostentypen!$A$3:$E$20,3,0))),"")</f>
        <v/>
      </c>
      <c r="O324" s="324"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4"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3"/>
      <c r="R324" s="363"/>
      <c r="S324" s="325"/>
      <c r="T324" s="325"/>
      <c r="U324" s="317" t="str" cm="1">
        <f t="array" aca="1" ref="U324" ca="1">IFERROR(IF(AA324&lt;&gt;"ja",_xlfn.IFNA(_xlfn.IFS(AND(O324&lt;&gt;"",F324&lt;&gt;"",RIGHT($N324,6)="tarief",F324="Vergoeding"),SUM(O324)*FLOOR(SUM(Q324),0.0001),AND(O324&lt;&gt;"",F324&lt;&gt;"",RIGHT($N324,6)="tarief"),SUM(O324)*FLOOR(SUM(Q324),0.01),S324&gt;0,IF(F324&lt;&gt;"",FLOOR(SUM(S324),0.01),"")),""),""),"")</f>
        <v/>
      </c>
      <c r="V324" s="317" t="str" cm="1">
        <f t="array" aca="1" ref="V324" ca="1">IFERROR(IF(AA324&lt;&gt;"ja",_xlfn.IFNA(_xlfn.IFS(AND(P324&lt;&gt;"",R324&lt;&gt;"",RIGHT($N324,6)="tarief",F324="Vergoeding"),SUM(P324)*FLOOR(SUM(R324),0.0001),AND(P324&lt;&gt;"",R324&lt;&gt;"",RIGHT($N324,6)="tarief"),P324*FLOOR(R324,0.01),T324&gt;0,FLOOR(SUM(T324),0.01)),""),""),"")</f>
        <v/>
      </c>
      <c r="W324" s="317" t="str" cm="1">
        <f t="array" aca="1" ref="W324" ca="1">IFERROR(_xlfn.IFS(OR(F324="",LEFT(Methode_Keuze,4)="Geen",Methode_Keuze=""),"",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17" t="str" cm="1">
        <f t="array" aca="1" ref="X324" ca="1">IFERROR(_xlfn.IFS(OR(F324="",LEFT(Methode_Keuze,4)="Geen",Methode_Keuze=""),"",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26"/>
      <c r="Z324" s="319"/>
      <c r="AA324" s="32" t="str" cm="1">
        <f t="array" ref="AA324">IFERROR(IF(INDEX(SubsidieTabel!$AD$1:$AG$12,MATCH($F324,SubsidieTabel!$AD$1:$AD$12,0),IFERROR(MATCH(Methode_Keuze,SubsidieTabel!$AD$1:$AG$1,0),2))&lt;&gt;1=TRUE,"ja",""),"")</f>
        <v/>
      </c>
    </row>
    <row r="325" spans="1:27" x14ac:dyDescent="0.25">
      <c r="A325" s="320"/>
      <c r="B325" s="321" t="str">
        <f>IF(A325&lt;&gt;"",_xlfn.MAXIFS($B$1:B324,$A$1:A324,A325)+1,"")</f>
        <v/>
      </c>
      <c r="C325" s="299"/>
      <c r="D325" s="299"/>
      <c r="E325" s="299"/>
      <c r="F325" s="299"/>
      <c r="G325" s="330"/>
      <c r="H325" s="328"/>
      <c r="I325" s="329"/>
      <c r="J325" s="329"/>
      <c r="K325" s="322"/>
      <c r="L325" s="322"/>
      <c r="M325" s="323" t="str">
        <f>IFERROR(VLOOKUP(H325,Lijsten!$H$1:$I$100,2,0),"")</f>
        <v/>
      </c>
      <c r="N325" s="323" t="str">
        <f ca="1">IFERROR(IF(VLOOKUP(F325,Kostentypen!$A$3:$E$21,3,0)=0,"",IF(OR(F325="Arbeidskosten",F325="Vergoeding"),VLOOKUP(G325,Tb_KostenTypen[],2,0),VLOOKUP(F325,Kostentypen!$A$3:$E$20,3,0))),"")</f>
        <v/>
      </c>
      <c r="O325" s="324"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4"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3"/>
      <c r="R325" s="363"/>
      <c r="S325" s="325"/>
      <c r="T325" s="325"/>
      <c r="U325" s="317" t="str" cm="1">
        <f t="array" aca="1" ref="U325" ca="1">IFERROR(IF(AA325&lt;&gt;"ja",_xlfn.IFNA(_xlfn.IFS(AND(O325&lt;&gt;"",F325&lt;&gt;"",RIGHT($N325,6)="tarief",F325="Vergoeding"),SUM(O325)*FLOOR(SUM(Q325),0.0001),AND(O325&lt;&gt;"",F325&lt;&gt;"",RIGHT($N325,6)="tarief"),SUM(O325)*FLOOR(SUM(Q325),0.01),S325&gt;0,IF(F325&lt;&gt;"",FLOOR(SUM(S325),0.01),"")),""),""),"")</f>
        <v/>
      </c>
      <c r="V325" s="317" t="str" cm="1">
        <f t="array" aca="1" ref="V325" ca="1">IFERROR(IF(AA325&lt;&gt;"ja",_xlfn.IFNA(_xlfn.IFS(AND(P325&lt;&gt;"",R325&lt;&gt;"",RIGHT($N325,6)="tarief",F325="Vergoeding"),SUM(P325)*FLOOR(SUM(R325),0.0001),AND(P325&lt;&gt;"",R325&lt;&gt;"",RIGHT($N325,6)="tarief"),P325*FLOOR(R325,0.01),T325&gt;0,FLOOR(SUM(T325),0.01)),""),""),"")</f>
        <v/>
      </c>
      <c r="W325" s="317" t="str" cm="1">
        <f t="array" aca="1" ref="W325" ca="1">IFERROR(_xlfn.IFS(OR(F325="",LEFT(Methode_Keuze,4)="Geen",Methode_Keuze=""),"",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17" t="str" cm="1">
        <f t="array" aca="1" ref="X325" ca="1">IFERROR(_xlfn.IFS(OR(F325="",LEFT(Methode_Keuze,4)="Geen",Methode_Keuze=""),"",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26"/>
      <c r="Z325" s="319"/>
      <c r="AA325" s="32" t="str" cm="1">
        <f t="array" ref="AA325">IFERROR(IF(INDEX(SubsidieTabel!$AD$1:$AG$12,MATCH($F325,SubsidieTabel!$AD$1:$AD$12,0),IFERROR(MATCH(Methode_Keuze,SubsidieTabel!$AD$1:$AG$1,0),2))&lt;&gt;1=TRUE,"ja",""),"")</f>
        <v/>
      </c>
    </row>
    <row r="326" spans="1:27" x14ac:dyDescent="0.25">
      <c r="A326" s="320"/>
      <c r="B326" s="321" t="str">
        <f>IF(A326&lt;&gt;"",_xlfn.MAXIFS($B$1:B325,$A$1:A325,A326)+1,"")</f>
        <v/>
      </c>
      <c r="C326" s="299"/>
      <c r="D326" s="299"/>
      <c r="E326" s="299"/>
      <c r="F326" s="299"/>
      <c r="G326" s="330"/>
      <c r="H326" s="328"/>
      <c r="I326" s="329"/>
      <c r="J326" s="329"/>
      <c r="K326" s="322"/>
      <c r="L326" s="322"/>
      <c r="M326" s="323" t="str">
        <f>IFERROR(VLOOKUP(H326,Lijsten!$H$1:$I$100,2,0),"")</f>
        <v/>
      </c>
      <c r="N326" s="323" t="str">
        <f ca="1">IFERROR(IF(VLOOKUP(F326,Kostentypen!$A$3:$E$21,3,0)=0,"",IF(OR(F326="Arbeidskosten",F326="Vergoeding"),VLOOKUP(G326,Tb_KostenTypen[],2,0),VLOOKUP(F326,Kostentypen!$A$3:$E$20,3,0))),"")</f>
        <v/>
      </c>
      <c r="O326" s="324"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4"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3"/>
      <c r="R326" s="363"/>
      <c r="S326" s="325"/>
      <c r="T326" s="325"/>
      <c r="U326" s="317" t="str" cm="1">
        <f t="array" aca="1" ref="U326" ca="1">IFERROR(IF(AA326&lt;&gt;"ja",_xlfn.IFNA(_xlfn.IFS(AND(O326&lt;&gt;"",F326&lt;&gt;"",RIGHT($N326,6)="tarief",F326="Vergoeding"),SUM(O326)*FLOOR(SUM(Q326),0.0001),AND(O326&lt;&gt;"",F326&lt;&gt;"",RIGHT($N326,6)="tarief"),SUM(O326)*FLOOR(SUM(Q326),0.01),S326&gt;0,IF(F326&lt;&gt;"",FLOOR(SUM(S326),0.01),"")),""),""),"")</f>
        <v/>
      </c>
      <c r="V326" s="317" t="str" cm="1">
        <f t="array" aca="1" ref="V326" ca="1">IFERROR(IF(AA326&lt;&gt;"ja",_xlfn.IFNA(_xlfn.IFS(AND(P326&lt;&gt;"",R326&lt;&gt;"",RIGHT($N326,6)="tarief",F326="Vergoeding"),SUM(P326)*FLOOR(SUM(R326),0.0001),AND(P326&lt;&gt;"",R326&lt;&gt;"",RIGHT($N326,6)="tarief"),P326*FLOOR(R326,0.01),T326&gt;0,FLOOR(SUM(T326),0.01)),""),""),"")</f>
        <v/>
      </c>
      <c r="W326" s="317" t="str" cm="1">
        <f t="array" aca="1" ref="W326" ca="1">IFERROR(_xlfn.IFS(OR(F326="",LEFT(Methode_Keuze,4)="Geen",Methode_Keuze=""),"",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17" t="str" cm="1">
        <f t="array" aca="1" ref="X326" ca="1">IFERROR(_xlfn.IFS(OR(F326="",LEFT(Methode_Keuze,4)="Geen",Methode_Keuze=""),"",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26"/>
      <c r="Z326" s="319"/>
      <c r="AA326" s="32" t="str" cm="1">
        <f t="array" ref="AA326">IFERROR(IF(INDEX(SubsidieTabel!$AD$1:$AG$12,MATCH($F326,SubsidieTabel!$AD$1:$AD$12,0),IFERROR(MATCH(Methode_Keuze,SubsidieTabel!$AD$1:$AG$1,0),2))&lt;&gt;1=TRUE,"ja",""),"")</f>
        <v/>
      </c>
    </row>
    <row r="327" spans="1:27" x14ac:dyDescent="0.25">
      <c r="A327" s="320"/>
      <c r="B327" s="321" t="str">
        <f>IF(A327&lt;&gt;"",_xlfn.MAXIFS($B$1:B326,$A$1:A326,A327)+1,"")</f>
        <v/>
      </c>
      <c r="C327" s="299"/>
      <c r="D327" s="299"/>
      <c r="E327" s="299"/>
      <c r="F327" s="299"/>
      <c r="G327" s="330"/>
      <c r="H327" s="328"/>
      <c r="I327" s="329"/>
      <c r="J327" s="329"/>
      <c r="K327" s="322"/>
      <c r="L327" s="322"/>
      <c r="M327" s="323" t="str">
        <f>IFERROR(VLOOKUP(H327,Lijsten!$H$1:$I$100,2,0),"")</f>
        <v/>
      </c>
      <c r="N327" s="323" t="str">
        <f ca="1">IFERROR(IF(VLOOKUP(F327,Kostentypen!$A$3:$E$21,3,0)=0,"",IF(OR(F327="Arbeidskosten",F327="Vergoeding"),VLOOKUP(G327,Tb_KostenTypen[],2,0),VLOOKUP(F327,Kostentypen!$A$3:$E$20,3,0))),"")</f>
        <v/>
      </c>
      <c r="O327" s="324"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4"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3"/>
      <c r="R327" s="363"/>
      <c r="S327" s="325"/>
      <c r="T327" s="325"/>
      <c r="U327" s="317" t="str" cm="1">
        <f t="array" aca="1" ref="U327" ca="1">IFERROR(IF(AA327&lt;&gt;"ja",_xlfn.IFNA(_xlfn.IFS(AND(O327&lt;&gt;"",F327&lt;&gt;"",RIGHT($N327,6)="tarief",F327="Vergoeding"),SUM(O327)*FLOOR(SUM(Q327),0.0001),AND(O327&lt;&gt;"",F327&lt;&gt;"",RIGHT($N327,6)="tarief"),SUM(O327)*FLOOR(SUM(Q327),0.01),S327&gt;0,IF(F327&lt;&gt;"",FLOOR(SUM(S327),0.01),"")),""),""),"")</f>
        <v/>
      </c>
      <c r="V327" s="317" t="str" cm="1">
        <f t="array" aca="1" ref="V327" ca="1">IFERROR(IF(AA327&lt;&gt;"ja",_xlfn.IFNA(_xlfn.IFS(AND(P327&lt;&gt;"",R327&lt;&gt;"",RIGHT($N327,6)="tarief",F327="Vergoeding"),SUM(P327)*FLOOR(SUM(R327),0.0001),AND(P327&lt;&gt;"",R327&lt;&gt;"",RIGHT($N327,6)="tarief"),P327*FLOOR(R327,0.01),T327&gt;0,FLOOR(SUM(T327),0.01)),""),""),"")</f>
        <v/>
      </c>
      <c r="W327" s="317" t="str" cm="1">
        <f t="array" aca="1" ref="W327" ca="1">IFERROR(_xlfn.IFS(OR(F327="",LEFT(Methode_Keuze,4)="Geen",Methode_Keuze=""),"",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17" t="str" cm="1">
        <f t="array" aca="1" ref="X327" ca="1">IFERROR(_xlfn.IFS(OR(F327="",LEFT(Methode_Keuze,4)="Geen",Methode_Keuze=""),"",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26"/>
      <c r="Z327" s="319"/>
      <c r="AA327" s="32" t="str" cm="1">
        <f t="array" ref="AA327">IFERROR(IF(INDEX(SubsidieTabel!$AD$1:$AG$12,MATCH($F327,SubsidieTabel!$AD$1:$AD$12,0),IFERROR(MATCH(Methode_Keuze,SubsidieTabel!$AD$1:$AG$1,0),2))&lt;&gt;1=TRUE,"ja",""),"")</f>
        <v/>
      </c>
    </row>
    <row r="328" spans="1:27" x14ac:dyDescent="0.25">
      <c r="A328" s="320"/>
      <c r="B328" s="321" t="str">
        <f>IF(A328&lt;&gt;"",_xlfn.MAXIFS($B$1:B327,$A$1:A327,A328)+1,"")</f>
        <v/>
      </c>
      <c r="C328" s="299"/>
      <c r="D328" s="299"/>
      <c r="E328" s="299"/>
      <c r="F328" s="299"/>
      <c r="G328" s="330"/>
      <c r="H328" s="328"/>
      <c r="I328" s="329"/>
      <c r="J328" s="329"/>
      <c r="K328" s="322"/>
      <c r="L328" s="322"/>
      <c r="M328" s="323" t="str">
        <f>IFERROR(VLOOKUP(H328,Lijsten!$H$1:$I$100,2,0),"")</f>
        <v/>
      </c>
      <c r="N328" s="323" t="str">
        <f ca="1">IFERROR(IF(VLOOKUP(F328,Kostentypen!$A$3:$E$21,3,0)=0,"",IF(OR(F328="Arbeidskosten",F328="Vergoeding"),VLOOKUP(G328,Tb_KostenTypen[],2,0),VLOOKUP(F328,Kostentypen!$A$3:$E$20,3,0))),"")</f>
        <v/>
      </c>
      <c r="O328" s="324"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4"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3"/>
      <c r="R328" s="363"/>
      <c r="S328" s="325"/>
      <c r="T328" s="325"/>
      <c r="U328" s="317" t="str" cm="1">
        <f t="array" aca="1" ref="U328" ca="1">IFERROR(IF(AA328&lt;&gt;"ja",_xlfn.IFNA(_xlfn.IFS(AND(O328&lt;&gt;"",F328&lt;&gt;"",RIGHT($N328,6)="tarief",F328="Vergoeding"),SUM(O328)*FLOOR(SUM(Q328),0.0001),AND(O328&lt;&gt;"",F328&lt;&gt;"",RIGHT($N328,6)="tarief"),SUM(O328)*FLOOR(SUM(Q328),0.01),S328&gt;0,IF(F328&lt;&gt;"",FLOOR(SUM(S328),0.01),"")),""),""),"")</f>
        <v/>
      </c>
      <c r="V328" s="317" t="str" cm="1">
        <f t="array" aca="1" ref="V328" ca="1">IFERROR(IF(AA328&lt;&gt;"ja",_xlfn.IFNA(_xlfn.IFS(AND(P328&lt;&gt;"",R328&lt;&gt;"",RIGHT($N328,6)="tarief",F328="Vergoeding"),SUM(P328)*FLOOR(SUM(R328),0.0001),AND(P328&lt;&gt;"",R328&lt;&gt;"",RIGHT($N328,6)="tarief"),P328*FLOOR(R328,0.01),T328&gt;0,FLOOR(SUM(T328),0.01)),""),""),"")</f>
        <v/>
      </c>
      <c r="W328" s="317" t="str" cm="1">
        <f t="array" aca="1" ref="W328" ca="1">IFERROR(_xlfn.IFS(OR(F328="",LEFT(Methode_Keuze,4)="Geen",Methode_Keuze=""),"",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17" t="str" cm="1">
        <f t="array" aca="1" ref="X328" ca="1">IFERROR(_xlfn.IFS(OR(F328="",LEFT(Methode_Keuze,4)="Geen",Methode_Keuze=""),"",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26"/>
      <c r="Z328" s="319"/>
      <c r="AA328" s="32" t="str" cm="1">
        <f t="array" ref="AA328">IFERROR(IF(INDEX(SubsidieTabel!$AD$1:$AG$12,MATCH($F328,SubsidieTabel!$AD$1:$AD$12,0),IFERROR(MATCH(Methode_Keuze,SubsidieTabel!$AD$1:$AG$1,0),2))&lt;&gt;1=TRUE,"ja",""),"")</f>
        <v/>
      </c>
    </row>
    <row r="329" spans="1:27" x14ac:dyDescent="0.25">
      <c r="A329" s="320"/>
      <c r="B329" s="321" t="str">
        <f>IF(A329&lt;&gt;"",_xlfn.MAXIFS($B$1:B328,$A$1:A328,A329)+1,"")</f>
        <v/>
      </c>
      <c r="C329" s="299"/>
      <c r="D329" s="299"/>
      <c r="E329" s="299"/>
      <c r="F329" s="299"/>
      <c r="G329" s="330"/>
      <c r="H329" s="328"/>
      <c r="I329" s="329"/>
      <c r="J329" s="329"/>
      <c r="K329" s="322"/>
      <c r="L329" s="322"/>
      <c r="M329" s="323" t="str">
        <f>IFERROR(VLOOKUP(H329,Lijsten!$H$1:$I$100,2,0),"")</f>
        <v/>
      </c>
      <c r="N329" s="323" t="str">
        <f ca="1">IFERROR(IF(VLOOKUP(F329,Kostentypen!$A$3:$E$21,3,0)=0,"",IF(OR(F329="Arbeidskosten",F329="Vergoeding"),VLOOKUP(G329,Tb_KostenTypen[],2,0),VLOOKUP(F329,Kostentypen!$A$3:$E$20,3,0))),"")</f>
        <v/>
      </c>
      <c r="O329" s="324"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4"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3"/>
      <c r="R329" s="363"/>
      <c r="S329" s="325"/>
      <c r="T329" s="325"/>
      <c r="U329" s="317" t="str" cm="1">
        <f t="array" aca="1" ref="U329" ca="1">IFERROR(IF(AA329&lt;&gt;"ja",_xlfn.IFNA(_xlfn.IFS(AND(O329&lt;&gt;"",F329&lt;&gt;"",RIGHT($N329,6)="tarief",F329="Vergoeding"),SUM(O329)*FLOOR(SUM(Q329),0.0001),AND(O329&lt;&gt;"",F329&lt;&gt;"",RIGHT($N329,6)="tarief"),SUM(O329)*FLOOR(SUM(Q329),0.01),S329&gt;0,IF(F329&lt;&gt;"",FLOOR(SUM(S329),0.01),"")),""),""),"")</f>
        <v/>
      </c>
      <c r="V329" s="317" t="str" cm="1">
        <f t="array" aca="1" ref="V329" ca="1">IFERROR(IF(AA329&lt;&gt;"ja",_xlfn.IFNA(_xlfn.IFS(AND(P329&lt;&gt;"",R329&lt;&gt;"",RIGHT($N329,6)="tarief",F329="Vergoeding"),SUM(P329)*FLOOR(SUM(R329),0.0001),AND(P329&lt;&gt;"",R329&lt;&gt;"",RIGHT($N329,6)="tarief"),P329*FLOOR(R329,0.01),T329&gt;0,FLOOR(SUM(T329),0.01)),""),""),"")</f>
        <v/>
      </c>
      <c r="W329" s="317" t="str" cm="1">
        <f t="array" aca="1" ref="W329" ca="1">IFERROR(_xlfn.IFS(OR(F329="",LEFT(Methode_Keuze,4)="Geen",Methode_Keuze=""),"",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17" t="str" cm="1">
        <f t="array" aca="1" ref="X329" ca="1">IFERROR(_xlfn.IFS(OR(F329="",LEFT(Methode_Keuze,4)="Geen",Methode_Keuze=""),"",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26"/>
      <c r="Z329" s="319"/>
      <c r="AA329" s="32" t="str" cm="1">
        <f t="array" ref="AA329">IFERROR(IF(INDEX(SubsidieTabel!$AD$1:$AG$12,MATCH($F329,SubsidieTabel!$AD$1:$AD$12,0),IFERROR(MATCH(Methode_Keuze,SubsidieTabel!$AD$1:$AG$1,0),2))&lt;&gt;1=TRUE,"ja",""),"")</f>
        <v/>
      </c>
    </row>
    <row r="330" spans="1:27" x14ac:dyDescent="0.25">
      <c r="A330" s="320"/>
      <c r="B330" s="321" t="str">
        <f>IF(A330&lt;&gt;"",_xlfn.MAXIFS($B$1:B329,$A$1:A329,A330)+1,"")</f>
        <v/>
      </c>
      <c r="C330" s="299"/>
      <c r="D330" s="299"/>
      <c r="E330" s="299"/>
      <c r="F330" s="299"/>
      <c r="G330" s="330"/>
      <c r="H330" s="328"/>
      <c r="I330" s="329"/>
      <c r="J330" s="329"/>
      <c r="K330" s="322"/>
      <c r="L330" s="322"/>
      <c r="M330" s="323" t="str">
        <f>IFERROR(VLOOKUP(H330,Lijsten!$H$1:$I$100,2,0),"")</f>
        <v/>
      </c>
      <c r="N330" s="323" t="str">
        <f ca="1">IFERROR(IF(VLOOKUP(F330,Kostentypen!$A$3:$E$21,3,0)=0,"",IF(OR(F330="Arbeidskosten",F330="Vergoeding"),VLOOKUP(G330,Tb_KostenTypen[],2,0),VLOOKUP(F330,Kostentypen!$A$3:$E$20,3,0))),"")</f>
        <v/>
      </c>
      <c r="O330" s="324"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4"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3"/>
      <c r="R330" s="363"/>
      <c r="S330" s="325"/>
      <c r="T330" s="325"/>
      <c r="U330" s="317" t="str" cm="1">
        <f t="array" aca="1" ref="U330" ca="1">IFERROR(IF(AA330&lt;&gt;"ja",_xlfn.IFNA(_xlfn.IFS(AND(O330&lt;&gt;"",F330&lt;&gt;"",RIGHT($N330,6)="tarief",F330="Vergoeding"),SUM(O330)*FLOOR(SUM(Q330),0.0001),AND(O330&lt;&gt;"",F330&lt;&gt;"",RIGHT($N330,6)="tarief"),SUM(O330)*FLOOR(SUM(Q330),0.01),S330&gt;0,IF(F330&lt;&gt;"",FLOOR(SUM(S330),0.01),"")),""),""),"")</f>
        <v/>
      </c>
      <c r="V330" s="317" t="str" cm="1">
        <f t="array" aca="1" ref="V330" ca="1">IFERROR(IF(AA330&lt;&gt;"ja",_xlfn.IFNA(_xlfn.IFS(AND(P330&lt;&gt;"",R330&lt;&gt;"",RIGHT($N330,6)="tarief",F330="Vergoeding"),SUM(P330)*FLOOR(SUM(R330),0.0001),AND(P330&lt;&gt;"",R330&lt;&gt;"",RIGHT($N330,6)="tarief"),P330*FLOOR(R330,0.01),T330&gt;0,FLOOR(SUM(T330),0.01)),""),""),"")</f>
        <v/>
      </c>
      <c r="W330" s="317" t="str" cm="1">
        <f t="array" aca="1" ref="W330" ca="1">IFERROR(_xlfn.IFS(OR(F330="",LEFT(Methode_Keuze,4)="Geen",Methode_Keuze=""),"",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17" t="str" cm="1">
        <f t="array" aca="1" ref="X330" ca="1">IFERROR(_xlfn.IFS(OR(F330="",LEFT(Methode_Keuze,4)="Geen",Methode_Keuze=""),"",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26"/>
      <c r="Z330" s="319"/>
      <c r="AA330" s="32" t="str" cm="1">
        <f t="array" ref="AA330">IFERROR(IF(INDEX(SubsidieTabel!$AD$1:$AG$12,MATCH($F330,SubsidieTabel!$AD$1:$AD$12,0),IFERROR(MATCH(Methode_Keuze,SubsidieTabel!$AD$1:$AG$1,0),2))&lt;&gt;1=TRUE,"ja",""),"")</f>
        <v/>
      </c>
    </row>
    <row r="331" spans="1:27" x14ac:dyDescent="0.25">
      <c r="A331" s="320"/>
      <c r="B331" s="321" t="str">
        <f>IF(A331&lt;&gt;"",_xlfn.MAXIFS($B$1:B330,$A$1:A330,A331)+1,"")</f>
        <v/>
      </c>
      <c r="C331" s="299"/>
      <c r="D331" s="299"/>
      <c r="E331" s="299"/>
      <c r="F331" s="299"/>
      <c r="G331" s="330"/>
      <c r="H331" s="328"/>
      <c r="I331" s="329"/>
      <c r="J331" s="329"/>
      <c r="K331" s="322"/>
      <c r="L331" s="322"/>
      <c r="M331" s="323" t="str">
        <f>IFERROR(VLOOKUP(H331,Lijsten!$H$1:$I$100,2,0),"")</f>
        <v/>
      </c>
      <c r="N331" s="323" t="str">
        <f ca="1">IFERROR(IF(VLOOKUP(F331,Kostentypen!$A$3:$E$21,3,0)=0,"",IF(OR(F331="Arbeidskosten",F331="Vergoeding"),VLOOKUP(G331,Tb_KostenTypen[],2,0),VLOOKUP(F331,Kostentypen!$A$3:$E$20,3,0))),"")</f>
        <v/>
      </c>
      <c r="O331" s="324"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4"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3"/>
      <c r="R331" s="363"/>
      <c r="S331" s="325"/>
      <c r="T331" s="325"/>
      <c r="U331" s="317" t="str" cm="1">
        <f t="array" aca="1" ref="U331" ca="1">IFERROR(IF(AA331&lt;&gt;"ja",_xlfn.IFNA(_xlfn.IFS(AND(O331&lt;&gt;"",F331&lt;&gt;"",RIGHT($N331,6)="tarief",F331="Vergoeding"),SUM(O331)*FLOOR(SUM(Q331),0.0001),AND(O331&lt;&gt;"",F331&lt;&gt;"",RIGHT($N331,6)="tarief"),SUM(O331)*FLOOR(SUM(Q331),0.01),S331&gt;0,IF(F331&lt;&gt;"",FLOOR(SUM(S331),0.01),"")),""),""),"")</f>
        <v/>
      </c>
      <c r="V331" s="317" t="str" cm="1">
        <f t="array" aca="1" ref="V331" ca="1">IFERROR(IF(AA331&lt;&gt;"ja",_xlfn.IFNA(_xlfn.IFS(AND(P331&lt;&gt;"",R331&lt;&gt;"",RIGHT($N331,6)="tarief",F331="Vergoeding"),SUM(P331)*FLOOR(SUM(R331),0.0001),AND(P331&lt;&gt;"",R331&lt;&gt;"",RIGHT($N331,6)="tarief"),P331*FLOOR(R331,0.01),T331&gt;0,FLOOR(SUM(T331),0.01)),""),""),"")</f>
        <v/>
      </c>
      <c r="W331" s="317" t="str" cm="1">
        <f t="array" aca="1" ref="W331" ca="1">IFERROR(_xlfn.IFS(OR(F331="",LEFT(Methode_Keuze,4)="Geen",Methode_Keuze=""),"",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17" t="str" cm="1">
        <f t="array" aca="1" ref="X331" ca="1">IFERROR(_xlfn.IFS(OR(F331="",LEFT(Methode_Keuze,4)="Geen",Methode_Keuze=""),"",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26"/>
      <c r="Z331" s="319"/>
      <c r="AA331" s="32" t="str" cm="1">
        <f t="array" ref="AA331">IFERROR(IF(INDEX(SubsidieTabel!$AD$1:$AG$12,MATCH($F331,SubsidieTabel!$AD$1:$AD$12,0),IFERROR(MATCH(Methode_Keuze,SubsidieTabel!$AD$1:$AG$1,0),2))&lt;&gt;1=TRUE,"ja",""),"")</f>
        <v/>
      </c>
    </row>
    <row r="332" spans="1:27" x14ac:dyDescent="0.25">
      <c r="A332" s="320"/>
      <c r="B332" s="321" t="str">
        <f>IF(A332&lt;&gt;"",_xlfn.MAXIFS($B$1:B331,$A$1:A331,A332)+1,"")</f>
        <v/>
      </c>
      <c r="C332" s="299"/>
      <c r="D332" s="299"/>
      <c r="E332" s="299"/>
      <c r="F332" s="299"/>
      <c r="G332" s="330"/>
      <c r="H332" s="328"/>
      <c r="I332" s="329"/>
      <c r="J332" s="329"/>
      <c r="K332" s="322"/>
      <c r="L332" s="322"/>
      <c r="M332" s="323" t="str">
        <f>IFERROR(VLOOKUP(H332,Lijsten!$H$1:$I$100,2,0),"")</f>
        <v/>
      </c>
      <c r="N332" s="323" t="str">
        <f ca="1">IFERROR(IF(VLOOKUP(F332,Kostentypen!$A$3:$E$21,3,0)=0,"",IF(OR(F332="Arbeidskosten",F332="Vergoeding"),VLOOKUP(G332,Tb_KostenTypen[],2,0),VLOOKUP(F332,Kostentypen!$A$3:$E$20,3,0))),"")</f>
        <v/>
      </c>
      <c r="O332" s="324"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4"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3"/>
      <c r="R332" s="363"/>
      <c r="S332" s="325"/>
      <c r="T332" s="325"/>
      <c r="U332" s="317" t="str" cm="1">
        <f t="array" aca="1" ref="U332" ca="1">IFERROR(IF(AA332&lt;&gt;"ja",_xlfn.IFNA(_xlfn.IFS(AND(O332&lt;&gt;"",F332&lt;&gt;"",RIGHT($N332,6)="tarief",F332="Vergoeding"),SUM(O332)*FLOOR(SUM(Q332),0.0001),AND(O332&lt;&gt;"",F332&lt;&gt;"",RIGHT($N332,6)="tarief"),SUM(O332)*FLOOR(SUM(Q332),0.01),S332&gt;0,IF(F332&lt;&gt;"",FLOOR(SUM(S332),0.01),"")),""),""),"")</f>
        <v/>
      </c>
      <c r="V332" s="317" t="str" cm="1">
        <f t="array" aca="1" ref="V332" ca="1">IFERROR(IF(AA332&lt;&gt;"ja",_xlfn.IFNA(_xlfn.IFS(AND(P332&lt;&gt;"",R332&lt;&gt;"",RIGHT($N332,6)="tarief",F332="Vergoeding"),SUM(P332)*FLOOR(SUM(R332),0.0001),AND(P332&lt;&gt;"",R332&lt;&gt;"",RIGHT($N332,6)="tarief"),P332*FLOOR(R332,0.01),T332&gt;0,FLOOR(SUM(T332),0.01)),""),""),"")</f>
        <v/>
      </c>
      <c r="W332" s="317" t="str" cm="1">
        <f t="array" aca="1" ref="W332" ca="1">IFERROR(_xlfn.IFS(OR(F332="",LEFT(Methode_Keuze,4)="Geen",Methode_Keuze=""),"",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17" t="str" cm="1">
        <f t="array" aca="1" ref="X332" ca="1">IFERROR(_xlfn.IFS(OR(F332="",LEFT(Methode_Keuze,4)="Geen",Methode_Keuze=""),"",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26"/>
      <c r="Z332" s="319"/>
      <c r="AA332" s="32" t="str" cm="1">
        <f t="array" ref="AA332">IFERROR(IF(INDEX(SubsidieTabel!$AD$1:$AG$12,MATCH($F332,SubsidieTabel!$AD$1:$AD$12,0),IFERROR(MATCH(Methode_Keuze,SubsidieTabel!$AD$1:$AG$1,0),2))&lt;&gt;1=TRUE,"ja",""),"")</f>
        <v/>
      </c>
    </row>
    <row r="333" spans="1:27" x14ac:dyDescent="0.25">
      <c r="A333" s="320"/>
      <c r="B333" s="321" t="str">
        <f>IF(A333&lt;&gt;"",_xlfn.MAXIFS($B$1:B332,$A$1:A332,A333)+1,"")</f>
        <v/>
      </c>
      <c r="C333" s="299"/>
      <c r="D333" s="299"/>
      <c r="E333" s="299"/>
      <c r="F333" s="299"/>
      <c r="G333" s="330"/>
      <c r="H333" s="328"/>
      <c r="I333" s="329"/>
      <c r="J333" s="329"/>
      <c r="K333" s="322"/>
      <c r="L333" s="322"/>
      <c r="M333" s="323" t="str">
        <f>IFERROR(VLOOKUP(H333,Lijsten!$H$1:$I$100,2,0),"")</f>
        <v/>
      </c>
      <c r="N333" s="323" t="str">
        <f ca="1">IFERROR(IF(VLOOKUP(F333,Kostentypen!$A$3:$E$21,3,0)=0,"",IF(OR(F333="Arbeidskosten",F333="Vergoeding"),VLOOKUP(G333,Tb_KostenTypen[],2,0),VLOOKUP(F333,Kostentypen!$A$3:$E$20,3,0))),"")</f>
        <v/>
      </c>
      <c r="O333" s="324"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4"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3"/>
      <c r="R333" s="363"/>
      <c r="S333" s="325"/>
      <c r="T333" s="325"/>
      <c r="U333" s="317" t="str" cm="1">
        <f t="array" aca="1" ref="U333" ca="1">IFERROR(IF(AA333&lt;&gt;"ja",_xlfn.IFNA(_xlfn.IFS(AND(O333&lt;&gt;"",F333&lt;&gt;"",RIGHT($N333,6)="tarief",F333="Vergoeding"),SUM(O333)*FLOOR(SUM(Q333),0.0001),AND(O333&lt;&gt;"",F333&lt;&gt;"",RIGHT($N333,6)="tarief"),SUM(O333)*FLOOR(SUM(Q333),0.01),S333&gt;0,IF(F333&lt;&gt;"",FLOOR(SUM(S333),0.01),"")),""),""),"")</f>
        <v/>
      </c>
      <c r="V333" s="317" t="str" cm="1">
        <f t="array" aca="1" ref="V333" ca="1">IFERROR(IF(AA333&lt;&gt;"ja",_xlfn.IFNA(_xlfn.IFS(AND(P333&lt;&gt;"",R333&lt;&gt;"",RIGHT($N333,6)="tarief",F333="Vergoeding"),SUM(P333)*FLOOR(SUM(R333),0.0001),AND(P333&lt;&gt;"",R333&lt;&gt;"",RIGHT($N333,6)="tarief"),P333*FLOOR(R333,0.01),T333&gt;0,FLOOR(SUM(T333),0.01)),""),""),"")</f>
        <v/>
      </c>
      <c r="W333" s="317" t="str" cm="1">
        <f t="array" aca="1" ref="W333" ca="1">IFERROR(_xlfn.IFS(OR(F333="",LEFT(Methode_Keuze,4)="Geen",Methode_Keuze=""),"",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17" t="str" cm="1">
        <f t="array" aca="1" ref="X333" ca="1">IFERROR(_xlfn.IFS(OR(F333="",LEFT(Methode_Keuze,4)="Geen",Methode_Keuze=""),"",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26"/>
      <c r="Z333" s="319"/>
      <c r="AA333" s="32" t="str" cm="1">
        <f t="array" ref="AA333">IFERROR(IF(INDEX(SubsidieTabel!$AD$1:$AG$12,MATCH($F333,SubsidieTabel!$AD$1:$AD$12,0),IFERROR(MATCH(Methode_Keuze,SubsidieTabel!$AD$1:$AG$1,0),2))&lt;&gt;1=TRUE,"ja",""),"")</f>
        <v/>
      </c>
    </row>
    <row r="334" spans="1:27" x14ac:dyDescent="0.25">
      <c r="A334" s="320"/>
      <c r="B334" s="321" t="str">
        <f>IF(A334&lt;&gt;"",_xlfn.MAXIFS($B$1:B333,$A$1:A333,A334)+1,"")</f>
        <v/>
      </c>
      <c r="C334" s="299"/>
      <c r="D334" s="299"/>
      <c r="E334" s="299"/>
      <c r="F334" s="299"/>
      <c r="G334" s="330"/>
      <c r="H334" s="328"/>
      <c r="I334" s="329"/>
      <c r="J334" s="329"/>
      <c r="K334" s="322"/>
      <c r="L334" s="322"/>
      <c r="M334" s="323" t="str">
        <f>IFERROR(VLOOKUP(H334,Lijsten!$H$1:$I$100,2,0),"")</f>
        <v/>
      </c>
      <c r="N334" s="323" t="str">
        <f ca="1">IFERROR(IF(VLOOKUP(F334,Kostentypen!$A$3:$E$21,3,0)=0,"",IF(OR(F334="Arbeidskosten",F334="Vergoeding"),VLOOKUP(G334,Tb_KostenTypen[],2,0),VLOOKUP(F334,Kostentypen!$A$3:$E$20,3,0))),"")</f>
        <v/>
      </c>
      <c r="O334" s="324"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4"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3"/>
      <c r="R334" s="363"/>
      <c r="S334" s="325"/>
      <c r="T334" s="325"/>
      <c r="U334" s="317" t="str" cm="1">
        <f t="array" aca="1" ref="U334" ca="1">IFERROR(IF(AA334&lt;&gt;"ja",_xlfn.IFNA(_xlfn.IFS(AND(O334&lt;&gt;"",F334&lt;&gt;"",RIGHT($N334,6)="tarief",F334="Vergoeding"),SUM(O334)*FLOOR(SUM(Q334),0.0001),AND(O334&lt;&gt;"",F334&lt;&gt;"",RIGHT($N334,6)="tarief"),SUM(O334)*FLOOR(SUM(Q334),0.01),S334&gt;0,IF(F334&lt;&gt;"",FLOOR(SUM(S334),0.01),"")),""),""),"")</f>
        <v/>
      </c>
      <c r="V334" s="317" t="str" cm="1">
        <f t="array" aca="1" ref="V334" ca="1">IFERROR(IF(AA334&lt;&gt;"ja",_xlfn.IFNA(_xlfn.IFS(AND(P334&lt;&gt;"",R334&lt;&gt;"",RIGHT($N334,6)="tarief",F334="Vergoeding"),SUM(P334)*FLOOR(SUM(R334),0.0001),AND(P334&lt;&gt;"",R334&lt;&gt;"",RIGHT($N334,6)="tarief"),P334*FLOOR(R334,0.01),T334&gt;0,FLOOR(SUM(T334),0.01)),""),""),"")</f>
        <v/>
      </c>
      <c r="W334" s="317" t="str" cm="1">
        <f t="array" aca="1" ref="W334" ca="1">IFERROR(_xlfn.IFS(OR(F334="",LEFT(Methode_Keuze,4)="Geen",Methode_Keuze=""),"",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17" t="str" cm="1">
        <f t="array" aca="1" ref="X334" ca="1">IFERROR(_xlfn.IFS(OR(F334="",LEFT(Methode_Keuze,4)="Geen",Methode_Keuze=""),"",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26"/>
      <c r="Z334" s="319"/>
      <c r="AA334" s="32" t="str" cm="1">
        <f t="array" ref="AA334">IFERROR(IF(INDEX(SubsidieTabel!$AD$1:$AG$12,MATCH($F334,SubsidieTabel!$AD$1:$AD$12,0),IFERROR(MATCH(Methode_Keuze,SubsidieTabel!$AD$1:$AG$1,0),2))&lt;&gt;1=TRUE,"ja",""),"")</f>
        <v/>
      </c>
    </row>
    <row r="335" spans="1:27" x14ac:dyDescent="0.25">
      <c r="A335" s="320"/>
      <c r="B335" s="321" t="str">
        <f>IF(A335&lt;&gt;"",_xlfn.MAXIFS($B$1:B334,$A$1:A334,A335)+1,"")</f>
        <v/>
      </c>
      <c r="C335" s="299"/>
      <c r="D335" s="299"/>
      <c r="E335" s="299"/>
      <c r="F335" s="299"/>
      <c r="G335" s="330"/>
      <c r="H335" s="328"/>
      <c r="I335" s="329"/>
      <c r="J335" s="329"/>
      <c r="K335" s="322"/>
      <c r="L335" s="322"/>
      <c r="M335" s="323" t="str">
        <f>IFERROR(VLOOKUP(H335,Lijsten!$H$1:$I$100,2,0),"")</f>
        <v/>
      </c>
      <c r="N335" s="323" t="str">
        <f ca="1">IFERROR(IF(VLOOKUP(F335,Kostentypen!$A$3:$E$21,3,0)=0,"",IF(OR(F335="Arbeidskosten",F335="Vergoeding"),VLOOKUP(G335,Tb_KostenTypen[],2,0),VLOOKUP(F335,Kostentypen!$A$3:$E$20,3,0))),"")</f>
        <v/>
      </c>
      <c r="O335" s="324"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4"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3"/>
      <c r="R335" s="363"/>
      <c r="S335" s="325"/>
      <c r="T335" s="325"/>
      <c r="U335" s="317" t="str" cm="1">
        <f t="array" aca="1" ref="U335" ca="1">IFERROR(IF(AA335&lt;&gt;"ja",_xlfn.IFNA(_xlfn.IFS(AND(O335&lt;&gt;"",F335&lt;&gt;"",RIGHT($N335,6)="tarief",F335="Vergoeding"),SUM(O335)*FLOOR(SUM(Q335),0.0001),AND(O335&lt;&gt;"",F335&lt;&gt;"",RIGHT($N335,6)="tarief"),SUM(O335)*FLOOR(SUM(Q335),0.01),S335&gt;0,IF(F335&lt;&gt;"",FLOOR(SUM(S335),0.01),"")),""),""),"")</f>
        <v/>
      </c>
      <c r="V335" s="317" t="str" cm="1">
        <f t="array" aca="1" ref="V335" ca="1">IFERROR(IF(AA335&lt;&gt;"ja",_xlfn.IFNA(_xlfn.IFS(AND(P335&lt;&gt;"",R335&lt;&gt;"",RIGHT($N335,6)="tarief",F335="Vergoeding"),SUM(P335)*FLOOR(SUM(R335),0.0001),AND(P335&lt;&gt;"",R335&lt;&gt;"",RIGHT($N335,6)="tarief"),P335*FLOOR(R335,0.01),T335&gt;0,FLOOR(SUM(T335),0.01)),""),""),"")</f>
        <v/>
      </c>
      <c r="W335" s="317" t="str" cm="1">
        <f t="array" aca="1" ref="W335" ca="1">IFERROR(_xlfn.IFS(OR(F335="",LEFT(Methode_Keuze,4)="Geen",Methode_Keuze=""),"",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17" t="str" cm="1">
        <f t="array" aca="1" ref="X335" ca="1">IFERROR(_xlfn.IFS(OR(F335="",LEFT(Methode_Keuze,4)="Geen",Methode_Keuze=""),"",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26"/>
      <c r="Z335" s="319"/>
      <c r="AA335" s="32" t="str" cm="1">
        <f t="array" ref="AA335">IFERROR(IF(INDEX(SubsidieTabel!$AD$1:$AG$12,MATCH($F335,SubsidieTabel!$AD$1:$AD$12,0),IFERROR(MATCH(Methode_Keuze,SubsidieTabel!$AD$1:$AG$1,0),2))&lt;&gt;1=TRUE,"ja",""),"")</f>
        <v/>
      </c>
    </row>
    <row r="336" spans="1:27" x14ac:dyDescent="0.25">
      <c r="A336" s="320"/>
      <c r="B336" s="321" t="str">
        <f>IF(A336&lt;&gt;"",_xlfn.MAXIFS($B$1:B335,$A$1:A335,A336)+1,"")</f>
        <v/>
      </c>
      <c r="C336" s="299"/>
      <c r="D336" s="299"/>
      <c r="E336" s="299"/>
      <c r="F336" s="299"/>
      <c r="G336" s="330"/>
      <c r="H336" s="328"/>
      <c r="I336" s="329"/>
      <c r="J336" s="329"/>
      <c r="K336" s="322"/>
      <c r="L336" s="322"/>
      <c r="M336" s="323" t="str">
        <f>IFERROR(VLOOKUP(H336,Lijsten!$H$1:$I$100,2,0),"")</f>
        <v/>
      </c>
      <c r="N336" s="323" t="str">
        <f ca="1">IFERROR(IF(VLOOKUP(F336,Kostentypen!$A$3:$E$21,3,0)=0,"",IF(OR(F336="Arbeidskosten",F336="Vergoeding"),VLOOKUP(G336,Tb_KostenTypen[],2,0),VLOOKUP(F336,Kostentypen!$A$3:$E$20,3,0))),"")</f>
        <v/>
      </c>
      <c r="O336" s="324"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4"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3"/>
      <c r="R336" s="363"/>
      <c r="S336" s="325"/>
      <c r="T336" s="325"/>
      <c r="U336" s="317" t="str" cm="1">
        <f t="array" aca="1" ref="U336" ca="1">IFERROR(IF(AA336&lt;&gt;"ja",_xlfn.IFNA(_xlfn.IFS(AND(O336&lt;&gt;"",F336&lt;&gt;"",RIGHT($N336,6)="tarief",F336="Vergoeding"),SUM(O336)*FLOOR(SUM(Q336),0.0001),AND(O336&lt;&gt;"",F336&lt;&gt;"",RIGHT($N336,6)="tarief"),SUM(O336)*FLOOR(SUM(Q336),0.01),S336&gt;0,IF(F336&lt;&gt;"",FLOOR(SUM(S336),0.01),"")),""),""),"")</f>
        <v/>
      </c>
      <c r="V336" s="317" t="str" cm="1">
        <f t="array" aca="1" ref="V336" ca="1">IFERROR(IF(AA336&lt;&gt;"ja",_xlfn.IFNA(_xlfn.IFS(AND(P336&lt;&gt;"",R336&lt;&gt;"",RIGHT($N336,6)="tarief",F336="Vergoeding"),SUM(P336)*FLOOR(SUM(R336),0.0001),AND(P336&lt;&gt;"",R336&lt;&gt;"",RIGHT($N336,6)="tarief"),P336*FLOOR(R336,0.01),T336&gt;0,FLOOR(SUM(T336),0.01)),""),""),"")</f>
        <v/>
      </c>
      <c r="W336" s="317" t="str" cm="1">
        <f t="array" aca="1" ref="W336" ca="1">IFERROR(_xlfn.IFS(OR(F336="",LEFT(Methode_Keuze,4)="Geen",Methode_Keuze=""),"",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17" t="str" cm="1">
        <f t="array" aca="1" ref="X336" ca="1">IFERROR(_xlfn.IFS(OR(F336="",LEFT(Methode_Keuze,4)="Geen",Methode_Keuze=""),"",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26"/>
      <c r="Z336" s="319"/>
      <c r="AA336" s="32" t="str" cm="1">
        <f t="array" ref="AA336">IFERROR(IF(INDEX(SubsidieTabel!$AD$1:$AG$12,MATCH($F336,SubsidieTabel!$AD$1:$AD$12,0),IFERROR(MATCH(Methode_Keuze,SubsidieTabel!$AD$1:$AG$1,0),2))&lt;&gt;1=TRUE,"ja",""),"")</f>
        <v/>
      </c>
    </row>
    <row r="337" spans="1:27" x14ac:dyDescent="0.25">
      <c r="A337" s="320"/>
      <c r="B337" s="321" t="str">
        <f>IF(A337&lt;&gt;"",_xlfn.MAXIFS($B$1:B336,$A$1:A336,A337)+1,"")</f>
        <v/>
      </c>
      <c r="C337" s="299"/>
      <c r="D337" s="299"/>
      <c r="E337" s="299"/>
      <c r="F337" s="299"/>
      <c r="G337" s="330"/>
      <c r="H337" s="328"/>
      <c r="I337" s="329"/>
      <c r="J337" s="329"/>
      <c r="K337" s="322"/>
      <c r="L337" s="322"/>
      <c r="M337" s="323" t="str">
        <f>IFERROR(VLOOKUP(H337,Lijsten!$H$1:$I$100,2,0),"")</f>
        <v/>
      </c>
      <c r="N337" s="323" t="str">
        <f ca="1">IFERROR(IF(VLOOKUP(F337,Kostentypen!$A$3:$E$21,3,0)=0,"",IF(OR(F337="Arbeidskosten",F337="Vergoeding"),VLOOKUP(G337,Tb_KostenTypen[],2,0),VLOOKUP(F337,Kostentypen!$A$3:$E$20,3,0))),"")</f>
        <v/>
      </c>
      <c r="O337" s="324"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4"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3"/>
      <c r="R337" s="363"/>
      <c r="S337" s="325"/>
      <c r="T337" s="325"/>
      <c r="U337" s="317" t="str" cm="1">
        <f t="array" aca="1" ref="U337" ca="1">IFERROR(IF(AA337&lt;&gt;"ja",_xlfn.IFNA(_xlfn.IFS(AND(O337&lt;&gt;"",F337&lt;&gt;"",RIGHT($N337,6)="tarief",F337="Vergoeding"),SUM(O337)*FLOOR(SUM(Q337),0.0001),AND(O337&lt;&gt;"",F337&lt;&gt;"",RIGHT($N337,6)="tarief"),SUM(O337)*FLOOR(SUM(Q337),0.01),S337&gt;0,IF(F337&lt;&gt;"",FLOOR(SUM(S337),0.01),"")),""),""),"")</f>
        <v/>
      </c>
      <c r="V337" s="317" t="str" cm="1">
        <f t="array" aca="1" ref="V337" ca="1">IFERROR(IF(AA337&lt;&gt;"ja",_xlfn.IFNA(_xlfn.IFS(AND(P337&lt;&gt;"",R337&lt;&gt;"",RIGHT($N337,6)="tarief",F337="Vergoeding"),SUM(P337)*FLOOR(SUM(R337),0.0001),AND(P337&lt;&gt;"",R337&lt;&gt;"",RIGHT($N337,6)="tarief"),P337*FLOOR(R337,0.01),T337&gt;0,FLOOR(SUM(T337),0.01)),""),""),"")</f>
        <v/>
      </c>
      <c r="W337" s="317" t="str" cm="1">
        <f t="array" aca="1" ref="W337" ca="1">IFERROR(_xlfn.IFS(OR(F337="",LEFT(Methode_Keuze,4)="Geen",Methode_Keuze=""),"",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17" t="str" cm="1">
        <f t="array" aca="1" ref="X337" ca="1">IFERROR(_xlfn.IFS(OR(F337="",LEFT(Methode_Keuze,4)="Geen",Methode_Keuze=""),"",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26"/>
      <c r="Z337" s="319"/>
      <c r="AA337" s="32" t="str" cm="1">
        <f t="array" ref="AA337">IFERROR(IF(INDEX(SubsidieTabel!$AD$1:$AG$12,MATCH($F337,SubsidieTabel!$AD$1:$AD$12,0),IFERROR(MATCH(Methode_Keuze,SubsidieTabel!$AD$1:$AG$1,0),2))&lt;&gt;1=TRUE,"ja",""),"")</f>
        <v/>
      </c>
    </row>
    <row r="338" spans="1:27" x14ac:dyDescent="0.25">
      <c r="A338" s="320"/>
      <c r="B338" s="321" t="str">
        <f>IF(A338&lt;&gt;"",_xlfn.MAXIFS($B$1:B337,$A$1:A337,A338)+1,"")</f>
        <v/>
      </c>
      <c r="C338" s="299"/>
      <c r="D338" s="299"/>
      <c r="E338" s="299"/>
      <c r="F338" s="299"/>
      <c r="G338" s="330"/>
      <c r="H338" s="328"/>
      <c r="I338" s="329"/>
      <c r="J338" s="329"/>
      <c r="K338" s="322"/>
      <c r="L338" s="322"/>
      <c r="M338" s="323" t="str">
        <f>IFERROR(VLOOKUP(H338,Lijsten!$H$1:$I$100,2,0),"")</f>
        <v/>
      </c>
      <c r="N338" s="323" t="str">
        <f ca="1">IFERROR(IF(VLOOKUP(F338,Kostentypen!$A$3:$E$21,3,0)=0,"",IF(OR(F338="Arbeidskosten",F338="Vergoeding"),VLOOKUP(G338,Tb_KostenTypen[],2,0),VLOOKUP(F338,Kostentypen!$A$3:$E$20,3,0))),"")</f>
        <v/>
      </c>
      <c r="O338" s="324"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4"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3"/>
      <c r="R338" s="363"/>
      <c r="S338" s="325"/>
      <c r="T338" s="325"/>
      <c r="U338" s="317" t="str" cm="1">
        <f t="array" aca="1" ref="U338" ca="1">IFERROR(IF(AA338&lt;&gt;"ja",_xlfn.IFNA(_xlfn.IFS(AND(O338&lt;&gt;"",F338&lt;&gt;"",RIGHT($N338,6)="tarief",F338="Vergoeding"),SUM(O338)*FLOOR(SUM(Q338),0.0001),AND(O338&lt;&gt;"",F338&lt;&gt;"",RIGHT($N338,6)="tarief"),SUM(O338)*FLOOR(SUM(Q338),0.01),S338&gt;0,IF(F338&lt;&gt;"",FLOOR(SUM(S338),0.01),"")),""),""),"")</f>
        <v/>
      </c>
      <c r="V338" s="317" t="str" cm="1">
        <f t="array" aca="1" ref="V338" ca="1">IFERROR(IF(AA338&lt;&gt;"ja",_xlfn.IFNA(_xlfn.IFS(AND(P338&lt;&gt;"",R338&lt;&gt;"",RIGHT($N338,6)="tarief",F338="Vergoeding"),SUM(P338)*FLOOR(SUM(R338),0.0001),AND(P338&lt;&gt;"",R338&lt;&gt;"",RIGHT($N338,6)="tarief"),P338*FLOOR(R338,0.01),T338&gt;0,FLOOR(SUM(T338),0.01)),""),""),"")</f>
        <v/>
      </c>
      <c r="W338" s="317" t="str" cm="1">
        <f t="array" aca="1" ref="W338" ca="1">IFERROR(_xlfn.IFS(OR(F338="",LEFT(Methode_Keuze,4)="Geen",Methode_Keuze=""),"",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17" t="str" cm="1">
        <f t="array" aca="1" ref="X338" ca="1">IFERROR(_xlfn.IFS(OR(F338="",LEFT(Methode_Keuze,4)="Geen",Methode_Keuze=""),"",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26"/>
      <c r="Z338" s="319"/>
      <c r="AA338" s="32" t="str" cm="1">
        <f t="array" ref="AA338">IFERROR(IF(INDEX(SubsidieTabel!$AD$1:$AG$12,MATCH($F338,SubsidieTabel!$AD$1:$AD$12,0),IFERROR(MATCH(Methode_Keuze,SubsidieTabel!$AD$1:$AG$1,0),2))&lt;&gt;1=TRUE,"ja",""),"")</f>
        <v/>
      </c>
    </row>
    <row r="339" spans="1:27" x14ac:dyDescent="0.25">
      <c r="A339" s="320"/>
      <c r="B339" s="321" t="str">
        <f>IF(A339&lt;&gt;"",_xlfn.MAXIFS($B$1:B338,$A$1:A338,A339)+1,"")</f>
        <v/>
      </c>
      <c r="C339" s="299"/>
      <c r="D339" s="299"/>
      <c r="E339" s="299"/>
      <c r="F339" s="299"/>
      <c r="G339" s="330"/>
      <c r="H339" s="328"/>
      <c r="I339" s="329"/>
      <c r="J339" s="329"/>
      <c r="K339" s="322"/>
      <c r="L339" s="322"/>
      <c r="M339" s="323" t="str">
        <f>IFERROR(VLOOKUP(H339,Lijsten!$H$1:$I$100,2,0),"")</f>
        <v/>
      </c>
      <c r="N339" s="323" t="str">
        <f ca="1">IFERROR(IF(VLOOKUP(F339,Kostentypen!$A$3:$E$21,3,0)=0,"",IF(OR(F339="Arbeidskosten",F339="Vergoeding"),VLOOKUP(G339,Tb_KostenTypen[],2,0),VLOOKUP(F339,Kostentypen!$A$3:$E$20,3,0))),"")</f>
        <v/>
      </c>
      <c r="O339" s="324"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4"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3"/>
      <c r="R339" s="363"/>
      <c r="S339" s="325"/>
      <c r="T339" s="325"/>
      <c r="U339" s="317" t="str" cm="1">
        <f t="array" aca="1" ref="U339" ca="1">IFERROR(IF(AA339&lt;&gt;"ja",_xlfn.IFNA(_xlfn.IFS(AND(O339&lt;&gt;"",F339&lt;&gt;"",RIGHT($N339,6)="tarief",F339="Vergoeding"),SUM(O339)*FLOOR(SUM(Q339),0.0001),AND(O339&lt;&gt;"",F339&lt;&gt;"",RIGHT($N339,6)="tarief"),SUM(O339)*FLOOR(SUM(Q339),0.01),S339&gt;0,IF(F339&lt;&gt;"",FLOOR(SUM(S339),0.01),"")),""),""),"")</f>
        <v/>
      </c>
      <c r="V339" s="317" t="str" cm="1">
        <f t="array" aca="1" ref="V339" ca="1">IFERROR(IF(AA339&lt;&gt;"ja",_xlfn.IFNA(_xlfn.IFS(AND(P339&lt;&gt;"",R339&lt;&gt;"",RIGHT($N339,6)="tarief",F339="Vergoeding"),SUM(P339)*FLOOR(SUM(R339),0.0001),AND(P339&lt;&gt;"",R339&lt;&gt;"",RIGHT($N339,6)="tarief"),P339*FLOOR(R339,0.01),T339&gt;0,FLOOR(SUM(T339),0.01)),""),""),"")</f>
        <v/>
      </c>
      <c r="W339" s="317" t="str" cm="1">
        <f t="array" aca="1" ref="W339" ca="1">IFERROR(_xlfn.IFS(OR(F339="",LEFT(Methode_Keuze,4)="Geen",Methode_Keuze=""),"",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17" t="str" cm="1">
        <f t="array" aca="1" ref="X339" ca="1">IFERROR(_xlfn.IFS(OR(F339="",LEFT(Methode_Keuze,4)="Geen",Methode_Keuze=""),"",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26"/>
      <c r="Z339" s="319"/>
      <c r="AA339" s="32" t="str" cm="1">
        <f t="array" ref="AA339">IFERROR(IF(INDEX(SubsidieTabel!$AD$1:$AG$12,MATCH($F339,SubsidieTabel!$AD$1:$AD$12,0),IFERROR(MATCH(Methode_Keuze,SubsidieTabel!$AD$1:$AG$1,0),2))&lt;&gt;1=TRUE,"ja",""),"")</f>
        <v/>
      </c>
    </row>
    <row r="340" spans="1:27" x14ac:dyDescent="0.25">
      <c r="A340" s="320"/>
      <c r="B340" s="321" t="str">
        <f>IF(A340&lt;&gt;"",_xlfn.MAXIFS($B$1:B339,$A$1:A339,A340)+1,"")</f>
        <v/>
      </c>
      <c r="C340" s="299"/>
      <c r="D340" s="299"/>
      <c r="E340" s="299"/>
      <c r="F340" s="299"/>
      <c r="G340" s="330"/>
      <c r="H340" s="328"/>
      <c r="I340" s="329"/>
      <c r="J340" s="329"/>
      <c r="K340" s="322"/>
      <c r="L340" s="322"/>
      <c r="M340" s="323" t="str">
        <f>IFERROR(VLOOKUP(H340,Lijsten!$H$1:$I$100,2,0),"")</f>
        <v/>
      </c>
      <c r="N340" s="323" t="str">
        <f ca="1">IFERROR(IF(VLOOKUP(F340,Kostentypen!$A$3:$E$21,3,0)=0,"",IF(OR(F340="Arbeidskosten",F340="Vergoeding"),VLOOKUP(G340,Tb_KostenTypen[],2,0),VLOOKUP(F340,Kostentypen!$A$3:$E$20,3,0))),"")</f>
        <v/>
      </c>
      <c r="O340" s="324"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4"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3"/>
      <c r="R340" s="363"/>
      <c r="S340" s="325"/>
      <c r="T340" s="325"/>
      <c r="U340" s="317" t="str" cm="1">
        <f t="array" aca="1" ref="U340" ca="1">IFERROR(IF(AA340&lt;&gt;"ja",_xlfn.IFNA(_xlfn.IFS(AND(O340&lt;&gt;"",F340&lt;&gt;"",RIGHT($N340,6)="tarief",F340="Vergoeding"),SUM(O340)*FLOOR(SUM(Q340),0.0001),AND(O340&lt;&gt;"",F340&lt;&gt;"",RIGHT($N340,6)="tarief"),SUM(O340)*FLOOR(SUM(Q340),0.01),S340&gt;0,IF(F340&lt;&gt;"",FLOOR(SUM(S340),0.01),"")),""),""),"")</f>
        <v/>
      </c>
      <c r="V340" s="317" t="str" cm="1">
        <f t="array" aca="1" ref="V340" ca="1">IFERROR(IF(AA340&lt;&gt;"ja",_xlfn.IFNA(_xlfn.IFS(AND(P340&lt;&gt;"",R340&lt;&gt;"",RIGHT($N340,6)="tarief",F340="Vergoeding"),SUM(P340)*FLOOR(SUM(R340),0.0001),AND(P340&lt;&gt;"",R340&lt;&gt;"",RIGHT($N340,6)="tarief"),P340*FLOOR(R340,0.01),T340&gt;0,FLOOR(SUM(T340),0.01)),""),""),"")</f>
        <v/>
      </c>
      <c r="W340" s="317" t="str" cm="1">
        <f t="array" aca="1" ref="W340" ca="1">IFERROR(_xlfn.IFS(OR(F340="",LEFT(Methode_Keuze,4)="Geen",Methode_Keuze=""),"",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17" t="str" cm="1">
        <f t="array" aca="1" ref="X340" ca="1">IFERROR(_xlfn.IFS(OR(F340="",LEFT(Methode_Keuze,4)="Geen",Methode_Keuze=""),"",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26"/>
      <c r="Z340" s="319"/>
      <c r="AA340" s="32" t="str" cm="1">
        <f t="array" ref="AA340">IFERROR(IF(INDEX(SubsidieTabel!$AD$1:$AG$12,MATCH($F340,SubsidieTabel!$AD$1:$AD$12,0),IFERROR(MATCH(Methode_Keuze,SubsidieTabel!$AD$1:$AG$1,0),2))&lt;&gt;1=TRUE,"ja",""),"")</f>
        <v/>
      </c>
    </row>
    <row r="341" spans="1:27" x14ac:dyDescent="0.25">
      <c r="A341" s="320"/>
      <c r="B341" s="321" t="str">
        <f>IF(A341&lt;&gt;"",_xlfn.MAXIFS($B$1:B340,$A$1:A340,A341)+1,"")</f>
        <v/>
      </c>
      <c r="C341" s="299"/>
      <c r="D341" s="299"/>
      <c r="E341" s="299"/>
      <c r="F341" s="299"/>
      <c r="G341" s="330"/>
      <c r="H341" s="328"/>
      <c r="I341" s="329"/>
      <c r="J341" s="329"/>
      <c r="K341" s="322"/>
      <c r="L341" s="322"/>
      <c r="M341" s="323" t="str">
        <f>IFERROR(VLOOKUP(H341,Lijsten!$H$1:$I$100,2,0),"")</f>
        <v/>
      </c>
      <c r="N341" s="323" t="str">
        <f ca="1">IFERROR(IF(VLOOKUP(F341,Kostentypen!$A$3:$E$21,3,0)=0,"",IF(OR(F341="Arbeidskosten",F341="Vergoeding"),VLOOKUP(G341,Tb_KostenTypen[],2,0),VLOOKUP(F341,Kostentypen!$A$3:$E$20,3,0))),"")</f>
        <v/>
      </c>
      <c r="O341" s="324"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4"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3"/>
      <c r="R341" s="363"/>
      <c r="S341" s="325"/>
      <c r="T341" s="325"/>
      <c r="U341" s="317" t="str" cm="1">
        <f t="array" aca="1" ref="U341" ca="1">IFERROR(IF(AA341&lt;&gt;"ja",_xlfn.IFNA(_xlfn.IFS(AND(O341&lt;&gt;"",F341&lt;&gt;"",RIGHT($N341,6)="tarief",F341="Vergoeding"),SUM(O341)*FLOOR(SUM(Q341),0.0001),AND(O341&lt;&gt;"",F341&lt;&gt;"",RIGHT($N341,6)="tarief"),SUM(O341)*FLOOR(SUM(Q341),0.01),S341&gt;0,IF(F341&lt;&gt;"",FLOOR(SUM(S341),0.01),"")),""),""),"")</f>
        <v/>
      </c>
      <c r="V341" s="317" t="str" cm="1">
        <f t="array" aca="1" ref="V341" ca="1">IFERROR(IF(AA341&lt;&gt;"ja",_xlfn.IFNA(_xlfn.IFS(AND(P341&lt;&gt;"",R341&lt;&gt;"",RIGHT($N341,6)="tarief",F341="Vergoeding"),SUM(P341)*FLOOR(SUM(R341),0.0001),AND(P341&lt;&gt;"",R341&lt;&gt;"",RIGHT($N341,6)="tarief"),P341*FLOOR(R341,0.01),T341&gt;0,FLOOR(SUM(T341),0.01)),""),""),"")</f>
        <v/>
      </c>
      <c r="W341" s="317" t="str" cm="1">
        <f t="array" aca="1" ref="W341" ca="1">IFERROR(_xlfn.IFS(OR(F341="",LEFT(Methode_Keuze,4)="Geen",Methode_Keuze=""),"",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17" t="str" cm="1">
        <f t="array" aca="1" ref="X341" ca="1">IFERROR(_xlfn.IFS(OR(F341="",LEFT(Methode_Keuze,4)="Geen",Methode_Keuze=""),"",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26"/>
      <c r="Z341" s="319"/>
      <c r="AA341" s="32" t="str" cm="1">
        <f t="array" ref="AA341">IFERROR(IF(INDEX(SubsidieTabel!$AD$1:$AG$12,MATCH($F341,SubsidieTabel!$AD$1:$AD$12,0),IFERROR(MATCH(Methode_Keuze,SubsidieTabel!$AD$1:$AG$1,0),2))&lt;&gt;1=TRUE,"ja",""),"")</f>
        <v/>
      </c>
    </row>
    <row r="342" spans="1:27" x14ac:dyDescent="0.25">
      <c r="A342" s="320"/>
      <c r="B342" s="321" t="str">
        <f>IF(A342&lt;&gt;"",_xlfn.MAXIFS($B$1:B341,$A$1:A341,A342)+1,"")</f>
        <v/>
      </c>
      <c r="C342" s="299"/>
      <c r="D342" s="299"/>
      <c r="E342" s="299"/>
      <c r="F342" s="299"/>
      <c r="G342" s="330"/>
      <c r="H342" s="328"/>
      <c r="I342" s="329"/>
      <c r="J342" s="329"/>
      <c r="K342" s="322"/>
      <c r="L342" s="322"/>
      <c r="M342" s="323" t="str">
        <f>IFERROR(VLOOKUP(H342,Lijsten!$H$1:$I$100,2,0),"")</f>
        <v/>
      </c>
      <c r="N342" s="323" t="str">
        <f ca="1">IFERROR(IF(VLOOKUP(F342,Kostentypen!$A$3:$E$21,3,0)=0,"",IF(OR(F342="Arbeidskosten",F342="Vergoeding"),VLOOKUP(G342,Tb_KostenTypen[],2,0),VLOOKUP(F342,Kostentypen!$A$3:$E$20,3,0))),"")</f>
        <v/>
      </c>
      <c r="O342" s="324"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4"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3"/>
      <c r="R342" s="363"/>
      <c r="S342" s="325"/>
      <c r="T342" s="325"/>
      <c r="U342" s="317" t="str" cm="1">
        <f t="array" aca="1" ref="U342" ca="1">IFERROR(IF(AA342&lt;&gt;"ja",_xlfn.IFNA(_xlfn.IFS(AND(O342&lt;&gt;"",F342&lt;&gt;"",RIGHT($N342,6)="tarief",F342="Vergoeding"),SUM(O342)*FLOOR(SUM(Q342),0.0001),AND(O342&lt;&gt;"",F342&lt;&gt;"",RIGHT($N342,6)="tarief"),SUM(O342)*FLOOR(SUM(Q342),0.01),S342&gt;0,IF(F342&lt;&gt;"",FLOOR(SUM(S342),0.01),"")),""),""),"")</f>
        <v/>
      </c>
      <c r="V342" s="317" t="str" cm="1">
        <f t="array" aca="1" ref="V342" ca="1">IFERROR(IF(AA342&lt;&gt;"ja",_xlfn.IFNA(_xlfn.IFS(AND(P342&lt;&gt;"",R342&lt;&gt;"",RIGHT($N342,6)="tarief",F342="Vergoeding"),SUM(P342)*FLOOR(SUM(R342),0.0001),AND(P342&lt;&gt;"",R342&lt;&gt;"",RIGHT($N342,6)="tarief"),P342*FLOOR(R342,0.01),T342&gt;0,FLOOR(SUM(T342),0.01)),""),""),"")</f>
        <v/>
      </c>
      <c r="W342" s="317" t="str" cm="1">
        <f t="array" aca="1" ref="W342" ca="1">IFERROR(_xlfn.IFS(OR(F342="",LEFT(Methode_Keuze,4)="Geen",Methode_Keuze=""),"",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17" t="str" cm="1">
        <f t="array" aca="1" ref="X342" ca="1">IFERROR(_xlfn.IFS(OR(F342="",LEFT(Methode_Keuze,4)="Geen",Methode_Keuze=""),"",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26"/>
      <c r="Z342" s="319"/>
      <c r="AA342" s="32" t="str" cm="1">
        <f t="array" ref="AA342">IFERROR(IF(INDEX(SubsidieTabel!$AD$1:$AG$12,MATCH($F342,SubsidieTabel!$AD$1:$AD$12,0),IFERROR(MATCH(Methode_Keuze,SubsidieTabel!$AD$1:$AG$1,0),2))&lt;&gt;1=TRUE,"ja",""),"")</f>
        <v/>
      </c>
    </row>
    <row r="343" spans="1:27" x14ac:dyDescent="0.25">
      <c r="A343" s="320"/>
      <c r="B343" s="321" t="str">
        <f>IF(A343&lt;&gt;"",_xlfn.MAXIFS($B$1:B342,$A$1:A342,A343)+1,"")</f>
        <v/>
      </c>
      <c r="C343" s="299"/>
      <c r="D343" s="299"/>
      <c r="E343" s="299"/>
      <c r="F343" s="299"/>
      <c r="G343" s="330"/>
      <c r="H343" s="328"/>
      <c r="I343" s="329"/>
      <c r="J343" s="329"/>
      <c r="K343" s="322"/>
      <c r="L343" s="322"/>
      <c r="M343" s="323" t="str">
        <f>IFERROR(VLOOKUP(H343,Lijsten!$H$1:$I$100,2,0),"")</f>
        <v/>
      </c>
      <c r="N343" s="323" t="str">
        <f ca="1">IFERROR(IF(VLOOKUP(F343,Kostentypen!$A$3:$E$21,3,0)=0,"",IF(OR(F343="Arbeidskosten",F343="Vergoeding"),VLOOKUP(G343,Tb_KostenTypen[],2,0),VLOOKUP(F343,Kostentypen!$A$3:$E$20,3,0))),"")</f>
        <v/>
      </c>
      <c r="O343" s="324"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4"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3"/>
      <c r="R343" s="363"/>
      <c r="S343" s="325"/>
      <c r="T343" s="325"/>
      <c r="U343" s="317" t="str" cm="1">
        <f t="array" aca="1" ref="U343" ca="1">IFERROR(IF(AA343&lt;&gt;"ja",_xlfn.IFNA(_xlfn.IFS(AND(O343&lt;&gt;"",F343&lt;&gt;"",RIGHT($N343,6)="tarief",F343="Vergoeding"),SUM(O343)*FLOOR(SUM(Q343),0.0001),AND(O343&lt;&gt;"",F343&lt;&gt;"",RIGHT($N343,6)="tarief"),SUM(O343)*FLOOR(SUM(Q343),0.01),S343&gt;0,IF(F343&lt;&gt;"",FLOOR(SUM(S343),0.01),"")),""),""),"")</f>
        <v/>
      </c>
      <c r="V343" s="317" t="str" cm="1">
        <f t="array" aca="1" ref="V343" ca="1">IFERROR(IF(AA343&lt;&gt;"ja",_xlfn.IFNA(_xlfn.IFS(AND(P343&lt;&gt;"",R343&lt;&gt;"",RIGHT($N343,6)="tarief",F343="Vergoeding"),SUM(P343)*FLOOR(SUM(R343),0.0001),AND(P343&lt;&gt;"",R343&lt;&gt;"",RIGHT($N343,6)="tarief"),P343*FLOOR(R343,0.01),T343&gt;0,FLOOR(SUM(T343),0.01)),""),""),"")</f>
        <v/>
      </c>
      <c r="W343" s="317" t="str" cm="1">
        <f t="array" aca="1" ref="W343" ca="1">IFERROR(_xlfn.IFS(OR(F343="",LEFT(Methode_Keuze,4)="Geen",Methode_Keuze=""),"",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17" t="str" cm="1">
        <f t="array" aca="1" ref="X343" ca="1">IFERROR(_xlfn.IFS(OR(F343="",LEFT(Methode_Keuze,4)="Geen",Methode_Keuze=""),"",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26"/>
      <c r="Z343" s="319"/>
      <c r="AA343" s="32" t="str" cm="1">
        <f t="array" ref="AA343">IFERROR(IF(INDEX(SubsidieTabel!$AD$1:$AG$12,MATCH($F343,SubsidieTabel!$AD$1:$AD$12,0),IFERROR(MATCH(Methode_Keuze,SubsidieTabel!$AD$1:$AG$1,0),2))&lt;&gt;1=TRUE,"ja",""),"")</f>
        <v/>
      </c>
    </row>
    <row r="344" spans="1:27" x14ac:dyDescent="0.25">
      <c r="A344" s="320"/>
      <c r="B344" s="321" t="str">
        <f>IF(A344&lt;&gt;"",_xlfn.MAXIFS($B$1:B343,$A$1:A343,A344)+1,"")</f>
        <v/>
      </c>
      <c r="C344" s="299"/>
      <c r="D344" s="299"/>
      <c r="E344" s="299"/>
      <c r="F344" s="299"/>
      <c r="G344" s="330"/>
      <c r="H344" s="328"/>
      <c r="I344" s="329"/>
      <c r="J344" s="329"/>
      <c r="K344" s="322"/>
      <c r="L344" s="322"/>
      <c r="M344" s="323" t="str">
        <f>IFERROR(VLOOKUP(H344,Lijsten!$H$1:$I$100,2,0),"")</f>
        <v/>
      </c>
      <c r="N344" s="323" t="str">
        <f ca="1">IFERROR(IF(VLOOKUP(F344,Kostentypen!$A$3:$E$21,3,0)=0,"",IF(OR(F344="Arbeidskosten",F344="Vergoeding"),VLOOKUP(G344,Tb_KostenTypen[],2,0),VLOOKUP(F344,Kostentypen!$A$3:$E$20,3,0))),"")</f>
        <v/>
      </c>
      <c r="O344" s="324"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4"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3"/>
      <c r="R344" s="363"/>
      <c r="S344" s="325"/>
      <c r="T344" s="325"/>
      <c r="U344" s="317" t="str" cm="1">
        <f t="array" aca="1" ref="U344" ca="1">IFERROR(IF(AA344&lt;&gt;"ja",_xlfn.IFNA(_xlfn.IFS(AND(O344&lt;&gt;"",F344&lt;&gt;"",RIGHT($N344,6)="tarief",F344="Vergoeding"),SUM(O344)*FLOOR(SUM(Q344),0.0001),AND(O344&lt;&gt;"",F344&lt;&gt;"",RIGHT($N344,6)="tarief"),SUM(O344)*FLOOR(SUM(Q344),0.01),S344&gt;0,IF(F344&lt;&gt;"",FLOOR(SUM(S344),0.01),"")),""),""),"")</f>
        <v/>
      </c>
      <c r="V344" s="317" t="str" cm="1">
        <f t="array" aca="1" ref="V344" ca="1">IFERROR(IF(AA344&lt;&gt;"ja",_xlfn.IFNA(_xlfn.IFS(AND(P344&lt;&gt;"",R344&lt;&gt;"",RIGHT($N344,6)="tarief",F344="Vergoeding"),SUM(P344)*FLOOR(SUM(R344),0.0001),AND(P344&lt;&gt;"",R344&lt;&gt;"",RIGHT($N344,6)="tarief"),P344*FLOOR(R344,0.01),T344&gt;0,FLOOR(SUM(T344),0.01)),""),""),"")</f>
        <v/>
      </c>
      <c r="W344" s="317" t="str" cm="1">
        <f t="array" aca="1" ref="W344" ca="1">IFERROR(_xlfn.IFS(OR(F344="",LEFT(Methode_Keuze,4)="Geen",Methode_Keuze=""),"",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17" t="str" cm="1">
        <f t="array" aca="1" ref="X344" ca="1">IFERROR(_xlfn.IFS(OR(F344="",LEFT(Methode_Keuze,4)="Geen",Methode_Keuze=""),"",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26"/>
      <c r="Z344" s="319"/>
      <c r="AA344" s="32" t="str" cm="1">
        <f t="array" ref="AA344">IFERROR(IF(INDEX(SubsidieTabel!$AD$1:$AG$12,MATCH($F344,SubsidieTabel!$AD$1:$AD$12,0),IFERROR(MATCH(Methode_Keuze,SubsidieTabel!$AD$1:$AG$1,0),2))&lt;&gt;1=TRUE,"ja",""),"")</f>
        <v/>
      </c>
    </row>
    <row r="345" spans="1:27" x14ac:dyDescent="0.25">
      <c r="A345" s="320"/>
      <c r="B345" s="321" t="str">
        <f>IF(A345&lt;&gt;"",_xlfn.MAXIFS($B$1:B344,$A$1:A344,A345)+1,"")</f>
        <v/>
      </c>
      <c r="C345" s="299"/>
      <c r="D345" s="299"/>
      <c r="E345" s="299"/>
      <c r="F345" s="299"/>
      <c r="G345" s="330"/>
      <c r="H345" s="328"/>
      <c r="I345" s="329"/>
      <c r="J345" s="329"/>
      <c r="K345" s="322"/>
      <c r="L345" s="322"/>
      <c r="M345" s="323" t="str">
        <f>IFERROR(VLOOKUP(H345,Lijsten!$H$1:$I$100,2,0),"")</f>
        <v/>
      </c>
      <c r="N345" s="323" t="str">
        <f ca="1">IFERROR(IF(VLOOKUP(F345,Kostentypen!$A$3:$E$21,3,0)=0,"",IF(OR(F345="Arbeidskosten",F345="Vergoeding"),VLOOKUP(G345,Tb_KostenTypen[],2,0),VLOOKUP(F345,Kostentypen!$A$3:$E$20,3,0))),"")</f>
        <v/>
      </c>
      <c r="O345" s="324"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4"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3"/>
      <c r="R345" s="363"/>
      <c r="S345" s="325"/>
      <c r="T345" s="325"/>
      <c r="U345" s="317" t="str" cm="1">
        <f t="array" aca="1" ref="U345" ca="1">IFERROR(IF(AA345&lt;&gt;"ja",_xlfn.IFNA(_xlfn.IFS(AND(O345&lt;&gt;"",F345&lt;&gt;"",RIGHT($N345,6)="tarief",F345="Vergoeding"),SUM(O345)*FLOOR(SUM(Q345),0.0001),AND(O345&lt;&gt;"",F345&lt;&gt;"",RIGHT($N345,6)="tarief"),SUM(O345)*FLOOR(SUM(Q345),0.01),S345&gt;0,IF(F345&lt;&gt;"",FLOOR(SUM(S345),0.01),"")),""),""),"")</f>
        <v/>
      </c>
      <c r="V345" s="317" t="str" cm="1">
        <f t="array" aca="1" ref="V345" ca="1">IFERROR(IF(AA345&lt;&gt;"ja",_xlfn.IFNA(_xlfn.IFS(AND(P345&lt;&gt;"",R345&lt;&gt;"",RIGHT($N345,6)="tarief",F345="Vergoeding"),SUM(P345)*FLOOR(SUM(R345),0.0001),AND(P345&lt;&gt;"",R345&lt;&gt;"",RIGHT($N345,6)="tarief"),P345*FLOOR(R345,0.01),T345&gt;0,FLOOR(SUM(T345),0.01)),""),""),"")</f>
        <v/>
      </c>
      <c r="W345" s="317" t="str" cm="1">
        <f t="array" aca="1" ref="W345" ca="1">IFERROR(_xlfn.IFS(OR(F345="",LEFT(Methode_Keuze,4)="Geen",Methode_Keuze=""),"",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17" t="str" cm="1">
        <f t="array" aca="1" ref="X345" ca="1">IFERROR(_xlfn.IFS(OR(F345="",LEFT(Methode_Keuze,4)="Geen",Methode_Keuze=""),"",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26"/>
      <c r="Z345" s="319"/>
      <c r="AA345" s="32" t="str" cm="1">
        <f t="array" ref="AA345">IFERROR(IF(INDEX(SubsidieTabel!$AD$1:$AG$12,MATCH($F345,SubsidieTabel!$AD$1:$AD$12,0),IFERROR(MATCH(Methode_Keuze,SubsidieTabel!$AD$1:$AG$1,0),2))&lt;&gt;1=TRUE,"ja",""),"")</f>
        <v/>
      </c>
    </row>
    <row r="346" spans="1:27" x14ac:dyDescent="0.25">
      <c r="A346" s="320"/>
      <c r="B346" s="321" t="str">
        <f>IF(A346&lt;&gt;"",_xlfn.MAXIFS($B$1:B345,$A$1:A345,A346)+1,"")</f>
        <v/>
      </c>
      <c r="C346" s="299"/>
      <c r="D346" s="299"/>
      <c r="E346" s="299"/>
      <c r="F346" s="299"/>
      <c r="G346" s="330"/>
      <c r="H346" s="328"/>
      <c r="I346" s="329"/>
      <c r="J346" s="329"/>
      <c r="K346" s="322"/>
      <c r="L346" s="322"/>
      <c r="M346" s="323" t="str">
        <f>IFERROR(VLOOKUP(H346,Lijsten!$H$1:$I$100,2,0),"")</f>
        <v/>
      </c>
      <c r="N346" s="323" t="str">
        <f ca="1">IFERROR(IF(VLOOKUP(F346,Kostentypen!$A$3:$E$21,3,0)=0,"",IF(OR(F346="Arbeidskosten",F346="Vergoeding"),VLOOKUP(G346,Tb_KostenTypen[],2,0),VLOOKUP(F346,Kostentypen!$A$3:$E$20,3,0))),"")</f>
        <v/>
      </c>
      <c r="O346" s="324"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4"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3"/>
      <c r="R346" s="363"/>
      <c r="S346" s="325"/>
      <c r="T346" s="325"/>
      <c r="U346" s="317" t="str" cm="1">
        <f t="array" aca="1" ref="U346" ca="1">IFERROR(IF(AA346&lt;&gt;"ja",_xlfn.IFNA(_xlfn.IFS(AND(O346&lt;&gt;"",F346&lt;&gt;"",RIGHT($N346,6)="tarief",F346="Vergoeding"),SUM(O346)*FLOOR(SUM(Q346),0.0001),AND(O346&lt;&gt;"",F346&lt;&gt;"",RIGHT($N346,6)="tarief"),SUM(O346)*FLOOR(SUM(Q346),0.01),S346&gt;0,IF(F346&lt;&gt;"",FLOOR(SUM(S346),0.01),"")),""),""),"")</f>
        <v/>
      </c>
      <c r="V346" s="317" t="str" cm="1">
        <f t="array" aca="1" ref="V346" ca="1">IFERROR(IF(AA346&lt;&gt;"ja",_xlfn.IFNA(_xlfn.IFS(AND(P346&lt;&gt;"",R346&lt;&gt;"",RIGHT($N346,6)="tarief",F346="Vergoeding"),SUM(P346)*FLOOR(SUM(R346),0.0001),AND(P346&lt;&gt;"",R346&lt;&gt;"",RIGHT($N346,6)="tarief"),P346*FLOOR(R346,0.01),T346&gt;0,FLOOR(SUM(T346),0.01)),""),""),"")</f>
        <v/>
      </c>
      <c r="W346" s="317" t="str" cm="1">
        <f t="array" aca="1" ref="W346" ca="1">IFERROR(_xlfn.IFS(OR(F346="",LEFT(Methode_Keuze,4)="Geen",Methode_Keuze=""),"",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17" t="str" cm="1">
        <f t="array" aca="1" ref="X346" ca="1">IFERROR(_xlfn.IFS(OR(F346="",LEFT(Methode_Keuze,4)="Geen",Methode_Keuze=""),"",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26"/>
      <c r="Z346" s="319"/>
      <c r="AA346" s="32" t="str" cm="1">
        <f t="array" ref="AA346">IFERROR(IF(INDEX(SubsidieTabel!$AD$1:$AG$12,MATCH($F346,SubsidieTabel!$AD$1:$AD$12,0),IFERROR(MATCH(Methode_Keuze,SubsidieTabel!$AD$1:$AG$1,0),2))&lt;&gt;1=TRUE,"ja",""),"")</f>
        <v/>
      </c>
    </row>
    <row r="347" spans="1:27" x14ac:dyDescent="0.25">
      <c r="A347" s="320"/>
      <c r="B347" s="321" t="str">
        <f>IF(A347&lt;&gt;"",_xlfn.MAXIFS($B$1:B346,$A$1:A346,A347)+1,"")</f>
        <v/>
      </c>
      <c r="C347" s="299"/>
      <c r="D347" s="299"/>
      <c r="E347" s="299"/>
      <c r="F347" s="299"/>
      <c r="G347" s="330"/>
      <c r="H347" s="328"/>
      <c r="I347" s="329"/>
      <c r="J347" s="329"/>
      <c r="K347" s="322"/>
      <c r="L347" s="322"/>
      <c r="M347" s="323" t="str">
        <f>IFERROR(VLOOKUP(H347,Lijsten!$H$1:$I$100,2,0),"")</f>
        <v/>
      </c>
      <c r="N347" s="323" t="str">
        <f ca="1">IFERROR(IF(VLOOKUP(F347,Kostentypen!$A$3:$E$21,3,0)=0,"",IF(OR(F347="Arbeidskosten",F347="Vergoeding"),VLOOKUP(G347,Tb_KostenTypen[],2,0),VLOOKUP(F347,Kostentypen!$A$3:$E$20,3,0))),"")</f>
        <v/>
      </c>
      <c r="O347" s="324"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4"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3"/>
      <c r="R347" s="363"/>
      <c r="S347" s="325"/>
      <c r="T347" s="325"/>
      <c r="U347" s="317" t="str" cm="1">
        <f t="array" aca="1" ref="U347" ca="1">IFERROR(IF(AA347&lt;&gt;"ja",_xlfn.IFNA(_xlfn.IFS(AND(O347&lt;&gt;"",F347&lt;&gt;"",RIGHT($N347,6)="tarief",F347="Vergoeding"),SUM(O347)*FLOOR(SUM(Q347),0.0001),AND(O347&lt;&gt;"",F347&lt;&gt;"",RIGHT($N347,6)="tarief"),SUM(O347)*FLOOR(SUM(Q347),0.01),S347&gt;0,IF(F347&lt;&gt;"",FLOOR(SUM(S347),0.01),"")),""),""),"")</f>
        <v/>
      </c>
      <c r="V347" s="317" t="str" cm="1">
        <f t="array" aca="1" ref="V347" ca="1">IFERROR(IF(AA347&lt;&gt;"ja",_xlfn.IFNA(_xlfn.IFS(AND(P347&lt;&gt;"",R347&lt;&gt;"",RIGHT($N347,6)="tarief",F347="Vergoeding"),SUM(P347)*FLOOR(SUM(R347),0.0001),AND(P347&lt;&gt;"",R347&lt;&gt;"",RIGHT($N347,6)="tarief"),P347*FLOOR(R347,0.01),T347&gt;0,FLOOR(SUM(T347),0.01)),""),""),"")</f>
        <v/>
      </c>
      <c r="W347" s="317" t="str" cm="1">
        <f t="array" aca="1" ref="W347" ca="1">IFERROR(_xlfn.IFS(OR(F347="",LEFT(Methode_Keuze,4)="Geen",Methode_Keuze=""),"",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17" t="str" cm="1">
        <f t="array" aca="1" ref="X347" ca="1">IFERROR(_xlfn.IFS(OR(F347="",LEFT(Methode_Keuze,4)="Geen",Methode_Keuze=""),"",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26"/>
      <c r="Z347" s="319"/>
      <c r="AA347" s="32" t="str" cm="1">
        <f t="array" ref="AA347">IFERROR(IF(INDEX(SubsidieTabel!$AD$1:$AG$12,MATCH($F347,SubsidieTabel!$AD$1:$AD$12,0),IFERROR(MATCH(Methode_Keuze,SubsidieTabel!$AD$1:$AG$1,0),2))&lt;&gt;1=TRUE,"ja",""),"")</f>
        <v/>
      </c>
    </row>
    <row r="348" spans="1:27" x14ac:dyDescent="0.25">
      <c r="A348" s="320"/>
      <c r="B348" s="321" t="str">
        <f>IF(A348&lt;&gt;"",_xlfn.MAXIFS($B$1:B347,$A$1:A347,A348)+1,"")</f>
        <v/>
      </c>
      <c r="C348" s="299"/>
      <c r="D348" s="299"/>
      <c r="E348" s="299"/>
      <c r="F348" s="299"/>
      <c r="G348" s="330"/>
      <c r="H348" s="328"/>
      <c r="I348" s="329"/>
      <c r="J348" s="329"/>
      <c r="K348" s="322"/>
      <c r="L348" s="322"/>
      <c r="M348" s="323" t="str">
        <f>IFERROR(VLOOKUP(H348,Lijsten!$H$1:$I$100,2,0),"")</f>
        <v/>
      </c>
      <c r="N348" s="323" t="str">
        <f ca="1">IFERROR(IF(VLOOKUP(F348,Kostentypen!$A$3:$E$21,3,0)=0,"",IF(OR(F348="Arbeidskosten",F348="Vergoeding"),VLOOKUP(G348,Tb_KostenTypen[],2,0),VLOOKUP(F348,Kostentypen!$A$3:$E$20,3,0))),"")</f>
        <v/>
      </c>
      <c r="O348" s="324"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4"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3"/>
      <c r="R348" s="363"/>
      <c r="S348" s="325"/>
      <c r="T348" s="325"/>
      <c r="U348" s="317" t="str" cm="1">
        <f t="array" aca="1" ref="U348" ca="1">IFERROR(IF(AA348&lt;&gt;"ja",_xlfn.IFNA(_xlfn.IFS(AND(O348&lt;&gt;"",F348&lt;&gt;"",RIGHT($N348,6)="tarief",F348="Vergoeding"),SUM(O348)*FLOOR(SUM(Q348),0.0001),AND(O348&lt;&gt;"",F348&lt;&gt;"",RIGHT($N348,6)="tarief"),SUM(O348)*FLOOR(SUM(Q348),0.01),S348&gt;0,IF(F348&lt;&gt;"",FLOOR(SUM(S348),0.01),"")),""),""),"")</f>
        <v/>
      </c>
      <c r="V348" s="317" t="str" cm="1">
        <f t="array" aca="1" ref="V348" ca="1">IFERROR(IF(AA348&lt;&gt;"ja",_xlfn.IFNA(_xlfn.IFS(AND(P348&lt;&gt;"",R348&lt;&gt;"",RIGHT($N348,6)="tarief",F348="Vergoeding"),SUM(P348)*FLOOR(SUM(R348),0.0001),AND(P348&lt;&gt;"",R348&lt;&gt;"",RIGHT($N348,6)="tarief"),P348*FLOOR(R348,0.01),T348&gt;0,FLOOR(SUM(T348),0.01)),""),""),"")</f>
        <v/>
      </c>
      <c r="W348" s="317" t="str" cm="1">
        <f t="array" aca="1" ref="W348" ca="1">IFERROR(_xlfn.IFS(OR(F348="",LEFT(Methode_Keuze,4)="Geen",Methode_Keuze=""),"",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17" t="str" cm="1">
        <f t="array" aca="1" ref="X348" ca="1">IFERROR(_xlfn.IFS(OR(F348="",LEFT(Methode_Keuze,4)="Geen",Methode_Keuze=""),"",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26"/>
      <c r="Z348" s="319"/>
      <c r="AA348" s="32" t="str" cm="1">
        <f t="array" ref="AA348">IFERROR(IF(INDEX(SubsidieTabel!$AD$1:$AG$12,MATCH($F348,SubsidieTabel!$AD$1:$AD$12,0),IFERROR(MATCH(Methode_Keuze,SubsidieTabel!$AD$1:$AG$1,0),2))&lt;&gt;1=TRUE,"ja",""),"")</f>
        <v/>
      </c>
    </row>
    <row r="349" spans="1:27" x14ac:dyDescent="0.25">
      <c r="A349" s="320"/>
      <c r="B349" s="321" t="str">
        <f>IF(A349&lt;&gt;"",_xlfn.MAXIFS($B$1:B348,$A$1:A348,A349)+1,"")</f>
        <v/>
      </c>
      <c r="C349" s="299"/>
      <c r="D349" s="299"/>
      <c r="E349" s="299"/>
      <c r="F349" s="299"/>
      <c r="G349" s="330"/>
      <c r="H349" s="328"/>
      <c r="I349" s="329"/>
      <c r="J349" s="329"/>
      <c r="K349" s="322"/>
      <c r="L349" s="322"/>
      <c r="M349" s="323" t="str">
        <f>IFERROR(VLOOKUP(H349,Lijsten!$H$1:$I$100,2,0),"")</f>
        <v/>
      </c>
      <c r="N349" s="323" t="str">
        <f ca="1">IFERROR(IF(VLOOKUP(F349,Kostentypen!$A$3:$E$21,3,0)=0,"",IF(OR(F349="Arbeidskosten",F349="Vergoeding"),VLOOKUP(G349,Tb_KostenTypen[],2,0),VLOOKUP(F349,Kostentypen!$A$3:$E$20,3,0))),"")</f>
        <v/>
      </c>
      <c r="O349" s="324"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4"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3"/>
      <c r="R349" s="363"/>
      <c r="S349" s="325"/>
      <c r="T349" s="325"/>
      <c r="U349" s="317" t="str" cm="1">
        <f t="array" aca="1" ref="U349" ca="1">IFERROR(IF(AA349&lt;&gt;"ja",_xlfn.IFNA(_xlfn.IFS(AND(O349&lt;&gt;"",F349&lt;&gt;"",RIGHT($N349,6)="tarief",F349="Vergoeding"),SUM(O349)*FLOOR(SUM(Q349),0.0001),AND(O349&lt;&gt;"",F349&lt;&gt;"",RIGHT($N349,6)="tarief"),SUM(O349)*FLOOR(SUM(Q349),0.01),S349&gt;0,IF(F349&lt;&gt;"",FLOOR(SUM(S349),0.01),"")),""),""),"")</f>
        <v/>
      </c>
      <c r="V349" s="317" t="str" cm="1">
        <f t="array" aca="1" ref="V349" ca="1">IFERROR(IF(AA349&lt;&gt;"ja",_xlfn.IFNA(_xlfn.IFS(AND(P349&lt;&gt;"",R349&lt;&gt;"",RIGHT($N349,6)="tarief",F349="Vergoeding"),SUM(P349)*FLOOR(SUM(R349),0.0001),AND(P349&lt;&gt;"",R349&lt;&gt;"",RIGHT($N349,6)="tarief"),P349*FLOOR(R349,0.01),T349&gt;0,FLOOR(SUM(T349),0.01)),""),""),"")</f>
        <v/>
      </c>
      <c r="W349" s="317" t="str" cm="1">
        <f t="array" aca="1" ref="W349" ca="1">IFERROR(_xlfn.IFS(OR(F349="",LEFT(Methode_Keuze,4)="Geen",Methode_Keuze=""),"",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17" t="str" cm="1">
        <f t="array" aca="1" ref="X349" ca="1">IFERROR(_xlfn.IFS(OR(F349="",LEFT(Methode_Keuze,4)="Geen",Methode_Keuze=""),"",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26"/>
      <c r="Z349" s="319"/>
      <c r="AA349" s="32" t="str" cm="1">
        <f t="array" ref="AA349">IFERROR(IF(INDEX(SubsidieTabel!$AD$1:$AG$12,MATCH($F349,SubsidieTabel!$AD$1:$AD$12,0),IFERROR(MATCH(Methode_Keuze,SubsidieTabel!$AD$1:$AG$1,0),2))&lt;&gt;1=TRUE,"ja",""),"")</f>
        <v/>
      </c>
    </row>
    <row r="350" spans="1:27" x14ac:dyDescent="0.25">
      <c r="A350" s="320"/>
      <c r="B350" s="321" t="str">
        <f>IF(A350&lt;&gt;"",_xlfn.MAXIFS($B$1:B349,$A$1:A349,A350)+1,"")</f>
        <v/>
      </c>
      <c r="C350" s="299"/>
      <c r="D350" s="299"/>
      <c r="E350" s="299"/>
      <c r="F350" s="299"/>
      <c r="G350" s="330"/>
      <c r="H350" s="328"/>
      <c r="I350" s="329"/>
      <c r="J350" s="329"/>
      <c r="K350" s="322"/>
      <c r="L350" s="322"/>
      <c r="M350" s="323" t="str">
        <f>IFERROR(VLOOKUP(H350,Lijsten!$H$1:$I$100,2,0),"")</f>
        <v/>
      </c>
      <c r="N350" s="323" t="str">
        <f ca="1">IFERROR(IF(VLOOKUP(F350,Kostentypen!$A$3:$E$21,3,0)=0,"",IF(OR(F350="Arbeidskosten",F350="Vergoeding"),VLOOKUP(G350,Tb_KostenTypen[],2,0),VLOOKUP(F350,Kostentypen!$A$3:$E$20,3,0))),"")</f>
        <v/>
      </c>
      <c r="O350" s="324"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4"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3"/>
      <c r="R350" s="363"/>
      <c r="S350" s="325"/>
      <c r="T350" s="325"/>
      <c r="U350" s="317" t="str" cm="1">
        <f t="array" aca="1" ref="U350" ca="1">IFERROR(IF(AA350&lt;&gt;"ja",_xlfn.IFNA(_xlfn.IFS(AND(O350&lt;&gt;"",F350&lt;&gt;"",RIGHT($N350,6)="tarief",F350="Vergoeding"),SUM(O350)*FLOOR(SUM(Q350),0.0001),AND(O350&lt;&gt;"",F350&lt;&gt;"",RIGHT($N350,6)="tarief"),SUM(O350)*FLOOR(SUM(Q350),0.01),S350&gt;0,IF(F350&lt;&gt;"",FLOOR(SUM(S350),0.01),"")),""),""),"")</f>
        <v/>
      </c>
      <c r="V350" s="317" t="str" cm="1">
        <f t="array" aca="1" ref="V350" ca="1">IFERROR(IF(AA350&lt;&gt;"ja",_xlfn.IFNA(_xlfn.IFS(AND(P350&lt;&gt;"",R350&lt;&gt;"",RIGHT($N350,6)="tarief",F350="Vergoeding"),SUM(P350)*FLOOR(SUM(R350),0.0001),AND(P350&lt;&gt;"",R350&lt;&gt;"",RIGHT($N350,6)="tarief"),P350*FLOOR(R350,0.01),T350&gt;0,FLOOR(SUM(T350),0.01)),""),""),"")</f>
        <v/>
      </c>
      <c r="W350" s="317" t="str" cm="1">
        <f t="array" aca="1" ref="W350" ca="1">IFERROR(_xlfn.IFS(OR(F350="",LEFT(Methode_Keuze,4)="Geen",Methode_Keuze=""),"",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17" t="str" cm="1">
        <f t="array" aca="1" ref="X350" ca="1">IFERROR(_xlfn.IFS(OR(F350="",LEFT(Methode_Keuze,4)="Geen",Methode_Keuze=""),"",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26"/>
      <c r="Z350" s="319"/>
      <c r="AA350" s="32" t="str" cm="1">
        <f t="array" ref="AA350">IFERROR(IF(INDEX(SubsidieTabel!$AD$1:$AG$12,MATCH($F350,SubsidieTabel!$AD$1:$AD$12,0),IFERROR(MATCH(Methode_Keuze,SubsidieTabel!$AD$1:$AG$1,0),2))&lt;&gt;1=TRUE,"ja",""),"")</f>
        <v/>
      </c>
    </row>
    <row r="351" spans="1:27" x14ac:dyDescent="0.25">
      <c r="A351" s="320"/>
      <c r="B351" s="321" t="str">
        <f>IF(A351&lt;&gt;"",_xlfn.MAXIFS($B$1:B350,$A$1:A350,A351)+1,"")</f>
        <v/>
      </c>
      <c r="C351" s="299"/>
      <c r="D351" s="299"/>
      <c r="E351" s="299"/>
      <c r="F351" s="299"/>
      <c r="G351" s="330"/>
      <c r="H351" s="328"/>
      <c r="I351" s="329"/>
      <c r="J351" s="329"/>
      <c r="K351" s="322"/>
      <c r="L351" s="322"/>
      <c r="M351" s="323" t="str">
        <f>IFERROR(VLOOKUP(H351,Lijsten!$H$1:$I$100,2,0),"")</f>
        <v/>
      </c>
      <c r="N351" s="323" t="str">
        <f ca="1">IFERROR(IF(VLOOKUP(F351,Kostentypen!$A$3:$E$21,3,0)=0,"",IF(OR(F351="Arbeidskosten",F351="Vergoeding"),VLOOKUP(G351,Tb_KostenTypen[],2,0),VLOOKUP(F351,Kostentypen!$A$3:$E$20,3,0))),"")</f>
        <v/>
      </c>
      <c r="O351" s="324"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4"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3"/>
      <c r="R351" s="363"/>
      <c r="S351" s="325"/>
      <c r="T351" s="325"/>
      <c r="U351" s="317" t="str" cm="1">
        <f t="array" aca="1" ref="U351" ca="1">IFERROR(IF(AA351&lt;&gt;"ja",_xlfn.IFNA(_xlfn.IFS(AND(O351&lt;&gt;"",F351&lt;&gt;"",RIGHT($N351,6)="tarief",F351="Vergoeding"),SUM(O351)*FLOOR(SUM(Q351),0.0001),AND(O351&lt;&gt;"",F351&lt;&gt;"",RIGHT($N351,6)="tarief"),SUM(O351)*FLOOR(SUM(Q351),0.01),S351&gt;0,IF(F351&lt;&gt;"",FLOOR(SUM(S351),0.01),"")),""),""),"")</f>
        <v/>
      </c>
      <c r="V351" s="317" t="str" cm="1">
        <f t="array" aca="1" ref="V351" ca="1">IFERROR(IF(AA351&lt;&gt;"ja",_xlfn.IFNA(_xlfn.IFS(AND(P351&lt;&gt;"",R351&lt;&gt;"",RIGHT($N351,6)="tarief",F351="Vergoeding"),SUM(P351)*FLOOR(SUM(R351),0.0001),AND(P351&lt;&gt;"",R351&lt;&gt;"",RIGHT($N351,6)="tarief"),P351*FLOOR(R351,0.01),T351&gt;0,FLOOR(SUM(T351),0.01)),""),""),"")</f>
        <v/>
      </c>
      <c r="W351" s="317" t="str" cm="1">
        <f t="array" aca="1" ref="W351" ca="1">IFERROR(_xlfn.IFS(OR(F351="",LEFT(Methode_Keuze,4)="Geen",Methode_Keuze=""),"",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17" t="str" cm="1">
        <f t="array" aca="1" ref="X351" ca="1">IFERROR(_xlfn.IFS(OR(F351="",LEFT(Methode_Keuze,4)="Geen",Methode_Keuze=""),"",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26"/>
      <c r="Z351" s="319"/>
      <c r="AA351" s="32" t="str" cm="1">
        <f t="array" ref="AA351">IFERROR(IF(INDEX(SubsidieTabel!$AD$1:$AG$12,MATCH($F351,SubsidieTabel!$AD$1:$AD$12,0),IFERROR(MATCH(Methode_Keuze,SubsidieTabel!$AD$1:$AG$1,0),2))&lt;&gt;1=TRUE,"ja",""),"")</f>
        <v/>
      </c>
    </row>
    <row r="352" spans="1:27" x14ac:dyDescent="0.25">
      <c r="A352" s="320"/>
      <c r="B352" s="321" t="str">
        <f>IF(A352&lt;&gt;"",_xlfn.MAXIFS($B$1:B351,$A$1:A351,A352)+1,"")</f>
        <v/>
      </c>
      <c r="C352" s="299"/>
      <c r="D352" s="299"/>
      <c r="E352" s="299"/>
      <c r="F352" s="299"/>
      <c r="G352" s="330"/>
      <c r="H352" s="328"/>
      <c r="I352" s="329"/>
      <c r="J352" s="329"/>
      <c r="K352" s="322"/>
      <c r="L352" s="322"/>
      <c r="M352" s="323" t="str">
        <f>IFERROR(VLOOKUP(H352,Lijsten!$H$1:$I$100,2,0),"")</f>
        <v/>
      </c>
      <c r="N352" s="323" t="str">
        <f ca="1">IFERROR(IF(VLOOKUP(F352,Kostentypen!$A$3:$E$21,3,0)=0,"",IF(OR(F352="Arbeidskosten",F352="Vergoeding"),VLOOKUP(G352,Tb_KostenTypen[],2,0),VLOOKUP(F352,Kostentypen!$A$3:$E$20,3,0))),"")</f>
        <v/>
      </c>
      <c r="O352" s="324"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4"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3"/>
      <c r="R352" s="363"/>
      <c r="S352" s="325"/>
      <c r="T352" s="325"/>
      <c r="U352" s="317" t="str" cm="1">
        <f t="array" aca="1" ref="U352" ca="1">IFERROR(IF(AA352&lt;&gt;"ja",_xlfn.IFNA(_xlfn.IFS(AND(O352&lt;&gt;"",F352&lt;&gt;"",RIGHT($N352,6)="tarief",F352="Vergoeding"),SUM(O352)*FLOOR(SUM(Q352),0.0001),AND(O352&lt;&gt;"",F352&lt;&gt;"",RIGHT($N352,6)="tarief"),SUM(O352)*FLOOR(SUM(Q352),0.01),S352&gt;0,IF(F352&lt;&gt;"",FLOOR(SUM(S352),0.01),"")),""),""),"")</f>
        <v/>
      </c>
      <c r="V352" s="317" t="str" cm="1">
        <f t="array" aca="1" ref="V352" ca="1">IFERROR(IF(AA352&lt;&gt;"ja",_xlfn.IFNA(_xlfn.IFS(AND(P352&lt;&gt;"",R352&lt;&gt;"",RIGHT($N352,6)="tarief",F352="Vergoeding"),SUM(P352)*FLOOR(SUM(R352),0.0001),AND(P352&lt;&gt;"",R352&lt;&gt;"",RIGHT($N352,6)="tarief"),P352*FLOOR(R352,0.01),T352&gt;0,FLOOR(SUM(T352),0.01)),""),""),"")</f>
        <v/>
      </c>
      <c r="W352" s="317" t="str" cm="1">
        <f t="array" aca="1" ref="W352" ca="1">IFERROR(_xlfn.IFS(OR(F352="",LEFT(Methode_Keuze,4)="Geen",Methode_Keuze=""),"",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17" t="str" cm="1">
        <f t="array" aca="1" ref="X352" ca="1">IFERROR(_xlfn.IFS(OR(F352="",LEFT(Methode_Keuze,4)="Geen",Methode_Keuze=""),"",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26"/>
      <c r="Z352" s="319"/>
      <c r="AA352" s="32" t="str" cm="1">
        <f t="array" ref="AA352">IFERROR(IF(INDEX(SubsidieTabel!$AD$1:$AG$12,MATCH($F352,SubsidieTabel!$AD$1:$AD$12,0),IFERROR(MATCH(Methode_Keuze,SubsidieTabel!$AD$1:$AG$1,0),2))&lt;&gt;1=TRUE,"ja",""),"")</f>
        <v/>
      </c>
    </row>
    <row r="353" spans="1:27" x14ac:dyDescent="0.25">
      <c r="A353" s="320"/>
      <c r="B353" s="321" t="str">
        <f>IF(A353&lt;&gt;"",_xlfn.MAXIFS($B$1:B352,$A$1:A352,A353)+1,"")</f>
        <v/>
      </c>
      <c r="C353" s="299"/>
      <c r="D353" s="299"/>
      <c r="E353" s="299"/>
      <c r="F353" s="299"/>
      <c r="G353" s="330"/>
      <c r="H353" s="328"/>
      <c r="I353" s="329"/>
      <c r="J353" s="329"/>
      <c r="K353" s="322"/>
      <c r="L353" s="322"/>
      <c r="M353" s="323" t="str">
        <f>IFERROR(VLOOKUP(H353,Lijsten!$H$1:$I$100,2,0),"")</f>
        <v/>
      </c>
      <c r="N353" s="323" t="str">
        <f ca="1">IFERROR(IF(VLOOKUP(F353,Kostentypen!$A$3:$E$21,3,0)=0,"",IF(OR(F353="Arbeidskosten",F353="Vergoeding"),VLOOKUP(G353,Tb_KostenTypen[],2,0),VLOOKUP(F353,Kostentypen!$A$3:$E$20,3,0))),"")</f>
        <v/>
      </c>
      <c r="O353" s="324"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4"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3"/>
      <c r="R353" s="363"/>
      <c r="S353" s="325"/>
      <c r="T353" s="325"/>
      <c r="U353" s="317" t="str" cm="1">
        <f t="array" aca="1" ref="U353" ca="1">IFERROR(IF(AA353&lt;&gt;"ja",_xlfn.IFNA(_xlfn.IFS(AND(O353&lt;&gt;"",F353&lt;&gt;"",RIGHT($N353,6)="tarief",F353="Vergoeding"),SUM(O353)*FLOOR(SUM(Q353),0.0001),AND(O353&lt;&gt;"",F353&lt;&gt;"",RIGHT($N353,6)="tarief"),SUM(O353)*FLOOR(SUM(Q353),0.01),S353&gt;0,IF(F353&lt;&gt;"",FLOOR(SUM(S353),0.01),"")),""),""),"")</f>
        <v/>
      </c>
      <c r="V353" s="317" t="str" cm="1">
        <f t="array" aca="1" ref="V353" ca="1">IFERROR(IF(AA353&lt;&gt;"ja",_xlfn.IFNA(_xlfn.IFS(AND(P353&lt;&gt;"",R353&lt;&gt;"",RIGHT($N353,6)="tarief",F353="Vergoeding"),SUM(P353)*FLOOR(SUM(R353),0.0001),AND(P353&lt;&gt;"",R353&lt;&gt;"",RIGHT($N353,6)="tarief"),P353*FLOOR(R353,0.01),T353&gt;0,FLOOR(SUM(T353),0.01)),""),""),"")</f>
        <v/>
      </c>
      <c r="W353" s="317" t="str" cm="1">
        <f t="array" aca="1" ref="W353" ca="1">IFERROR(_xlfn.IFS(OR(F353="",LEFT(Methode_Keuze,4)="Geen",Methode_Keuze=""),"",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17" t="str" cm="1">
        <f t="array" aca="1" ref="X353" ca="1">IFERROR(_xlfn.IFS(OR(F353="",LEFT(Methode_Keuze,4)="Geen",Methode_Keuze=""),"",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26"/>
      <c r="Z353" s="319"/>
      <c r="AA353" s="32" t="str" cm="1">
        <f t="array" ref="AA353">IFERROR(IF(INDEX(SubsidieTabel!$AD$1:$AG$12,MATCH($F353,SubsidieTabel!$AD$1:$AD$12,0),IFERROR(MATCH(Methode_Keuze,SubsidieTabel!$AD$1:$AG$1,0),2))&lt;&gt;1=TRUE,"ja",""),"")</f>
        <v/>
      </c>
    </row>
    <row r="354" spans="1:27" x14ac:dyDescent="0.25">
      <c r="A354" s="320"/>
      <c r="B354" s="321" t="str">
        <f>IF(A354&lt;&gt;"",_xlfn.MAXIFS($B$1:B353,$A$1:A353,A354)+1,"")</f>
        <v/>
      </c>
      <c r="C354" s="299"/>
      <c r="D354" s="299"/>
      <c r="E354" s="299"/>
      <c r="F354" s="299"/>
      <c r="G354" s="330"/>
      <c r="H354" s="328"/>
      <c r="I354" s="329"/>
      <c r="J354" s="329"/>
      <c r="K354" s="322"/>
      <c r="L354" s="322"/>
      <c r="M354" s="323" t="str">
        <f>IFERROR(VLOOKUP(H354,Lijsten!$H$1:$I$100,2,0),"")</f>
        <v/>
      </c>
      <c r="N354" s="323" t="str">
        <f ca="1">IFERROR(IF(VLOOKUP(F354,Kostentypen!$A$3:$E$21,3,0)=0,"",IF(OR(F354="Arbeidskosten",F354="Vergoeding"),VLOOKUP(G354,Tb_KostenTypen[],2,0),VLOOKUP(F354,Kostentypen!$A$3:$E$20,3,0))),"")</f>
        <v/>
      </c>
      <c r="O354" s="324"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4"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3"/>
      <c r="R354" s="363"/>
      <c r="S354" s="325"/>
      <c r="T354" s="325"/>
      <c r="U354" s="317" t="str" cm="1">
        <f t="array" aca="1" ref="U354" ca="1">IFERROR(IF(AA354&lt;&gt;"ja",_xlfn.IFNA(_xlfn.IFS(AND(O354&lt;&gt;"",F354&lt;&gt;"",RIGHT($N354,6)="tarief",F354="Vergoeding"),SUM(O354)*FLOOR(SUM(Q354),0.0001),AND(O354&lt;&gt;"",F354&lt;&gt;"",RIGHT($N354,6)="tarief"),SUM(O354)*FLOOR(SUM(Q354),0.01),S354&gt;0,IF(F354&lt;&gt;"",FLOOR(SUM(S354),0.01),"")),""),""),"")</f>
        <v/>
      </c>
      <c r="V354" s="317" t="str" cm="1">
        <f t="array" aca="1" ref="V354" ca="1">IFERROR(IF(AA354&lt;&gt;"ja",_xlfn.IFNA(_xlfn.IFS(AND(P354&lt;&gt;"",R354&lt;&gt;"",RIGHT($N354,6)="tarief",F354="Vergoeding"),SUM(P354)*FLOOR(SUM(R354),0.0001),AND(P354&lt;&gt;"",R354&lt;&gt;"",RIGHT($N354,6)="tarief"),P354*FLOOR(R354,0.01),T354&gt;0,FLOOR(SUM(T354),0.01)),""),""),"")</f>
        <v/>
      </c>
      <c r="W354" s="317" t="str" cm="1">
        <f t="array" aca="1" ref="W354" ca="1">IFERROR(_xlfn.IFS(OR(F354="",LEFT(Methode_Keuze,4)="Geen",Methode_Keuze=""),"",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17" t="str" cm="1">
        <f t="array" aca="1" ref="X354" ca="1">IFERROR(_xlfn.IFS(OR(F354="",LEFT(Methode_Keuze,4)="Geen",Methode_Keuze=""),"",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26"/>
      <c r="Z354" s="319"/>
      <c r="AA354" s="32" t="str" cm="1">
        <f t="array" ref="AA354">IFERROR(IF(INDEX(SubsidieTabel!$AD$1:$AG$12,MATCH($F354,SubsidieTabel!$AD$1:$AD$12,0),IFERROR(MATCH(Methode_Keuze,SubsidieTabel!$AD$1:$AG$1,0),2))&lt;&gt;1=TRUE,"ja",""),"")</f>
        <v/>
      </c>
    </row>
    <row r="355" spans="1:27" x14ac:dyDescent="0.25">
      <c r="A355" s="320"/>
      <c r="B355" s="321" t="str">
        <f>IF(A355&lt;&gt;"",_xlfn.MAXIFS($B$1:B354,$A$1:A354,A355)+1,"")</f>
        <v/>
      </c>
      <c r="C355" s="299"/>
      <c r="D355" s="299"/>
      <c r="E355" s="299"/>
      <c r="F355" s="299"/>
      <c r="G355" s="330"/>
      <c r="H355" s="328"/>
      <c r="I355" s="329"/>
      <c r="J355" s="329"/>
      <c r="K355" s="322"/>
      <c r="L355" s="322"/>
      <c r="M355" s="323" t="str">
        <f>IFERROR(VLOOKUP(H355,Lijsten!$H$1:$I$100,2,0),"")</f>
        <v/>
      </c>
      <c r="N355" s="323" t="str">
        <f ca="1">IFERROR(IF(VLOOKUP(F355,Kostentypen!$A$3:$E$21,3,0)=0,"",IF(OR(F355="Arbeidskosten",F355="Vergoeding"),VLOOKUP(G355,Tb_KostenTypen[],2,0),VLOOKUP(F355,Kostentypen!$A$3:$E$20,3,0))),"")</f>
        <v/>
      </c>
      <c r="O355" s="324"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4"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3"/>
      <c r="R355" s="363"/>
      <c r="S355" s="325"/>
      <c r="T355" s="325"/>
      <c r="U355" s="317" t="str" cm="1">
        <f t="array" aca="1" ref="U355" ca="1">IFERROR(IF(AA355&lt;&gt;"ja",_xlfn.IFNA(_xlfn.IFS(AND(O355&lt;&gt;"",F355&lt;&gt;"",RIGHT($N355,6)="tarief",F355="Vergoeding"),SUM(O355)*FLOOR(SUM(Q355),0.0001),AND(O355&lt;&gt;"",F355&lt;&gt;"",RIGHT($N355,6)="tarief"),SUM(O355)*FLOOR(SUM(Q355),0.01),S355&gt;0,IF(F355&lt;&gt;"",FLOOR(SUM(S355),0.01),"")),""),""),"")</f>
        <v/>
      </c>
      <c r="V355" s="317" t="str" cm="1">
        <f t="array" aca="1" ref="V355" ca="1">IFERROR(IF(AA355&lt;&gt;"ja",_xlfn.IFNA(_xlfn.IFS(AND(P355&lt;&gt;"",R355&lt;&gt;"",RIGHT($N355,6)="tarief",F355="Vergoeding"),SUM(P355)*FLOOR(SUM(R355),0.0001),AND(P355&lt;&gt;"",R355&lt;&gt;"",RIGHT($N355,6)="tarief"),P355*FLOOR(R355,0.01),T355&gt;0,FLOOR(SUM(T355),0.01)),""),""),"")</f>
        <v/>
      </c>
      <c r="W355" s="317" t="str" cm="1">
        <f t="array" aca="1" ref="W355" ca="1">IFERROR(_xlfn.IFS(OR(F355="",LEFT(Methode_Keuze,4)="Geen",Methode_Keuze=""),"",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17" t="str" cm="1">
        <f t="array" aca="1" ref="X355" ca="1">IFERROR(_xlfn.IFS(OR(F355="",LEFT(Methode_Keuze,4)="Geen",Methode_Keuze=""),"",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26"/>
      <c r="Z355" s="319"/>
      <c r="AA355" s="32" t="str" cm="1">
        <f t="array" ref="AA355">IFERROR(IF(INDEX(SubsidieTabel!$AD$1:$AG$12,MATCH($F355,SubsidieTabel!$AD$1:$AD$12,0),IFERROR(MATCH(Methode_Keuze,SubsidieTabel!$AD$1:$AG$1,0),2))&lt;&gt;1=TRUE,"ja",""),"")</f>
        <v/>
      </c>
    </row>
    <row r="356" spans="1:27" x14ac:dyDescent="0.25">
      <c r="A356" s="320"/>
      <c r="B356" s="321" t="str">
        <f>IF(A356&lt;&gt;"",_xlfn.MAXIFS($B$1:B355,$A$1:A355,A356)+1,"")</f>
        <v/>
      </c>
      <c r="C356" s="299"/>
      <c r="D356" s="299"/>
      <c r="E356" s="299"/>
      <c r="F356" s="299"/>
      <c r="G356" s="330"/>
      <c r="H356" s="328"/>
      <c r="I356" s="329"/>
      <c r="J356" s="329"/>
      <c r="K356" s="322"/>
      <c r="L356" s="322"/>
      <c r="M356" s="323" t="str">
        <f>IFERROR(VLOOKUP(H356,Lijsten!$H$1:$I$100,2,0),"")</f>
        <v/>
      </c>
      <c r="N356" s="323" t="str">
        <f ca="1">IFERROR(IF(VLOOKUP(F356,Kostentypen!$A$3:$E$21,3,0)=0,"",IF(OR(F356="Arbeidskosten",F356="Vergoeding"),VLOOKUP(G356,Tb_KostenTypen[],2,0),VLOOKUP(F356,Kostentypen!$A$3:$E$20,3,0))),"")</f>
        <v/>
      </c>
      <c r="O356" s="324"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4"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3"/>
      <c r="R356" s="363"/>
      <c r="S356" s="325"/>
      <c r="T356" s="325"/>
      <c r="U356" s="317" t="str" cm="1">
        <f t="array" aca="1" ref="U356" ca="1">IFERROR(IF(AA356&lt;&gt;"ja",_xlfn.IFNA(_xlfn.IFS(AND(O356&lt;&gt;"",F356&lt;&gt;"",RIGHT($N356,6)="tarief",F356="Vergoeding"),SUM(O356)*FLOOR(SUM(Q356),0.0001),AND(O356&lt;&gt;"",F356&lt;&gt;"",RIGHT($N356,6)="tarief"),SUM(O356)*FLOOR(SUM(Q356),0.01),S356&gt;0,IF(F356&lt;&gt;"",FLOOR(SUM(S356),0.01),"")),""),""),"")</f>
        <v/>
      </c>
      <c r="V356" s="317" t="str" cm="1">
        <f t="array" aca="1" ref="V356" ca="1">IFERROR(IF(AA356&lt;&gt;"ja",_xlfn.IFNA(_xlfn.IFS(AND(P356&lt;&gt;"",R356&lt;&gt;"",RIGHT($N356,6)="tarief",F356="Vergoeding"),SUM(P356)*FLOOR(SUM(R356),0.0001),AND(P356&lt;&gt;"",R356&lt;&gt;"",RIGHT($N356,6)="tarief"),P356*FLOOR(R356,0.01),T356&gt;0,FLOOR(SUM(T356),0.01)),""),""),"")</f>
        <v/>
      </c>
      <c r="W356" s="317" t="str" cm="1">
        <f t="array" aca="1" ref="W356" ca="1">IFERROR(_xlfn.IFS(OR(F356="",LEFT(Methode_Keuze,4)="Geen",Methode_Keuze=""),"",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17" t="str" cm="1">
        <f t="array" aca="1" ref="X356" ca="1">IFERROR(_xlfn.IFS(OR(F356="",LEFT(Methode_Keuze,4)="Geen",Methode_Keuze=""),"",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26"/>
      <c r="Z356" s="319"/>
      <c r="AA356" s="32" t="str" cm="1">
        <f t="array" ref="AA356">IFERROR(IF(INDEX(SubsidieTabel!$AD$1:$AG$12,MATCH($F356,SubsidieTabel!$AD$1:$AD$12,0),IFERROR(MATCH(Methode_Keuze,SubsidieTabel!$AD$1:$AG$1,0),2))&lt;&gt;1=TRUE,"ja",""),"")</f>
        <v/>
      </c>
    </row>
    <row r="357" spans="1:27" x14ac:dyDescent="0.25">
      <c r="A357" s="320"/>
      <c r="B357" s="321" t="str">
        <f>IF(A357&lt;&gt;"",_xlfn.MAXIFS($B$1:B356,$A$1:A356,A357)+1,"")</f>
        <v/>
      </c>
      <c r="C357" s="299"/>
      <c r="D357" s="299"/>
      <c r="E357" s="299"/>
      <c r="F357" s="299"/>
      <c r="G357" s="330"/>
      <c r="H357" s="328"/>
      <c r="I357" s="329"/>
      <c r="J357" s="329"/>
      <c r="K357" s="322"/>
      <c r="L357" s="322"/>
      <c r="M357" s="323" t="str">
        <f>IFERROR(VLOOKUP(H357,Lijsten!$H$1:$I$100,2,0),"")</f>
        <v/>
      </c>
      <c r="N357" s="323" t="str">
        <f ca="1">IFERROR(IF(VLOOKUP(F357,Kostentypen!$A$3:$E$21,3,0)=0,"",IF(OR(F357="Arbeidskosten",F357="Vergoeding"),VLOOKUP(G357,Tb_KostenTypen[],2,0),VLOOKUP(F357,Kostentypen!$A$3:$E$20,3,0))),"")</f>
        <v/>
      </c>
      <c r="O357" s="324"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4"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3"/>
      <c r="R357" s="363"/>
      <c r="S357" s="325"/>
      <c r="T357" s="325"/>
      <c r="U357" s="317" t="str" cm="1">
        <f t="array" aca="1" ref="U357" ca="1">IFERROR(IF(AA357&lt;&gt;"ja",_xlfn.IFNA(_xlfn.IFS(AND(O357&lt;&gt;"",F357&lt;&gt;"",RIGHT($N357,6)="tarief",F357="Vergoeding"),SUM(O357)*FLOOR(SUM(Q357),0.0001),AND(O357&lt;&gt;"",F357&lt;&gt;"",RIGHT($N357,6)="tarief"),SUM(O357)*FLOOR(SUM(Q357),0.01),S357&gt;0,IF(F357&lt;&gt;"",FLOOR(SUM(S357),0.01),"")),""),""),"")</f>
        <v/>
      </c>
      <c r="V357" s="317" t="str" cm="1">
        <f t="array" aca="1" ref="V357" ca="1">IFERROR(IF(AA357&lt;&gt;"ja",_xlfn.IFNA(_xlfn.IFS(AND(P357&lt;&gt;"",R357&lt;&gt;"",RIGHT($N357,6)="tarief",F357="Vergoeding"),SUM(P357)*FLOOR(SUM(R357),0.0001),AND(P357&lt;&gt;"",R357&lt;&gt;"",RIGHT($N357,6)="tarief"),P357*FLOOR(R357,0.01),T357&gt;0,FLOOR(SUM(T357),0.01)),""),""),"")</f>
        <v/>
      </c>
      <c r="W357" s="317" t="str" cm="1">
        <f t="array" aca="1" ref="W357" ca="1">IFERROR(_xlfn.IFS(OR(F357="",LEFT(Methode_Keuze,4)="Geen",Methode_Keuze=""),"",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17" t="str" cm="1">
        <f t="array" aca="1" ref="X357" ca="1">IFERROR(_xlfn.IFS(OR(F357="",LEFT(Methode_Keuze,4)="Geen",Methode_Keuze=""),"",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26"/>
      <c r="Z357" s="319"/>
      <c r="AA357" s="32" t="str" cm="1">
        <f t="array" ref="AA357">IFERROR(IF(INDEX(SubsidieTabel!$AD$1:$AG$12,MATCH($F357,SubsidieTabel!$AD$1:$AD$12,0),IFERROR(MATCH(Methode_Keuze,SubsidieTabel!$AD$1:$AG$1,0),2))&lt;&gt;1=TRUE,"ja",""),"")</f>
        <v/>
      </c>
    </row>
    <row r="358" spans="1:27" x14ac:dyDescent="0.25">
      <c r="A358" s="320"/>
      <c r="B358" s="321" t="str">
        <f>IF(A358&lt;&gt;"",_xlfn.MAXIFS($B$1:B357,$A$1:A357,A358)+1,"")</f>
        <v/>
      </c>
      <c r="C358" s="299"/>
      <c r="D358" s="299"/>
      <c r="E358" s="299"/>
      <c r="F358" s="299"/>
      <c r="G358" s="330"/>
      <c r="H358" s="328"/>
      <c r="I358" s="329"/>
      <c r="J358" s="329"/>
      <c r="K358" s="322"/>
      <c r="L358" s="322"/>
      <c r="M358" s="323" t="str">
        <f>IFERROR(VLOOKUP(H358,Lijsten!$H$1:$I$100,2,0),"")</f>
        <v/>
      </c>
      <c r="N358" s="323" t="str">
        <f ca="1">IFERROR(IF(VLOOKUP(F358,Kostentypen!$A$3:$E$21,3,0)=0,"",IF(OR(F358="Arbeidskosten",F358="Vergoeding"),VLOOKUP(G358,Tb_KostenTypen[],2,0),VLOOKUP(F358,Kostentypen!$A$3:$E$20,3,0))),"")</f>
        <v/>
      </c>
      <c r="O358" s="324"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4"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3"/>
      <c r="R358" s="363"/>
      <c r="S358" s="325"/>
      <c r="T358" s="325"/>
      <c r="U358" s="317" t="str" cm="1">
        <f t="array" aca="1" ref="U358" ca="1">IFERROR(IF(AA358&lt;&gt;"ja",_xlfn.IFNA(_xlfn.IFS(AND(O358&lt;&gt;"",F358&lt;&gt;"",RIGHT($N358,6)="tarief",F358="Vergoeding"),SUM(O358)*FLOOR(SUM(Q358),0.0001),AND(O358&lt;&gt;"",F358&lt;&gt;"",RIGHT($N358,6)="tarief"),SUM(O358)*FLOOR(SUM(Q358),0.01),S358&gt;0,IF(F358&lt;&gt;"",FLOOR(SUM(S358),0.01),"")),""),""),"")</f>
        <v/>
      </c>
      <c r="V358" s="317" t="str" cm="1">
        <f t="array" aca="1" ref="V358" ca="1">IFERROR(IF(AA358&lt;&gt;"ja",_xlfn.IFNA(_xlfn.IFS(AND(P358&lt;&gt;"",R358&lt;&gt;"",RIGHT($N358,6)="tarief",F358="Vergoeding"),SUM(P358)*FLOOR(SUM(R358),0.0001),AND(P358&lt;&gt;"",R358&lt;&gt;"",RIGHT($N358,6)="tarief"),P358*FLOOR(R358,0.01),T358&gt;0,FLOOR(SUM(T358),0.01)),""),""),"")</f>
        <v/>
      </c>
      <c r="W358" s="317" t="str" cm="1">
        <f t="array" aca="1" ref="W358" ca="1">IFERROR(_xlfn.IFS(OR(F358="",LEFT(Methode_Keuze,4)="Geen",Methode_Keuze=""),"",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17" t="str" cm="1">
        <f t="array" aca="1" ref="X358" ca="1">IFERROR(_xlfn.IFS(OR(F358="",LEFT(Methode_Keuze,4)="Geen",Methode_Keuze=""),"",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26"/>
      <c r="Z358" s="319"/>
      <c r="AA358" s="32" t="str" cm="1">
        <f t="array" ref="AA358">IFERROR(IF(INDEX(SubsidieTabel!$AD$1:$AG$12,MATCH($F358,SubsidieTabel!$AD$1:$AD$12,0),IFERROR(MATCH(Methode_Keuze,SubsidieTabel!$AD$1:$AG$1,0),2))&lt;&gt;1=TRUE,"ja",""),"")</f>
        <v/>
      </c>
    </row>
    <row r="359" spans="1:27" x14ac:dyDescent="0.25">
      <c r="A359" s="320"/>
      <c r="B359" s="321" t="str">
        <f>IF(A359&lt;&gt;"",_xlfn.MAXIFS($B$1:B358,$A$1:A358,A359)+1,"")</f>
        <v/>
      </c>
      <c r="C359" s="299"/>
      <c r="D359" s="299"/>
      <c r="E359" s="299"/>
      <c r="F359" s="299"/>
      <c r="G359" s="330"/>
      <c r="H359" s="328"/>
      <c r="I359" s="329"/>
      <c r="J359" s="329"/>
      <c r="K359" s="322"/>
      <c r="L359" s="322"/>
      <c r="M359" s="323" t="str">
        <f>IFERROR(VLOOKUP(H359,Lijsten!$H$1:$I$100,2,0),"")</f>
        <v/>
      </c>
      <c r="N359" s="323" t="str">
        <f ca="1">IFERROR(IF(VLOOKUP(F359,Kostentypen!$A$3:$E$21,3,0)=0,"",IF(OR(F359="Arbeidskosten",F359="Vergoeding"),VLOOKUP(G359,Tb_KostenTypen[],2,0),VLOOKUP(F359,Kostentypen!$A$3:$E$20,3,0))),"")</f>
        <v/>
      </c>
      <c r="O359" s="324"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4"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3"/>
      <c r="R359" s="363"/>
      <c r="S359" s="325"/>
      <c r="T359" s="325"/>
      <c r="U359" s="317" t="str" cm="1">
        <f t="array" aca="1" ref="U359" ca="1">IFERROR(IF(AA359&lt;&gt;"ja",_xlfn.IFNA(_xlfn.IFS(AND(O359&lt;&gt;"",F359&lt;&gt;"",RIGHT($N359,6)="tarief",F359="Vergoeding"),SUM(O359)*FLOOR(SUM(Q359),0.0001),AND(O359&lt;&gt;"",F359&lt;&gt;"",RIGHT($N359,6)="tarief"),SUM(O359)*FLOOR(SUM(Q359),0.01),S359&gt;0,IF(F359&lt;&gt;"",FLOOR(SUM(S359),0.01),"")),""),""),"")</f>
        <v/>
      </c>
      <c r="V359" s="317" t="str" cm="1">
        <f t="array" aca="1" ref="V359" ca="1">IFERROR(IF(AA359&lt;&gt;"ja",_xlfn.IFNA(_xlfn.IFS(AND(P359&lt;&gt;"",R359&lt;&gt;"",RIGHT($N359,6)="tarief",F359="Vergoeding"),SUM(P359)*FLOOR(SUM(R359),0.0001),AND(P359&lt;&gt;"",R359&lt;&gt;"",RIGHT($N359,6)="tarief"),P359*FLOOR(R359,0.01),T359&gt;0,FLOOR(SUM(T359),0.01)),""),""),"")</f>
        <v/>
      </c>
      <c r="W359" s="317" t="str" cm="1">
        <f t="array" aca="1" ref="W359" ca="1">IFERROR(_xlfn.IFS(OR(F359="",LEFT(Methode_Keuze,4)="Geen",Methode_Keuze=""),"",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17" t="str" cm="1">
        <f t="array" aca="1" ref="X359" ca="1">IFERROR(_xlfn.IFS(OR(F359="",LEFT(Methode_Keuze,4)="Geen",Methode_Keuze=""),"",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26"/>
      <c r="Z359" s="319"/>
      <c r="AA359" s="32" t="str" cm="1">
        <f t="array" ref="AA359">IFERROR(IF(INDEX(SubsidieTabel!$AD$1:$AG$12,MATCH($F359,SubsidieTabel!$AD$1:$AD$12,0),IFERROR(MATCH(Methode_Keuze,SubsidieTabel!$AD$1:$AG$1,0),2))&lt;&gt;1=TRUE,"ja",""),"")</f>
        <v/>
      </c>
    </row>
    <row r="360" spans="1:27" x14ac:dyDescent="0.25">
      <c r="A360" s="320"/>
      <c r="B360" s="321" t="str">
        <f>IF(A360&lt;&gt;"",_xlfn.MAXIFS($B$1:B359,$A$1:A359,A360)+1,"")</f>
        <v/>
      </c>
      <c r="C360" s="299"/>
      <c r="D360" s="299"/>
      <c r="E360" s="299"/>
      <c r="F360" s="299"/>
      <c r="G360" s="330"/>
      <c r="H360" s="328"/>
      <c r="I360" s="329"/>
      <c r="J360" s="329"/>
      <c r="K360" s="322"/>
      <c r="L360" s="322"/>
      <c r="M360" s="323" t="str">
        <f>IFERROR(VLOOKUP(H360,Lijsten!$H$1:$I$100,2,0),"")</f>
        <v/>
      </c>
      <c r="N360" s="323" t="str">
        <f ca="1">IFERROR(IF(VLOOKUP(F360,Kostentypen!$A$3:$E$21,3,0)=0,"",IF(OR(F360="Arbeidskosten",F360="Vergoeding"),VLOOKUP(G360,Tb_KostenTypen[],2,0),VLOOKUP(F360,Kostentypen!$A$3:$E$20,3,0))),"")</f>
        <v/>
      </c>
      <c r="O360" s="324"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4"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3"/>
      <c r="R360" s="363"/>
      <c r="S360" s="325"/>
      <c r="T360" s="325"/>
      <c r="U360" s="317" t="str" cm="1">
        <f t="array" aca="1" ref="U360" ca="1">IFERROR(IF(AA360&lt;&gt;"ja",_xlfn.IFNA(_xlfn.IFS(AND(O360&lt;&gt;"",F360&lt;&gt;"",RIGHT($N360,6)="tarief",F360="Vergoeding"),SUM(O360)*FLOOR(SUM(Q360),0.0001),AND(O360&lt;&gt;"",F360&lt;&gt;"",RIGHT($N360,6)="tarief"),SUM(O360)*FLOOR(SUM(Q360),0.01),S360&gt;0,IF(F360&lt;&gt;"",FLOOR(SUM(S360),0.01),"")),""),""),"")</f>
        <v/>
      </c>
      <c r="V360" s="317" t="str" cm="1">
        <f t="array" aca="1" ref="V360" ca="1">IFERROR(IF(AA360&lt;&gt;"ja",_xlfn.IFNA(_xlfn.IFS(AND(P360&lt;&gt;"",R360&lt;&gt;"",RIGHT($N360,6)="tarief",F360="Vergoeding"),SUM(P360)*FLOOR(SUM(R360),0.0001),AND(P360&lt;&gt;"",R360&lt;&gt;"",RIGHT($N360,6)="tarief"),P360*FLOOR(R360,0.01),T360&gt;0,FLOOR(SUM(T360),0.01)),""),""),"")</f>
        <v/>
      </c>
      <c r="W360" s="317" t="str" cm="1">
        <f t="array" aca="1" ref="W360" ca="1">IFERROR(_xlfn.IFS(OR(F360="",LEFT(Methode_Keuze,4)="Geen",Methode_Keuze=""),"",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17" t="str" cm="1">
        <f t="array" aca="1" ref="X360" ca="1">IFERROR(_xlfn.IFS(OR(F360="",LEFT(Methode_Keuze,4)="Geen",Methode_Keuze=""),"",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26"/>
      <c r="Z360" s="319"/>
      <c r="AA360" s="32" t="str" cm="1">
        <f t="array" ref="AA360">IFERROR(IF(INDEX(SubsidieTabel!$AD$1:$AG$12,MATCH($F360,SubsidieTabel!$AD$1:$AD$12,0),IFERROR(MATCH(Methode_Keuze,SubsidieTabel!$AD$1:$AG$1,0),2))&lt;&gt;1=TRUE,"ja",""),"")</f>
        <v/>
      </c>
    </row>
    <row r="361" spans="1:27" x14ac:dyDescent="0.25">
      <c r="A361" s="320"/>
      <c r="B361" s="321" t="str">
        <f>IF(A361&lt;&gt;"",_xlfn.MAXIFS($B$1:B360,$A$1:A360,A361)+1,"")</f>
        <v/>
      </c>
      <c r="C361" s="299"/>
      <c r="D361" s="299"/>
      <c r="E361" s="299"/>
      <c r="F361" s="299"/>
      <c r="G361" s="330"/>
      <c r="H361" s="328"/>
      <c r="I361" s="329"/>
      <c r="J361" s="329"/>
      <c r="K361" s="322"/>
      <c r="L361" s="322"/>
      <c r="M361" s="323" t="str">
        <f>IFERROR(VLOOKUP(H361,Lijsten!$H$1:$I$100,2,0),"")</f>
        <v/>
      </c>
      <c r="N361" s="323" t="str">
        <f ca="1">IFERROR(IF(VLOOKUP(F361,Kostentypen!$A$3:$E$21,3,0)=0,"",IF(OR(F361="Arbeidskosten",F361="Vergoeding"),VLOOKUP(G361,Tb_KostenTypen[],2,0),VLOOKUP(F361,Kostentypen!$A$3:$E$20,3,0))),"")</f>
        <v/>
      </c>
      <c r="O361" s="324"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4"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3"/>
      <c r="R361" s="363"/>
      <c r="S361" s="325"/>
      <c r="T361" s="325"/>
      <c r="U361" s="317" t="str" cm="1">
        <f t="array" aca="1" ref="U361" ca="1">IFERROR(IF(AA361&lt;&gt;"ja",_xlfn.IFNA(_xlfn.IFS(AND(O361&lt;&gt;"",F361&lt;&gt;"",RIGHT($N361,6)="tarief",F361="Vergoeding"),SUM(O361)*FLOOR(SUM(Q361),0.0001),AND(O361&lt;&gt;"",F361&lt;&gt;"",RIGHT($N361,6)="tarief"),SUM(O361)*FLOOR(SUM(Q361),0.01),S361&gt;0,IF(F361&lt;&gt;"",FLOOR(SUM(S361),0.01),"")),""),""),"")</f>
        <v/>
      </c>
      <c r="V361" s="317" t="str" cm="1">
        <f t="array" aca="1" ref="V361" ca="1">IFERROR(IF(AA361&lt;&gt;"ja",_xlfn.IFNA(_xlfn.IFS(AND(P361&lt;&gt;"",R361&lt;&gt;"",RIGHT($N361,6)="tarief",F361="Vergoeding"),SUM(P361)*FLOOR(SUM(R361),0.0001),AND(P361&lt;&gt;"",R361&lt;&gt;"",RIGHT($N361,6)="tarief"),P361*FLOOR(R361,0.01),T361&gt;0,FLOOR(SUM(T361),0.01)),""),""),"")</f>
        <v/>
      </c>
      <c r="W361" s="317" t="str" cm="1">
        <f t="array" aca="1" ref="W361" ca="1">IFERROR(_xlfn.IFS(OR(F361="",LEFT(Methode_Keuze,4)="Geen",Methode_Keuze=""),"",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17" t="str" cm="1">
        <f t="array" aca="1" ref="X361" ca="1">IFERROR(_xlfn.IFS(OR(F361="",LEFT(Methode_Keuze,4)="Geen",Methode_Keuze=""),"",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26"/>
      <c r="Z361" s="319"/>
      <c r="AA361" s="32" t="str" cm="1">
        <f t="array" ref="AA361">IFERROR(IF(INDEX(SubsidieTabel!$AD$1:$AG$12,MATCH($F361,SubsidieTabel!$AD$1:$AD$12,0),IFERROR(MATCH(Methode_Keuze,SubsidieTabel!$AD$1:$AG$1,0),2))&lt;&gt;1=TRUE,"ja",""),"")</f>
        <v/>
      </c>
    </row>
    <row r="362" spans="1:27" x14ac:dyDescent="0.25">
      <c r="A362" s="320"/>
      <c r="B362" s="321" t="str">
        <f>IF(A362&lt;&gt;"",_xlfn.MAXIFS($B$1:B361,$A$1:A361,A362)+1,"")</f>
        <v/>
      </c>
      <c r="C362" s="299"/>
      <c r="D362" s="299"/>
      <c r="E362" s="299"/>
      <c r="F362" s="299"/>
      <c r="G362" s="330"/>
      <c r="H362" s="328"/>
      <c r="I362" s="329"/>
      <c r="J362" s="329"/>
      <c r="K362" s="322"/>
      <c r="L362" s="322"/>
      <c r="M362" s="323" t="str">
        <f>IFERROR(VLOOKUP(H362,Lijsten!$H$1:$I$100,2,0),"")</f>
        <v/>
      </c>
      <c r="N362" s="323" t="str">
        <f ca="1">IFERROR(IF(VLOOKUP(F362,Kostentypen!$A$3:$E$21,3,0)=0,"",IF(OR(F362="Arbeidskosten",F362="Vergoeding"),VLOOKUP(G362,Tb_KostenTypen[],2,0),VLOOKUP(F362,Kostentypen!$A$3:$E$20,3,0))),"")</f>
        <v/>
      </c>
      <c r="O362" s="324"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4"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3"/>
      <c r="R362" s="363"/>
      <c r="S362" s="325"/>
      <c r="T362" s="325"/>
      <c r="U362" s="317" t="str" cm="1">
        <f t="array" aca="1" ref="U362" ca="1">IFERROR(IF(AA362&lt;&gt;"ja",_xlfn.IFNA(_xlfn.IFS(AND(O362&lt;&gt;"",F362&lt;&gt;"",RIGHT($N362,6)="tarief",F362="Vergoeding"),SUM(O362)*FLOOR(SUM(Q362),0.0001),AND(O362&lt;&gt;"",F362&lt;&gt;"",RIGHT($N362,6)="tarief"),SUM(O362)*FLOOR(SUM(Q362),0.01),S362&gt;0,IF(F362&lt;&gt;"",FLOOR(SUM(S362),0.01),"")),""),""),"")</f>
        <v/>
      </c>
      <c r="V362" s="317" t="str" cm="1">
        <f t="array" aca="1" ref="V362" ca="1">IFERROR(IF(AA362&lt;&gt;"ja",_xlfn.IFNA(_xlfn.IFS(AND(P362&lt;&gt;"",R362&lt;&gt;"",RIGHT($N362,6)="tarief",F362="Vergoeding"),SUM(P362)*FLOOR(SUM(R362),0.0001),AND(P362&lt;&gt;"",R362&lt;&gt;"",RIGHT($N362,6)="tarief"),P362*FLOOR(R362,0.01),T362&gt;0,FLOOR(SUM(T362),0.01)),""),""),"")</f>
        <v/>
      </c>
      <c r="W362" s="317" t="str" cm="1">
        <f t="array" aca="1" ref="W362" ca="1">IFERROR(_xlfn.IFS(OR(F362="",LEFT(Methode_Keuze,4)="Geen",Methode_Keuze=""),"",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17" t="str" cm="1">
        <f t="array" aca="1" ref="X362" ca="1">IFERROR(_xlfn.IFS(OR(F362="",LEFT(Methode_Keuze,4)="Geen",Methode_Keuze=""),"",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26"/>
      <c r="Z362" s="319"/>
      <c r="AA362" s="32" t="str" cm="1">
        <f t="array" ref="AA362">IFERROR(IF(INDEX(SubsidieTabel!$AD$1:$AG$12,MATCH($F362,SubsidieTabel!$AD$1:$AD$12,0),IFERROR(MATCH(Methode_Keuze,SubsidieTabel!$AD$1:$AG$1,0),2))&lt;&gt;1=TRUE,"ja",""),"")</f>
        <v/>
      </c>
    </row>
    <row r="363" spans="1:27" x14ac:dyDescent="0.25">
      <c r="A363" s="320"/>
      <c r="B363" s="321" t="str">
        <f>IF(A363&lt;&gt;"",_xlfn.MAXIFS($B$1:B362,$A$1:A362,A363)+1,"")</f>
        <v/>
      </c>
      <c r="C363" s="299"/>
      <c r="D363" s="299"/>
      <c r="E363" s="299"/>
      <c r="F363" s="299"/>
      <c r="G363" s="330"/>
      <c r="H363" s="328"/>
      <c r="I363" s="329"/>
      <c r="J363" s="329"/>
      <c r="K363" s="322"/>
      <c r="L363" s="322"/>
      <c r="M363" s="323" t="str">
        <f>IFERROR(VLOOKUP(H363,Lijsten!$H$1:$I$100,2,0),"")</f>
        <v/>
      </c>
      <c r="N363" s="323" t="str">
        <f ca="1">IFERROR(IF(VLOOKUP(F363,Kostentypen!$A$3:$E$21,3,0)=0,"",IF(OR(F363="Arbeidskosten",F363="Vergoeding"),VLOOKUP(G363,Tb_KostenTypen[],2,0),VLOOKUP(F363,Kostentypen!$A$3:$E$20,3,0))),"")</f>
        <v/>
      </c>
      <c r="O363" s="324"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4"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3"/>
      <c r="R363" s="363"/>
      <c r="S363" s="325"/>
      <c r="T363" s="325"/>
      <c r="U363" s="317" t="str" cm="1">
        <f t="array" aca="1" ref="U363" ca="1">IFERROR(IF(AA363&lt;&gt;"ja",_xlfn.IFNA(_xlfn.IFS(AND(O363&lt;&gt;"",F363&lt;&gt;"",RIGHT($N363,6)="tarief",F363="Vergoeding"),SUM(O363)*FLOOR(SUM(Q363),0.0001),AND(O363&lt;&gt;"",F363&lt;&gt;"",RIGHT($N363,6)="tarief"),SUM(O363)*FLOOR(SUM(Q363),0.01),S363&gt;0,IF(F363&lt;&gt;"",FLOOR(SUM(S363),0.01),"")),""),""),"")</f>
        <v/>
      </c>
      <c r="V363" s="317" t="str" cm="1">
        <f t="array" aca="1" ref="V363" ca="1">IFERROR(IF(AA363&lt;&gt;"ja",_xlfn.IFNA(_xlfn.IFS(AND(P363&lt;&gt;"",R363&lt;&gt;"",RIGHT($N363,6)="tarief",F363="Vergoeding"),SUM(P363)*FLOOR(SUM(R363),0.0001),AND(P363&lt;&gt;"",R363&lt;&gt;"",RIGHT($N363,6)="tarief"),P363*FLOOR(R363,0.01),T363&gt;0,FLOOR(SUM(T363),0.01)),""),""),"")</f>
        <v/>
      </c>
      <c r="W363" s="317" t="str" cm="1">
        <f t="array" aca="1" ref="W363" ca="1">IFERROR(_xlfn.IFS(OR(F363="",LEFT(Methode_Keuze,4)="Geen",Methode_Keuze=""),"",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17" t="str" cm="1">
        <f t="array" aca="1" ref="X363" ca="1">IFERROR(_xlfn.IFS(OR(F363="",LEFT(Methode_Keuze,4)="Geen",Methode_Keuze=""),"",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26"/>
      <c r="Z363" s="319"/>
      <c r="AA363" s="32" t="str" cm="1">
        <f t="array" ref="AA363">IFERROR(IF(INDEX(SubsidieTabel!$AD$1:$AG$12,MATCH($F363,SubsidieTabel!$AD$1:$AD$12,0),IFERROR(MATCH(Methode_Keuze,SubsidieTabel!$AD$1:$AG$1,0),2))&lt;&gt;1=TRUE,"ja",""),"")</f>
        <v/>
      </c>
    </row>
    <row r="364" spans="1:27" x14ac:dyDescent="0.25">
      <c r="A364" s="320"/>
      <c r="B364" s="321" t="str">
        <f>IF(A364&lt;&gt;"",_xlfn.MAXIFS($B$1:B363,$A$1:A363,A364)+1,"")</f>
        <v/>
      </c>
      <c r="C364" s="299"/>
      <c r="D364" s="299"/>
      <c r="E364" s="299"/>
      <c r="F364" s="299"/>
      <c r="G364" s="330"/>
      <c r="H364" s="328"/>
      <c r="I364" s="329"/>
      <c r="J364" s="329"/>
      <c r="K364" s="322"/>
      <c r="L364" s="322"/>
      <c r="M364" s="323" t="str">
        <f>IFERROR(VLOOKUP(H364,Lijsten!$H$1:$I$100,2,0),"")</f>
        <v/>
      </c>
      <c r="N364" s="323" t="str">
        <f ca="1">IFERROR(IF(VLOOKUP(F364,Kostentypen!$A$3:$E$21,3,0)=0,"",IF(OR(F364="Arbeidskosten",F364="Vergoeding"),VLOOKUP(G364,Tb_KostenTypen[],2,0),VLOOKUP(F364,Kostentypen!$A$3:$E$20,3,0))),"")</f>
        <v/>
      </c>
      <c r="O364" s="324"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4"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3"/>
      <c r="R364" s="363"/>
      <c r="S364" s="325"/>
      <c r="T364" s="325"/>
      <c r="U364" s="317" t="str" cm="1">
        <f t="array" aca="1" ref="U364" ca="1">IFERROR(IF(AA364&lt;&gt;"ja",_xlfn.IFNA(_xlfn.IFS(AND(O364&lt;&gt;"",F364&lt;&gt;"",RIGHT($N364,6)="tarief",F364="Vergoeding"),SUM(O364)*FLOOR(SUM(Q364),0.0001),AND(O364&lt;&gt;"",F364&lt;&gt;"",RIGHT($N364,6)="tarief"),SUM(O364)*FLOOR(SUM(Q364),0.01),S364&gt;0,IF(F364&lt;&gt;"",FLOOR(SUM(S364),0.01),"")),""),""),"")</f>
        <v/>
      </c>
      <c r="V364" s="317" t="str" cm="1">
        <f t="array" aca="1" ref="V364" ca="1">IFERROR(IF(AA364&lt;&gt;"ja",_xlfn.IFNA(_xlfn.IFS(AND(P364&lt;&gt;"",R364&lt;&gt;"",RIGHT($N364,6)="tarief",F364="Vergoeding"),SUM(P364)*FLOOR(SUM(R364),0.0001),AND(P364&lt;&gt;"",R364&lt;&gt;"",RIGHT($N364,6)="tarief"),P364*FLOOR(R364,0.01),T364&gt;0,FLOOR(SUM(T364),0.01)),""),""),"")</f>
        <v/>
      </c>
      <c r="W364" s="317" t="str" cm="1">
        <f t="array" aca="1" ref="W364" ca="1">IFERROR(_xlfn.IFS(OR(F364="",LEFT(Methode_Keuze,4)="Geen",Methode_Keuze=""),"",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17" t="str" cm="1">
        <f t="array" aca="1" ref="X364" ca="1">IFERROR(_xlfn.IFS(OR(F364="",LEFT(Methode_Keuze,4)="Geen",Methode_Keuze=""),"",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26"/>
      <c r="Z364" s="319"/>
      <c r="AA364" s="32" t="str" cm="1">
        <f t="array" ref="AA364">IFERROR(IF(INDEX(SubsidieTabel!$AD$1:$AG$12,MATCH($F364,SubsidieTabel!$AD$1:$AD$12,0),IFERROR(MATCH(Methode_Keuze,SubsidieTabel!$AD$1:$AG$1,0),2))&lt;&gt;1=TRUE,"ja",""),"")</f>
        <v/>
      </c>
    </row>
    <row r="365" spans="1:27" x14ac:dyDescent="0.25">
      <c r="A365" s="320"/>
      <c r="B365" s="321" t="str">
        <f>IF(A365&lt;&gt;"",_xlfn.MAXIFS($B$1:B364,$A$1:A364,A365)+1,"")</f>
        <v/>
      </c>
      <c r="C365" s="299"/>
      <c r="D365" s="299"/>
      <c r="E365" s="299"/>
      <c r="F365" s="299"/>
      <c r="G365" s="330"/>
      <c r="H365" s="328"/>
      <c r="I365" s="329"/>
      <c r="J365" s="329"/>
      <c r="K365" s="322"/>
      <c r="L365" s="322"/>
      <c r="M365" s="323" t="str">
        <f>IFERROR(VLOOKUP(H365,Lijsten!$H$1:$I$100,2,0),"")</f>
        <v/>
      </c>
      <c r="N365" s="323" t="str">
        <f ca="1">IFERROR(IF(VLOOKUP(F365,Kostentypen!$A$3:$E$21,3,0)=0,"",IF(OR(F365="Arbeidskosten",F365="Vergoeding"),VLOOKUP(G365,Tb_KostenTypen[],2,0),VLOOKUP(F365,Kostentypen!$A$3:$E$20,3,0))),"")</f>
        <v/>
      </c>
      <c r="O365" s="324"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4"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3"/>
      <c r="R365" s="363"/>
      <c r="S365" s="325"/>
      <c r="T365" s="325"/>
      <c r="U365" s="317" t="str" cm="1">
        <f t="array" aca="1" ref="U365" ca="1">IFERROR(IF(AA365&lt;&gt;"ja",_xlfn.IFNA(_xlfn.IFS(AND(O365&lt;&gt;"",F365&lt;&gt;"",RIGHT($N365,6)="tarief",F365="Vergoeding"),SUM(O365)*FLOOR(SUM(Q365),0.0001),AND(O365&lt;&gt;"",F365&lt;&gt;"",RIGHT($N365,6)="tarief"),SUM(O365)*FLOOR(SUM(Q365),0.01),S365&gt;0,IF(F365&lt;&gt;"",FLOOR(SUM(S365),0.01),"")),""),""),"")</f>
        <v/>
      </c>
      <c r="V365" s="317" t="str" cm="1">
        <f t="array" aca="1" ref="V365" ca="1">IFERROR(IF(AA365&lt;&gt;"ja",_xlfn.IFNA(_xlfn.IFS(AND(P365&lt;&gt;"",R365&lt;&gt;"",RIGHT($N365,6)="tarief",F365="Vergoeding"),SUM(P365)*FLOOR(SUM(R365),0.0001),AND(P365&lt;&gt;"",R365&lt;&gt;"",RIGHT($N365,6)="tarief"),P365*FLOOR(R365,0.01),T365&gt;0,FLOOR(SUM(T365),0.01)),""),""),"")</f>
        <v/>
      </c>
      <c r="W365" s="317" t="str" cm="1">
        <f t="array" aca="1" ref="W365" ca="1">IFERROR(_xlfn.IFS(OR(F365="",LEFT(Methode_Keuze,4)="Geen",Methode_Keuze=""),"",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17" t="str" cm="1">
        <f t="array" aca="1" ref="X365" ca="1">IFERROR(_xlfn.IFS(OR(F365="",LEFT(Methode_Keuze,4)="Geen",Methode_Keuze=""),"",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26"/>
      <c r="Z365" s="319"/>
      <c r="AA365" s="32" t="str" cm="1">
        <f t="array" ref="AA365">IFERROR(IF(INDEX(SubsidieTabel!$AD$1:$AG$12,MATCH($F365,SubsidieTabel!$AD$1:$AD$12,0),IFERROR(MATCH(Methode_Keuze,SubsidieTabel!$AD$1:$AG$1,0),2))&lt;&gt;1=TRUE,"ja",""),"")</f>
        <v/>
      </c>
    </row>
    <row r="366" spans="1:27" x14ac:dyDescent="0.25">
      <c r="A366" s="320"/>
      <c r="B366" s="321" t="str">
        <f>IF(A366&lt;&gt;"",_xlfn.MAXIFS($B$1:B365,$A$1:A365,A366)+1,"")</f>
        <v/>
      </c>
      <c r="C366" s="299"/>
      <c r="D366" s="299"/>
      <c r="E366" s="299"/>
      <c r="F366" s="299"/>
      <c r="G366" s="330"/>
      <c r="H366" s="328"/>
      <c r="I366" s="329"/>
      <c r="J366" s="329"/>
      <c r="K366" s="322"/>
      <c r="L366" s="322"/>
      <c r="M366" s="323" t="str">
        <f>IFERROR(VLOOKUP(H366,Lijsten!$H$1:$I$100,2,0),"")</f>
        <v/>
      </c>
      <c r="N366" s="323" t="str">
        <f ca="1">IFERROR(IF(VLOOKUP(F366,Kostentypen!$A$3:$E$21,3,0)=0,"",IF(OR(F366="Arbeidskosten",F366="Vergoeding"),VLOOKUP(G366,Tb_KostenTypen[],2,0),VLOOKUP(F366,Kostentypen!$A$3:$E$20,3,0))),"")</f>
        <v/>
      </c>
      <c r="O366" s="324"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4"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3"/>
      <c r="R366" s="363"/>
      <c r="S366" s="325"/>
      <c r="T366" s="325"/>
      <c r="U366" s="317" t="str" cm="1">
        <f t="array" aca="1" ref="U366" ca="1">IFERROR(IF(AA366&lt;&gt;"ja",_xlfn.IFNA(_xlfn.IFS(AND(O366&lt;&gt;"",F366&lt;&gt;"",RIGHT($N366,6)="tarief",F366="Vergoeding"),SUM(O366)*FLOOR(SUM(Q366),0.0001),AND(O366&lt;&gt;"",F366&lt;&gt;"",RIGHT($N366,6)="tarief"),SUM(O366)*FLOOR(SUM(Q366),0.01),S366&gt;0,IF(F366&lt;&gt;"",FLOOR(SUM(S366),0.01),"")),""),""),"")</f>
        <v/>
      </c>
      <c r="V366" s="317" t="str" cm="1">
        <f t="array" aca="1" ref="V366" ca="1">IFERROR(IF(AA366&lt;&gt;"ja",_xlfn.IFNA(_xlfn.IFS(AND(P366&lt;&gt;"",R366&lt;&gt;"",RIGHT($N366,6)="tarief",F366="Vergoeding"),SUM(P366)*FLOOR(SUM(R366),0.0001),AND(P366&lt;&gt;"",R366&lt;&gt;"",RIGHT($N366,6)="tarief"),P366*FLOOR(R366,0.01),T366&gt;0,FLOOR(SUM(T366),0.01)),""),""),"")</f>
        <v/>
      </c>
      <c r="W366" s="317" t="str" cm="1">
        <f t="array" aca="1" ref="W366" ca="1">IFERROR(_xlfn.IFS(OR(F366="",LEFT(Methode_Keuze,4)="Geen",Methode_Keuze=""),"",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17" t="str" cm="1">
        <f t="array" aca="1" ref="X366" ca="1">IFERROR(_xlfn.IFS(OR(F366="",LEFT(Methode_Keuze,4)="Geen",Methode_Keuze=""),"",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26"/>
      <c r="Z366" s="319"/>
      <c r="AA366" s="32" t="str" cm="1">
        <f t="array" ref="AA366">IFERROR(IF(INDEX(SubsidieTabel!$AD$1:$AG$12,MATCH($F366,SubsidieTabel!$AD$1:$AD$12,0),IFERROR(MATCH(Methode_Keuze,SubsidieTabel!$AD$1:$AG$1,0),2))&lt;&gt;1=TRUE,"ja",""),"")</f>
        <v/>
      </c>
    </row>
    <row r="367" spans="1:27" x14ac:dyDescent="0.25">
      <c r="A367" s="320"/>
      <c r="B367" s="321" t="str">
        <f>IF(A367&lt;&gt;"",_xlfn.MAXIFS($B$1:B366,$A$1:A366,A367)+1,"")</f>
        <v/>
      </c>
      <c r="C367" s="299"/>
      <c r="D367" s="299"/>
      <c r="E367" s="299"/>
      <c r="F367" s="299"/>
      <c r="G367" s="330"/>
      <c r="H367" s="328"/>
      <c r="I367" s="329"/>
      <c r="J367" s="329"/>
      <c r="K367" s="322"/>
      <c r="L367" s="322"/>
      <c r="M367" s="323" t="str">
        <f>IFERROR(VLOOKUP(H367,Lijsten!$H$1:$I$100,2,0),"")</f>
        <v/>
      </c>
      <c r="N367" s="323" t="str">
        <f ca="1">IFERROR(IF(VLOOKUP(F367,Kostentypen!$A$3:$E$21,3,0)=0,"",IF(OR(F367="Arbeidskosten",F367="Vergoeding"),VLOOKUP(G367,Tb_KostenTypen[],2,0),VLOOKUP(F367,Kostentypen!$A$3:$E$20,3,0))),"")</f>
        <v/>
      </c>
      <c r="O367" s="324"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4"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3"/>
      <c r="R367" s="363"/>
      <c r="S367" s="325"/>
      <c r="T367" s="325"/>
      <c r="U367" s="317" t="str" cm="1">
        <f t="array" aca="1" ref="U367" ca="1">IFERROR(IF(AA367&lt;&gt;"ja",_xlfn.IFNA(_xlfn.IFS(AND(O367&lt;&gt;"",F367&lt;&gt;"",RIGHT($N367,6)="tarief",F367="Vergoeding"),SUM(O367)*FLOOR(SUM(Q367),0.0001),AND(O367&lt;&gt;"",F367&lt;&gt;"",RIGHT($N367,6)="tarief"),SUM(O367)*FLOOR(SUM(Q367),0.01),S367&gt;0,IF(F367&lt;&gt;"",FLOOR(SUM(S367),0.01),"")),""),""),"")</f>
        <v/>
      </c>
      <c r="V367" s="317" t="str" cm="1">
        <f t="array" aca="1" ref="V367" ca="1">IFERROR(IF(AA367&lt;&gt;"ja",_xlfn.IFNA(_xlfn.IFS(AND(P367&lt;&gt;"",R367&lt;&gt;"",RIGHT($N367,6)="tarief",F367="Vergoeding"),SUM(P367)*FLOOR(SUM(R367),0.0001),AND(P367&lt;&gt;"",R367&lt;&gt;"",RIGHT($N367,6)="tarief"),P367*FLOOR(R367,0.01),T367&gt;0,FLOOR(SUM(T367),0.01)),""),""),"")</f>
        <v/>
      </c>
      <c r="W367" s="317" t="str" cm="1">
        <f t="array" aca="1" ref="W367" ca="1">IFERROR(_xlfn.IFS(OR(F367="",LEFT(Methode_Keuze,4)="Geen",Methode_Keuze=""),"",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17" t="str" cm="1">
        <f t="array" aca="1" ref="X367" ca="1">IFERROR(_xlfn.IFS(OR(F367="",LEFT(Methode_Keuze,4)="Geen",Methode_Keuze=""),"",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26"/>
      <c r="Z367" s="319"/>
      <c r="AA367" s="32" t="str" cm="1">
        <f t="array" ref="AA367">IFERROR(IF(INDEX(SubsidieTabel!$AD$1:$AG$12,MATCH($F367,SubsidieTabel!$AD$1:$AD$12,0),IFERROR(MATCH(Methode_Keuze,SubsidieTabel!$AD$1:$AG$1,0),2))&lt;&gt;1=TRUE,"ja",""),"")</f>
        <v/>
      </c>
    </row>
    <row r="368" spans="1:27" x14ac:dyDescent="0.25">
      <c r="A368" s="320"/>
      <c r="B368" s="321" t="str">
        <f>IF(A368&lt;&gt;"",_xlfn.MAXIFS($B$1:B367,$A$1:A367,A368)+1,"")</f>
        <v/>
      </c>
      <c r="C368" s="299"/>
      <c r="D368" s="299"/>
      <c r="E368" s="299"/>
      <c r="F368" s="299"/>
      <c r="G368" s="330"/>
      <c r="H368" s="328"/>
      <c r="I368" s="329"/>
      <c r="J368" s="329"/>
      <c r="K368" s="322"/>
      <c r="L368" s="322"/>
      <c r="M368" s="323" t="str">
        <f>IFERROR(VLOOKUP(H368,Lijsten!$H$1:$I$100,2,0),"")</f>
        <v/>
      </c>
      <c r="N368" s="323" t="str">
        <f ca="1">IFERROR(IF(VLOOKUP(F368,Kostentypen!$A$3:$E$21,3,0)=0,"",IF(OR(F368="Arbeidskosten",F368="Vergoeding"),VLOOKUP(G368,Tb_KostenTypen[],2,0),VLOOKUP(F368,Kostentypen!$A$3:$E$20,3,0))),"")</f>
        <v/>
      </c>
      <c r="O368" s="324"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4"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3"/>
      <c r="R368" s="363"/>
      <c r="S368" s="325"/>
      <c r="T368" s="325"/>
      <c r="U368" s="317" t="str" cm="1">
        <f t="array" aca="1" ref="U368" ca="1">IFERROR(IF(AA368&lt;&gt;"ja",_xlfn.IFNA(_xlfn.IFS(AND(O368&lt;&gt;"",F368&lt;&gt;"",RIGHT($N368,6)="tarief",F368="Vergoeding"),SUM(O368)*FLOOR(SUM(Q368),0.0001),AND(O368&lt;&gt;"",F368&lt;&gt;"",RIGHT($N368,6)="tarief"),SUM(O368)*FLOOR(SUM(Q368),0.01),S368&gt;0,IF(F368&lt;&gt;"",FLOOR(SUM(S368),0.01),"")),""),""),"")</f>
        <v/>
      </c>
      <c r="V368" s="317" t="str" cm="1">
        <f t="array" aca="1" ref="V368" ca="1">IFERROR(IF(AA368&lt;&gt;"ja",_xlfn.IFNA(_xlfn.IFS(AND(P368&lt;&gt;"",R368&lt;&gt;"",RIGHT($N368,6)="tarief",F368="Vergoeding"),SUM(P368)*FLOOR(SUM(R368),0.0001),AND(P368&lt;&gt;"",R368&lt;&gt;"",RIGHT($N368,6)="tarief"),P368*FLOOR(R368,0.01),T368&gt;0,FLOOR(SUM(T368),0.01)),""),""),"")</f>
        <v/>
      </c>
      <c r="W368" s="317" t="str" cm="1">
        <f t="array" aca="1" ref="W368" ca="1">IFERROR(_xlfn.IFS(OR(F368="",LEFT(Methode_Keuze,4)="Geen",Methode_Keuze=""),"",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17" t="str" cm="1">
        <f t="array" aca="1" ref="X368" ca="1">IFERROR(_xlfn.IFS(OR(F368="",LEFT(Methode_Keuze,4)="Geen",Methode_Keuze=""),"",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26"/>
      <c r="Z368" s="319"/>
      <c r="AA368" s="32" t="str" cm="1">
        <f t="array" ref="AA368">IFERROR(IF(INDEX(SubsidieTabel!$AD$1:$AG$12,MATCH($F368,SubsidieTabel!$AD$1:$AD$12,0),IFERROR(MATCH(Methode_Keuze,SubsidieTabel!$AD$1:$AG$1,0),2))&lt;&gt;1=TRUE,"ja",""),"")</f>
        <v/>
      </c>
    </row>
    <row r="369" spans="1:27" x14ac:dyDescent="0.25">
      <c r="A369" s="320"/>
      <c r="B369" s="321" t="str">
        <f>IF(A369&lt;&gt;"",_xlfn.MAXIFS($B$1:B368,$A$1:A368,A369)+1,"")</f>
        <v/>
      </c>
      <c r="C369" s="299"/>
      <c r="D369" s="299"/>
      <c r="E369" s="299"/>
      <c r="F369" s="299"/>
      <c r="G369" s="330"/>
      <c r="H369" s="328"/>
      <c r="I369" s="329"/>
      <c r="J369" s="329"/>
      <c r="K369" s="322"/>
      <c r="L369" s="322"/>
      <c r="M369" s="323" t="str">
        <f>IFERROR(VLOOKUP(H369,Lijsten!$H$1:$I$100,2,0),"")</f>
        <v/>
      </c>
      <c r="N369" s="323" t="str">
        <f ca="1">IFERROR(IF(VLOOKUP(F369,Kostentypen!$A$3:$E$21,3,0)=0,"",IF(OR(F369="Arbeidskosten",F369="Vergoeding"),VLOOKUP(G369,Tb_KostenTypen[],2,0),VLOOKUP(F369,Kostentypen!$A$3:$E$20,3,0))),"")</f>
        <v/>
      </c>
      <c r="O369" s="324"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4"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3"/>
      <c r="R369" s="363"/>
      <c r="S369" s="325"/>
      <c r="T369" s="325"/>
      <c r="U369" s="317" t="str" cm="1">
        <f t="array" aca="1" ref="U369" ca="1">IFERROR(IF(AA369&lt;&gt;"ja",_xlfn.IFNA(_xlfn.IFS(AND(O369&lt;&gt;"",F369&lt;&gt;"",RIGHT($N369,6)="tarief",F369="Vergoeding"),SUM(O369)*FLOOR(SUM(Q369),0.0001),AND(O369&lt;&gt;"",F369&lt;&gt;"",RIGHT($N369,6)="tarief"),SUM(O369)*FLOOR(SUM(Q369),0.01),S369&gt;0,IF(F369&lt;&gt;"",FLOOR(SUM(S369),0.01),"")),""),""),"")</f>
        <v/>
      </c>
      <c r="V369" s="317" t="str" cm="1">
        <f t="array" aca="1" ref="V369" ca="1">IFERROR(IF(AA369&lt;&gt;"ja",_xlfn.IFNA(_xlfn.IFS(AND(P369&lt;&gt;"",R369&lt;&gt;"",RIGHT($N369,6)="tarief",F369="Vergoeding"),SUM(P369)*FLOOR(SUM(R369),0.0001),AND(P369&lt;&gt;"",R369&lt;&gt;"",RIGHT($N369,6)="tarief"),P369*FLOOR(R369,0.01),T369&gt;0,FLOOR(SUM(T369),0.01)),""),""),"")</f>
        <v/>
      </c>
      <c r="W369" s="317" t="str" cm="1">
        <f t="array" aca="1" ref="W369" ca="1">IFERROR(_xlfn.IFS(OR(F369="",LEFT(Methode_Keuze,4)="Geen",Methode_Keuze=""),"",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17" t="str" cm="1">
        <f t="array" aca="1" ref="X369" ca="1">IFERROR(_xlfn.IFS(OR(F369="",LEFT(Methode_Keuze,4)="Geen",Methode_Keuze=""),"",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26"/>
      <c r="Z369" s="319"/>
      <c r="AA369" s="32" t="str" cm="1">
        <f t="array" ref="AA369">IFERROR(IF(INDEX(SubsidieTabel!$AD$1:$AG$12,MATCH($F369,SubsidieTabel!$AD$1:$AD$12,0),IFERROR(MATCH(Methode_Keuze,SubsidieTabel!$AD$1:$AG$1,0),2))&lt;&gt;1=TRUE,"ja",""),"")</f>
        <v/>
      </c>
    </row>
    <row r="370" spans="1:27" x14ac:dyDescent="0.25">
      <c r="A370" s="320"/>
      <c r="B370" s="321" t="str">
        <f>IF(A370&lt;&gt;"",_xlfn.MAXIFS($B$1:B369,$A$1:A369,A370)+1,"")</f>
        <v/>
      </c>
      <c r="C370" s="299"/>
      <c r="D370" s="299"/>
      <c r="E370" s="299"/>
      <c r="F370" s="299"/>
      <c r="G370" s="330"/>
      <c r="H370" s="328"/>
      <c r="I370" s="329"/>
      <c r="J370" s="329"/>
      <c r="K370" s="322"/>
      <c r="L370" s="322"/>
      <c r="M370" s="323" t="str">
        <f>IFERROR(VLOOKUP(H370,Lijsten!$H$1:$I$100,2,0),"")</f>
        <v/>
      </c>
      <c r="N370" s="323" t="str">
        <f ca="1">IFERROR(IF(VLOOKUP(F370,Kostentypen!$A$3:$E$21,3,0)=0,"",IF(OR(F370="Arbeidskosten",F370="Vergoeding"),VLOOKUP(G370,Tb_KostenTypen[],2,0),VLOOKUP(F370,Kostentypen!$A$3:$E$20,3,0))),"")</f>
        <v/>
      </c>
      <c r="O370" s="324"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4"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3"/>
      <c r="R370" s="363"/>
      <c r="S370" s="325"/>
      <c r="T370" s="325"/>
      <c r="U370" s="317" t="str" cm="1">
        <f t="array" aca="1" ref="U370" ca="1">IFERROR(IF(AA370&lt;&gt;"ja",_xlfn.IFNA(_xlfn.IFS(AND(O370&lt;&gt;"",F370&lt;&gt;"",RIGHT($N370,6)="tarief",F370="Vergoeding"),SUM(O370)*FLOOR(SUM(Q370),0.0001),AND(O370&lt;&gt;"",F370&lt;&gt;"",RIGHT($N370,6)="tarief"),SUM(O370)*FLOOR(SUM(Q370),0.01),S370&gt;0,IF(F370&lt;&gt;"",FLOOR(SUM(S370),0.01),"")),""),""),"")</f>
        <v/>
      </c>
      <c r="V370" s="317" t="str" cm="1">
        <f t="array" aca="1" ref="V370" ca="1">IFERROR(IF(AA370&lt;&gt;"ja",_xlfn.IFNA(_xlfn.IFS(AND(P370&lt;&gt;"",R370&lt;&gt;"",RIGHT($N370,6)="tarief",F370="Vergoeding"),SUM(P370)*FLOOR(SUM(R370),0.0001),AND(P370&lt;&gt;"",R370&lt;&gt;"",RIGHT($N370,6)="tarief"),P370*FLOOR(R370,0.01),T370&gt;0,FLOOR(SUM(T370),0.01)),""),""),"")</f>
        <v/>
      </c>
      <c r="W370" s="317" t="str" cm="1">
        <f t="array" aca="1" ref="W370" ca="1">IFERROR(_xlfn.IFS(OR(F370="",LEFT(Methode_Keuze,4)="Geen",Methode_Keuze=""),"",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17" t="str" cm="1">
        <f t="array" aca="1" ref="X370" ca="1">IFERROR(_xlfn.IFS(OR(F370="",LEFT(Methode_Keuze,4)="Geen",Methode_Keuze=""),"",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26"/>
      <c r="Z370" s="319"/>
      <c r="AA370" s="32" t="str" cm="1">
        <f t="array" ref="AA370">IFERROR(IF(INDEX(SubsidieTabel!$AD$1:$AG$12,MATCH($F370,SubsidieTabel!$AD$1:$AD$12,0),IFERROR(MATCH(Methode_Keuze,SubsidieTabel!$AD$1:$AG$1,0),2))&lt;&gt;1=TRUE,"ja",""),"")</f>
        <v/>
      </c>
    </row>
    <row r="371" spans="1:27" x14ac:dyDescent="0.25">
      <c r="A371" s="320"/>
      <c r="B371" s="321" t="str">
        <f>IF(A371&lt;&gt;"",_xlfn.MAXIFS($B$1:B370,$A$1:A370,A371)+1,"")</f>
        <v/>
      </c>
      <c r="C371" s="299"/>
      <c r="D371" s="299"/>
      <c r="E371" s="299"/>
      <c r="F371" s="299"/>
      <c r="G371" s="330"/>
      <c r="H371" s="328"/>
      <c r="I371" s="329"/>
      <c r="J371" s="329"/>
      <c r="K371" s="322"/>
      <c r="L371" s="322"/>
      <c r="M371" s="323" t="str">
        <f>IFERROR(VLOOKUP(H371,Lijsten!$H$1:$I$100,2,0),"")</f>
        <v/>
      </c>
      <c r="N371" s="323" t="str">
        <f ca="1">IFERROR(IF(VLOOKUP(F371,Kostentypen!$A$3:$E$21,3,0)=0,"",IF(OR(F371="Arbeidskosten",F371="Vergoeding"),VLOOKUP(G371,Tb_KostenTypen[],2,0),VLOOKUP(F371,Kostentypen!$A$3:$E$20,3,0))),"")</f>
        <v/>
      </c>
      <c r="O371" s="324"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4"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3"/>
      <c r="R371" s="363"/>
      <c r="S371" s="325"/>
      <c r="T371" s="325"/>
      <c r="U371" s="317" t="str" cm="1">
        <f t="array" aca="1" ref="U371" ca="1">IFERROR(IF(AA371&lt;&gt;"ja",_xlfn.IFNA(_xlfn.IFS(AND(O371&lt;&gt;"",F371&lt;&gt;"",RIGHT($N371,6)="tarief",F371="Vergoeding"),SUM(O371)*FLOOR(SUM(Q371),0.0001),AND(O371&lt;&gt;"",F371&lt;&gt;"",RIGHT($N371,6)="tarief"),SUM(O371)*FLOOR(SUM(Q371),0.01),S371&gt;0,IF(F371&lt;&gt;"",FLOOR(SUM(S371),0.01),"")),""),""),"")</f>
        <v/>
      </c>
      <c r="V371" s="317" t="str" cm="1">
        <f t="array" aca="1" ref="V371" ca="1">IFERROR(IF(AA371&lt;&gt;"ja",_xlfn.IFNA(_xlfn.IFS(AND(P371&lt;&gt;"",R371&lt;&gt;"",RIGHT($N371,6)="tarief",F371="Vergoeding"),SUM(P371)*FLOOR(SUM(R371),0.0001),AND(P371&lt;&gt;"",R371&lt;&gt;"",RIGHT($N371,6)="tarief"),P371*FLOOR(R371,0.01),T371&gt;0,FLOOR(SUM(T371),0.01)),""),""),"")</f>
        <v/>
      </c>
      <c r="W371" s="317" t="str" cm="1">
        <f t="array" aca="1" ref="W371" ca="1">IFERROR(_xlfn.IFS(OR(F371="",LEFT(Methode_Keuze,4)="Geen",Methode_Keuze=""),"",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17" t="str" cm="1">
        <f t="array" aca="1" ref="X371" ca="1">IFERROR(_xlfn.IFS(OR(F371="",LEFT(Methode_Keuze,4)="Geen",Methode_Keuze=""),"",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26"/>
      <c r="Z371" s="319"/>
      <c r="AA371" s="32" t="str" cm="1">
        <f t="array" ref="AA371">IFERROR(IF(INDEX(SubsidieTabel!$AD$1:$AG$12,MATCH($F371,SubsidieTabel!$AD$1:$AD$12,0),IFERROR(MATCH(Methode_Keuze,SubsidieTabel!$AD$1:$AG$1,0),2))&lt;&gt;1=TRUE,"ja",""),"")</f>
        <v/>
      </c>
    </row>
    <row r="372" spans="1:27" x14ac:dyDescent="0.25">
      <c r="A372" s="320"/>
      <c r="B372" s="321" t="str">
        <f>IF(A372&lt;&gt;"",_xlfn.MAXIFS($B$1:B371,$A$1:A371,A372)+1,"")</f>
        <v/>
      </c>
      <c r="C372" s="299"/>
      <c r="D372" s="299"/>
      <c r="E372" s="299"/>
      <c r="F372" s="299"/>
      <c r="G372" s="330"/>
      <c r="H372" s="328"/>
      <c r="I372" s="329"/>
      <c r="J372" s="329"/>
      <c r="K372" s="322"/>
      <c r="L372" s="322"/>
      <c r="M372" s="323" t="str">
        <f>IFERROR(VLOOKUP(H372,Lijsten!$H$1:$I$100,2,0),"")</f>
        <v/>
      </c>
      <c r="N372" s="323" t="str">
        <f ca="1">IFERROR(IF(VLOOKUP(F372,Kostentypen!$A$3:$E$21,3,0)=0,"",IF(OR(F372="Arbeidskosten",F372="Vergoeding"),VLOOKUP(G372,Tb_KostenTypen[],2,0),VLOOKUP(F372,Kostentypen!$A$3:$E$20,3,0))),"")</f>
        <v/>
      </c>
      <c r="O372" s="324"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4"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3"/>
      <c r="R372" s="363"/>
      <c r="S372" s="325"/>
      <c r="T372" s="325"/>
      <c r="U372" s="317" t="str" cm="1">
        <f t="array" aca="1" ref="U372" ca="1">IFERROR(IF(AA372&lt;&gt;"ja",_xlfn.IFNA(_xlfn.IFS(AND(O372&lt;&gt;"",F372&lt;&gt;"",RIGHT($N372,6)="tarief",F372="Vergoeding"),SUM(O372)*FLOOR(SUM(Q372),0.0001),AND(O372&lt;&gt;"",F372&lt;&gt;"",RIGHT($N372,6)="tarief"),SUM(O372)*FLOOR(SUM(Q372),0.01),S372&gt;0,IF(F372&lt;&gt;"",FLOOR(SUM(S372),0.01),"")),""),""),"")</f>
        <v/>
      </c>
      <c r="V372" s="317" t="str" cm="1">
        <f t="array" aca="1" ref="V372" ca="1">IFERROR(IF(AA372&lt;&gt;"ja",_xlfn.IFNA(_xlfn.IFS(AND(P372&lt;&gt;"",R372&lt;&gt;"",RIGHT($N372,6)="tarief",F372="Vergoeding"),SUM(P372)*FLOOR(SUM(R372),0.0001),AND(P372&lt;&gt;"",R372&lt;&gt;"",RIGHT($N372,6)="tarief"),P372*FLOOR(R372,0.01),T372&gt;0,FLOOR(SUM(T372),0.01)),""),""),"")</f>
        <v/>
      </c>
      <c r="W372" s="317" t="str" cm="1">
        <f t="array" aca="1" ref="W372" ca="1">IFERROR(_xlfn.IFS(OR(F372="",LEFT(Methode_Keuze,4)="Geen",Methode_Keuze=""),"",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17" t="str" cm="1">
        <f t="array" aca="1" ref="X372" ca="1">IFERROR(_xlfn.IFS(OR(F372="",LEFT(Methode_Keuze,4)="Geen",Methode_Keuze=""),"",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26"/>
      <c r="Z372" s="319"/>
      <c r="AA372" s="32" t="str" cm="1">
        <f t="array" ref="AA372">IFERROR(IF(INDEX(SubsidieTabel!$AD$1:$AG$12,MATCH($F372,SubsidieTabel!$AD$1:$AD$12,0),IFERROR(MATCH(Methode_Keuze,SubsidieTabel!$AD$1:$AG$1,0),2))&lt;&gt;1=TRUE,"ja",""),"")</f>
        <v/>
      </c>
    </row>
    <row r="373" spans="1:27" x14ac:dyDescent="0.25">
      <c r="A373" s="320"/>
      <c r="B373" s="321" t="str">
        <f>IF(A373&lt;&gt;"",_xlfn.MAXIFS($B$1:B372,$A$1:A372,A373)+1,"")</f>
        <v/>
      </c>
      <c r="C373" s="299"/>
      <c r="D373" s="299"/>
      <c r="E373" s="299"/>
      <c r="F373" s="299"/>
      <c r="G373" s="330"/>
      <c r="H373" s="328"/>
      <c r="I373" s="329"/>
      <c r="J373" s="329"/>
      <c r="K373" s="322"/>
      <c r="L373" s="322"/>
      <c r="M373" s="323" t="str">
        <f>IFERROR(VLOOKUP(H373,Lijsten!$H$1:$I$100,2,0),"")</f>
        <v/>
      </c>
      <c r="N373" s="323" t="str">
        <f ca="1">IFERROR(IF(VLOOKUP(F373,Kostentypen!$A$3:$E$21,3,0)=0,"",IF(OR(F373="Arbeidskosten",F373="Vergoeding"),VLOOKUP(G373,Tb_KostenTypen[],2,0),VLOOKUP(F373,Kostentypen!$A$3:$E$20,3,0))),"")</f>
        <v/>
      </c>
      <c r="O373" s="324"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4"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3"/>
      <c r="R373" s="363"/>
      <c r="S373" s="325"/>
      <c r="T373" s="325"/>
      <c r="U373" s="317" t="str" cm="1">
        <f t="array" aca="1" ref="U373" ca="1">IFERROR(IF(AA373&lt;&gt;"ja",_xlfn.IFNA(_xlfn.IFS(AND(O373&lt;&gt;"",F373&lt;&gt;"",RIGHT($N373,6)="tarief",F373="Vergoeding"),SUM(O373)*FLOOR(SUM(Q373),0.0001),AND(O373&lt;&gt;"",F373&lt;&gt;"",RIGHT($N373,6)="tarief"),SUM(O373)*FLOOR(SUM(Q373),0.01),S373&gt;0,IF(F373&lt;&gt;"",FLOOR(SUM(S373),0.01),"")),""),""),"")</f>
        <v/>
      </c>
      <c r="V373" s="317" t="str" cm="1">
        <f t="array" aca="1" ref="V373" ca="1">IFERROR(IF(AA373&lt;&gt;"ja",_xlfn.IFNA(_xlfn.IFS(AND(P373&lt;&gt;"",R373&lt;&gt;"",RIGHT($N373,6)="tarief",F373="Vergoeding"),SUM(P373)*FLOOR(SUM(R373),0.0001),AND(P373&lt;&gt;"",R373&lt;&gt;"",RIGHT($N373,6)="tarief"),P373*FLOOR(R373,0.01),T373&gt;0,FLOOR(SUM(T373),0.01)),""),""),"")</f>
        <v/>
      </c>
      <c r="W373" s="317" t="str" cm="1">
        <f t="array" aca="1" ref="W373" ca="1">IFERROR(_xlfn.IFS(OR(F373="",LEFT(Methode_Keuze,4)="Geen",Methode_Keuze=""),"",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17" t="str" cm="1">
        <f t="array" aca="1" ref="X373" ca="1">IFERROR(_xlfn.IFS(OR(F373="",LEFT(Methode_Keuze,4)="Geen",Methode_Keuze=""),"",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26"/>
      <c r="Z373" s="319"/>
      <c r="AA373" s="32" t="str" cm="1">
        <f t="array" ref="AA373">IFERROR(IF(INDEX(SubsidieTabel!$AD$1:$AG$12,MATCH($F373,SubsidieTabel!$AD$1:$AD$12,0),IFERROR(MATCH(Methode_Keuze,SubsidieTabel!$AD$1:$AG$1,0),2))&lt;&gt;1=TRUE,"ja",""),"")</f>
        <v/>
      </c>
    </row>
    <row r="374" spans="1:27" x14ac:dyDescent="0.25">
      <c r="A374" s="320"/>
      <c r="B374" s="321" t="str">
        <f>IF(A374&lt;&gt;"",_xlfn.MAXIFS($B$1:B373,$A$1:A373,A374)+1,"")</f>
        <v/>
      </c>
      <c r="C374" s="299"/>
      <c r="D374" s="299"/>
      <c r="E374" s="299"/>
      <c r="F374" s="299"/>
      <c r="G374" s="330"/>
      <c r="H374" s="328"/>
      <c r="I374" s="329"/>
      <c r="J374" s="329"/>
      <c r="K374" s="322"/>
      <c r="L374" s="322"/>
      <c r="M374" s="323" t="str">
        <f>IFERROR(VLOOKUP(H374,Lijsten!$H$1:$I$100,2,0),"")</f>
        <v/>
      </c>
      <c r="N374" s="323" t="str">
        <f ca="1">IFERROR(IF(VLOOKUP(F374,Kostentypen!$A$3:$E$21,3,0)=0,"",IF(OR(F374="Arbeidskosten",F374="Vergoeding"),VLOOKUP(G374,Tb_KostenTypen[],2,0),VLOOKUP(F374,Kostentypen!$A$3:$E$20,3,0))),"")</f>
        <v/>
      </c>
      <c r="O374" s="324"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4"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3"/>
      <c r="R374" s="363"/>
      <c r="S374" s="325"/>
      <c r="T374" s="325"/>
      <c r="U374" s="317" t="str" cm="1">
        <f t="array" aca="1" ref="U374" ca="1">IFERROR(IF(AA374&lt;&gt;"ja",_xlfn.IFNA(_xlfn.IFS(AND(O374&lt;&gt;"",F374&lt;&gt;"",RIGHT($N374,6)="tarief",F374="Vergoeding"),SUM(O374)*FLOOR(SUM(Q374),0.0001),AND(O374&lt;&gt;"",F374&lt;&gt;"",RIGHT($N374,6)="tarief"),SUM(O374)*FLOOR(SUM(Q374),0.01),S374&gt;0,IF(F374&lt;&gt;"",FLOOR(SUM(S374),0.01),"")),""),""),"")</f>
        <v/>
      </c>
      <c r="V374" s="317" t="str" cm="1">
        <f t="array" aca="1" ref="V374" ca="1">IFERROR(IF(AA374&lt;&gt;"ja",_xlfn.IFNA(_xlfn.IFS(AND(P374&lt;&gt;"",R374&lt;&gt;"",RIGHT($N374,6)="tarief",F374="Vergoeding"),SUM(P374)*FLOOR(SUM(R374),0.0001),AND(P374&lt;&gt;"",R374&lt;&gt;"",RIGHT($N374,6)="tarief"),P374*FLOOR(R374,0.01),T374&gt;0,FLOOR(SUM(T374),0.01)),""),""),"")</f>
        <v/>
      </c>
      <c r="W374" s="317" t="str" cm="1">
        <f t="array" aca="1" ref="W374" ca="1">IFERROR(_xlfn.IFS(OR(F374="",LEFT(Methode_Keuze,4)="Geen",Methode_Keuze=""),"",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17" t="str" cm="1">
        <f t="array" aca="1" ref="X374" ca="1">IFERROR(_xlfn.IFS(OR(F374="",LEFT(Methode_Keuze,4)="Geen",Methode_Keuze=""),"",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26"/>
      <c r="Z374" s="319"/>
      <c r="AA374" s="32" t="str" cm="1">
        <f t="array" ref="AA374">IFERROR(IF(INDEX(SubsidieTabel!$AD$1:$AG$12,MATCH($F374,SubsidieTabel!$AD$1:$AD$12,0),IFERROR(MATCH(Methode_Keuze,SubsidieTabel!$AD$1:$AG$1,0),2))&lt;&gt;1=TRUE,"ja",""),"")</f>
        <v/>
      </c>
    </row>
    <row r="375" spans="1:27" x14ac:dyDescent="0.25">
      <c r="A375" s="320"/>
      <c r="B375" s="321" t="str">
        <f>IF(A375&lt;&gt;"",_xlfn.MAXIFS($B$1:B374,$A$1:A374,A375)+1,"")</f>
        <v/>
      </c>
      <c r="C375" s="299"/>
      <c r="D375" s="299"/>
      <c r="E375" s="299"/>
      <c r="F375" s="299"/>
      <c r="G375" s="330"/>
      <c r="H375" s="328"/>
      <c r="I375" s="329"/>
      <c r="J375" s="329"/>
      <c r="K375" s="322"/>
      <c r="L375" s="322"/>
      <c r="M375" s="323" t="str">
        <f>IFERROR(VLOOKUP(H375,Lijsten!$H$1:$I$100,2,0),"")</f>
        <v/>
      </c>
      <c r="N375" s="323" t="str">
        <f ca="1">IFERROR(IF(VLOOKUP(F375,Kostentypen!$A$3:$E$21,3,0)=0,"",IF(OR(F375="Arbeidskosten",F375="Vergoeding"),VLOOKUP(G375,Tb_KostenTypen[],2,0),VLOOKUP(F375,Kostentypen!$A$3:$E$20,3,0))),"")</f>
        <v/>
      </c>
      <c r="O375" s="324"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4"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3"/>
      <c r="R375" s="363"/>
      <c r="S375" s="325"/>
      <c r="T375" s="325"/>
      <c r="U375" s="317" t="str" cm="1">
        <f t="array" aca="1" ref="U375" ca="1">IFERROR(IF(AA375&lt;&gt;"ja",_xlfn.IFNA(_xlfn.IFS(AND(O375&lt;&gt;"",F375&lt;&gt;"",RIGHT($N375,6)="tarief",F375="Vergoeding"),SUM(O375)*FLOOR(SUM(Q375),0.0001),AND(O375&lt;&gt;"",F375&lt;&gt;"",RIGHT($N375,6)="tarief"),SUM(O375)*FLOOR(SUM(Q375),0.01),S375&gt;0,IF(F375&lt;&gt;"",FLOOR(SUM(S375),0.01),"")),""),""),"")</f>
        <v/>
      </c>
      <c r="V375" s="317" t="str" cm="1">
        <f t="array" aca="1" ref="V375" ca="1">IFERROR(IF(AA375&lt;&gt;"ja",_xlfn.IFNA(_xlfn.IFS(AND(P375&lt;&gt;"",R375&lt;&gt;"",RIGHT($N375,6)="tarief",F375="Vergoeding"),SUM(P375)*FLOOR(SUM(R375),0.0001),AND(P375&lt;&gt;"",R375&lt;&gt;"",RIGHT($N375,6)="tarief"),P375*FLOOR(R375,0.01),T375&gt;0,FLOOR(SUM(T375),0.01)),""),""),"")</f>
        <v/>
      </c>
      <c r="W375" s="317" t="str" cm="1">
        <f t="array" aca="1" ref="W375" ca="1">IFERROR(_xlfn.IFS(OR(F375="",LEFT(Methode_Keuze,4)="Geen",Methode_Keuze=""),"",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17" t="str" cm="1">
        <f t="array" aca="1" ref="X375" ca="1">IFERROR(_xlfn.IFS(OR(F375="",LEFT(Methode_Keuze,4)="Geen",Methode_Keuze=""),"",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26"/>
      <c r="Z375" s="319"/>
      <c r="AA375" s="32" t="str" cm="1">
        <f t="array" ref="AA375">IFERROR(IF(INDEX(SubsidieTabel!$AD$1:$AG$12,MATCH($F375,SubsidieTabel!$AD$1:$AD$12,0),IFERROR(MATCH(Methode_Keuze,SubsidieTabel!$AD$1:$AG$1,0),2))&lt;&gt;1=TRUE,"ja",""),"")</f>
        <v/>
      </c>
    </row>
    <row r="376" spans="1:27" x14ac:dyDescent="0.25">
      <c r="A376" s="320"/>
      <c r="B376" s="321" t="str">
        <f>IF(A376&lt;&gt;"",_xlfn.MAXIFS($B$1:B375,$A$1:A375,A376)+1,"")</f>
        <v/>
      </c>
      <c r="C376" s="299"/>
      <c r="D376" s="299"/>
      <c r="E376" s="299"/>
      <c r="F376" s="299"/>
      <c r="G376" s="330"/>
      <c r="H376" s="328"/>
      <c r="I376" s="329"/>
      <c r="J376" s="329"/>
      <c r="K376" s="322"/>
      <c r="L376" s="322"/>
      <c r="M376" s="323" t="str">
        <f>IFERROR(VLOOKUP(H376,Lijsten!$H$1:$I$100,2,0),"")</f>
        <v/>
      </c>
      <c r="N376" s="323" t="str">
        <f ca="1">IFERROR(IF(VLOOKUP(F376,Kostentypen!$A$3:$E$21,3,0)=0,"",IF(OR(F376="Arbeidskosten",F376="Vergoeding"),VLOOKUP(G376,Tb_KostenTypen[],2,0),VLOOKUP(F376,Kostentypen!$A$3:$E$20,3,0))),"")</f>
        <v/>
      </c>
      <c r="O376" s="324"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4"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3"/>
      <c r="R376" s="363"/>
      <c r="S376" s="325"/>
      <c r="T376" s="325"/>
      <c r="U376" s="317" t="str" cm="1">
        <f t="array" aca="1" ref="U376" ca="1">IFERROR(IF(AA376&lt;&gt;"ja",_xlfn.IFNA(_xlfn.IFS(AND(O376&lt;&gt;"",F376&lt;&gt;"",RIGHT($N376,6)="tarief",F376="Vergoeding"),SUM(O376)*FLOOR(SUM(Q376),0.0001),AND(O376&lt;&gt;"",F376&lt;&gt;"",RIGHT($N376,6)="tarief"),SUM(O376)*FLOOR(SUM(Q376),0.01),S376&gt;0,IF(F376&lt;&gt;"",FLOOR(SUM(S376),0.01),"")),""),""),"")</f>
        <v/>
      </c>
      <c r="V376" s="317" t="str" cm="1">
        <f t="array" aca="1" ref="V376" ca="1">IFERROR(IF(AA376&lt;&gt;"ja",_xlfn.IFNA(_xlfn.IFS(AND(P376&lt;&gt;"",R376&lt;&gt;"",RIGHT($N376,6)="tarief",F376="Vergoeding"),SUM(P376)*FLOOR(SUM(R376),0.0001),AND(P376&lt;&gt;"",R376&lt;&gt;"",RIGHT($N376,6)="tarief"),P376*FLOOR(R376,0.01),T376&gt;0,FLOOR(SUM(T376),0.01)),""),""),"")</f>
        <v/>
      </c>
      <c r="W376" s="317" t="str" cm="1">
        <f t="array" aca="1" ref="W376" ca="1">IFERROR(_xlfn.IFS(OR(F376="",LEFT(Methode_Keuze,4)="Geen",Methode_Keuze=""),"",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17" t="str" cm="1">
        <f t="array" aca="1" ref="X376" ca="1">IFERROR(_xlfn.IFS(OR(F376="",LEFT(Methode_Keuze,4)="Geen",Methode_Keuze=""),"",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26"/>
      <c r="Z376" s="319"/>
      <c r="AA376" s="32" t="str" cm="1">
        <f t="array" ref="AA376">IFERROR(IF(INDEX(SubsidieTabel!$AD$1:$AG$12,MATCH($F376,SubsidieTabel!$AD$1:$AD$12,0),IFERROR(MATCH(Methode_Keuze,SubsidieTabel!$AD$1:$AG$1,0),2))&lt;&gt;1=TRUE,"ja",""),"")</f>
        <v/>
      </c>
    </row>
    <row r="377" spans="1:27" x14ac:dyDescent="0.25">
      <c r="A377" s="320"/>
      <c r="B377" s="321" t="str">
        <f>IF(A377&lt;&gt;"",_xlfn.MAXIFS($B$1:B376,$A$1:A376,A377)+1,"")</f>
        <v/>
      </c>
      <c r="C377" s="299"/>
      <c r="D377" s="299"/>
      <c r="E377" s="299"/>
      <c r="F377" s="299"/>
      <c r="G377" s="330"/>
      <c r="H377" s="328"/>
      <c r="I377" s="329"/>
      <c r="J377" s="329"/>
      <c r="K377" s="322"/>
      <c r="L377" s="322"/>
      <c r="M377" s="323" t="str">
        <f>IFERROR(VLOOKUP(H377,Lijsten!$H$1:$I$100,2,0),"")</f>
        <v/>
      </c>
      <c r="N377" s="323" t="str">
        <f ca="1">IFERROR(IF(VLOOKUP(F377,Kostentypen!$A$3:$E$21,3,0)=0,"",IF(OR(F377="Arbeidskosten",F377="Vergoeding"),VLOOKUP(G377,Tb_KostenTypen[],2,0),VLOOKUP(F377,Kostentypen!$A$3:$E$20,3,0))),"")</f>
        <v/>
      </c>
      <c r="O377" s="324"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4"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3"/>
      <c r="R377" s="363"/>
      <c r="S377" s="325"/>
      <c r="T377" s="325"/>
      <c r="U377" s="317" t="str" cm="1">
        <f t="array" aca="1" ref="U377" ca="1">IFERROR(IF(AA377&lt;&gt;"ja",_xlfn.IFNA(_xlfn.IFS(AND(O377&lt;&gt;"",F377&lt;&gt;"",RIGHT($N377,6)="tarief",F377="Vergoeding"),SUM(O377)*FLOOR(SUM(Q377),0.0001),AND(O377&lt;&gt;"",F377&lt;&gt;"",RIGHT($N377,6)="tarief"),SUM(O377)*FLOOR(SUM(Q377),0.01),S377&gt;0,IF(F377&lt;&gt;"",FLOOR(SUM(S377),0.01),"")),""),""),"")</f>
        <v/>
      </c>
      <c r="V377" s="317" t="str" cm="1">
        <f t="array" aca="1" ref="V377" ca="1">IFERROR(IF(AA377&lt;&gt;"ja",_xlfn.IFNA(_xlfn.IFS(AND(P377&lt;&gt;"",R377&lt;&gt;"",RIGHT($N377,6)="tarief",F377="Vergoeding"),SUM(P377)*FLOOR(SUM(R377),0.0001),AND(P377&lt;&gt;"",R377&lt;&gt;"",RIGHT($N377,6)="tarief"),P377*FLOOR(R377,0.01),T377&gt;0,FLOOR(SUM(T377),0.01)),""),""),"")</f>
        <v/>
      </c>
      <c r="W377" s="317" t="str" cm="1">
        <f t="array" aca="1" ref="W377" ca="1">IFERROR(_xlfn.IFS(OR(F377="",LEFT(Methode_Keuze,4)="Geen",Methode_Keuze=""),"",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17" t="str" cm="1">
        <f t="array" aca="1" ref="X377" ca="1">IFERROR(_xlfn.IFS(OR(F377="",LEFT(Methode_Keuze,4)="Geen",Methode_Keuze=""),"",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26"/>
      <c r="Z377" s="319"/>
      <c r="AA377" s="32" t="str" cm="1">
        <f t="array" ref="AA377">IFERROR(IF(INDEX(SubsidieTabel!$AD$1:$AG$12,MATCH($F377,SubsidieTabel!$AD$1:$AD$12,0),IFERROR(MATCH(Methode_Keuze,SubsidieTabel!$AD$1:$AG$1,0),2))&lt;&gt;1=TRUE,"ja",""),"")</f>
        <v/>
      </c>
    </row>
    <row r="378" spans="1:27" x14ac:dyDescent="0.25">
      <c r="A378" s="320"/>
      <c r="B378" s="321" t="str">
        <f>IF(A378&lt;&gt;"",_xlfn.MAXIFS($B$1:B377,$A$1:A377,A378)+1,"")</f>
        <v/>
      </c>
      <c r="C378" s="299"/>
      <c r="D378" s="299"/>
      <c r="E378" s="299"/>
      <c r="F378" s="299"/>
      <c r="G378" s="330"/>
      <c r="H378" s="328"/>
      <c r="I378" s="329"/>
      <c r="J378" s="329"/>
      <c r="K378" s="322"/>
      <c r="L378" s="322"/>
      <c r="M378" s="323" t="str">
        <f>IFERROR(VLOOKUP(H378,Lijsten!$H$1:$I$100,2,0),"")</f>
        <v/>
      </c>
      <c r="N378" s="323" t="str">
        <f ca="1">IFERROR(IF(VLOOKUP(F378,Kostentypen!$A$3:$E$21,3,0)=0,"",IF(OR(F378="Arbeidskosten",F378="Vergoeding"),VLOOKUP(G378,Tb_KostenTypen[],2,0),VLOOKUP(F378,Kostentypen!$A$3:$E$20,3,0))),"")</f>
        <v/>
      </c>
      <c r="O378" s="324"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4"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3"/>
      <c r="R378" s="363"/>
      <c r="S378" s="325"/>
      <c r="T378" s="325"/>
      <c r="U378" s="317" t="str" cm="1">
        <f t="array" aca="1" ref="U378" ca="1">IFERROR(IF(AA378&lt;&gt;"ja",_xlfn.IFNA(_xlfn.IFS(AND(O378&lt;&gt;"",F378&lt;&gt;"",RIGHT($N378,6)="tarief",F378="Vergoeding"),SUM(O378)*FLOOR(SUM(Q378),0.0001),AND(O378&lt;&gt;"",F378&lt;&gt;"",RIGHT($N378,6)="tarief"),SUM(O378)*FLOOR(SUM(Q378),0.01),S378&gt;0,IF(F378&lt;&gt;"",FLOOR(SUM(S378),0.01),"")),""),""),"")</f>
        <v/>
      </c>
      <c r="V378" s="317" t="str" cm="1">
        <f t="array" aca="1" ref="V378" ca="1">IFERROR(IF(AA378&lt;&gt;"ja",_xlfn.IFNA(_xlfn.IFS(AND(P378&lt;&gt;"",R378&lt;&gt;"",RIGHT($N378,6)="tarief",F378="Vergoeding"),SUM(P378)*FLOOR(SUM(R378),0.0001),AND(P378&lt;&gt;"",R378&lt;&gt;"",RIGHT($N378,6)="tarief"),P378*FLOOR(R378,0.01),T378&gt;0,FLOOR(SUM(T378),0.01)),""),""),"")</f>
        <v/>
      </c>
      <c r="W378" s="317" t="str" cm="1">
        <f t="array" aca="1" ref="W378" ca="1">IFERROR(_xlfn.IFS(OR(F378="",LEFT(Methode_Keuze,4)="Geen",Methode_Keuze=""),"",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17" t="str" cm="1">
        <f t="array" aca="1" ref="X378" ca="1">IFERROR(_xlfn.IFS(OR(F378="",LEFT(Methode_Keuze,4)="Geen",Methode_Keuze=""),"",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26"/>
      <c r="Z378" s="319"/>
      <c r="AA378" s="32" t="str" cm="1">
        <f t="array" ref="AA378">IFERROR(IF(INDEX(SubsidieTabel!$AD$1:$AG$12,MATCH($F378,SubsidieTabel!$AD$1:$AD$12,0),IFERROR(MATCH(Methode_Keuze,SubsidieTabel!$AD$1:$AG$1,0),2))&lt;&gt;1=TRUE,"ja",""),"")</f>
        <v/>
      </c>
    </row>
    <row r="379" spans="1:27" x14ac:dyDescent="0.25">
      <c r="A379" s="320"/>
      <c r="B379" s="321" t="str">
        <f>IF(A379&lt;&gt;"",_xlfn.MAXIFS($B$1:B378,$A$1:A378,A379)+1,"")</f>
        <v/>
      </c>
      <c r="C379" s="299"/>
      <c r="D379" s="299"/>
      <c r="E379" s="299"/>
      <c r="F379" s="299"/>
      <c r="G379" s="330"/>
      <c r="H379" s="328"/>
      <c r="I379" s="329"/>
      <c r="J379" s="329"/>
      <c r="K379" s="322"/>
      <c r="L379" s="322"/>
      <c r="M379" s="323" t="str">
        <f>IFERROR(VLOOKUP(H379,Lijsten!$H$1:$I$100,2,0),"")</f>
        <v/>
      </c>
      <c r="N379" s="323" t="str">
        <f ca="1">IFERROR(IF(VLOOKUP(F379,Kostentypen!$A$3:$E$21,3,0)=0,"",IF(OR(F379="Arbeidskosten",F379="Vergoeding"),VLOOKUP(G379,Tb_KostenTypen[],2,0),VLOOKUP(F379,Kostentypen!$A$3:$E$20,3,0))),"")</f>
        <v/>
      </c>
      <c r="O379" s="324"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4"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3"/>
      <c r="R379" s="363"/>
      <c r="S379" s="325"/>
      <c r="T379" s="325"/>
      <c r="U379" s="317" t="str" cm="1">
        <f t="array" aca="1" ref="U379" ca="1">IFERROR(IF(AA379&lt;&gt;"ja",_xlfn.IFNA(_xlfn.IFS(AND(O379&lt;&gt;"",F379&lt;&gt;"",RIGHT($N379,6)="tarief",F379="Vergoeding"),SUM(O379)*FLOOR(SUM(Q379),0.0001),AND(O379&lt;&gt;"",F379&lt;&gt;"",RIGHT($N379,6)="tarief"),SUM(O379)*FLOOR(SUM(Q379),0.01),S379&gt;0,IF(F379&lt;&gt;"",FLOOR(SUM(S379),0.01),"")),""),""),"")</f>
        <v/>
      </c>
      <c r="V379" s="317" t="str" cm="1">
        <f t="array" aca="1" ref="V379" ca="1">IFERROR(IF(AA379&lt;&gt;"ja",_xlfn.IFNA(_xlfn.IFS(AND(P379&lt;&gt;"",R379&lt;&gt;"",RIGHT($N379,6)="tarief",F379="Vergoeding"),SUM(P379)*FLOOR(SUM(R379),0.0001),AND(P379&lt;&gt;"",R379&lt;&gt;"",RIGHT($N379,6)="tarief"),P379*FLOOR(R379,0.01),T379&gt;0,FLOOR(SUM(T379),0.01)),""),""),"")</f>
        <v/>
      </c>
      <c r="W379" s="317" t="str" cm="1">
        <f t="array" aca="1" ref="W379" ca="1">IFERROR(_xlfn.IFS(OR(F379="",LEFT(Methode_Keuze,4)="Geen",Methode_Keuze=""),"",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17" t="str" cm="1">
        <f t="array" aca="1" ref="X379" ca="1">IFERROR(_xlfn.IFS(OR(F379="",LEFT(Methode_Keuze,4)="Geen",Methode_Keuze=""),"",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26"/>
      <c r="Z379" s="319"/>
      <c r="AA379" s="32" t="str" cm="1">
        <f t="array" ref="AA379">IFERROR(IF(INDEX(SubsidieTabel!$AD$1:$AG$12,MATCH($F379,SubsidieTabel!$AD$1:$AD$12,0),IFERROR(MATCH(Methode_Keuze,SubsidieTabel!$AD$1:$AG$1,0),2))&lt;&gt;1=TRUE,"ja",""),"")</f>
        <v/>
      </c>
    </row>
    <row r="380" spans="1:27" x14ac:dyDescent="0.25">
      <c r="A380" s="320"/>
      <c r="B380" s="321" t="str">
        <f>IF(A380&lt;&gt;"",_xlfn.MAXIFS($B$1:B379,$A$1:A379,A380)+1,"")</f>
        <v/>
      </c>
      <c r="C380" s="299"/>
      <c r="D380" s="299"/>
      <c r="E380" s="299"/>
      <c r="F380" s="299"/>
      <c r="G380" s="330"/>
      <c r="H380" s="328"/>
      <c r="I380" s="329"/>
      <c r="J380" s="329"/>
      <c r="K380" s="322"/>
      <c r="L380" s="322"/>
      <c r="M380" s="323" t="str">
        <f>IFERROR(VLOOKUP(H380,Lijsten!$H$1:$I$100,2,0),"")</f>
        <v/>
      </c>
      <c r="N380" s="323" t="str">
        <f ca="1">IFERROR(IF(VLOOKUP(F380,Kostentypen!$A$3:$E$21,3,0)=0,"",IF(OR(F380="Arbeidskosten",F380="Vergoeding"),VLOOKUP(G380,Tb_KostenTypen[],2,0),VLOOKUP(F380,Kostentypen!$A$3:$E$20,3,0))),"")</f>
        <v/>
      </c>
      <c r="O380" s="324"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4"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3"/>
      <c r="R380" s="363"/>
      <c r="S380" s="325"/>
      <c r="T380" s="325"/>
      <c r="U380" s="317" t="str" cm="1">
        <f t="array" aca="1" ref="U380" ca="1">IFERROR(IF(AA380&lt;&gt;"ja",_xlfn.IFNA(_xlfn.IFS(AND(O380&lt;&gt;"",F380&lt;&gt;"",RIGHT($N380,6)="tarief",F380="Vergoeding"),SUM(O380)*FLOOR(SUM(Q380),0.0001),AND(O380&lt;&gt;"",F380&lt;&gt;"",RIGHT($N380,6)="tarief"),SUM(O380)*FLOOR(SUM(Q380),0.01),S380&gt;0,IF(F380&lt;&gt;"",FLOOR(SUM(S380),0.01),"")),""),""),"")</f>
        <v/>
      </c>
      <c r="V380" s="317" t="str" cm="1">
        <f t="array" aca="1" ref="V380" ca="1">IFERROR(IF(AA380&lt;&gt;"ja",_xlfn.IFNA(_xlfn.IFS(AND(P380&lt;&gt;"",R380&lt;&gt;"",RIGHT($N380,6)="tarief",F380="Vergoeding"),SUM(P380)*FLOOR(SUM(R380),0.0001),AND(P380&lt;&gt;"",R380&lt;&gt;"",RIGHT($N380,6)="tarief"),P380*FLOOR(R380,0.01),T380&gt;0,FLOOR(SUM(T380),0.01)),""),""),"")</f>
        <v/>
      </c>
      <c r="W380" s="317" t="str" cm="1">
        <f t="array" aca="1" ref="W380" ca="1">IFERROR(_xlfn.IFS(OR(F380="",LEFT(Methode_Keuze,4)="Geen",Methode_Keuze=""),"",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17" t="str" cm="1">
        <f t="array" aca="1" ref="X380" ca="1">IFERROR(_xlfn.IFS(OR(F380="",LEFT(Methode_Keuze,4)="Geen",Methode_Keuze=""),"",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26"/>
      <c r="Z380" s="319"/>
      <c r="AA380" s="32" t="str" cm="1">
        <f t="array" ref="AA380">IFERROR(IF(INDEX(SubsidieTabel!$AD$1:$AG$12,MATCH($F380,SubsidieTabel!$AD$1:$AD$12,0),IFERROR(MATCH(Methode_Keuze,SubsidieTabel!$AD$1:$AG$1,0),2))&lt;&gt;1=TRUE,"ja",""),"")</f>
        <v/>
      </c>
    </row>
    <row r="381" spans="1:27" x14ac:dyDescent="0.25">
      <c r="A381" s="320"/>
      <c r="B381" s="321" t="str">
        <f>IF(A381&lt;&gt;"",_xlfn.MAXIFS($B$1:B380,$A$1:A380,A381)+1,"")</f>
        <v/>
      </c>
      <c r="C381" s="299"/>
      <c r="D381" s="299"/>
      <c r="E381" s="299"/>
      <c r="F381" s="299"/>
      <c r="G381" s="330"/>
      <c r="H381" s="328"/>
      <c r="I381" s="329"/>
      <c r="J381" s="329"/>
      <c r="K381" s="322"/>
      <c r="L381" s="322"/>
      <c r="M381" s="323" t="str">
        <f>IFERROR(VLOOKUP(H381,Lijsten!$H$1:$I$100,2,0),"")</f>
        <v/>
      </c>
      <c r="N381" s="323" t="str">
        <f ca="1">IFERROR(IF(VLOOKUP(F381,Kostentypen!$A$3:$E$21,3,0)=0,"",IF(OR(F381="Arbeidskosten",F381="Vergoeding"),VLOOKUP(G381,Tb_KostenTypen[],2,0),VLOOKUP(F381,Kostentypen!$A$3:$E$20,3,0))),"")</f>
        <v/>
      </c>
      <c r="O381" s="324"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4"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3"/>
      <c r="R381" s="363"/>
      <c r="S381" s="325"/>
      <c r="T381" s="325"/>
      <c r="U381" s="317" t="str" cm="1">
        <f t="array" aca="1" ref="U381" ca="1">IFERROR(IF(AA381&lt;&gt;"ja",_xlfn.IFNA(_xlfn.IFS(AND(O381&lt;&gt;"",F381&lt;&gt;"",RIGHT($N381,6)="tarief",F381="Vergoeding"),SUM(O381)*FLOOR(SUM(Q381),0.0001),AND(O381&lt;&gt;"",F381&lt;&gt;"",RIGHT($N381,6)="tarief"),SUM(O381)*FLOOR(SUM(Q381),0.01),S381&gt;0,IF(F381&lt;&gt;"",FLOOR(SUM(S381),0.01),"")),""),""),"")</f>
        <v/>
      </c>
      <c r="V381" s="317" t="str" cm="1">
        <f t="array" aca="1" ref="V381" ca="1">IFERROR(IF(AA381&lt;&gt;"ja",_xlfn.IFNA(_xlfn.IFS(AND(P381&lt;&gt;"",R381&lt;&gt;"",RIGHT($N381,6)="tarief",F381="Vergoeding"),SUM(P381)*FLOOR(SUM(R381),0.0001),AND(P381&lt;&gt;"",R381&lt;&gt;"",RIGHT($N381,6)="tarief"),P381*FLOOR(R381,0.01),T381&gt;0,FLOOR(SUM(T381),0.01)),""),""),"")</f>
        <v/>
      </c>
      <c r="W381" s="317" t="str" cm="1">
        <f t="array" aca="1" ref="W381" ca="1">IFERROR(_xlfn.IFS(OR(F381="",LEFT(Methode_Keuze,4)="Geen",Methode_Keuze=""),"",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17" t="str" cm="1">
        <f t="array" aca="1" ref="X381" ca="1">IFERROR(_xlfn.IFS(OR(F381="",LEFT(Methode_Keuze,4)="Geen",Methode_Keuze=""),"",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26"/>
      <c r="Z381" s="319"/>
      <c r="AA381" s="32" t="str" cm="1">
        <f t="array" ref="AA381">IFERROR(IF(INDEX(SubsidieTabel!$AD$1:$AG$12,MATCH($F381,SubsidieTabel!$AD$1:$AD$12,0),IFERROR(MATCH(Methode_Keuze,SubsidieTabel!$AD$1:$AG$1,0),2))&lt;&gt;1=TRUE,"ja",""),"")</f>
        <v/>
      </c>
    </row>
    <row r="382" spans="1:27" x14ac:dyDescent="0.25">
      <c r="A382" s="320"/>
      <c r="B382" s="321" t="str">
        <f>IF(A382&lt;&gt;"",_xlfn.MAXIFS($B$1:B381,$A$1:A381,A382)+1,"")</f>
        <v/>
      </c>
      <c r="C382" s="299"/>
      <c r="D382" s="299"/>
      <c r="E382" s="299"/>
      <c r="F382" s="299"/>
      <c r="G382" s="330"/>
      <c r="H382" s="328"/>
      <c r="I382" s="329"/>
      <c r="J382" s="329"/>
      <c r="K382" s="322"/>
      <c r="L382" s="322"/>
      <c r="M382" s="323" t="str">
        <f>IFERROR(VLOOKUP(H382,Lijsten!$H$1:$I$100,2,0),"")</f>
        <v/>
      </c>
      <c r="N382" s="323" t="str">
        <f ca="1">IFERROR(IF(VLOOKUP(F382,Kostentypen!$A$3:$E$21,3,0)=0,"",IF(OR(F382="Arbeidskosten",F382="Vergoeding"),VLOOKUP(G382,Tb_KostenTypen[],2,0),VLOOKUP(F382,Kostentypen!$A$3:$E$20,3,0))),"")</f>
        <v/>
      </c>
      <c r="O382" s="324"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4"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3"/>
      <c r="R382" s="363"/>
      <c r="S382" s="325"/>
      <c r="T382" s="325"/>
      <c r="U382" s="317" t="str" cm="1">
        <f t="array" aca="1" ref="U382" ca="1">IFERROR(IF(AA382&lt;&gt;"ja",_xlfn.IFNA(_xlfn.IFS(AND(O382&lt;&gt;"",F382&lt;&gt;"",RIGHT($N382,6)="tarief",F382="Vergoeding"),SUM(O382)*FLOOR(SUM(Q382),0.0001),AND(O382&lt;&gt;"",F382&lt;&gt;"",RIGHT($N382,6)="tarief"),SUM(O382)*FLOOR(SUM(Q382),0.01),S382&gt;0,IF(F382&lt;&gt;"",FLOOR(SUM(S382),0.01),"")),""),""),"")</f>
        <v/>
      </c>
      <c r="V382" s="317" t="str" cm="1">
        <f t="array" aca="1" ref="V382" ca="1">IFERROR(IF(AA382&lt;&gt;"ja",_xlfn.IFNA(_xlfn.IFS(AND(P382&lt;&gt;"",R382&lt;&gt;"",RIGHT($N382,6)="tarief",F382="Vergoeding"),SUM(P382)*FLOOR(SUM(R382),0.0001),AND(P382&lt;&gt;"",R382&lt;&gt;"",RIGHT($N382,6)="tarief"),P382*FLOOR(R382,0.01),T382&gt;0,FLOOR(SUM(T382),0.01)),""),""),"")</f>
        <v/>
      </c>
      <c r="W382" s="317" t="str" cm="1">
        <f t="array" aca="1" ref="W382" ca="1">IFERROR(_xlfn.IFS(OR(F382="",LEFT(Methode_Keuze,4)="Geen",Methode_Keuze=""),"",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17" t="str" cm="1">
        <f t="array" aca="1" ref="X382" ca="1">IFERROR(_xlfn.IFS(OR(F382="",LEFT(Methode_Keuze,4)="Geen",Methode_Keuze=""),"",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26"/>
      <c r="Z382" s="319"/>
      <c r="AA382" s="32" t="str" cm="1">
        <f t="array" ref="AA382">IFERROR(IF(INDEX(SubsidieTabel!$AD$1:$AG$12,MATCH($F382,SubsidieTabel!$AD$1:$AD$12,0),IFERROR(MATCH(Methode_Keuze,SubsidieTabel!$AD$1:$AG$1,0),2))&lt;&gt;1=TRUE,"ja",""),"")</f>
        <v/>
      </c>
    </row>
    <row r="383" spans="1:27" x14ac:dyDescent="0.25">
      <c r="A383" s="320"/>
      <c r="B383" s="321" t="str">
        <f>IF(A383&lt;&gt;"",_xlfn.MAXIFS($B$1:B382,$A$1:A382,A383)+1,"")</f>
        <v/>
      </c>
      <c r="C383" s="299"/>
      <c r="D383" s="299"/>
      <c r="E383" s="299"/>
      <c r="F383" s="299"/>
      <c r="G383" s="330"/>
      <c r="H383" s="328"/>
      <c r="I383" s="329"/>
      <c r="J383" s="329"/>
      <c r="K383" s="322"/>
      <c r="L383" s="322"/>
      <c r="M383" s="323" t="str">
        <f>IFERROR(VLOOKUP(H383,Lijsten!$H$1:$I$100,2,0),"")</f>
        <v/>
      </c>
      <c r="N383" s="323" t="str">
        <f ca="1">IFERROR(IF(VLOOKUP(F383,Kostentypen!$A$3:$E$21,3,0)=0,"",IF(OR(F383="Arbeidskosten",F383="Vergoeding"),VLOOKUP(G383,Tb_KostenTypen[],2,0),VLOOKUP(F383,Kostentypen!$A$3:$E$20,3,0))),"")</f>
        <v/>
      </c>
      <c r="O383" s="324"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4"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3"/>
      <c r="R383" s="363"/>
      <c r="S383" s="325"/>
      <c r="T383" s="325"/>
      <c r="U383" s="317" t="str" cm="1">
        <f t="array" aca="1" ref="U383" ca="1">IFERROR(IF(AA383&lt;&gt;"ja",_xlfn.IFNA(_xlfn.IFS(AND(O383&lt;&gt;"",F383&lt;&gt;"",RIGHT($N383,6)="tarief",F383="Vergoeding"),SUM(O383)*FLOOR(SUM(Q383),0.0001),AND(O383&lt;&gt;"",F383&lt;&gt;"",RIGHT($N383,6)="tarief"),SUM(O383)*FLOOR(SUM(Q383),0.01),S383&gt;0,IF(F383&lt;&gt;"",FLOOR(SUM(S383),0.01),"")),""),""),"")</f>
        <v/>
      </c>
      <c r="V383" s="317" t="str" cm="1">
        <f t="array" aca="1" ref="V383" ca="1">IFERROR(IF(AA383&lt;&gt;"ja",_xlfn.IFNA(_xlfn.IFS(AND(P383&lt;&gt;"",R383&lt;&gt;"",RIGHT($N383,6)="tarief",F383="Vergoeding"),SUM(P383)*FLOOR(SUM(R383),0.0001),AND(P383&lt;&gt;"",R383&lt;&gt;"",RIGHT($N383,6)="tarief"),P383*FLOOR(R383,0.01),T383&gt;0,FLOOR(SUM(T383),0.01)),""),""),"")</f>
        <v/>
      </c>
      <c r="W383" s="317" t="str" cm="1">
        <f t="array" aca="1" ref="W383" ca="1">IFERROR(_xlfn.IFS(OR(F383="",LEFT(Methode_Keuze,4)="Geen",Methode_Keuze=""),"",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17" t="str" cm="1">
        <f t="array" aca="1" ref="X383" ca="1">IFERROR(_xlfn.IFS(OR(F383="",LEFT(Methode_Keuze,4)="Geen",Methode_Keuze=""),"",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26"/>
      <c r="Z383" s="319"/>
      <c r="AA383" s="32" t="str" cm="1">
        <f t="array" ref="AA383">IFERROR(IF(INDEX(SubsidieTabel!$AD$1:$AG$12,MATCH($F383,SubsidieTabel!$AD$1:$AD$12,0),IFERROR(MATCH(Methode_Keuze,SubsidieTabel!$AD$1:$AG$1,0),2))&lt;&gt;1=TRUE,"ja",""),"")</f>
        <v/>
      </c>
    </row>
    <row r="384" spans="1:27" x14ac:dyDescent="0.25">
      <c r="A384" s="320"/>
      <c r="B384" s="321" t="str">
        <f>IF(A384&lt;&gt;"",_xlfn.MAXIFS($B$1:B383,$A$1:A383,A384)+1,"")</f>
        <v/>
      </c>
      <c r="C384" s="299"/>
      <c r="D384" s="299"/>
      <c r="E384" s="299"/>
      <c r="F384" s="299"/>
      <c r="G384" s="330"/>
      <c r="H384" s="328"/>
      <c r="I384" s="329"/>
      <c r="J384" s="329"/>
      <c r="K384" s="322"/>
      <c r="L384" s="322"/>
      <c r="M384" s="323" t="str">
        <f>IFERROR(VLOOKUP(H384,Lijsten!$H$1:$I$100,2,0),"")</f>
        <v/>
      </c>
      <c r="N384" s="323" t="str">
        <f ca="1">IFERROR(IF(VLOOKUP(F384,Kostentypen!$A$3:$E$21,3,0)=0,"",IF(OR(F384="Arbeidskosten",F384="Vergoeding"),VLOOKUP(G384,Tb_KostenTypen[],2,0),VLOOKUP(F384,Kostentypen!$A$3:$E$20,3,0))),"")</f>
        <v/>
      </c>
      <c r="O384" s="324"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4"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3"/>
      <c r="R384" s="363"/>
      <c r="S384" s="325"/>
      <c r="T384" s="325"/>
      <c r="U384" s="317" t="str" cm="1">
        <f t="array" aca="1" ref="U384" ca="1">IFERROR(IF(AA384&lt;&gt;"ja",_xlfn.IFNA(_xlfn.IFS(AND(O384&lt;&gt;"",F384&lt;&gt;"",RIGHT($N384,6)="tarief",F384="Vergoeding"),SUM(O384)*FLOOR(SUM(Q384),0.0001),AND(O384&lt;&gt;"",F384&lt;&gt;"",RIGHT($N384,6)="tarief"),SUM(O384)*FLOOR(SUM(Q384),0.01),S384&gt;0,IF(F384&lt;&gt;"",FLOOR(SUM(S384),0.01),"")),""),""),"")</f>
        <v/>
      </c>
      <c r="V384" s="317" t="str" cm="1">
        <f t="array" aca="1" ref="V384" ca="1">IFERROR(IF(AA384&lt;&gt;"ja",_xlfn.IFNA(_xlfn.IFS(AND(P384&lt;&gt;"",R384&lt;&gt;"",RIGHT($N384,6)="tarief",F384="Vergoeding"),SUM(P384)*FLOOR(SUM(R384),0.0001),AND(P384&lt;&gt;"",R384&lt;&gt;"",RIGHT($N384,6)="tarief"),P384*FLOOR(R384,0.01),T384&gt;0,FLOOR(SUM(T384),0.01)),""),""),"")</f>
        <v/>
      </c>
      <c r="W384" s="317" t="str" cm="1">
        <f t="array" aca="1" ref="W384" ca="1">IFERROR(_xlfn.IFS(OR(F384="",LEFT(Methode_Keuze,4)="Geen",Methode_Keuze=""),"",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17" t="str" cm="1">
        <f t="array" aca="1" ref="X384" ca="1">IFERROR(_xlfn.IFS(OR(F384="",LEFT(Methode_Keuze,4)="Geen",Methode_Keuze=""),"",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26"/>
      <c r="Z384" s="319"/>
      <c r="AA384" s="32" t="str" cm="1">
        <f t="array" ref="AA384">IFERROR(IF(INDEX(SubsidieTabel!$AD$1:$AG$12,MATCH($F384,SubsidieTabel!$AD$1:$AD$12,0),IFERROR(MATCH(Methode_Keuze,SubsidieTabel!$AD$1:$AG$1,0),2))&lt;&gt;1=TRUE,"ja",""),"")</f>
        <v/>
      </c>
    </row>
    <row r="385" spans="1:27" x14ac:dyDescent="0.25">
      <c r="A385" s="320"/>
      <c r="B385" s="321" t="str">
        <f>IF(A385&lt;&gt;"",_xlfn.MAXIFS($B$1:B384,$A$1:A384,A385)+1,"")</f>
        <v/>
      </c>
      <c r="C385" s="299"/>
      <c r="D385" s="299"/>
      <c r="E385" s="299"/>
      <c r="F385" s="299"/>
      <c r="G385" s="330"/>
      <c r="H385" s="328"/>
      <c r="I385" s="329"/>
      <c r="J385" s="329"/>
      <c r="K385" s="322"/>
      <c r="L385" s="322"/>
      <c r="M385" s="323" t="str">
        <f>IFERROR(VLOOKUP(H385,Lijsten!$H$1:$I$100,2,0),"")</f>
        <v/>
      </c>
      <c r="N385" s="323" t="str">
        <f ca="1">IFERROR(IF(VLOOKUP(F385,Kostentypen!$A$3:$E$21,3,0)=0,"",IF(OR(F385="Arbeidskosten",F385="Vergoeding"),VLOOKUP(G385,Tb_KostenTypen[],2,0),VLOOKUP(F385,Kostentypen!$A$3:$E$20,3,0))),"")</f>
        <v/>
      </c>
      <c r="O385" s="324"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4"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3"/>
      <c r="R385" s="363"/>
      <c r="S385" s="325"/>
      <c r="T385" s="325"/>
      <c r="U385" s="317" t="str" cm="1">
        <f t="array" aca="1" ref="U385" ca="1">IFERROR(IF(AA385&lt;&gt;"ja",_xlfn.IFNA(_xlfn.IFS(AND(O385&lt;&gt;"",F385&lt;&gt;"",RIGHT($N385,6)="tarief",F385="Vergoeding"),SUM(O385)*FLOOR(SUM(Q385),0.0001),AND(O385&lt;&gt;"",F385&lt;&gt;"",RIGHT($N385,6)="tarief"),SUM(O385)*FLOOR(SUM(Q385),0.01),S385&gt;0,IF(F385&lt;&gt;"",FLOOR(SUM(S385),0.01),"")),""),""),"")</f>
        <v/>
      </c>
      <c r="V385" s="317" t="str" cm="1">
        <f t="array" aca="1" ref="V385" ca="1">IFERROR(IF(AA385&lt;&gt;"ja",_xlfn.IFNA(_xlfn.IFS(AND(P385&lt;&gt;"",R385&lt;&gt;"",RIGHT($N385,6)="tarief",F385="Vergoeding"),SUM(P385)*FLOOR(SUM(R385),0.0001),AND(P385&lt;&gt;"",R385&lt;&gt;"",RIGHT($N385,6)="tarief"),P385*FLOOR(R385,0.01),T385&gt;0,FLOOR(SUM(T385),0.01)),""),""),"")</f>
        <v/>
      </c>
      <c r="W385" s="317" t="str" cm="1">
        <f t="array" aca="1" ref="W385" ca="1">IFERROR(_xlfn.IFS(OR(F385="",LEFT(Methode_Keuze,4)="Geen",Methode_Keuze=""),"",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17" t="str" cm="1">
        <f t="array" aca="1" ref="X385" ca="1">IFERROR(_xlfn.IFS(OR(F385="",LEFT(Methode_Keuze,4)="Geen",Methode_Keuze=""),"",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26"/>
      <c r="Z385" s="319"/>
      <c r="AA385" s="32" t="str" cm="1">
        <f t="array" ref="AA385">IFERROR(IF(INDEX(SubsidieTabel!$AD$1:$AG$12,MATCH($F385,SubsidieTabel!$AD$1:$AD$12,0),IFERROR(MATCH(Methode_Keuze,SubsidieTabel!$AD$1:$AG$1,0),2))&lt;&gt;1=TRUE,"ja",""),"")</f>
        <v/>
      </c>
    </row>
    <row r="386" spans="1:27" x14ac:dyDescent="0.25">
      <c r="A386" s="320"/>
      <c r="B386" s="321" t="str">
        <f>IF(A386&lt;&gt;"",_xlfn.MAXIFS($B$1:B385,$A$1:A385,A386)+1,"")</f>
        <v/>
      </c>
      <c r="C386" s="299"/>
      <c r="D386" s="299"/>
      <c r="E386" s="299"/>
      <c r="F386" s="299"/>
      <c r="G386" s="330"/>
      <c r="H386" s="328"/>
      <c r="I386" s="329"/>
      <c r="J386" s="329"/>
      <c r="K386" s="322"/>
      <c r="L386" s="322"/>
      <c r="M386" s="323" t="str">
        <f>IFERROR(VLOOKUP(H386,Lijsten!$H$1:$I$100,2,0),"")</f>
        <v/>
      </c>
      <c r="N386" s="323" t="str">
        <f ca="1">IFERROR(IF(VLOOKUP(F386,Kostentypen!$A$3:$E$21,3,0)=0,"",IF(OR(F386="Arbeidskosten",F386="Vergoeding"),VLOOKUP(G386,Tb_KostenTypen[],2,0),VLOOKUP(F386,Kostentypen!$A$3:$E$20,3,0))),"")</f>
        <v/>
      </c>
      <c r="O386" s="324"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4"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3"/>
      <c r="R386" s="363"/>
      <c r="S386" s="325"/>
      <c r="T386" s="325"/>
      <c r="U386" s="317" t="str" cm="1">
        <f t="array" aca="1" ref="U386" ca="1">IFERROR(IF(AA386&lt;&gt;"ja",_xlfn.IFNA(_xlfn.IFS(AND(O386&lt;&gt;"",F386&lt;&gt;"",RIGHT($N386,6)="tarief",F386="Vergoeding"),SUM(O386)*FLOOR(SUM(Q386),0.0001),AND(O386&lt;&gt;"",F386&lt;&gt;"",RIGHT($N386,6)="tarief"),SUM(O386)*FLOOR(SUM(Q386),0.01),S386&gt;0,IF(F386&lt;&gt;"",FLOOR(SUM(S386),0.01),"")),""),""),"")</f>
        <v/>
      </c>
      <c r="V386" s="317" t="str" cm="1">
        <f t="array" aca="1" ref="V386" ca="1">IFERROR(IF(AA386&lt;&gt;"ja",_xlfn.IFNA(_xlfn.IFS(AND(P386&lt;&gt;"",R386&lt;&gt;"",RIGHT($N386,6)="tarief",F386="Vergoeding"),SUM(P386)*FLOOR(SUM(R386),0.0001),AND(P386&lt;&gt;"",R386&lt;&gt;"",RIGHT($N386,6)="tarief"),P386*FLOOR(R386,0.01),T386&gt;0,FLOOR(SUM(T386),0.01)),""),""),"")</f>
        <v/>
      </c>
      <c r="W386" s="317" t="str" cm="1">
        <f t="array" aca="1" ref="W386" ca="1">IFERROR(_xlfn.IFS(OR(F386="",LEFT(Methode_Keuze,4)="Geen",Methode_Keuze=""),"",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17" t="str" cm="1">
        <f t="array" aca="1" ref="X386" ca="1">IFERROR(_xlfn.IFS(OR(F386="",LEFT(Methode_Keuze,4)="Geen",Methode_Keuze=""),"",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26"/>
      <c r="Z386" s="319"/>
      <c r="AA386" s="32" t="str" cm="1">
        <f t="array" ref="AA386">IFERROR(IF(INDEX(SubsidieTabel!$AD$1:$AG$12,MATCH($F386,SubsidieTabel!$AD$1:$AD$12,0),IFERROR(MATCH(Methode_Keuze,SubsidieTabel!$AD$1:$AG$1,0),2))&lt;&gt;1=TRUE,"ja",""),"")</f>
        <v/>
      </c>
    </row>
    <row r="387" spans="1:27" x14ac:dyDescent="0.25">
      <c r="A387" s="320"/>
      <c r="B387" s="321" t="str">
        <f>IF(A387&lt;&gt;"",_xlfn.MAXIFS($B$1:B386,$A$1:A386,A387)+1,"")</f>
        <v/>
      </c>
      <c r="C387" s="299"/>
      <c r="D387" s="299"/>
      <c r="E387" s="299"/>
      <c r="F387" s="299"/>
      <c r="G387" s="330"/>
      <c r="H387" s="328"/>
      <c r="I387" s="329"/>
      <c r="J387" s="329"/>
      <c r="K387" s="322"/>
      <c r="L387" s="322"/>
      <c r="M387" s="323" t="str">
        <f>IFERROR(VLOOKUP(H387,Lijsten!$H$1:$I$100,2,0),"")</f>
        <v/>
      </c>
      <c r="N387" s="323" t="str">
        <f ca="1">IFERROR(IF(VLOOKUP(F387,Kostentypen!$A$3:$E$21,3,0)=0,"",IF(OR(F387="Arbeidskosten",F387="Vergoeding"),VLOOKUP(G387,Tb_KostenTypen[],2,0),VLOOKUP(F387,Kostentypen!$A$3:$E$20,3,0))),"")</f>
        <v/>
      </c>
      <c r="O387" s="324"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4"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3"/>
      <c r="R387" s="363"/>
      <c r="S387" s="325"/>
      <c r="T387" s="325"/>
      <c r="U387" s="317" t="str" cm="1">
        <f t="array" aca="1" ref="U387" ca="1">IFERROR(IF(AA387&lt;&gt;"ja",_xlfn.IFNA(_xlfn.IFS(AND(O387&lt;&gt;"",F387&lt;&gt;"",RIGHT($N387,6)="tarief",F387="Vergoeding"),SUM(O387)*FLOOR(SUM(Q387),0.0001),AND(O387&lt;&gt;"",F387&lt;&gt;"",RIGHT($N387,6)="tarief"),SUM(O387)*FLOOR(SUM(Q387),0.01),S387&gt;0,IF(F387&lt;&gt;"",FLOOR(SUM(S387),0.01),"")),""),""),"")</f>
        <v/>
      </c>
      <c r="V387" s="317" t="str" cm="1">
        <f t="array" aca="1" ref="V387" ca="1">IFERROR(IF(AA387&lt;&gt;"ja",_xlfn.IFNA(_xlfn.IFS(AND(P387&lt;&gt;"",R387&lt;&gt;"",RIGHT($N387,6)="tarief",F387="Vergoeding"),SUM(P387)*FLOOR(SUM(R387),0.0001),AND(P387&lt;&gt;"",R387&lt;&gt;"",RIGHT($N387,6)="tarief"),P387*FLOOR(R387,0.01),T387&gt;0,FLOOR(SUM(T387),0.01)),""),""),"")</f>
        <v/>
      </c>
      <c r="W387" s="317" t="str" cm="1">
        <f t="array" aca="1" ref="W387" ca="1">IFERROR(_xlfn.IFS(OR(F387="",LEFT(Methode_Keuze,4)="Geen",Methode_Keuze=""),"",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17" t="str" cm="1">
        <f t="array" aca="1" ref="X387" ca="1">IFERROR(_xlfn.IFS(OR(F387="",LEFT(Methode_Keuze,4)="Geen",Methode_Keuze=""),"",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26"/>
      <c r="Z387" s="319"/>
      <c r="AA387" s="32" t="str" cm="1">
        <f t="array" ref="AA387">IFERROR(IF(INDEX(SubsidieTabel!$AD$1:$AG$12,MATCH($F387,SubsidieTabel!$AD$1:$AD$12,0),IFERROR(MATCH(Methode_Keuze,SubsidieTabel!$AD$1:$AG$1,0),2))&lt;&gt;1=TRUE,"ja",""),"")</f>
        <v/>
      </c>
    </row>
    <row r="388" spans="1:27" x14ac:dyDescent="0.25">
      <c r="A388" s="320"/>
      <c r="B388" s="321" t="str">
        <f>IF(A388&lt;&gt;"",_xlfn.MAXIFS($B$1:B387,$A$1:A387,A388)+1,"")</f>
        <v/>
      </c>
      <c r="C388" s="299"/>
      <c r="D388" s="299"/>
      <c r="E388" s="299"/>
      <c r="F388" s="299"/>
      <c r="G388" s="330"/>
      <c r="H388" s="328"/>
      <c r="I388" s="329"/>
      <c r="J388" s="329"/>
      <c r="K388" s="322"/>
      <c r="L388" s="322"/>
      <c r="M388" s="323" t="str">
        <f>IFERROR(VLOOKUP(H388,Lijsten!$H$1:$I$100,2,0),"")</f>
        <v/>
      </c>
      <c r="N388" s="323" t="str">
        <f ca="1">IFERROR(IF(VLOOKUP(F388,Kostentypen!$A$3:$E$21,3,0)=0,"",IF(OR(F388="Arbeidskosten",F388="Vergoeding"),VLOOKUP(G388,Tb_KostenTypen[],2,0),VLOOKUP(F388,Kostentypen!$A$3:$E$20,3,0))),"")</f>
        <v/>
      </c>
      <c r="O388" s="324"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4"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3"/>
      <c r="R388" s="363"/>
      <c r="S388" s="325"/>
      <c r="T388" s="325"/>
      <c r="U388" s="317" t="str" cm="1">
        <f t="array" aca="1" ref="U388" ca="1">IFERROR(IF(AA388&lt;&gt;"ja",_xlfn.IFNA(_xlfn.IFS(AND(O388&lt;&gt;"",F388&lt;&gt;"",RIGHT($N388,6)="tarief",F388="Vergoeding"),SUM(O388)*FLOOR(SUM(Q388),0.0001),AND(O388&lt;&gt;"",F388&lt;&gt;"",RIGHT($N388,6)="tarief"),SUM(O388)*FLOOR(SUM(Q388),0.01),S388&gt;0,IF(F388&lt;&gt;"",FLOOR(SUM(S388),0.01),"")),""),""),"")</f>
        <v/>
      </c>
      <c r="V388" s="317" t="str" cm="1">
        <f t="array" aca="1" ref="V388" ca="1">IFERROR(IF(AA388&lt;&gt;"ja",_xlfn.IFNA(_xlfn.IFS(AND(P388&lt;&gt;"",R388&lt;&gt;"",RIGHT($N388,6)="tarief",F388="Vergoeding"),SUM(P388)*FLOOR(SUM(R388),0.0001),AND(P388&lt;&gt;"",R388&lt;&gt;"",RIGHT($N388,6)="tarief"),P388*FLOOR(R388,0.01),T388&gt;0,FLOOR(SUM(T388),0.01)),""),""),"")</f>
        <v/>
      </c>
      <c r="W388" s="317" t="str" cm="1">
        <f t="array" aca="1" ref="W388" ca="1">IFERROR(_xlfn.IFS(OR(F388="",LEFT(Methode_Keuze,4)="Geen",Methode_Keuze=""),"",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17" t="str" cm="1">
        <f t="array" aca="1" ref="X388" ca="1">IFERROR(_xlfn.IFS(OR(F388="",LEFT(Methode_Keuze,4)="Geen",Methode_Keuze=""),"",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26"/>
      <c r="Z388" s="319"/>
      <c r="AA388" s="32" t="str" cm="1">
        <f t="array" ref="AA388">IFERROR(IF(INDEX(SubsidieTabel!$AD$1:$AG$12,MATCH($F388,SubsidieTabel!$AD$1:$AD$12,0),IFERROR(MATCH(Methode_Keuze,SubsidieTabel!$AD$1:$AG$1,0),2))&lt;&gt;1=TRUE,"ja",""),"")</f>
        <v/>
      </c>
    </row>
    <row r="389" spans="1:27" x14ac:dyDescent="0.25">
      <c r="A389" s="320"/>
      <c r="B389" s="321" t="str">
        <f>IF(A389&lt;&gt;"",_xlfn.MAXIFS($B$1:B388,$A$1:A388,A389)+1,"")</f>
        <v/>
      </c>
      <c r="C389" s="299"/>
      <c r="D389" s="299"/>
      <c r="E389" s="299"/>
      <c r="F389" s="299"/>
      <c r="G389" s="330"/>
      <c r="H389" s="328"/>
      <c r="I389" s="329"/>
      <c r="J389" s="329"/>
      <c r="K389" s="322"/>
      <c r="L389" s="322"/>
      <c r="M389" s="323" t="str">
        <f>IFERROR(VLOOKUP(H389,Lijsten!$H$1:$I$100,2,0),"")</f>
        <v/>
      </c>
      <c r="N389" s="323" t="str">
        <f ca="1">IFERROR(IF(VLOOKUP(F389,Kostentypen!$A$3:$E$21,3,0)=0,"",IF(OR(F389="Arbeidskosten",F389="Vergoeding"),VLOOKUP(G389,Tb_KostenTypen[],2,0),VLOOKUP(F389,Kostentypen!$A$3:$E$20,3,0))),"")</f>
        <v/>
      </c>
      <c r="O389" s="324"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4"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3"/>
      <c r="R389" s="363"/>
      <c r="S389" s="325"/>
      <c r="T389" s="325"/>
      <c r="U389" s="317" t="str" cm="1">
        <f t="array" aca="1" ref="U389" ca="1">IFERROR(IF(AA389&lt;&gt;"ja",_xlfn.IFNA(_xlfn.IFS(AND(O389&lt;&gt;"",F389&lt;&gt;"",RIGHT($N389,6)="tarief",F389="Vergoeding"),SUM(O389)*FLOOR(SUM(Q389),0.0001),AND(O389&lt;&gt;"",F389&lt;&gt;"",RIGHT($N389,6)="tarief"),SUM(O389)*FLOOR(SUM(Q389),0.01),S389&gt;0,IF(F389&lt;&gt;"",FLOOR(SUM(S389),0.01),"")),""),""),"")</f>
        <v/>
      </c>
      <c r="V389" s="317" t="str" cm="1">
        <f t="array" aca="1" ref="V389" ca="1">IFERROR(IF(AA389&lt;&gt;"ja",_xlfn.IFNA(_xlfn.IFS(AND(P389&lt;&gt;"",R389&lt;&gt;"",RIGHT($N389,6)="tarief",F389="Vergoeding"),SUM(P389)*FLOOR(SUM(R389),0.0001),AND(P389&lt;&gt;"",R389&lt;&gt;"",RIGHT($N389,6)="tarief"),P389*FLOOR(R389,0.01),T389&gt;0,FLOOR(SUM(T389),0.01)),""),""),"")</f>
        <v/>
      </c>
      <c r="W389" s="317" t="str" cm="1">
        <f t="array" aca="1" ref="W389" ca="1">IFERROR(_xlfn.IFS(OR(F389="",LEFT(Methode_Keuze,4)="Geen",Methode_Keuze=""),"",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17" t="str" cm="1">
        <f t="array" aca="1" ref="X389" ca="1">IFERROR(_xlfn.IFS(OR(F389="",LEFT(Methode_Keuze,4)="Geen",Methode_Keuze=""),"",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26"/>
      <c r="Z389" s="319"/>
      <c r="AA389" s="32" t="str" cm="1">
        <f t="array" ref="AA389">IFERROR(IF(INDEX(SubsidieTabel!$AD$1:$AG$12,MATCH($F389,SubsidieTabel!$AD$1:$AD$12,0),IFERROR(MATCH(Methode_Keuze,SubsidieTabel!$AD$1:$AG$1,0),2))&lt;&gt;1=TRUE,"ja",""),"")</f>
        <v/>
      </c>
    </row>
    <row r="390" spans="1:27" x14ac:dyDescent="0.25">
      <c r="A390" s="320"/>
      <c r="B390" s="321" t="str">
        <f>IF(A390&lt;&gt;"",_xlfn.MAXIFS($B$1:B389,$A$1:A389,A390)+1,"")</f>
        <v/>
      </c>
      <c r="C390" s="299"/>
      <c r="D390" s="299"/>
      <c r="E390" s="299"/>
      <c r="F390" s="299"/>
      <c r="G390" s="330"/>
      <c r="H390" s="328"/>
      <c r="I390" s="329"/>
      <c r="J390" s="329"/>
      <c r="K390" s="322"/>
      <c r="L390" s="322"/>
      <c r="M390" s="323" t="str">
        <f>IFERROR(VLOOKUP(H390,Lijsten!$H$1:$I$100,2,0),"")</f>
        <v/>
      </c>
      <c r="N390" s="323" t="str">
        <f ca="1">IFERROR(IF(VLOOKUP(F390,Kostentypen!$A$3:$E$21,3,0)=0,"",IF(OR(F390="Arbeidskosten",F390="Vergoeding"),VLOOKUP(G390,Tb_KostenTypen[],2,0),VLOOKUP(F390,Kostentypen!$A$3:$E$20,3,0))),"")</f>
        <v/>
      </c>
      <c r="O390" s="324"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4"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3"/>
      <c r="R390" s="363"/>
      <c r="S390" s="325"/>
      <c r="T390" s="325"/>
      <c r="U390" s="317" t="str" cm="1">
        <f t="array" aca="1" ref="U390" ca="1">IFERROR(IF(AA390&lt;&gt;"ja",_xlfn.IFNA(_xlfn.IFS(AND(O390&lt;&gt;"",F390&lt;&gt;"",RIGHT($N390,6)="tarief",F390="Vergoeding"),SUM(O390)*FLOOR(SUM(Q390),0.0001),AND(O390&lt;&gt;"",F390&lt;&gt;"",RIGHT($N390,6)="tarief"),SUM(O390)*FLOOR(SUM(Q390),0.01),S390&gt;0,IF(F390&lt;&gt;"",FLOOR(SUM(S390),0.01),"")),""),""),"")</f>
        <v/>
      </c>
      <c r="V390" s="317" t="str" cm="1">
        <f t="array" aca="1" ref="V390" ca="1">IFERROR(IF(AA390&lt;&gt;"ja",_xlfn.IFNA(_xlfn.IFS(AND(P390&lt;&gt;"",R390&lt;&gt;"",RIGHT($N390,6)="tarief",F390="Vergoeding"),SUM(P390)*FLOOR(SUM(R390),0.0001),AND(P390&lt;&gt;"",R390&lt;&gt;"",RIGHT($N390,6)="tarief"),P390*FLOOR(R390,0.01),T390&gt;0,FLOOR(SUM(T390),0.01)),""),""),"")</f>
        <v/>
      </c>
      <c r="W390" s="317" t="str" cm="1">
        <f t="array" aca="1" ref="W390" ca="1">IFERROR(_xlfn.IFS(OR(F390="",LEFT(Methode_Keuze,4)="Geen",Methode_Keuze=""),"",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17" t="str" cm="1">
        <f t="array" aca="1" ref="X390" ca="1">IFERROR(_xlfn.IFS(OR(F390="",LEFT(Methode_Keuze,4)="Geen",Methode_Keuze=""),"",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26"/>
      <c r="Z390" s="319"/>
      <c r="AA390" s="32" t="str" cm="1">
        <f t="array" ref="AA390">IFERROR(IF(INDEX(SubsidieTabel!$AD$1:$AG$12,MATCH($F390,SubsidieTabel!$AD$1:$AD$12,0),IFERROR(MATCH(Methode_Keuze,SubsidieTabel!$AD$1:$AG$1,0),2))&lt;&gt;1=TRUE,"ja",""),"")</f>
        <v/>
      </c>
    </row>
    <row r="391" spans="1:27" x14ac:dyDescent="0.25">
      <c r="A391" s="320"/>
      <c r="B391" s="321" t="str">
        <f>IF(A391&lt;&gt;"",_xlfn.MAXIFS($B$1:B390,$A$1:A390,A391)+1,"")</f>
        <v/>
      </c>
      <c r="C391" s="299"/>
      <c r="D391" s="299"/>
      <c r="E391" s="299"/>
      <c r="F391" s="299"/>
      <c r="G391" s="330"/>
      <c r="H391" s="328"/>
      <c r="I391" s="329"/>
      <c r="J391" s="329"/>
      <c r="K391" s="322"/>
      <c r="L391" s="322"/>
      <c r="M391" s="323" t="str">
        <f>IFERROR(VLOOKUP(H391,Lijsten!$H$1:$I$100,2,0),"")</f>
        <v/>
      </c>
      <c r="N391" s="323" t="str">
        <f ca="1">IFERROR(IF(VLOOKUP(F391,Kostentypen!$A$3:$E$21,3,0)=0,"",IF(OR(F391="Arbeidskosten",F391="Vergoeding"),VLOOKUP(G391,Tb_KostenTypen[],2,0),VLOOKUP(F391,Kostentypen!$A$3:$E$20,3,0))),"")</f>
        <v/>
      </c>
      <c r="O391" s="324"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4"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3"/>
      <c r="R391" s="363"/>
      <c r="S391" s="325"/>
      <c r="T391" s="325"/>
      <c r="U391" s="317" t="str" cm="1">
        <f t="array" aca="1" ref="U391" ca="1">IFERROR(IF(AA391&lt;&gt;"ja",_xlfn.IFNA(_xlfn.IFS(AND(O391&lt;&gt;"",F391&lt;&gt;"",RIGHT($N391,6)="tarief",F391="Vergoeding"),SUM(O391)*FLOOR(SUM(Q391),0.0001),AND(O391&lt;&gt;"",F391&lt;&gt;"",RIGHT($N391,6)="tarief"),SUM(O391)*FLOOR(SUM(Q391),0.01),S391&gt;0,IF(F391&lt;&gt;"",FLOOR(SUM(S391),0.01),"")),""),""),"")</f>
        <v/>
      </c>
      <c r="V391" s="317" t="str" cm="1">
        <f t="array" aca="1" ref="V391" ca="1">IFERROR(IF(AA391&lt;&gt;"ja",_xlfn.IFNA(_xlfn.IFS(AND(P391&lt;&gt;"",R391&lt;&gt;"",RIGHT($N391,6)="tarief",F391="Vergoeding"),SUM(P391)*FLOOR(SUM(R391),0.0001),AND(P391&lt;&gt;"",R391&lt;&gt;"",RIGHT($N391,6)="tarief"),P391*FLOOR(R391,0.01),T391&gt;0,FLOOR(SUM(T391),0.01)),""),""),"")</f>
        <v/>
      </c>
      <c r="W391" s="317" t="str" cm="1">
        <f t="array" aca="1" ref="W391" ca="1">IFERROR(_xlfn.IFS(OR(F391="",LEFT(Methode_Keuze,4)="Geen",Methode_Keuze=""),"",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17" t="str" cm="1">
        <f t="array" aca="1" ref="X391" ca="1">IFERROR(_xlfn.IFS(OR(F391="",LEFT(Methode_Keuze,4)="Geen",Methode_Keuze=""),"",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26"/>
      <c r="Z391" s="319"/>
      <c r="AA391" s="32" t="str" cm="1">
        <f t="array" ref="AA391">IFERROR(IF(INDEX(SubsidieTabel!$AD$1:$AG$12,MATCH($F391,SubsidieTabel!$AD$1:$AD$12,0),IFERROR(MATCH(Methode_Keuze,SubsidieTabel!$AD$1:$AG$1,0),2))&lt;&gt;1=TRUE,"ja",""),"")</f>
        <v/>
      </c>
    </row>
    <row r="392" spans="1:27" x14ac:dyDescent="0.25">
      <c r="A392" s="320"/>
      <c r="B392" s="321" t="str">
        <f>IF(A392&lt;&gt;"",_xlfn.MAXIFS($B$1:B391,$A$1:A391,A392)+1,"")</f>
        <v/>
      </c>
      <c r="C392" s="299"/>
      <c r="D392" s="299"/>
      <c r="E392" s="299"/>
      <c r="F392" s="299"/>
      <c r="G392" s="330"/>
      <c r="H392" s="328"/>
      <c r="I392" s="329"/>
      <c r="J392" s="329"/>
      <c r="K392" s="322"/>
      <c r="L392" s="322"/>
      <c r="M392" s="323" t="str">
        <f>IFERROR(VLOOKUP(H392,Lijsten!$H$1:$I$100,2,0),"")</f>
        <v/>
      </c>
      <c r="N392" s="323" t="str">
        <f ca="1">IFERROR(IF(VLOOKUP(F392,Kostentypen!$A$3:$E$21,3,0)=0,"",IF(OR(F392="Arbeidskosten",F392="Vergoeding"),VLOOKUP(G392,Tb_KostenTypen[],2,0),VLOOKUP(F392,Kostentypen!$A$3:$E$20,3,0))),"")</f>
        <v/>
      </c>
      <c r="O392" s="324"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4"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3"/>
      <c r="R392" s="363"/>
      <c r="S392" s="325"/>
      <c r="T392" s="325"/>
      <c r="U392" s="317" t="str" cm="1">
        <f t="array" aca="1" ref="U392" ca="1">IFERROR(IF(AA392&lt;&gt;"ja",_xlfn.IFNA(_xlfn.IFS(AND(O392&lt;&gt;"",F392&lt;&gt;"",RIGHT($N392,6)="tarief",F392="Vergoeding"),SUM(O392)*FLOOR(SUM(Q392),0.0001),AND(O392&lt;&gt;"",F392&lt;&gt;"",RIGHT($N392,6)="tarief"),SUM(O392)*FLOOR(SUM(Q392),0.01),S392&gt;0,IF(F392&lt;&gt;"",FLOOR(SUM(S392),0.01),"")),""),""),"")</f>
        <v/>
      </c>
      <c r="V392" s="317" t="str" cm="1">
        <f t="array" aca="1" ref="V392" ca="1">IFERROR(IF(AA392&lt;&gt;"ja",_xlfn.IFNA(_xlfn.IFS(AND(P392&lt;&gt;"",R392&lt;&gt;"",RIGHT($N392,6)="tarief",F392="Vergoeding"),SUM(P392)*FLOOR(SUM(R392),0.0001),AND(P392&lt;&gt;"",R392&lt;&gt;"",RIGHT($N392,6)="tarief"),P392*FLOOR(R392,0.01),T392&gt;0,FLOOR(SUM(T392),0.01)),""),""),"")</f>
        <v/>
      </c>
      <c r="W392" s="317" t="str" cm="1">
        <f t="array" aca="1" ref="W392" ca="1">IFERROR(_xlfn.IFS(OR(F392="",LEFT(Methode_Keuze,4)="Geen",Methode_Keuze=""),"",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17" t="str" cm="1">
        <f t="array" aca="1" ref="X392" ca="1">IFERROR(_xlfn.IFS(OR(F392="",LEFT(Methode_Keuze,4)="Geen",Methode_Keuze=""),"",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26"/>
      <c r="Z392" s="319"/>
      <c r="AA392" s="32" t="str" cm="1">
        <f t="array" ref="AA392">IFERROR(IF(INDEX(SubsidieTabel!$AD$1:$AG$12,MATCH($F392,SubsidieTabel!$AD$1:$AD$12,0),IFERROR(MATCH(Methode_Keuze,SubsidieTabel!$AD$1:$AG$1,0),2))&lt;&gt;1=TRUE,"ja",""),"")</f>
        <v/>
      </c>
    </row>
    <row r="393" spans="1:27" x14ac:dyDescent="0.25">
      <c r="A393" s="320"/>
      <c r="B393" s="321" t="str">
        <f>IF(A393&lt;&gt;"",_xlfn.MAXIFS($B$1:B392,$A$1:A392,A393)+1,"")</f>
        <v/>
      </c>
      <c r="C393" s="299"/>
      <c r="D393" s="299"/>
      <c r="E393" s="299"/>
      <c r="F393" s="299"/>
      <c r="G393" s="330"/>
      <c r="H393" s="328"/>
      <c r="I393" s="329"/>
      <c r="J393" s="329"/>
      <c r="K393" s="322"/>
      <c r="L393" s="322"/>
      <c r="M393" s="323" t="str">
        <f>IFERROR(VLOOKUP(H393,Lijsten!$H$1:$I$100,2,0),"")</f>
        <v/>
      </c>
      <c r="N393" s="323" t="str">
        <f ca="1">IFERROR(IF(VLOOKUP(F393,Kostentypen!$A$3:$E$21,3,0)=0,"",IF(OR(F393="Arbeidskosten",F393="Vergoeding"),VLOOKUP(G393,Tb_KostenTypen[],2,0),VLOOKUP(F393,Kostentypen!$A$3:$E$20,3,0))),"")</f>
        <v/>
      </c>
      <c r="O393" s="324"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4"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3"/>
      <c r="R393" s="363"/>
      <c r="S393" s="325"/>
      <c r="T393" s="325"/>
      <c r="U393" s="317" t="str" cm="1">
        <f t="array" aca="1" ref="U393" ca="1">IFERROR(IF(AA393&lt;&gt;"ja",_xlfn.IFNA(_xlfn.IFS(AND(O393&lt;&gt;"",F393&lt;&gt;"",RIGHT($N393,6)="tarief",F393="Vergoeding"),SUM(O393)*FLOOR(SUM(Q393),0.0001),AND(O393&lt;&gt;"",F393&lt;&gt;"",RIGHT($N393,6)="tarief"),SUM(O393)*FLOOR(SUM(Q393),0.01),S393&gt;0,IF(F393&lt;&gt;"",FLOOR(SUM(S393),0.01),"")),""),""),"")</f>
        <v/>
      </c>
      <c r="V393" s="317" t="str" cm="1">
        <f t="array" aca="1" ref="V393" ca="1">IFERROR(IF(AA393&lt;&gt;"ja",_xlfn.IFNA(_xlfn.IFS(AND(P393&lt;&gt;"",R393&lt;&gt;"",RIGHT($N393,6)="tarief",F393="Vergoeding"),SUM(P393)*FLOOR(SUM(R393),0.0001),AND(P393&lt;&gt;"",R393&lt;&gt;"",RIGHT($N393,6)="tarief"),P393*FLOOR(R393,0.01),T393&gt;0,FLOOR(SUM(T393),0.01)),""),""),"")</f>
        <v/>
      </c>
      <c r="W393" s="317" t="str" cm="1">
        <f t="array" aca="1" ref="W393" ca="1">IFERROR(_xlfn.IFS(OR(F393="",LEFT(Methode_Keuze,4)="Geen",Methode_Keuze=""),"",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17" t="str" cm="1">
        <f t="array" aca="1" ref="X393" ca="1">IFERROR(_xlfn.IFS(OR(F393="",LEFT(Methode_Keuze,4)="Geen",Methode_Keuze=""),"",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26"/>
      <c r="Z393" s="319"/>
      <c r="AA393" s="32" t="str" cm="1">
        <f t="array" ref="AA393">IFERROR(IF(INDEX(SubsidieTabel!$AD$1:$AG$12,MATCH($F393,SubsidieTabel!$AD$1:$AD$12,0),IFERROR(MATCH(Methode_Keuze,SubsidieTabel!$AD$1:$AG$1,0),2))&lt;&gt;1=TRUE,"ja",""),"")</f>
        <v/>
      </c>
    </row>
    <row r="394" spans="1:27" x14ac:dyDescent="0.25">
      <c r="A394" s="320"/>
      <c r="B394" s="321" t="str">
        <f>IF(A394&lt;&gt;"",_xlfn.MAXIFS($B$1:B393,$A$1:A393,A394)+1,"")</f>
        <v/>
      </c>
      <c r="C394" s="299"/>
      <c r="D394" s="299"/>
      <c r="E394" s="299"/>
      <c r="F394" s="299"/>
      <c r="G394" s="330"/>
      <c r="H394" s="328"/>
      <c r="I394" s="329"/>
      <c r="J394" s="329"/>
      <c r="K394" s="322"/>
      <c r="L394" s="322"/>
      <c r="M394" s="323" t="str">
        <f>IFERROR(VLOOKUP(H394,Lijsten!$H$1:$I$100,2,0),"")</f>
        <v/>
      </c>
      <c r="N394" s="323" t="str">
        <f ca="1">IFERROR(IF(VLOOKUP(F394,Kostentypen!$A$3:$E$21,3,0)=0,"",IF(OR(F394="Arbeidskosten",F394="Vergoeding"),VLOOKUP(G394,Tb_KostenTypen[],2,0),VLOOKUP(F394,Kostentypen!$A$3:$E$20,3,0))),"")</f>
        <v/>
      </c>
      <c r="O394" s="324"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4"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3"/>
      <c r="R394" s="363"/>
      <c r="S394" s="325"/>
      <c r="T394" s="325"/>
      <c r="U394" s="317" t="str" cm="1">
        <f t="array" aca="1" ref="U394" ca="1">IFERROR(IF(AA394&lt;&gt;"ja",_xlfn.IFNA(_xlfn.IFS(AND(O394&lt;&gt;"",F394&lt;&gt;"",RIGHT($N394,6)="tarief",F394="Vergoeding"),SUM(O394)*FLOOR(SUM(Q394),0.0001),AND(O394&lt;&gt;"",F394&lt;&gt;"",RIGHT($N394,6)="tarief"),SUM(O394)*FLOOR(SUM(Q394),0.01),S394&gt;0,IF(F394&lt;&gt;"",FLOOR(SUM(S394),0.01),"")),""),""),"")</f>
        <v/>
      </c>
      <c r="V394" s="317" t="str" cm="1">
        <f t="array" aca="1" ref="V394" ca="1">IFERROR(IF(AA394&lt;&gt;"ja",_xlfn.IFNA(_xlfn.IFS(AND(P394&lt;&gt;"",R394&lt;&gt;"",RIGHT($N394,6)="tarief",F394="Vergoeding"),SUM(P394)*FLOOR(SUM(R394),0.0001),AND(P394&lt;&gt;"",R394&lt;&gt;"",RIGHT($N394,6)="tarief"),P394*FLOOR(R394,0.01),T394&gt;0,FLOOR(SUM(T394),0.01)),""),""),"")</f>
        <v/>
      </c>
      <c r="W394" s="317" t="str" cm="1">
        <f t="array" aca="1" ref="W394" ca="1">IFERROR(_xlfn.IFS(OR(F394="",LEFT(Methode_Keuze,4)="Geen",Methode_Keuze=""),"",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17" t="str" cm="1">
        <f t="array" aca="1" ref="X394" ca="1">IFERROR(_xlfn.IFS(OR(F394="",LEFT(Methode_Keuze,4)="Geen",Methode_Keuze=""),"",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26"/>
      <c r="Z394" s="319"/>
      <c r="AA394" s="32" t="str" cm="1">
        <f t="array" ref="AA394">IFERROR(IF(INDEX(SubsidieTabel!$AD$1:$AG$12,MATCH($F394,SubsidieTabel!$AD$1:$AD$12,0),IFERROR(MATCH(Methode_Keuze,SubsidieTabel!$AD$1:$AG$1,0),2))&lt;&gt;1=TRUE,"ja",""),"")</f>
        <v/>
      </c>
    </row>
    <row r="395" spans="1:27" x14ac:dyDescent="0.25">
      <c r="A395" s="320"/>
      <c r="B395" s="321" t="str">
        <f>IF(A395&lt;&gt;"",_xlfn.MAXIFS($B$1:B394,$A$1:A394,A395)+1,"")</f>
        <v/>
      </c>
      <c r="C395" s="299"/>
      <c r="D395" s="299"/>
      <c r="E395" s="299"/>
      <c r="F395" s="299"/>
      <c r="G395" s="330"/>
      <c r="H395" s="328"/>
      <c r="I395" s="329"/>
      <c r="J395" s="329"/>
      <c r="K395" s="322"/>
      <c r="L395" s="322"/>
      <c r="M395" s="323" t="str">
        <f>IFERROR(VLOOKUP(H395,Lijsten!$H$1:$I$100,2,0),"")</f>
        <v/>
      </c>
      <c r="N395" s="323" t="str">
        <f ca="1">IFERROR(IF(VLOOKUP(F395,Kostentypen!$A$3:$E$21,3,0)=0,"",IF(OR(F395="Arbeidskosten",F395="Vergoeding"),VLOOKUP(G395,Tb_KostenTypen[],2,0),VLOOKUP(F395,Kostentypen!$A$3:$E$20,3,0))),"")</f>
        <v/>
      </c>
      <c r="O395" s="324"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4"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3"/>
      <c r="R395" s="363"/>
      <c r="S395" s="325"/>
      <c r="T395" s="325"/>
      <c r="U395" s="317" t="str" cm="1">
        <f t="array" aca="1" ref="U395" ca="1">IFERROR(IF(AA395&lt;&gt;"ja",_xlfn.IFNA(_xlfn.IFS(AND(O395&lt;&gt;"",F395&lt;&gt;"",RIGHT($N395,6)="tarief",F395="Vergoeding"),SUM(O395)*FLOOR(SUM(Q395),0.0001),AND(O395&lt;&gt;"",F395&lt;&gt;"",RIGHT($N395,6)="tarief"),SUM(O395)*FLOOR(SUM(Q395),0.01),S395&gt;0,IF(F395&lt;&gt;"",FLOOR(SUM(S395),0.01),"")),""),""),"")</f>
        <v/>
      </c>
      <c r="V395" s="317" t="str" cm="1">
        <f t="array" aca="1" ref="V395" ca="1">IFERROR(IF(AA395&lt;&gt;"ja",_xlfn.IFNA(_xlfn.IFS(AND(P395&lt;&gt;"",R395&lt;&gt;"",RIGHT($N395,6)="tarief",F395="Vergoeding"),SUM(P395)*FLOOR(SUM(R395),0.0001),AND(P395&lt;&gt;"",R395&lt;&gt;"",RIGHT($N395,6)="tarief"),P395*FLOOR(R395,0.01),T395&gt;0,FLOOR(SUM(T395),0.01)),""),""),"")</f>
        <v/>
      </c>
      <c r="W395" s="317" t="str" cm="1">
        <f t="array" aca="1" ref="W395" ca="1">IFERROR(_xlfn.IFS(OR(F395="",LEFT(Methode_Keuze,4)="Geen",Methode_Keuze=""),"",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17" t="str" cm="1">
        <f t="array" aca="1" ref="X395" ca="1">IFERROR(_xlfn.IFS(OR(F395="",LEFT(Methode_Keuze,4)="Geen",Methode_Keuze=""),"",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26"/>
      <c r="Z395" s="319"/>
      <c r="AA395" s="32" t="str" cm="1">
        <f t="array" ref="AA395">IFERROR(IF(INDEX(SubsidieTabel!$AD$1:$AG$12,MATCH($F395,SubsidieTabel!$AD$1:$AD$12,0),IFERROR(MATCH(Methode_Keuze,SubsidieTabel!$AD$1:$AG$1,0),2))&lt;&gt;1=TRUE,"ja",""),"")</f>
        <v/>
      </c>
    </row>
    <row r="396" spans="1:27" x14ac:dyDescent="0.25">
      <c r="A396" s="320"/>
      <c r="B396" s="321" t="str">
        <f>IF(A396&lt;&gt;"",_xlfn.MAXIFS($B$1:B395,$A$1:A395,A396)+1,"")</f>
        <v/>
      </c>
      <c r="C396" s="299"/>
      <c r="D396" s="299"/>
      <c r="E396" s="299"/>
      <c r="F396" s="299"/>
      <c r="G396" s="330"/>
      <c r="H396" s="328"/>
      <c r="I396" s="329"/>
      <c r="J396" s="329"/>
      <c r="K396" s="322"/>
      <c r="L396" s="322"/>
      <c r="M396" s="323" t="str">
        <f>IFERROR(VLOOKUP(H396,Lijsten!$H$1:$I$100,2,0),"")</f>
        <v/>
      </c>
      <c r="N396" s="323" t="str">
        <f ca="1">IFERROR(IF(VLOOKUP(F396,Kostentypen!$A$3:$E$21,3,0)=0,"",IF(OR(F396="Arbeidskosten",F396="Vergoeding"),VLOOKUP(G396,Tb_KostenTypen[],2,0),VLOOKUP(F396,Kostentypen!$A$3:$E$20,3,0))),"")</f>
        <v/>
      </c>
      <c r="O396" s="324"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4"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3"/>
      <c r="R396" s="363"/>
      <c r="S396" s="325"/>
      <c r="T396" s="325"/>
      <c r="U396" s="317" t="str" cm="1">
        <f t="array" aca="1" ref="U396" ca="1">IFERROR(IF(AA396&lt;&gt;"ja",_xlfn.IFNA(_xlfn.IFS(AND(O396&lt;&gt;"",F396&lt;&gt;"",RIGHT($N396,6)="tarief",F396="Vergoeding"),SUM(O396)*FLOOR(SUM(Q396),0.0001),AND(O396&lt;&gt;"",F396&lt;&gt;"",RIGHT($N396,6)="tarief"),SUM(O396)*FLOOR(SUM(Q396),0.01),S396&gt;0,IF(F396&lt;&gt;"",FLOOR(SUM(S396),0.01),"")),""),""),"")</f>
        <v/>
      </c>
      <c r="V396" s="317" t="str" cm="1">
        <f t="array" aca="1" ref="V396" ca="1">IFERROR(IF(AA396&lt;&gt;"ja",_xlfn.IFNA(_xlfn.IFS(AND(P396&lt;&gt;"",R396&lt;&gt;"",RIGHT($N396,6)="tarief",F396="Vergoeding"),SUM(P396)*FLOOR(SUM(R396),0.0001),AND(P396&lt;&gt;"",R396&lt;&gt;"",RIGHT($N396,6)="tarief"),P396*FLOOR(R396,0.01),T396&gt;0,FLOOR(SUM(T396),0.01)),""),""),"")</f>
        <v/>
      </c>
      <c r="W396" s="317" t="str" cm="1">
        <f t="array" aca="1" ref="W396" ca="1">IFERROR(_xlfn.IFS(OR(F396="",LEFT(Methode_Keuze,4)="Geen",Methode_Keuze=""),"",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17" t="str" cm="1">
        <f t="array" aca="1" ref="X396" ca="1">IFERROR(_xlfn.IFS(OR(F396="",LEFT(Methode_Keuze,4)="Geen",Methode_Keuze=""),"",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26"/>
      <c r="Z396" s="319"/>
      <c r="AA396" s="32" t="str" cm="1">
        <f t="array" ref="AA396">IFERROR(IF(INDEX(SubsidieTabel!$AD$1:$AG$12,MATCH($F396,SubsidieTabel!$AD$1:$AD$12,0),IFERROR(MATCH(Methode_Keuze,SubsidieTabel!$AD$1:$AG$1,0),2))&lt;&gt;1=TRUE,"ja",""),"")</f>
        <v/>
      </c>
    </row>
    <row r="397" spans="1:27" x14ac:dyDescent="0.25">
      <c r="A397" s="320"/>
      <c r="B397" s="321" t="str">
        <f>IF(A397&lt;&gt;"",_xlfn.MAXIFS($B$1:B396,$A$1:A396,A397)+1,"")</f>
        <v/>
      </c>
      <c r="C397" s="299"/>
      <c r="D397" s="299"/>
      <c r="E397" s="299"/>
      <c r="F397" s="299"/>
      <c r="G397" s="330"/>
      <c r="H397" s="328"/>
      <c r="I397" s="329"/>
      <c r="J397" s="329"/>
      <c r="K397" s="322"/>
      <c r="L397" s="322"/>
      <c r="M397" s="323" t="str">
        <f>IFERROR(VLOOKUP(H397,Lijsten!$H$1:$I$100,2,0),"")</f>
        <v/>
      </c>
      <c r="N397" s="323" t="str">
        <f ca="1">IFERROR(IF(VLOOKUP(F397,Kostentypen!$A$3:$E$21,3,0)=0,"",IF(OR(F397="Arbeidskosten",F397="Vergoeding"),VLOOKUP(G397,Tb_KostenTypen[],2,0),VLOOKUP(F397,Kostentypen!$A$3:$E$20,3,0))),"")</f>
        <v/>
      </c>
      <c r="O397" s="324"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4"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3"/>
      <c r="R397" s="363"/>
      <c r="S397" s="325"/>
      <c r="T397" s="325"/>
      <c r="U397" s="317" t="str" cm="1">
        <f t="array" aca="1" ref="U397" ca="1">IFERROR(IF(AA397&lt;&gt;"ja",_xlfn.IFNA(_xlfn.IFS(AND(O397&lt;&gt;"",F397&lt;&gt;"",RIGHT($N397,6)="tarief",F397="Vergoeding"),SUM(O397)*FLOOR(SUM(Q397),0.0001),AND(O397&lt;&gt;"",F397&lt;&gt;"",RIGHT($N397,6)="tarief"),SUM(O397)*FLOOR(SUM(Q397),0.01),S397&gt;0,IF(F397&lt;&gt;"",FLOOR(SUM(S397),0.01),"")),""),""),"")</f>
        <v/>
      </c>
      <c r="V397" s="317" t="str" cm="1">
        <f t="array" aca="1" ref="V397" ca="1">IFERROR(IF(AA397&lt;&gt;"ja",_xlfn.IFNA(_xlfn.IFS(AND(P397&lt;&gt;"",R397&lt;&gt;"",RIGHT($N397,6)="tarief",F397="Vergoeding"),SUM(P397)*FLOOR(SUM(R397),0.0001),AND(P397&lt;&gt;"",R397&lt;&gt;"",RIGHT($N397,6)="tarief"),P397*FLOOR(R397,0.01),T397&gt;0,FLOOR(SUM(T397),0.01)),""),""),"")</f>
        <v/>
      </c>
      <c r="W397" s="317" t="str" cm="1">
        <f t="array" aca="1" ref="W397" ca="1">IFERROR(_xlfn.IFS(OR(F397="",LEFT(Methode_Keuze,4)="Geen",Methode_Keuze=""),"",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17" t="str" cm="1">
        <f t="array" aca="1" ref="X397" ca="1">IFERROR(_xlfn.IFS(OR(F397="",LEFT(Methode_Keuze,4)="Geen",Methode_Keuze=""),"",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26"/>
      <c r="Z397" s="319"/>
      <c r="AA397" s="32" t="str" cm="1">
        <f t="array" ref="AA397">IFERROR(IF(INDEX(SubsidieTabel!$AD$1:$AG$12,MATCH($F397,SubsidieTabel!$AD$1:$AD$12,0),IFERROR(MATCH(Methode_Keuze,SubsidieTabel!$AD$1:$AG$1,0),2))&lt;&gt;1=TRUE,"ja",""),"")</f>
        <v/>
      </c>
    </row>
    <row r="398" spans="1:27" x14ac:dyDescent="0.25">
      <c r="A398" s="320"/>
      <c r="B398" s="321" t="str">
        <f>IF(A398&lt;&gt;"",_xlfn.MAXIFS($B$1:B397,$A$1:A397,A398)+1,"")</f>
        <v/>
      </c>
      <c r="C398" s="299"/>
      <c r="D398" s="299"/>
      <c r="E398" s="299"/>
      <c r="F398" s="299"/>
      <c r="G398" s="330"/>
      <c r="H398" s="328"/>
      <c r="I398" s="329"/>
      <c r="J398" s="329"/>
      <c r="K398" s="322"/>
      <c r="L398" s="322"/>
      <c r="M398" s="323" t="str">
        <f>IFERROR(VLOOKUP(H398,Lijsten!$H$1:$I$100,2,0),"")</f>
        <v/>
      </c>
      <c r="N398" s="323" t="str">
        <f ca="1">IFERROR(IF(VLOOKUP(F398,Kostentypen!$A$3:$E$21,3,0)=0,"",IF(OR(F398="Arbeidskosten",F398="Vergoeding"),VLOOKUP(G398,Tb_KostenTypen[],2,0),VLOOKUP(F398,Kostentypen!$A$3:$E$20,3,0))),"")</f>
        <v/>
      </c>
      <c r="O398" s="324"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4"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3"/>
      <c r="R398" s="363"/>
      <c r="S398" s="325"/>
      <c r="T398" s="325"/>
      <c r="U398" s="317" t="str" cm="1">
        <f t="array" aca="1" ref="U398" ca="1">IFERROR(IF(AA398&lt;&gt;"ja",_xlfn.IFNA(_xlfn.IFS(AND(O398&lt;&gt;"",F398&lt;&gt;"",RIGHT($N398,6)="tarief",F398="Vergoeding"),SUM(O398)*FLOOR(SUM(Q398),0.0001),AND(O398&lt;&gt;"",F398&lt;&gt;"",RIGHT($N398,6)="tarief"),SUM(O398)*FLOOR(SUM(Q398),0.01),S398&gt;0,IF(F398&lt;&gt;"",FLOOR(SUM(S398),0.01),"")),""),""),"")</f>
        <v/>
      </c>
      <c r="V398" s="317" t="str" cm="1">
        <f t="array" aca="1" ref="V398" ca="1">IFERROR(IF(AA398&lt;&gt;"ja",_xlfn.IFNA(_xlfn.IFS(AND(P398&lt;&gt;"",R398&lt;&gt;"",RIGHT($N398,6)="tarief",F398="Vergoeding"),SUM(P398)*FLOOR(SUM(R398),0.0001),AND(P398&lt;&gt;"",R398&lt;&gt;"",RIGHT($N398,6)="tarief"),P398*FLOOR(R398,0.01),T398&gt;0,FLOOR(SUM(T398),0.01)),""),""),"")</f>
        <v/>
      </c>
      <c r="W398" s="317" t="str" cm="1">
        <f t="array" aca="1" ref="W398" ca="1">IFERROR(_xlfn.IFS(OR(F398="",LEFT(Methode_Keuze,4)="Geen",Methode_Keuze=""),"",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17" t="str" cm="1">
        <f t="array" aca="1" ref="X398" ca="1">IFERROR(_xlfn.IFS(OR(F398="",LEFT(Methode_Keuze,4)="Geen",Methode_Keuze=""),"",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26"/>
      <c r="Z398" s="319"/>
      <c r="AA398" s="32" t="str" cm="1">
        <f t="array" ref="AA398">IFERROR(IF(INDEX(SubsidieTabel!$AD$1:$AG$12,MATCH($F398,SubsidieTabel!$AD$1:$AD$12,0),IFERROR(MATCH(Methode_Keuze,SubsidieTabel!$AD$1:$AG$1,0),2))&lt;&gt;1=TRUE,"ja",""),"")</f>
        <v/>
      </c>
    </row>
    <row r="399" spans="1:27" x14ac:dyDescent="0.25">
      <c r="A399" s="320"/>
      <c r="B399" s="321" t="str">
        <f>IF(A399&lt;&gt;"",_xlfn.MAXIFS($B$1:B398,$A$1:A398,A399)+1,"")</f>
        <v/>
      </c>
      <c r="C399" s="299"/>
      <c r="D399" s="299"/>
      <c r="E399" s="299"/>
      <c r="F399" s="299"/>
      <c r="G399" s="330"/>
      <c r="H399" s="328"/>
      <c r="I399" s="329"/>
      <c r="J399" s="329"/>
      <c r="K399" s="322"/>
      <c r="L399" s="322"/>
      <c r="M399" s="323" t="str">
        <f>IFERROR(VLOOKUP(H399,Lijsten!$H$1:$I$100,2,0),"")</f>
        <v/>
      </c>
      <c r="N399" s="323" t="str">
        <f ca="1">IFERROR(IF(VLOOKUP(F399,Kostentypen!$A$3:$E$21,3,0)=0,"",IF(OR(F399="Arbeidskosten",F399="Vergoeding"),VLOOKUP(G399,Tb_KostenTypen[],2,0),VLOOKUP(F399,Kostentypen!$A$3:$E$20,3,0))),"")</f>
        <v/>
      </c>
      <c r="O399" s="324"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4"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3"/>
      <c r="R399" s="363"/>
      <c r="S399" s="325"/>
      <c r="T399" s="325"/>
      <c r="U399" s="317" t="str" cm="1">
        <f t="array" aca="1" ref="U399" ca="1">IFERROR(IF(AA399&lt;&gt;"ja",_xlfn.IFNA(_xlfn.IFS(AND(O399&lt;&gt;"",F399&lt;&gt;"",RIGHT($N399,6)="tarief",F399="Vergoeding"),SUM(O399)*FLOOR(SUM(Q399),0.0001),AND(O399&lt;&gt;"",F399&lt;&gt;"",RIGHT($N399,6)="tarief"),SUM(O399)*FLOOR(SUM(Q399),0.01),S399&gt;0,IF(F399&lt;&gt;"",FLOOR(SUM(S399),0.01),"")),""),""),"")</f>
        <v/>
      </c>
      <c r="V399" s="317" t="str" cm="1">
        <f t="array" aca="1" ref="V399" ca="1">IFERROR(IF(AA399&lt;&gt;"ja",_xlfn.IFNA(_xlfn.IFS(AND(P399&lt;&gt;"",R399&lt;&gt;"",RIGHT($N399,6)="tarief",F399="Vergoeding"),SUM(P399)*FLOOR(SUM(R399),0.0001),AND(P399&lt;&gt;"",R399&lt;&gt;"",RIGHT($N399,6)="tarief"),P399*FLOOR(R399,0.01),T399&gt;0,FLOOR(SUM(T399),0.01)),""),""),"")</f>
        <v/>
      </c>
      <c r="W399" s="317" t="str" cm="1">
        <f t="array" aca="1" ref="W399" ca="1">IFERROR(_xlfn.IFS(OR(F399="",LEFT(Methode_Keuze,4)="Geen",Methode_Keuze=""),"",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17" t="str" cm="1">
        <f t="array" aca="1" ref="X399" ca="1">IFERROR(_xlfn.IFS(OR(F399="",LEFT(Methode_Keuze,4)="Geen",Methode_Keuze=""),"",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26"/>
      <c r="Z399" s="319"/>
      <c r="AA399" s="32" t="str" cm="1">
        <f t="array" ref="AA399">IFERROR(IF(INDEX(SubsidieTabel!$AD$1:$AG$12,MATCH($F399,SubsidieTabel!$AD$1:$AD$12,0),IFERROR(MATCH(Methode_Keuze,SubsidieTabel!$AD$1:$AG$1,0),2))&lt;&gt;1=TRUE,"ja",""),"")</f>
        <v/>
      </c>
    </row>
    <row r="400" spans="1:27" x14ac:dyDescent="0.25">
      <c r="A400" s="320"/>
      <c r="B400" s="321" t="str">
        <f>IF(A400&lt;&gt;"",_xlfn.MAXIFS($B$1:B399,$A$1:A399,A400)+1,"")</f>
        <v/>
      </c>
      <c r="C400" s="299"/>
      <c r="D400" s="299"/>
      <c r="E400" s="299"/>
      <c r="F400" s="299"/>
      <c r="G400" s="330"/>
      <c r="H400" s="328"/>
      <c r="I400" s="329"/>
      <c r="J400" s="329"/>
      <c r="K400" s="322"/>
      <c r="L400" s="322"/>
      <c r="M400" s="323" t="str">
        <f>IFERROR(VLOOKUP(H400,Lijsten!$H$1:$I$100,2,0),"")</f>
        <v/>
      </c>
      <c r="N400" s="323" t="str">
        <f ca="1">IFERROR(IF(VLOOKUP(F400,Kostentypen!$A$3:$E$21,3,0)=0,"",IF(OR(F400="Arbeidskosten",F400="Vergoeding"),VLOOKUP(G400,Tb_KostenTypen[],2,0),VLOOKUP(F400,Kostentypen!$A$3:$E$20,3,0))),"")</f>
        <v/>
      </c>
      <c r="O400" s="324"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4"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3"/>
      <c r="R400" s="363"/>
      <c r="S400" s="325"/>
      <c r="T400" s="325"/>
      <c r="U400" s="317" t="str" cm="1">
        <f t="array" aca="1" ref="U400" ca="1">IFERROR(IF(AA400&lt;&gt;"ja",_xlfn.IFNA(_xlfn.IFS(AND(O400&lt;&gt;"",F400&lt;&gt;"",RIGHT($N400,6)="tarief",F400="Vergoeding"),SUM(O400)*FLOOR(SUM(Q400),0.0001),AND(O400&lt;&gt;"",F400&lt;&gt;"",RIGHT($N400,6)="tarief"),SUM(O400)*FLOOR(SUM(Q400),0.01),S400&gt;0,IF(F400&lt;&gt;"",FLOOR(SUM(S400),0.01),"")),""),""),"")</f>
        <v/>
      </c>
      <c r="V400" s="317" t="str" cm="1">
        <f t="array" aca="1" ref="V400" ca="1">IFERROR(IF(AA400&lt;&gt;"ja",_xlfn.IFNA(_xlfn.IFS(AND(P400&lt;&gt;"",R400&lt;&gt;"",RIGHT($N400,6)="tarief",F400="Vergoeding"),SUM(P400)*FLOOR(SUM(R400),0.0001),AND(P400&lt;&gt;"",R400&lt;&gt;"",RIGHT($N400,6)="tarief"),P400*FLOOR(R400,0.01),T400&gt;0,FLOOR(SUM(T400),0.01)),""),""),"")</f>
        <v/>
      </c>
      <c r="W400" s="317" t="str" cm="1">
        <f t="array" aca="1" ref="W400" ca="1">IFERROR(_xlfn.IFS(OR(F400="",LEFT(Methode_Keuze,4)="Geen",Methode_Keuze=""),"",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17" t="str" cm="1">
        <f t="array" aca="1" ref="X400" ca="1">IFERROR(_xlfn.IFS(OR(F400="",LEFT(Methode_Keuze,4)="Geen",Methode_Keuze=""),"",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26"/>
      <c r="Z400" s="319"/>
      <c r="AA400" s="32" t="str" cm="1">
        <f t="array" ref="AA400">IFERROR(IF(INDEX(SubsidieTabel!$AD$1:$AG$12,MATCH($F400,SubsidieTabel!$AD$1:$AD$12,0),IFERROR(MATCH(Methode_Keuze,SubsidieTabel!$AD$1:$AG$1,0),2))&lt;&gt;1=TRUE,"ja",""),"")</f>
        <v/>
      </c>
    </row>
    <row r="401" spans="1:27" x14ac:dyDescent="0.25">
      <c r="A401" s="320"/>
      <c r="B401" s="321" t="str">
        <f>IF(A401&lt;&gt;"",_xlfn.MAXIFS($B$1:B400,$A$1:A400,A401)+1,"")</f>
        <v/>
      </c>
      <c r="C401" s="299"/>
      <c r="D401" s="299"/>
      <c r="E401" s="299"/>
      <c r="F401" s="299"/>
      <c r="G401" s="330"/>
      <c r="H401" s="328"/>
      <c r="I401" s="329"/>
      <c r="J401" s="329"/>
      <c r="K401" s="322"/>
      <c r="L401" s="322"/>
      <c r="M401" s="323" t="str">
        <f>IFERROR(VLOOKUP(H401,Lijsten!$H$1:$I$100,2,0),"")</f>
        <v/>
      </c>
      <c r="N401" s="323" t="str">
        <f ca="1">IFERROR(IF(VLOOKUP(F401,Kostentypen!$A$3:$E$21,3,0)=0,"",IF(OR(F401="Arbeidskosten",F401="Vergoeding"),VLOOKUP(G401,Tb_KostenTypen[],2,0),VLOOKUP(F401,Kostentypen!$A$3:$E$20,3,0))),"")</f>
        <v/>
      </c>
      <c r="O401" s="324"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4"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3"/>
      <c r="R401" s="363"/>
      <c r="S401" s="325"/>
      <c r="T401" s="325"/>
      <c r="U401" s="317" t="str" cm="1">
        <f t="array" aca="1" ref="U401" ca="1">IFERROR(IF(AA401&lt;&gt;"ja",_xlfn.IFNA(_xlfn.IFS(AND(O401&lt;&gt;"",F401&lt;&gt;"",RIGHT($N401,6)="tarief",F401="Vergoeding"),SUM(O401)*FLOOR(SUM(Q401),0.0001),AND(O401&lt;&gt;"",F401&lt;&gt;"",RIGHT($N401,6)="tarief"),SUM(O401)*FLOOR(SUM(Q401),0.01),S401&gt;0,IF(F401&lt;&gt;"",FLOOR(SUM(S401),0.01),"")),""),""),"")</f>
        <v/>
      </c>
      <c r="V401" s="317" t="str" cm="1">
        <f t="array" aca="1" ref="V401" ca="1">IFERROR(IF(AA401&lt;&gt;"ja",_xlfn.IFNA(_xlfn.IFS(AND(P401&lt;&gt;"",R401&lt;&gt;"",RIGHT($N401,6)="tarief",F401="Vergoeding"),SUM(P401)*FLOOR(SUM(R401),0.0001),AND(P401&lt;&gt;"",R401&lt;&gt;"",RIGHT($N401,6)="tarief"),P401*FLOOR(R401,0.01),T401&gt;0,FLOOR(SUM(T401),0.01)),""),""),"")</f>
        <v/>
      </c>
      <c r="W401" s="317" t="str" cm="1">
        <f t="array" aca="1" ref="W401" ca="1">IFERROR(_xlfn.IFS(OR(F401="",LEFT(Methode_Keuze,4)="Geen",Methode_Keuze=""),"",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17" t="str" cm="1">
        <f t="array" aca="1" ref="X401" ca="1">IFERROR(_xlfn.IFS(OR(F401="",LEFT(Methode_Keuze,4)="Geen",Methode_Keuze=""),"",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26"/>
      <c r="Z401" s="319"/>
      <c r="AA401" s="32" t="str" cm="1">
        <f t="array" ref="AA401">IFERROR(IF(INDEX(SubsidieTabel!$AD$1:$AG$12,MATCH($F401,SubsidieTabel!$AD$1:$AD$12,0),IFERROR(MATCH(Methode_Keuze,SubsidieTabel!$AD$1:$AG$1,0),2))&lt;&gt;1=TRUE,"ja",""),"")</f>
        <v/>
      </c>
    </row>
    <row r="402" spans="1:27" x14ac:dyDescent="0.25">
      <c r="A402" s="320"/>
      <c r="B402" s="321" t="str">
        <f>IF(A402&lt;&gt;"",_xlfn.MAXIFS($B$1:B401,$A$1:A401,A402)+1,"")</f>
        <v/>
      </c>
      <c r="C402" s="299"/>
      <c r="D402" s="299"/>
      <c r="E402" s="299"/>
      <c r="F402" s="299"/>
      <c r="G402" s="330"/>
      <c r="H402" s="328"/>
      <c r="I402" s="329"/>
      <c r="J402" s="329"/>
      <c r="K402" s="322"/>
      <c r="L402" s="322"/>
      <c r="M402" s="323" t="str">
        <f>IFERROR(VLOOKUP(H402,Lijsten!$H$1:$I$100,2,0),"")</f>
        <v/>
      </c>
      <c r="N402" s="323" t="str">
        <f ca="1">IFERROR(IF(VLOOKUP(F402,Kostentypen!$A$3:$E$21,3,0)=0,"",IF(OR(F402="Arbeidskosten",F402="Vergoeding"),VLOOKUP(G402,Tb_KostenTypen[],2,0),VLOOKUP(F402,Kostentypen!$A$3:$E$20,3,0))),"")</f>
        <v/>
      </c>
      <c r="O402" s="324"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4"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3"/>
      <c r="R402" s="363"/>
      <c r="S402" s="325"/>
      <c r="T402" s="325"/>
      <c r="U402" s="317" t="str" cm="1">
        <f t="array" aca="1" ref="U402" ca="1">IFERROR(IF(AA402&lt;&gt;"ja",_xlfn.IFNA(_xlfn.IFS(AND(O402&lt;&gt;"",F402&lt;&gt;"",RIGHT($N402,6)="tarief",F402="Vergoeding"),SUM(O402)*FLOOR(SUM(Q402),0.0001),AND(O402&lt;&gt;"",F402&lt;&gt;"",RIGHT($N402,6)="tarief"),SUM(O402)*FLOOR(SUM(Q402),0.01),S402&gt;0,IF(F402&lt;&gt;"",FLOOR(SUM(S402),0.01),"")),""),""),"")</f>
        <v/>
      </c>
      <c r="V402" s="317" t="str" cm="1">
        <f t="array" aca="1" ref="V402" ca="1">IFERROR(IF(AA402&lt;&gt;"ja",_xlfn.IFNA(_xlfn.IFS(AND(P402&lt;&gt;"",R402&lt;&gt;"",RIGHT($N402,6)="tarief",F402="Vergoeding"),SUM(P402)*FLOOR(SUM(R402),0.0001),AND(P402&lt;&gt;"",R402&lt;&gt;"",RIGHT($N402,6)="tarief"),P402*FLOOR(R402,0.01),T402&gt;0,FLOOR(SUM(T402),0.01)),""),""),"")</f>
        <v/>
      </c>
      <c r="W402" s="317" t="str" cm="1">
        <f t="array" aca="1" ref="W402" ca="1">IFERROR(_xlfn.IFS(OR(F402="",LEFT(Methode_Keuze,4)="Geen",Methode_Keuze=""),"",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17" t="str" cm="1">
        <f t="array" aca="1" ref="X402" ca="1">IFERROR(_xlfn.IFS(OR(F402="",LEFT(Methode_Keuze,4)="Geen",Methode_Keuze=""),"",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26"/>
      <c r="Z402" s="319"/>
      <c r="AA402" s="32" t="str" cm="1">
        <f t="array" ref="AA402">IFERROR(IF(INDEX(SubsidieTabel!$AD$1:$AG$12,MATCH($F402,SubsidieTabel!$AD$1:$AD$12,0),IFERROR(MATCH(Methode_Keuze,SubsidieTabel!$AD$1:$AG$1,0),2))&lt;&gt;1=TRUE,"ja",""),"")</f>
        <v/>
      </c>
    </row>
    <row r="403" spans="1:27" x14ac:dyDescent="0.25">
      <c r="A403" s="320"/>
      <c r="B403" s="321" t="str">
        <f>IF(A403&lt;&gt;"",_xlfn.MAXIFS($B$1:B402,$A$1:A402,A403)+1,"")</f>
        <v/>
      </c>
      <c r="C403" s="299"/>
      <c r="D403" s="299"/>
      <c r="E403" s="299"/>
      <c r="F403" s="299"/>
      <c r="G403" s="330"/>
      <c r="H403" s="328"/>
      <c r="I403" s="329"/>
      <c r="J403" s="329"/>
      <c r="K403" s="322"/>
      <c r="L403" s="322"/>
      <c r="M403" s="323" t="str">
        <f>IFERROR(VLOOKUP(H403,Lijsten!$H$1:$I$100,2,0),"")</f>
        <v/>
      </c>
      <c r="N403" s="323" t="str">
        <f ca="1">IFERROR(IF(VLOOKUP(F403,Kostentypen!$A$3:$E$21,3,0)=0,"",IF(OR(F403="Arbeidskosten",F403="Vergoeding"),VLOOKUP(G403,Tb_KostenTypen[],2,0),VLOOKUP(F403,Kostentypen!$A$3:$E$20,3,0))),"")</f>
        <v/>
      </c>
      <c r="O403" s="324"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4"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3"/>
      <c r="R403" s="363"/>
      <c r="S403" s="325"/>
      <c r="T403" s="325"/>
      <c r="U403" s="317" t="str" cm="1">
        <f t="array" aca="1" ref="U403" ca="1">IFERROR(IF(AA403&lt;&gt;"ja",_xlfn.IFNA(_xlfn.IFS(AND(O403&lt;&gt;"",F403&lt;&gt;"",RIGHT($N403,6)="tarief",F403="Vergoeding"),SUM(O403)*FLOOR(SUM(Q403),0.0001),AND(O403&lt;&gt;"",F403&lt;&gt;"",RIGHT($N403,6)="tarief"),SUM(O403)*FLOOR(SUM(Q403),0.01),S403&gt;0,IF(F403&lt;&gt;"",FLOOR(SUM(S403),0.01),"")),""),""),"")</f>
        <v/>
      </c>
      <c r="V403" s="317" t="str" cm="1">
        <f t="array" aca="1" ref="V403" ca="1">IFERROR(IF(AA403&lt;&gt;"ja",_xlfn.IFNA(_xlfn.IFS(AND(P403&lt;&gt;"",R403&lt;&gt;"",RIGHT($N403,6)="tarief",F403="Vergoeding"),SUM(P403)*FLOOR(SUM(R403),0.0001),AND(P403&lt;&gt;"",R403&lt;&gt;"",RIGHT($N403,6)="tarief"),P403*FLOOR(R403,0.01),T403&gt;0,FLOOR(SUM(T403),0.01)),""),""),"")</f>
        <v/>
      </c>
      <c r="W403" s="317" t="str" cm="1">
        <f t="array" aca="1" ref="W403" ca="1">IFERROR(_xlfn.IFS(OR(F403="",LEFT(Methode_Keuze,4)="Geen",Methode_Keuze=""),"",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17" t="str" cm="1">
        <f t="array" aca="1" ref="X403" ca="1">IFERROR(_xlfn.IFS(OR(F403="",LEFT(Methode_Keuze,4)="Geen",Methode_Keuze=""),"",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26"/>
      <c r="Z403" s="319"/>
      <c r="AA403" s="32" t="str" cm="1">
        <f t="array" ref="AA403">IFERROR(IF(INDEX(SubsidieTabel!$AD$1:$AG$12,MATCH($F403,SubsidieTabel!$AD$1:$AD$12,0),IFERROR(MATCH(Methode_Keuze,SubsidieTabel!$AD$1:$AG$1,0),2))&lt;&gt;1=TRUE,"ja",""),"")</f>
        <v/>
      </c>
    </row>
    <row r="404" spans="1:27" x14ac:dyDescent="0.25">
      <c r="A404" s="320"/>
      <c r="B404" s="321" t="str">
        <f>IF(A404&lt;&gt;"",_xlfn.MAXIFS($B$1:B403,$A$1:A403,A404)+1,"")</f>
        <v/>
      </c>
      <c r="C404" s="299"/>
      <c r="D404" s="299"/>
      <c r="E404" s="299"/>
      <c r="F404" s="299"/>
      <c r="G404" s="330"/>
      <c r="H404" s="328"/>
      <c r="I404" s="329"/>
      <c r="J404" s="329"/>
      <c r="K404" s="322"/>
      <c r="L404" s="322"/>
      <c r="M404" s="323" t="str">
        <f>IFERROR(VLOOKUP(H404,Lijsten!$H$1:$I$100,2,0),"")</f>
        <v/>
      </c>
      <c r="N404" s="323" t="str">
        <f ca="1">IFERROR(IF(VLOOKUP(F404,Kostentypen!$A$3:$E$21,3,0)=0,"",IF(OR(F404="Arbeidskosten",F404="Vergoeding"),VLOOKUP(G404,Tb_KostenTypen[],2,0),VLOOKUP(F404,Kostentypen!$A$3:$E$20,3,0))),"")</f>
        <v/>
      </c>
      <c r="O404" s="324"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4"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3"/>
      <c r="R404" s="363"/>
      <c r="S404" s="325"/>
      <c r="T404" s="325"/>
      <c r="U404" s="317" t="str" cm="1">
        <f t="array" aca="1" ref="U404" ca="1">IFERROR(IF(AA404&lt;&gt;"ja",_xlfn.IFNA(_xlfn.IFS(AND(O404&lt;&gt;"",F404&lt;&gt;"",RIGHT($N404,6)="tarief",F404="Vergoeding"),SUM(O404)*FLOOR(SUM(Q404),0.0001),AND(O404&lt;&gt;"",F404&lt;&gt;"",RIGHT($N404,6)="tarief"),SUM(O404)*FLOOR(SUM(Q404),0.01),S404&gt;0,IF(F404&lt;&gt;"",FLOOR(SUM(S404),0.01),"")),""),""),"")</f>
        <v/>
      </c>
      <c r="V404" s="317" t="str" cm="1">
        <f t="array" aca="1" ref="V404" ca="1">IFERROR(IF(AA404&lt;&gt;"ja",_xlfn.IFNA(_xlfn.IFS(AND(P404&lt;&gt;"",R404&lt;&gt;"",RIGHT($N404,6)="tarief",F404="Vergoeding"),SUM(P404)*FLOOR(SUM(R404),0.0001),AND(P404&lt;&gt;"",R404&lt;&gt;"",RIGHT($N404,6)="tarief"),P404*FLOOR(R404,0.01),T404&gt;0,FLOOR(SUM(T404),0.01)),""),""),"")</f>
        <v/>
      </c>
      <c r="W404" s="317" t="str" cm="1">
        <f t="array" aca="1" ref="W404" ca="1">IFERROR(_xlfn.IFS(OR(F404="",LEFT(Methode_Keuze,4)="Geen",Methode_Keuze=""),"",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17" t="str" cm="1">
        <f t="array" aca="1" ref="X404" ca="1">IFERROR(_xlfn.IFS(OR(F404="",LEFT(Methode_Keuze,4)="Geen",Methode_Keuze=""),"",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26"/>
      <c r="Z404" s="319"/>
      <c r="AA404" s="32" t="str" cm="1">
        <f t="array" ref="AA404">IFERROR(IF(INDEX(SubsidieTabel!$AD$1:$AG$12,MATCH($F404,SubsidieTabel!$AD$1:$AD$12,0),IFERROR(MATCH(Methode_Keuze,SubsidieTabel!$AD$1:$AG$1,0),2))&lt;&gt;1=TRUE,"ja",""),"")</f>
        <v/>
      </c>
    </row>
    <row r="405" spans="1:27" x14ac:dyDescent="0.25">
      <c r="A405" s="320"/>
      <c r="B405" s="321" t="str">
        <f>IF(A405&lt;&gt;"",_xlfn.MAXIFS($B$1:B404,$A$1:A404,A405)+1,"")</f>
        <v/>
      </c>
      <c r="C405" s="299"/>
      <c r="D405" s="299"/>
      <c r="E405" s="299"/>
      <c r="F405" s="299"/>
      <c r="G405" s="330"/>
      <c r="H405" s="328"/>
      <c r="I405" s="329"/>
      <c r="J405" s="329"/>
      <c r="K405" s="322"/>
      <c r="L405" s="322"/>
      <c r="M405" s="323" t="str">
        <f>IFERROR(VLOOKUP(H405,Lijsten!$H$1:$I$100,2,0),"")</f>
        <v/>
      </c>
      <c r="N405" s="323" t="str">
        <f ca="1">IFERROR(IF(VLOOKUP(F405,Kostentypen!$A$3:$E$21,3,0)=0,"",IF(OR(F405="Arbeidskosten",F405="Vergoeding"),VLOOKUP(G405,Tb_KostenTypen[],2,0),VLOOKUP(F405,Kostentypen!$A$3:$E$20,3,0))),"")</f>
        <v/>
      </c>
      <c r="O405" s="324"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4"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3"/>
      <c r="R405" s="363"/>
      <c r="S405" s="325"/>
      <c r="T405" s="325"/>
      <c r="U405" s="317" t="str" cm="1">
        <f t="array" aca="1" ref="U405" ca="1">IFERROR(IF(AA405&lt;&gt;"ja",_xlfn.IFNA(_xlfn.IFS(AND(O405&lt;&gt;"",F405&lt;&gt;"",RIGHT($N405,6)="tarief",F405="Vergoeding"),SUM(O405)*FLOOR(SUM(Q405),0.0001),AND(O405&lt;&gt;"",F405&lt;&gt;"",RIGHT($N405,6)="tarief"),SUM(O405)*FLOOR(SUM(Q405),0.01),S405&gt;0,IF(F405&lt;&gt;"",FLOOR(SUM(S405),0.01),"")),""),""),"")</f>
        <v/>
      </c>
      <c r="V405" s="317" t="str" cm="1">
        <f t="array" aca="1" ref="V405" ca="1">IFERROR(IF(AA405&lt;&gt;"ja",_xlfn.IFNA(_xlfn.IFS(AND(P405&lt;&gt;"",R405&lt;&gt;"",RIGHT($N405,6)="tarief",F405="Vergoeding"),SUM(P405)*FLOOR(SUM(R405),0.0001),AND(P405&lt;&gt;"",R405&lt;&gt;"",RIGHT($N405,6)="tarief"),P405*FLOOR(R405,0.01),T405&gt;0,FLOOR(SUM(T405),0.01)),""),""),"")</f>
        <v/>
      </c>
      <c r="W405" s="317" t="str" cm="1">
        <f t="array" aca="1" ref="W405" ca="1">IFERROR(_xlfn.IFS(OR(F405="",LEFT(Methode_Keuze,4)="Geen",Methode_Keuze=""),"",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17" t="str" cm="1">
        <f t="array" aca="1" ref="X405" ca="1">IFERROR(_xlfn.IFS(OR(F405="",LEFT(Methode_Keuze,4)="Geen",Methode_Keuze=""),"",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26"/>
      <c r="Z405" s="319"/>
      <c r="AA405" s="32" t="str" cm="1">
        <f t="array" ref="AA405">IFERROR(IF(INDEX(SubsidieTabel!$AD$1:$AG$12,MATCH($F405,SubsidieTabel!$AD$1:$AD$12,0),IFERROR(MATCH(Methode_Keuze,SubsidieTabel!$AD$1:$AG$1,0),2))&lt;&gt;1=TRUE,"ja",""),"")</f>
        <v/>
      </c>
    </row>
    <row r="406" spans="1:27" x14ac:dyDescent="0.25">
      <c r="A406" s="320"/>
      <c r="B406" s="321" t="str">
        <f>IF(A406&lt;&gt;"",_xlfn.MAXIFS($B$1:B405,$A$1:A405,A406)+1,"")</f>
        <v/>
      </c>
      <c r="C406" s="299"/>
      <c r="D406" s="299"/>
      <c r="E406" s="299"/>
      <c r="F406" s="299"/>
      <c r="G406" s="330"/>
      <c r="H406" s="328"/>
      <c r="I406" s="329"/>
      <c r="J406" s="329"/>
      <c r="K406" s="322"/>
      <c r="L406" s="322"/>
      <c r="M406" s="323" t="str">
        <f>IFERROR(VLOOKUP(H406,Lijsten!$H$1:$I$100,2,0),"")</f>
        <v/>
      </c>
      <c r="N406" s="323" t="str">
        <f ca="1">IFERROR(IF(VLOOKUP(F406,Kostentypen!$A$3:$E$21,3,0)=0,"",IF(OR(F406="Arbeidskosten",F406="Vergoeding"),VLOOKUP(G406,Tb_KostenTypen[],2,0),VLOOKUP(F406,Kostentypen!$A$3:$E$20,3,0))),"")</f>
        <v/>
      </c>
      <c r="O406" s="324"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4"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3"/>
      <c r="R406" s="363"/>
      <c r="S406" s="325"/>
      <c r="T406" s="325"/>
      <c r="U406" s="317" t="str" cm="1">
        <f t="array" aca="1" ref="U406" ca="1">IFERROR(IF(AA406&lt;&gt;"ja",_xlfn.IFNA(_xlfn.IFS(AND(O406&lt;&gt;"",F406&lt;&gt;"",RIGHT($N406,6)="tarief",F406="Vergoeding"),SUM(O406)*FLOOR(SUM(Q406),0.0001),AND(O406&lt;&gt;"",F406&lt;&gt;"",RIGHT($N406,6)="tarief"),SUM(O406)*FLOOR(SUM(Q406),0.01),S406&gt;0,IF(F406&lt;&gt;"",FLOOR(SUM(S406),0.01),"")),""),""),"")</f>
        <v/>
      </c>
      <c r="V406" s="317" t="str" cm="1">
        <f t="array" aca="1" ref="V406" ca="1">IFERROR(IF(AA406&lt;&gt;"ja",_xlfn.IFNA(_xlfn.IFS(AND(P406&lt;&gt;"",R406&lt;&gt;"",RIGHT($N406,6)="tarief",F406="Vergoeding"),SUM(P406)*FLOOR(SUM(R406),0.0001),AND(P406&lt;&gt;"",R406&lt;&gt;"",RIGHT($N406,6)="tarief"),P406*FLOOR(R406,0.01),T406&gt;0,FLOOR(SUM(T406),0.01)),""),""),"")</f>
        <v/>
      </c>
      <c r="W406" s="317" t="str" cm="1">
        <f t="array" aca="1" ref="W406" ca="1">IFERROR(_xlfn.IFS(OR(F406="",LEFT(Methode_Keuze,4)="Geen",Methode_Keuze=""),"",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17" t="str" cm="1">
        <f t="array" aca="1" ref="X406" ca="1">IFERROR(_xlfn.IFS(OR(F406="",LEFT(Methode_Keuze,4)="Geen",Methode_Keuze=""),"",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26"/>
      <c r="Z406" s="319"/>
      <c r="AA406" s="32" t="str" cm="1">
        <f t="array" ref="AA406">IFERROR(IF(INDEX(SubsidieTabel!$AD$1:$AG$12,MATCH($F406,SubsidieTabel!$AD$1:$AD$12,0),IFERROR(MATCH(Methode_Keuze,SubsidieTabel!$AD$1:$AG$1,0),2))&lt;&gt;1=TRUE,"ja",""),"")</f>
        <v/>
      </c>
    </row>
    <row r="407" spans="1:27" x14ac:dyDescent="0.25">
      <c r="A407" s="320"/>
      <c r="B407" s="321" t="str">
        <f>IF(A407&lt;&gt;"",_xlfn.MAXIFS($B$1:B406,$A$1:A406,A407)+1,"")</f>
        <v/>
      </c>
      <c r="C407" s="299"/>
      <c r="D407" s="299"/>
      <c r="E407" s="299"/>
      <c r="F407" s="299"/>
      <c r="G407" s="330"/>
      <c r="H407" s="328"/>
      <c r="I407" s="329"/>
      <c r="J407" s="329"/>
      <c r="K407" s="322"/>
      <c r="L407" s="322"/>
      <c r="M407" s="323" t="str">
        <f>IFERROR(VLOOKUP(H407,Lijsten!$H$1:$I$100,2,0),"")</f>
        <v/>
      </c>
      <c r="N407" s="323" t="str">
        <f ca="1">IFERROR(IF(VLOOKUP(F407,Kostentypen!$A$3:$E$21,3,0)=0,"",IF(OR(F407="Arbeidskosten",F407="Vergoeding"),VLOOKUP(G407,Tb_KostenTypen[],2,0),VLOOKUP(F407,Kostentypen!$A$3:$E$20,3,0))),"")</f>
        <v/>
      </c>
      <c r="O407" s="324"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4"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3"/>
      <c r="R407" s="363"/>
      <c r="S407" s="325"/>
      <c r="T407" s="325"/>
      <c r="U407" s="317" t="str" cm="1">
        <f t="array" aca="1" ref="U407" ca="1">IFERROR(IF(AA407&lt;&gt;"ja",_xlfn.IFNA(_xlfn.IFS(AND(O407&lt;&gt;"",F407&lt;&gt;"",RIGHT($N407,6)="tarief",F407="Vergoeding"),SUM(O407)*FLOOR(SUM(Q407),0.0001),AND(O407&lt;&gt;"",F407&lt;&gt;"",RIGHT($N407,6)="tarief"),SUM(O407)*FLOOR(SUM(Q407),0.01),S407&gt;0,IF(F407&lt;&gt;"",FLOOR(SUM(S407),0.01),"")),""),""),"")</f>
        <v/>
      </c>
      <c r="V407" s="317" t="str" cm="1">
        <f t="array" aca="1" ref="V407" ca="1">IFERROR(IF(AA407&lt;&gt;"ja",_xlfn.IFNA(_xlfn.IFS(AND(P407&lt;&gt;"",R407&lt;&gt;"",RIGHT($N407,6)="tarief",F407="Vergoeding"),SUM(P407)*FLOOR(SUM(R407),0.0001),AND(P407&lt;&gt;"",R407&lt;&gt;"",RIGHT($N407,6)="tarief"),P407*FLOOR(R407,0.01),T407&gt;0,FLOOR(SUM(T407),0.01)),""),""),"")</f>
        <v/>
      </c>
      <c r="W407" s="317" t="str" cm="1">
        <f t="array" aca="1" ref="W407" ca="1">IFERROR(_xlfn.IFS(OR(F407="",LEFT(Methode_Keuze,4)="Geen",Methode_Keuze=""),"",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17" t="str" cm="1">
        <f t="array" aca="1" ref="X407" ca="1">IFERROR(_xlfn.IFS(OR(F407="",LEFT(Methode_Keuze,4)="Geen",Methode_Keuze=""),"",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26"/>
      <c r="Z407" s="319"/>
      <c r="AA407" s="32" t="str" cm="1">
        <f t="array" ref="AA407">IFERROR(IF(INDEX(SubsidieTabel!$AD$1:$AG$12,MATCH($F407,SubsidieTabel!$AD$1:$AD$12,0),IFERROR(MATCH(Methode_Keuze,SubsidieTabel!$AD$1:$AG$1,0),2))&lt;&gt;1=TRUE,"ja",""),"")</f>
        <v/>
      </c>
    </row>
    <row r="408" spans="1:27" x14ac:dyDescent="0.25">
      <c r="A408" s="320"/>
      <c r="B408" s="321" t="str">
        <f>IF(A408&lt;&gt;"",_xlfn.MAXIFS($B$1:B407,$A$1:A407,A408)+1,"")</f>
        <v/>
      </c>
      <c r="C408" s="299"/>
      <c r="D408" s="299"/>
      <c r="E408" s="299"/>
      <c r="F408" s="299"/>
      <c r="G408" s="330"/>
      <c r="H408" s="328"/>
      <c r="I408" s="329"/>
      <c r="J408" s="329"/>
      <c r="K408" s="322"/>
      <c r="L408" s="322"/>
      <c r="M408" s="323" t="str">
        <f>IFERROR(VLOOKUP(H408,Lijsten!$H$1:$I$100,2,0),"")</f>
        <v/>
      </c>
      <c r="N408" s="323" t="str">
        <f ca="1">IFERROR(IF(VLOOKUP(F408,Kostentypen!$A$3:$E$21,3,0)=0,"",IF(OR(F408="Arbeidskosten",F408="Vergoeding"),VLOOKUP(G408,Tb_KostenTypen[],2,0),VLOOKUP(F408,Kostentypen!$A$3:$E$20,3,0))),"")</f>
        <v/>
      </c>
      <c r="O408" s="324"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4"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3"/>
      <c r="R408" s="363"/>
      <c r="S408" s="325"/>
      <c r="T408" s="325"/>
      <c r="U408" s="317" t="str" cm="1">
        <f t="array" aca="1" ref="U408" ca="1">IFERROR(IF(AA408&lt;&gt;"ja",_xlfn.IFNA(_xlfn.IFS(AND(O408&lt;&gt;"",F408&lt;&gt;"",RIGHT($N408,6)="tarief",F408="Vergoeding"),SUM(O408)*FLOOR(SUM(Q408),0.0001),AND(O408&lt;&gt;"",F408&lt;&gt;"",RIGHT($N408,6)="tarief"),SUM(O408)*FLOOR(SUM(Q408),0.01),S408&gt;0,IF(F408&lt;&gt;"",FLOOR(SUM(S408),0.01),"")),""),""),"")</f>
        <v/>
      </c>
      <c r="V408" s="317" t="str" cm="1">
        <f t="array" aca="1" ref="V408" ca="1">IFERROR(IF(AA408&lt;&gt;"ja",_xlfn.IFNA(_xlfn.IFS(AND(P408&lt;&gt;"",R408&lt;&gt;"",RIGHT($N408,6)="tarief",F408="Vergoeding"),SUM(P408)*FLOOR(SUM(R408),0.0001),AND(P408&lt;&gt;"",R408&lt;&gt;"",RIGHT($N408,6)="tarief"),P408*FLOOR(R408,0.01),T408&gt;0,FLOOR(SUM(T408),0.01)),""),""),"")</f>
        <v/>
      </c>
      <c r="W408" s="317" t="str" cm="1">
        <f t="array" aca="1" ref="W408" ca="1">IFERROR(_xlfn.IFS(OR(F408="",LEFT(Methode_Keuze,4)="Geen",Methode_Keuze=""),"",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17" t="str" cm="1">
        <f t="array" aca="1" ref="X408" ca="1">IFERROR(_xlfn.IFS(OR(F408="",LEFT(Methode_Keuze,4)="Geen",Methode_Keuze=""),"",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26"/>
      <c r="Z408" s="319"/>
      <c r="AA408" s="32" t="str" cm="1">
        <f t="array" ref="AA408">IFERROR(IF(INDEX(SubsidieTabel!$AD$1:$AG$12,MATCH($F408,SubsidieTabel!$AD$1:$AD$12,0),IFERROR(MATCH(Methode_Keuze,SubsidieTabel!$AD$1:$AG$1,0),2))&lt;&gt;1=TRUE,"ja",""),"")</f>
        <v/>
      </c>
    </row>
    <row r="409" spans="1:27" x14ac:dyDescent="0.25">
      <c r="A409" s="320"/>
      <c r="B409" s="321" t="str">
        <f>IF(A409&lt;&gt;"",_xlfn.MAXIFS($B$1:B408,$A$1:A408,A409)+1,"")</f>
        <v/>
      </c>
      <c r="C409" s="299"/>
      <c r="D409" s="299"/>
      <c r="E409" s="299"/>
      <c r="F409" s="299"/>
      <c r="G409" s="330"/>
      <c r="H409" s="328"/>
      <c r="I409" s="329"/>
      <c r="J409" s="329"/>
      <c r="K409" s="322"/>
      <c r="L409" s="322"/>
      <c r="M409" s="323" t="str">
        <f>IFERROR(VLOOKUP(H409,Lijsten!$H$1:$I$100,2,0),"")</f>
        <v/>
      </c>
      <c r="N409" s="323" t="str">
        <f ca="1">IFERROR(IF(VLOOKUP(F409,Kostentypen!$A$3:$E$21,3,0)=0,"",IF(OR(F409="Arbeidskosten",F409="Vergoeding"),VLOOKUP(G409,Tb_KostenTypen[],2,0),VLOOKUP(F409,Kostentypen!$A$3:$E$20,3,0))),"")</f>
        <v/>
      </c>
      <c r="O409" s="324"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4"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3"/>
      <c r="R409" s="363"/>
      <c r="S409" s="325"/>
      <c r="T409" s="325"/>
      <c r="U409" s="317" t="str" cm="1">
        <f t="array" aca="1" ref="U409" ca="1">IFERROR(IF(AA409&lt;&gt;"ja",_xlfn.IFNA(_xlfn.IFS(AND(O409&lt;&gt;"",F409&lt;&gt;"",RIGHT($N409,6)="tarief",F409="Vergoeding"),SUM(O409)*FLOOR(SUM(Q409),0.0001),AND(O409&lt;&gt;"",F409&lt;&gt;"",RIGHT($N409,6)="tarief"),SUM(O409)*FLOOR(SUM(Q409),0.01),S409&gt;0,IF(F409&lt;&gt;"",FLOOR(SUM(S409),0.01),"")),""),""),"")</f>
        <v/>
      </c>
      <c r="V409" s="317" t="str" cm="1">
        <f t="array" aca="1" ref="V409" ca="1">IFERROR(IF(AA409&lt;&gt;"ja",_xlfn.IFNA(_xlfn.IFS(AND(P409&lt;&gt;"",R409&lt;&gt;"",RIGHT($N409,6)="tarief",F409="Vergoeding"),SUM(P409)*FLOOR(SUM(R409),0.0001),AND(P409&lt;&gt;"",R409&lt;&gt;"",RIGHT($N409,6)="tarief"),P409*FLOOR(R409,0.01),T409&gt;0,FLOOR(SUM(T409),0.01)),""),""),"")</f>
        <v/>
      </c>
      <c r="W409" s="317" t="str" cm="1">
        <f t="array" aca="1" ref="W409" ca="1">IFERROR(_xlfn.IFS(OR(F409="",LEFT(Methode_Keuze,4)="Geen",Methode_Keuze=""),"",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17" t="str" cm="1">
        <f t="array" aca="1" ref="X409" ca="1">IFERROR(_xlfn.IFS(OR(F409="",LEFT(Methode_Keuze,4)="Geen",Methode_Keuze=""),"",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26"/>
      <c r="Z409" s="319"/>
      <c r="AA409" s="32" t="str" cm="1">
        <f t="array" ref="AA409">IFERROR(IF(INDEX(SubsidieTabel!$AD$1:$AG$12,MATCH($F409,SubsidieTabel!$AD$1:$AD$12,0),IFERROR(MATCH(Methode_Keuze,SubsidieTabel!$AD$1:$AG$1,0),2))&lt;&gt;1=TRUE,"ja",""),"")</f>
        <v/>
      </c>
    </row>
    <row r="410" spans="1:27" x14ac:dyDescent="0.25">
      <c r="A410" s="320"/>
      <c r="B410" s="321" t="str">
        <f>IF(A410&lt;&gt;"",_xlfn.MAXIFS($B$1:B409,$A$1:A409,A410)+1,"")</f>
        <v/>
      </c>
      <c r="C410" s="299"/>
      <c r="D410" s="299"/>
      <c r="E410" s="299"/>
      <c r="F410" s="299"/>
      <c r="G410" s="330"/>
      <c r="H410" s="328"/>
      <c r="I410" s="329"/>
      <c r="J410" s="329"/>
      <c r="K410" s="322"/>
      <c r="L410" s="322"/>
      <c r="M410" s="323" t="str">
        <f>IFERROR(VLOOKUP(H410,Lijsten!$H$1:$I$100,2,0),"")</f>
        <v/>
      </c>
      <c r="N410" s="323" t="str">
        <f ca="1">IFERROR(IF(VLOOKUP(F410,Kostentypen!$A$3:$E$21,3,0)=0,"",IF(OR(F410="Arbeidskosten",F410="Vergoeding"),VLOOKUP(G410,Tb_KostenTypen[],2,0),VLOOKUP(F410,Kostentypen!$A$3:$E$20,3,0))),"")</f>
        <v/>
      </c>
      <c r="O410" s="324"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4"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3"/>
      <c r="R410" s="363"/>
      <c r="S410" s="325"/>
      <c r="T410" s="325"/>
      <c r="U410" s="317" t="str" cm="1">
        <f t="array" aca="1" ref="U410" ca="1">IFERROR(IF(AA410&lt;&gt;"ja",_xlfn.IFNA(_xlfn.IFS(AND(O410&lt;&gt;"",F410&lt;&gt;"",RIGHT($N410,6)="tarief",F410="Vergoeding"),SUM(O410)*FLOOR(SUM(Q410),0.0001),AND(O410&lt;&gt;"",F410&lt;&gt;"",RIGHT($N410,6)="tarief"),SUM(O410)*FLOOR(SUM(Q410),0.01),S410&gt;0,IF(F410&lt;&gt;"",FLOOR(SUM(S410),0.01),"")),""),""),"")</f>
        <v/>
      </c>
      <c r="V410" s="317" t="str" cm="1">
        <f t="array" aca="1" ref="V410" ca="1">IFERROR(IF(AA410&lt;&gt;"ja",_xlfn.IFNA(_xlfn.IFS(AND(P410&lt;&gt;"",R410&lt;&gt;"",RIGHT($N410,6)="tarief",F410="Vergoeding"),SUM(P410)*FLOOR(SUM(R410),0.0001),AND(P410&lt;&gt;"",R410&lt;&gt;"",RIGHT($N410,6)="tarief"),P410*FLOOR(R410,0.01),T410&gt;0,FLOOR(SUM(T410),0.01)),""),""),"")</f>
        <v/>
      </c>
      <c r="W410" s="317" t="str" cm="1">
        <f t="array" aca="1" ref="W410" ca="1">IFERROR(_xlfn.IFS(OR(F410="",LEFT(Methode_Keuze,4)="Geen",Methode_Keuze=""),"",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17" t="str" cm="1">
        <f t="array" aca="1" ref="X410" ca="1">IFERROR(_xlfn.IFS(OR(F410="",LEFT(Methode_Keuze,4)="Geen",Methode_Keuze=""),"",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26"/>
      <c r="Z410" s="319"/>
      <c r="AA410" s="32" t="str" cm="1">
        <f t="array" ref="AA410">IFERROR(IF(INDEX(SubsidieTabel!$AD$1:$AG$12,MATCH($F410,SubsidieTabel!$AD$1:$AD$12,0),IFERROR(MATCH(Methode_Keuze,SubsidieTabel!$AD$1:$AG$1,0),2))&lt;&gt;1=TRUE,"ja",""),"")</f>
        <v/>
      </c>
    </row>
    <row r="411" spans="1:27" x14ac:dyDescent="0.25">
      <c r="A411" s="320"/>
      <c r="B411" s="321" t="str">
        <f>IF(A411&lt;&gt;"",_xlfn.MAXIFS($B$1:B410,$A$1:A410,A411)+1,"")</f>
        <v/>
      </c>
      <c r="C411" s="299"/>
      <c r="D411" s="299"/>
      <c r="E411" s="299"/>
      <c r="F411" s="299"/>
      <c r="G411" s="330"/>
      <c r="H411" s="328"/>
      <c r="I411" s="329"/>
      <c r="J411" s="329"/>
      <c r="K411" s="322"/>
      <c r="L411" s="322"/>
      <c r="M411" s="323" t="str">
        <f>IFERROR(VLOOKUP(H411,Lijsten!$H$1:$I$100,2,0),"")</f>
        <v/>
      </c>
      <c r="N411" s="323" t="str">
        <f ca="1">IFERROR(IF(VLOOKUP(F411,Kostentypen!$A$3:$E$21,3,0)=0,"",IF(OR(F411="Arbeidskosten",F411="Vergoeding"),VLOOKUP(G411,Tb_KostenTypen[],2,0),VLOOKUP(F411,Kostentypen!$A$3:$E$20,3,0))),"")</f>
        <v/>
      </c>
      <c r="O411" s="324"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4"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3"/>
      <c r="R411" s="363"/>
      <c r="S411" s="325"/>
      <c r="T411" s="325"/>
      <c r="U411" s="317" t="str" cm="1">
        <f t="array" aca="1" ref="U411" ca="1">IFERROR(IF(AA411&lt;&gt;"ja",_xlfn.IFNA(_xlfn.IFS(AND(O411&lt;&gt;"",F411&lt;&gt;"",RIGHT($N411,6)="tarief",F411="Vergoeding"),SUM(O411)*FLOOR(SUM(Q411),0.0001),AND(O411&lt;&gt;"",F411&lt;&gt;"",RIGHT($N411,6)="tarief"),SUM(O411)*FLOOR(SUM(Q411),0.01),S411&gt;0,IF(F411&lt;&gt;"",FLOOR(SUM(S411),0.01),"")),""),""),"")</f>
        <v/>
      </c>
      <c r="V411" s="317" t="str" cm="1">
        <f t="array" aca="1" ref="V411" ca="1">IFERROR(IF(AA411&lt;&gt;"ja",_xlfn.IFNA(_xlfn.IFS(AND(P411&lt;&gt;"",R411&lt;&gt;"",RIGHT($N411,6)="tarief",F411="Vergoeding"),SUM(P411)*FLOOR(SUM(R411),0.0001),AND(P411&lt;&gt;"",R411&lt;&gt;"",RIGHT($N411,6)="tarief"),P411*FLOOR(R411,0.01),T411&gt;0,FLOOR(SUM(T411),0.01)),""),""),"")</f>
        <v/>
      </c>
      <c r="W411" s="317" t="str" cm="1">
        <f t="array" aca="1" ref="W411" ca="1">IFERROR(_xlfn.IFS(OR(F411="",LEFT(Methode_Keuze,4)="Geen",Methode_Keuze=""),"",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17" t="str" cm="1">
        <f t="array" aca="1" ref="X411" ca="1">IFERROR(_xlfn.IFS(OR(F411="",LEFT(Methode_Keuze,4)="Geen",Methode_Keuze=""),"",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26"/>
      <c r="Z411" s="319"/>
      <c r="AA411" s="32" t="str" cm="1">
        <f t="array" ref="AA411">IFERROR(IF(INDEX(SubsidieTabel!$AD$1:$AG$12,MATCH($F411,SubsidieTabel!$AD$1:$AD$12,0),IFERROR(MATCH(Methode_Keuze,SubsidieTabel!$AD$1:$AG$1,0),2))&lt;&gt;1=TRUE,"ja",""),"")</f>
        <v/>
      </c>
    </row>
    <row r="412" spans="1:27" x14ac:dyDescent="0.25">
      <c r="A412" s="320"/>
      <c r="B412" s="321" t="str">
        <f>IF(A412&lt;&gt;"",_xlfn.MAXIFS($B$1:B411,$A$1:A411,A412)+1,"")</f>
        <v/>
      </c>
      <c r="C412" s="299"/>
      <c r="D412" s="299"/>
      <c r="E412" s="299"/>
      <c r="F412" s="299"/>
      <c r="G412" s="330"/>
      <c r="H412" s="328"/>
      <c r="I412" s="329"/>
      <c r="J412" s="329"/>
      <c r="K412" s="322"/>
      <c r="L412" s="322"/>
      <c r="M412" s="323" t="str">
        <f>IFERROR(VLOOKUP(H412,Lijsten!$H$1:$I$100,2,0),"")</f>
        <v/>
      </c>
      <c r="N412" s="323" t="str">
        <f ca="1">IFERROR(IF(VLOOKUP(F412,Kostentypen!$A$3:$E$21,3,0)=0,"",IF(OR(F412="Arbeidskosten",F412="Vergoeding"),VLOOKUP(G412,Tb_KostenTypen[],2,0),VLOOKUP(F412,Kostentypen!$A$3:$E$20,3,0))),"")</f>
        <v/>
      </c>
      <c r="O412" s="324"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4"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3"/>
      <c r="R412" s="363"/>
      <c r="S412" s="325"/>
      <c r="T412" s="325"/>
      <c r="U412" s="317" t="str" cm="1">
        <f t="array" aca="1" ref="U412" ca="1">IFERROR(IF(AA412&lt;&gt;"ja",_xlfn.IFNA(_xlfn.IFS(AND(O412&lt;&gt;"",F412&lt;&gt;"",RIGHT($N412,6)="tarief",F412="Vergoeding"),SUM(O412)*FLOOR(SUM(Q412),0.0001),AND(O412&lt;&gt;"",F412&lt;&gt;"",RIGHT($N412,6)="tarief"),SUM(O412)*FLOOR(SUM(Q412),0.01),S412&gt;0,IF(F412&lt;&gt;"",FLOOR(SUM(S412),0.01),"")),""),""),"")</f>
        <v/>
      </c>
      <c r="V412" s="317" t="str" cm="1">
        <f t="array" aca="1" ref="V412" ca="1">IFERROR(IF(AA412&lt;&gt;"ja",_xlfn.IFNA(_xlfn.IFS(AND(P412&lt;&gt;"",R412&lt;&gt;"",RIGHT($N412,6)="tarief",F412="Vergoeding"),SUM(P412)*FLOOR(SUM(R412),0.0001),AND(P412&lt;&gt;"",R412&lt;&gt;"",RIGHT($N412,6)="tarief"),P412*FLOOR(R412,0.01),T412&gt;0,FLOOR(SUM(T412),0.01)),""),""),"")</f>
        <v/>
      </c>
      <c r="W412" s="317" t="str" cm="1">
        <f t="array" aca="1" ref="W412" ca="1">IFERROR(_xlfn.IFS(OR(F412="",LEFT(Methode_Keuze,4)="Geen",Methode_Keuze=""),"",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17" t="str" cm="1">
        <f t="array" aca="1" ref="X412" ca="1">IFERROR(_xlfn.IFS(OR(F412="",LEFT(Methode_Keuze,4)="Geen",Methode_Keuze=""),"",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26"/>
      <c r="Z412" s="319"/>
      <c r="AA412" s="32" t="str" cm="1">
        <f t="array" ref="AA412">IFERROR(IF(INDEX(SubsidieTabel!$AD$1:$AG$12,MATCH($F412,SubsidieTabel!$AD$1:$AD$12,0),IFERROR(MATCH(Methode_Keuze,SubsidieTabel!$AD$1:$AG$1,0),2))&lt;&gt;1=TRUE,"ja",""),"")</f>
        <v/>
      </c>
    </row>
    <row r="413" spans="1:27" x14ac:dyDescent="0.25">
      <c r="A413" s="320"/>
      <c r="B413" s="321" t="str">
        <f>IF(A413&lt;&gt;"",_xlfn.MAXIFS($B$1:B412,$A$1:A412,A413)+1,"")</f>
        <v/>
      </c>
      <c r="C413" s="299"/>
      <c r="D413" s="299"/>
      <c r="E413" s="299"/>
      <c r="F413" s="299"/>
      <c r="G413" s="330"/>
      <c r="H413" s="328"/>
      <c r="I413" s="329"/>
      <c r="J413" s="329"/>
      <c r="K413" s="322"/>
      <c r="L413" s="322"/>
      <c r="M413" s="323" t="str">
        <f>IFERROR(VLOOKUP(H413,Lijsten!$H$1:$I$100,2,0),"")</f>
        <v/>
      </c>
      <c r="N413" s="323" t="str">
        <f ca="1">IFERROR(IF(VLOOKUP(F413,Kostentypen!$A$3:$E$21,3,0)=0,"",IF(OR(F413="Arbeidskosten",F413="Vergoeding"),VLOOKUP(G413,Tb_KostenTypen[],2,0),VLOOKUP(F413,Kostentypen!$A$3:$E$20,3,0))),"")</f>
        <v/>
      </c>
      <c r="O413" s="324"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4"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3"/>
      <c r="R413" s="363"/>
      <c r="S413" s="325"/>
      <c r="T413" s="325"/>
      <c r="U413" s="317" t="str" cm="1">
        <f t="array" aca="1" ref="U413" ca="1">IFERROR(IF(AA413&lt;&gt;"ja",_xlfn.IFNA(_xlfn.IFS(AND(O413&lt;&gt;"",F413&lt;&gt;"",RIGHT($N413,6)="tarief",F413="Vergoeding"),SUM(O413)*FLOOR(SUM(Q413),0.0001),AND(O413&lt;&gt;"",F413&lt;&gt;"",RIGHT($N413,6)="tarief"),SUM(O413)*FLOOR(SUM(Q413),0.01),S413&gt;0,IF(F413&lt;&gt;"",FLOOR(SUM(S413),0.01),"")),""),""),"")</f>
        <v/>
      </c>
      <c r="V413" s="317" t="str" cm="1">
        <f t="array" aca="1" ref="V413" ca="1">IFERROR(IF(AA413&lt;&gt;"ja",_xlfn.IFNA(_xlfn.IFS(AND(P413&lt;&gt;"",R413&lt;&gt;"",RIGHT($N413,6)="tarief",F413="Vergoeding"),SUM(P413)*FLOOR(SUM(R413),0.0001),AND(P413&lt;&gt;"",R413&lt;&gt;"",RIGHT($N413,6)="tarief"),P413*FLOOR(R413,0.01),T413&gt;0,FLOOR(SUM(T413),0.01)),""),""),"")</f>
        <v/>
      </c>
      <c r="W413" s="317" t="str" cm="1">
        <f t="array" aca="1" ref="W413" ca="1">IFERROR(_xlfn.IFS(OR(F413="",LEFT(Methode_Keuze,4)="Geen",Methode_Keuze=""),"",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17" t="str" cm="1">
        <f t="array" aca="1" ref="X413" ca="1">IFERROR(_xlfn.IFS(OR(F413="",LEFT(Methode_Keuze,4)="Geen",Methode_Keuze=""),"",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26"/>
      <c r="Z413" s="319"/>
      <c r="AA413" s="32" t="str" cm="1">
        <f t="array" ref="AA413">IFERROR(IF(INDEX(SubsidieTabel!$AD$1:$AG$12,MATCH($F413,SubsidieTabel!$AD$1:$AD$12,0),IFERROR(MATCH(Methode_Keuze,SubsidieTabel!$AD$1:$AG$1,0),2))&lt;&gt;1=TRUE,"ja",""),"")</f>
        <v/>
      </c>
    </row>
    <row r="414" spans="1:27" x14ac:dyDescent="0.25">
      <c r="A414" s="320"/>
      <c r="B414" s="321" t="str">
        <f>IF(A414&lt;&gt;"",_xlfn.MAXIFS($B$1:B413,$A$1:A413,A414)+1,"")</f>
        <v/>
      </c>
      <c r="C414" s="299"/>
      <c r="D414" s="299"/>
      <c r="E414" s="299"/>
      <c r="F414" s="299"/>
      <c r="G414" s="330"/>
      <c r="H414" s="328"/>
      <c r="I414" s="329"/>
      <c r="J414" s="329"/>
      <c r="K414" s="322"/>
      <c r="L414" s="322"/>
      <c r="M414" s="323" t="str">
        <f>IFERROR(VLOOKUP(H414,Lijsten!$H$1:$I$100,2,0),"")</f>
        <v/>
      </c>
      <c r="N414" s="323" t="str">
        <f ca="1">IFERROR(IF(VLOOKUP(F414,Kostentypen!$A$3:$E$21,3,0)=0,"",IF(OR(F414="Arbeidskosten",F414="Vergoeding"),VLOOKUP(G414,Tb_KostenTypen[],2,0),VLOOKUP(F414,Kostentypen!$A$3:$E$20,3,0))),"")</f>
        <v/>
      </c>
      <c r="O414" s="324"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4"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3"/>
      <c r="R414" s="363"/>
      <c r="S414" s="325"/>
      <c r="T414" s="325"/>
      <c r="U414" s="317" t="str" cm="1">
        <f t="array" aca="1" ref="U414" ca="1">IFERROR(IF(AA414&lt;&gt;"ja",_xlfn.IFNA(_xlfn.IFS(AND(O414&lt;&gt;"",F414&lt;&gt;"",RIGHT($N414,6)="tarief",F414="Vergoeding"),SUM(O414)*FLOOR(SUM(Q414),0.0001),AND(O414&lt;&gt;"",F414&lt;&gt;"",RIGHT($N414,6)="tarief"),SUM(O414)*FLOOR(SUM(Q414),0.01),S414&gt;0,IF(F414&lt;&gt;"",FLOOR(SUM(S414),0.01),"")),""),""),"")</f>
        <v/>
      </c>
      <c r="V414" s="317" t="str" cm="1">
        <f t="array" aca="1" ref="V414" ca="1">IFERROR(IF(AA414&lt;&gt;"ja",_xlfn.IFNA(_xlfn.IFS(AND(P414&lt;&gt;"",R414&lt;&gt;"",RIGHT($N414,6)="tarief",F414="Vergoeding"),SUM(P414)*FLOOR(SUM(R414),0.0001),AND(P414&lt;&gt;"",R414&lt;&gt;"",RIGHT($N414,6)="tarief"),P414*FLOOR(R414,0.01),T414&gt;0,FLOOR(SUM(T414),0.01)),""),""),"")</f>
        <v/>
      </c>
      <c r="W414" s="317" t="str" cm="1">
        <f t="array" aca="1" ref="W414" ca="1">IFERROR(_xlfn.IFS(OR(F414="",LEFT(Methode_Keuze,4)="Geen",Methode_Keuze=""),"",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17" t="str" cm="1">
        <f t="array" aca="1" ref="X414" ca="1">IFERROR(_xlfn.IFS(OR(F414="",LEFT(Methode_Keuze,4)="Geen",Methode_Keuze=""),"",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26"/>
      <c r="Z414" s="319"/>
      <c r="AA414" s="32" t="str" cm="1">
        <f t="array" ref="AA414">IFERROR(IF(INDEX(SubsidieTabel!$AD$1:$AG$12,MATCH($F414,SubsidieTabel!$AD$1:$AD$12,0),IFERROR(MATCH(Methode_Keuze,SubsidieTabel!$AD$1:$AG$1,0),2))&lt;&gt;1=TRUE,"ja",""),"")</f>
        <v/>
      </c>
    </row>
    <row r="415" spans="1:27" x14ac:dyDescent="0.25">
      <c r="A415" s="320"/>
      <c r="B415" s="321" t="str">
        <f>IF(A415&lt;&gt;"",_xlfn.MAXIFS($B$1:B414,$A$1:A414,A415)+1,"")</f>
        <v/>
      </c>
      <c r="C415" s="299"/>
      <c r="D415" s="299"/>
      <c r="E415" s="299"/>
      <c r="F415" s="299"/>
      <c r="G415" s="330"/>
      <c r="H415" s="328"/>
      <c r="I415" s="329"/>
      <c r="J415" s="329"/>
      <c r="K415" s="322"/>
      <c r="L415" s="322"/>
      <c r="M415" s="323" t="str">
        <f>IFERROR(VLOOKUP(H415,Lijsten!$H$1:$I$100,2,0),"")</f>
        <v/>
      </c>
      <c r="N415" s="323" t="str">
        <f ca="1">IFERROR(IF(VLOOKUP(F415,Kostentypen!$A$3:$E$21,3,0)=0,"",IF(OR(F415="Arbeidskosten",F415="Vergoeding"),VLOOKUP(G415,Tb_KostenTypen[],2,0),VLOOKUP(F415,Kostentypen!$A$3:$E$20,3,0))),"")</f>
        <v/>
      </c>
      <c r="O415" s="324"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4"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3"/>
      <c r="R415" s="363"/>
      <c r="S415" s="325"/>
      <c r="T415" s="325"/>
      <c r="U415" s="317" t="str" cm="1">
        <f t="array" aca="1" ref="U415" ca="1">IFERROR(IF(AA415&lt;&gt;"ja",_xlfn.IFNA(_xlfn.IFS(AND(O415&lt;&gt;"",F415&lt;&gt;"",RIGHT($N415,6)="tarief",F415="Vergoeding"),SUM(O415)*FLOOR(SUM(Q415),0.0001),AND(O415&lt;&gt;"",F415&lt;&gt;"",RIGHT($N415,6)="tarief"),SUM(O415)*FLOOR(SUM(Q415),0.01),S415&gt;0,IF(F415&lt;&gt;"",FLOOR(SUM(S415),0.01),"")),""),""),"")</f>
        <v/>
      </c>
      <c r="V415" s="317" t="str" cm="1">
        <f t="array" aca="1" ref="V415" ca="1">IFERROR(IF(AA415&lt;&gt;"ja",_xlfn.IFNA(_xlfn.IFS(AND(P415&lt;&gt;"",R415&lt;&gt;"",RIGHT($N415,6)="tarief",F415="Vergoeding"),SUM(P415)*FLOOR(SUM(R415),0.0001),AND(P415&lt;&gt;"",R415&lt;&gt;"",RIGHT($N415,6)="tarief"),P415*FLOOR(R415,0.01),T415&gt;0,FLOOR(SUM(T415),0.01)),""),""),"")</f>
        <v/>
      </c>
      <c r="W415" s="317" t="str" cm="1">
        <f t="array" aca="1" ref="W415" ca="1">IFERROR(_xlfn.IFS(OR(F415="",LEFT(Methode_Keuze,4)="Geen",Methode_Keuze=""),"",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17" t="str" cm="1">
        <f t="array" aca="1" ref="X415" ca="1">IFERROR(_xlfn.IFS(OR(F415="",LEFT(Methode_Keuze,4)="Geen",Methode_Keuze=""),"",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26"/>
      <c r="Z415" s="319"/>
      <c r="AA415" s="32" t="str" cm="1">
        <f t="array" ref="AA415">IFERROR(IF(INDEX(SubsidieTabel!$AD$1:$AG$12,MATCH($F415,SubsidieTabel!$AD$1:$AD$12,0),IFERROR(MATCH(Methode_Keuze,SubsidieTabel!$AD$1:$AG$1,0),2))&lt;&gt;1=TRUE,"ja",""),"")</f>
        <v/>
      </c>
    </row>
    <row r="416" spans="1:27" x14ac:dyDescent="0.25">
      <c r="A416" s="320"/>
      <c r="B416" s="321" t="str">
        <f>IF(A416&lt;&gt;"",_xlfn.MAXIFS($B$1:B415,$A$1:A415,A416)+1,"")</f>
        <v/>
      </c>
      <c r="C416" s="299"/>
      <c r="D416" s="299"/>
      <c r="E416" s="299"/>
      <c r="F416" s="299"/>
      <c r="G416" s="330"/>
      <c r="H416" s="328"/>
      <c r="I416" s="329"/>
      <c r="J416" s="329"/>
      <c r="K416" s="322"/>
      <c r="L416" s="322"/>
      <c r="M416" s="323" t="str">
        <f>IFERROR(VLOOKUP(H416,Lijsten!$H$1:$I$100,2,0),"")</f>
        <v/>
      </c>
      <c r="N416" s="323" t="str">
        <f ca="1">IFERROR(IF(VLOOKUP(F416,Kostentypen!$A$3:$E$21,3,0)=0,"",IF(OR(F416="Arbeidskosten",F416="Vergoeding"),VLOOKUP(G416,Tb_KostenTypen[],2,0),VLOOKUP(F416,Kostentypen!$A$3:$E$20,3,0))),"")</f>
        <v/>
      </c>
      <c r="O416" s="324"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4"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3"/>
      <c r="R416" s="363"/>
      <c r="S416" s="325"/>
      <c r="T416" s="325"/>
      <c r="U416" s="317" t="str" cm="1">
        <f t="array" aca="1" ref="U416" ca="1">IFERROR(IF(AA416&lt;&gt;"ja",_xlfn.IFNA(_xlfn.IFS(AND(O416&lt;&gt;"",F416&lt;&gt;"",RIGHT($N416,6)="tarief",F416="Vergoeding"),SUM(O416)*FLOOR(SUM(Q416),0.0001),AND(O416&lt;&gt;"",F416&lt;&gt;"",RIGHT($N416,6)="tarief"),SUM(O416)*FLOOR(SUM(Q416),0.01),S416&gt;0,IF(F416&lt;&gt;"",FLOOR(SUM(S416),0.01),"")),""),""),"")</f>
        <v/>
      </c>
      <c r="V416" s="317" t="str" cm="1">
        <f t="array" aca="1" ref="V416" ca="1">IFERROR(IF(AA416&lt;&gt;"ja",_xlfn.IFNA(_xlfn.IFS(AND(P416&lt;&gt;"",R416&lt;&gt;"",RIGHT($N416,6)="tarief",F416="Vergoeding"),SUM(P416)*FLOOR(SUM(R416),0.0001),AND(P416&lt;&gt;"",R416&lt;&gt;"",RIGHT($N416,6)="tarief"),P416*FLOOR(R416,0.01),T416&gt;0,FLOOR(SUM(T416),0.01)),""),""),"")</f>
        <v/>
      </c>
      <c r="W416" s="317" t="str" cm="1">
        <f t="array" aca="1" ref="W416" ca="1">IFERROR(_xlfn.IFS(OR(F416="",LEFT(Methode_Keuze,4)="Geen",Methode_Keuze=""),"",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17" t="str" cm="1">
        <f t="array" aca="1" ref="X416" ca="1">IFERROR(_xlfn.IFS(OR(F416="",LEFT(Methode_Keuze,4)="Geen",Methode_Keuze=""),"",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26"/>
      <c r="Z416" s="319"/>
      <c r="AA416" s="32" t="str" cm="1">
        <f t="array" ref="AA416">IFERROR(IF(INDEX(SubsidieTabel!$AD$1:$AG$12,MATCH($F416,SubsidieTabel!$AD$1:$AD$12,0),IFERROR(MATCH(Methode_Keuze,SubsidieTabel!$AD$1:$AG$1,0),2))&lt;&gt;1=TRUE,"ja",""),"")</f>
        <v/>
      </c>
    </row>
    <row r="417" spans="1:27" x14ac:dyDescent="0.25">
      <c r="A417" s="320"/>
      <c r="B417" s="321" t="str">
        <f>IF(A417&lt;&gt;"",_xlfn.MAXIFS($B$1:B416,$A$1:A416,A417)+1,"")</f>
        <v/>
      </c>
      <c r="C417" s="299"/>
      <c r="D417" s="299"/>
      <c r="E417" s="299"/>
      <c r="F417" s="299"/>
      <c r="G417" s="330"/>
      <c r="H417" s="328"/>
      <c r="I417" s="329"/>
      <c r="J417" s="329"/>
      <c r="K417" s="322"/>
      <c r="L417" s="322"/>
      <c r="M417" s="323" t="str">
        <f>IFERROR(VLOOKUP(H417,Lijsten!$H$1:$I$100,2,0),"")</f>
        <v/>
      </c>
      <c r="N417" s="323" t="str">
        <f ca="1">IFERROR(IF(VLOOKUP(F417,Kostentypen!$A$3:$E$21,3,0)=0,"",IF(OR(F417="Arbeidskosten",F417="Vergoeding"),VLOOKUP(G417,Tb_KostenTypen[],2,0),VLOOKUP(F417,Kostentypen!$A$3:$E$20,3,0))),"")</f>
        <v/>
      </c>
      <c r="O417" s="324"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4"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3"/>
      <c r="R417" s="363"/>
      <c r="S417" s="325"/>
      <c r="T417" s="325"/>
      <c r="U417" s="317" t="str" cm="1">
        <f t="array" aca="1" ref="U417" ca="1">IFERROR(IF(AA417&lt;&gt;"ja",_xlfn.IFNA(_xlfn.IFS(AND(O417&lt;&gt;"",F417&lt;&gt;"",RIGHT($N417,6)="tarief",F417="Vergoeding"),SUM(O417)*FLOOR(SUM(Q417),0.0001),AND(O417&lt;&gt;"",F417&lt;&gt;"",RIGHT($N417,6)="tarief"),SUM(O417)*FLOOR(SUM(Q417),0.01),S417&gt;0,IF(F417&lt;&gt;"",FLOOR(SUM(S417),0.01),"")),""),""),"")</f>
        <v/>
      </c>
      <c r="V417" s="317" t="str" cm="1">
        <f t="array" aca="1" ref="V417" ca="1">IFERROR(IF(AA417&lt;&gt;"ja",_xlfn.IFNA(_xlfn.IFS(AND(P417&lt;&gt;"",R417&lt;&gt;"",RIGHT($N417,6)="tarief",F417="Vergoeding"),SUM(P417)*FLOOR(SUM(R417),0.0001),AND(P417&lt;&gt;"",R417&lt;&gt;"",RIGHT($N417,6)="tarief"),P417*FLOOR(R417,0.01),T417&gt;0,FLOOR(SUM(T417),0.01)),""),""),"")</f>
        <v/>
      </c>
      <c r="W417" s="317" t="str" cm="1">
        <f t="array" aca="1" ref="W417" ca="1">IFERROR(_xlfn.IFS(OR(F417="",LEFT(Methode_Keuze,4)="Geen",Methode_Keuze=""),"",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17" t="str" cm="1">
        <f t="array" aca="1" ref="X417" ca="1">IFERROR(_xlfn.IFS(OR(F417="",LEFT(Methode_Keuze,4)="Geen",Methode_Keuze=""),"",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26"/>
      <c r="Z417" s="319"/>
      <c r="AA417" s="32" t="str" cm="1">
        <f t="array" ref="AA417">IFERROR(IF(INDEX(SubsidieTabel!$AD$1:$AG$12,MATCH($F417,SubsidieTabel!$AD$1:$AD$12,0),IFERROR(MATCH(Methode_Keuze,SubsidieTabel!$AD$1:$AG$1,0),2))&lt;&gt;1=TRUE,"ja",""),"")</f>
        <v/>
      </c>
    </row>
    <row r="418" spans="1:27" x14ac:dyDescent="0.25">
      <c r="A418" s="320"/>
      <c r="B418" s="321" t="str">
        <f>IF(A418&lt;&gt;"",_xlfn.MAXIFS($B$1:B417,$A$1:A417,A418)+1,"")</f>
        <v/>
      </c>
      <c r="C418" s="299"/>
      <c r="D418" s="299"/>
      <c r="E418" s="299"/>
      <c r="F418" s="299"/>
      <c r="G418" s="330"/>
      <c r="H418" s="328"/>
      <c r="I418" s="329"/>
      <c r="J418" s="329"/>
      <c r="K418" s="322"/>
      <c r="L418" s="322"/>
      <c r="M418" s="323" t="str">
        <f>IFERROR(VLOOKUP(H418,Lijsten!$H$1:$I$100,2,0),"")</f>
        <v/>
      </c>
      <c r="N418" s="323" t="str">
        <f ca="1">IFERROR(IF(VLOOKUP(F418,Kostentypen!$A$3:$E$21,3,0)=0,"",IF(OR(F418="Arbeidskosten",F418="Vergoeding"),VLOOKUP(G418,Tb_KostenTypen[],2,0),VLOOKUP(F418,Kostentypen!$A$3:$E$20,3,0))),"")</f>
        <v/>
      </c>
      <c r="O418" s="324"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4"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3"/>
      <c r="R418" s="363"/>
      <c r="S418" s="325"/>
      <c r="T418" s="325"/>
      <c r="U418" s="317" t="str" cm="1">
        <f t="array" aca="1" ref="U418" ca="1">IFERROR(IF(AA418&lt;&gt;"ja",_xlfn.IFNA(_xlfn.IFS(AND(O418&lt;&gt;"",F418&lt;&gt;"",RIGHT($N418,6)="tarief",F418="Vergoeding"),SUM(O418)*FLOOR(SUM(Q418),0.0001),AND(O418&lt;&gt;"",F418&lt;&gt;"",RIGHT($N418,6)="tarief"),SUM(O418)*FLOOR(SUM(Q418),0.01),S418&gt;0,IF(F418&lt;&gt;"",FLOOR(SUM(S418),0.01),"")),""),""),"")</f>
        <v/>
      </c>
      <c r="V418" s="317" t="str" cm="1">
        <f t="array" aca="1" ref="V418" ca="1">IFERROR(IF(AA418&lt;&gt;"ja",_xlfn.IFNA(_xlfn.IFS(AND(P418&lt;&gt;"",R418&lt;&gt;"",RIGHT($N418,6)="tarief",F418="Vergoeding"),SUM(P418)*FLOOR(SUM(R418),0.0001),AND(P418&lt;&gt;"",R418&lt;&gt;"",RIGHT($N418,6)="tarief"),P418*FLOOR(R418,0.01),T418&gt;0,FLOOR(SUM(T418),0.01)),""),""),"")</f>
        <v/>
      </c>
      <c r="W418" s="317" t="str" cm="1">
        <f t="array" aca="1" ref="W418" ca="1">IFERROR(_xlfn.IFS(OR(F418="",LEFT(Methode_Keuze,4)="Geen",Methode_Keuze=""),"",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17" t="str" cm="1">
        <f t="array" aca="1" ref="X418" ca="1">IFERROR(_xlfn.IFS(OR(F418="",LEFT(Methode_Keuze,4)="Geen",Methode_Keuze=""),"",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26"/>
      <c r="Z418" s="319"/>
      <c r="AA418" s="32" t="str" cm="1">
        <f t="array" ref="AA418">IFERROR(IF(INDEX(SubsidieTabel!$AD$1:$AG$12,MATCH($F418,SubsidieTabel!$AD$1:$AD$12,0),IFERROR(MATCH(Methode_Keuze,SubsidieTabel!$AD$1:$AG$1,0),2))&lt;&gt;1=TRUE,"ja",""),"")</f>
        <v/>
      </c>
    </row>
    <row r="419" spans="1:27" x14ac:dyDescent="0.25">
      <c r="A419" s="320"/>
      <c r="B419" s="321" t="str">
        <f>IF(A419&lt;&gt;"",_xlfn.MAXIFS($B$1:B418,$A$1:A418,A419)+1,"")</f>
        <v/>
      </c>
      <c r="C419" s="299"/>
      <c r="D419" s="299"/>
      <c r="E419" s="299"/>
      <c r="F419" s="299"/>
      <c r="G419" s="330"/>
      <c r="H419" s="328"/>
      <c r="I419" s="329"/>
      <c r="J419" s="329"/>
      <c r="K419" s="322"/>
      <c r="L419" s="322"/>
      <c r="M419" s="323" t="str">
        <f>IFERROR(VLOOKUP(H419,Lijsten!$H$1:$I$100,2,0),"")</f>
        <v/>
      </c>
      <c r="N419" s="323" t="str">
        <f ca="1">IFERROR(IF(VLOOKUP(F419,Kostentypen!$A$3:$E$21,3,0)=0,"",IF(OR(F419="Arbeidskosten",F419="Vergoeding"),VLOOKUP(G419,Tb_KostenTypen[],2,0),VLOOKUP(F419,Kostentypen!$A$3:$E$20,3,0))),"")</f>
        <v/>
      </c>
      <c r="O419" s="324"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4"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3"/>
      <c r="R419" s="363"/>
      <c r="S419" s="325"/>
      <c r="T419" s="325"/>
      <c r="U419" s="317" t="str" cm="1">
        <f t="array" aca="1" ref="U419" ca="1">IFERROR(IF(AA419&lt;&gt;"ja",_xlfn.IFNA(_xlfn.IFS(AND(O419&lt;&gt;"",F419&lt;&gt;"",RIGHT($N419,6)="tarief",F419="Vergoeding"),SUM(O419)*FLOOR(SUM(Q419),0.0001),AND(O419&lt;&gt;"",F419&lt;&gt;"",RIGHT($N419,6)="tarief"),SUM(O419)*FLOOR(SUM(Q419),0.01),S419&gt;0,IF(F419&lt;&gt;"",FLOOR(SUM(S419),0.01),"")),""),""),"")</f>
        <v/>
      </c>
      <c r="V419" s="317" t="str" cm="1">
        <f t="array" aca="1" ref="V419" ca="1">IFERROR(IF(AA419&lt;&gt;"ja",_xlfn.IFNA(_xlfn.IFS(AND(P419&lt;&gt;"",R419&lt;&gt;"",RIGHT($N419,6)="tarief",F419="Vergoeding"),SUM(P419)*FLOOR(SUM(R419),0.0001),AND(P419&lt;&gt;"",R419&lt;&gt;"",RIGHT($N419,6)="tarief"),P419*FLOOR(R419,0.01),T419&gt;0,FLOOR(SUM(T419),0.01)),""),""),"")</f>
        <v/>
      </c>
      <c r="W419" s="317" t="str" cm="1">
        <f t="array" aca="1" ref="W419" ca="1">IFERROR(_xlfn.IFS(OR(F419="",LEFT(Methode_Keuze,4)="Geen",Methode_Keuze=""),"",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17" t="str" cm="1">
        <f t="array" aca="1" ref="X419" ca="1">IFERROR(_xlfn.IFS(OR(F419="",LEFT(Methode_Keuze,4)="Geen",Methode_Keuze=""),"",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26"/>
      <c r="Z419" s="319"/>
      <c r="AA419" s="32" t="str" cm="1">
        <f t="array" ref="AA419">IFERROR(IF(INDEX(SubsidieTabel!$AD$1:$AG$12,MATCH($F419,SubsidieTabel!$AD$1:$AD$12,0),IFERROR(MATCH(Methode_Keuze,SubsidieTabel!$AD$1:$AG$1,0),2))&lt;&gt;1=TRUE,"ja",""),"")</f>
        <v/>
      </c>
    </row>
    <row r="420" spans="1:27" x14ac:dyDescent="0.25">
      <c r="A420" s="320"/>
      <c r="B420" s="321" t="str">
        <f>IF(A420&lt;&gt;"",_xlfn.MAXIFS($B$1:B419,$A$1:A419,A420)+1,"")</f>
        <v/>
      </c>
      <c r="C420" s="299"/>
      <c r="D420" s="299"/>
      <c r="E420" s="299"/>
      <c r="F420" s="299"/>
      <c r="G420" s="330"/>
      <c r="H420" s="328"/>
      <c r="I420" s="329"/>
      <c r="J420" s="329"/>
      <c r="K420" s="322"/>
      <c r="L420" s="322"/>
      <c r="M420" s="323" t="str">
        <f>IFERROR(VLOOKUP(H420,Lijsten!$H$1:$I$100,2,0),"")</f>
        <v/>
      </c>
      <c r="N420" s="323" t="str">
        <f ca="1">IFERROR(IF(VLOOKUP(F420,Kostentypen!$A$3:$E$21,3,0)=0,"",IF(OR(F420="Arbeidskosten",F420="Vergoeding"),VLOOKUP(G420,Tb_KostenTypen[],2,0),VLOOKUP(F420,Kostentypen!$A$3:$E$20,3,0))),"")</f>
        <v/>
      </c>
      <c r="O420" s="324"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4"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3"/>
      <c r="R420" s="363"/>
      <c r="S420" s="325"/>
      <c r="T420" s="325"/>
      <c r="U420" s="317" t="str" cm="1">
        <f t="array" aca="1" ref="U420" ca="1">IFERROR(IF(AA420&lt;&gt;"ja",_xlfn.IFNA(_xlfn.IFS(AND(O420&lt;&gt;"",F420&lt;&gt;"",RIGHT($N420,6)="tarief",F420="Vergoeding"),SUM(O420)*FLOOR(SUM(Q420),0.0001),AND(O420&lt;&gt;"",F420&lt;&gt;"",RIGHT($N420,6)="tarief"),SUM(O420)*FLOOR(SUM(Q420),0.01),S420&gt;0,IF(F420&lt;&gt;"",FLOOR(SUM(S420),0.01),"")),""),""),"")</f>
        <v/>
      </c>
      <c r="V420" s="317" t="str" cm="1">
        <f t="array" aca="1" ref="V420" ca="1">IFERROR(IF(AA420&lt;&gt;"ja",_xlfn.IFNA(_xlfn.IFS(AND(P420&lt;&gt;"",R420&lt;&gt;"",RIGHT($N420,6)="tarief",F420="Vergoeding"),SUM(P420)*FLOOR(SUM(R420),0.0001),AND(P420&lt;&gt;"",R420&lt;&gt;"",RIGHT($N420,6)="tarief"),P420*FLOOR(R420,0.01),T420&gt;0,FLOOR(SUM(T420),0.01)),""),""),"")</f>
        <v/>
      </c>
      <c r="W420" s="317" t="str" cm="1">
        <f t="array" aca="1" ref="W420" ca="1">IFERROR(_xlfn.IFS(OR(F420="",LEFT(Methode_Keuze,4)="Geen",Methode_Keuze=""),"",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17" t="str" cm="1">
        <f t="array" aca="1" ref="X420" ca="1">IFERROR(_xlfn.IFS(OR(F420="",LEFT(Methode_Keuze,4)="Geen",Methode_Keuze=""),"",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26"/>
      <c r="Z420" s="319"/>
      <c r="AA420" s="32" t="str" cm="1">
        <f t="array" ref="AA420">IFERROR(IF(INDEX(SubsidieTabel!$AD$1:$AG$12,MATCH($F420,SubsidieTabel!$AD$1:$AD$12,0),IFERROR(MATCH(Methode_Keuze,SubsidieTabel!$AD$1:$AG$1,0),2))&lt;&gt;1=TRUE,"ja",""),"")</f>
        <v/>
      </c>
    </row>
    <row r="421" spans="1:27" x14ac:dyDescent="0.25">
      <c r="A421" s="320"/>
      <c r="B421" s="321" t="str">
        <f>IF(A421&lt;&gt;"",_xlfn.MAXIFS($B$1:B420,$A$1:A420,A421)+1,"")</f>
        <v/>
      </c>
      <c r="C421" s="299"/>
      <c r="D421" s="299"/>
      <c r="E421" s="299"/>
      <c r="F421" s="299"/>
      <c r="G421" s="330"/>
      <c r="H421" s="328"/>
      <c r="I421" s="329"/>
      <c r="J421" s="329"/>
      <c r="K421" s="322"/>
      <c r="L421" s="322"/>
      <c r="M421" s="323" t="str">
        <f>IFERROR(VLOOKUP(H421,Lijsten!$H$1:$I$100,2,0),"")</f>
        <v/>
      </c>
      <c r="N421" s="323" t="str">
        <f ca="1">IFERROR(IF(VLOOKUP(F421,Kostentypen!$A$3:$E$21,3,0)=0,"",IF(OR(F421="Arbeidskosten",F421="Vergoeding"),VLOOKUP(G421,Tb_KostenTypen[],2,0),VLOOKUP(F421,Kostentypen!$A$3:$E$20,3,0))),"")</f>
        <v/>
      </c>
      <c r="O421" s="324"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4"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3"/>
      <c r="R421" s="363"/>
      <c r="S421" s="325"/>
      <c r="T421" s="325"/>
      <c r="U421" s="317" t="str" cm="1">
        <f t="array" aca="1" ref="U421" ca="1">IFERROR(IF(AA421&lt;&gt;"ja",_xlfn.IFNA(_xlfn.IFS(AND(O421&lt;&gt;"",F421&lt;&gt;"",RIGHT($N421,6)="tarief",F421="Vergoeding"),SUM(O421)*FLOOR(SUM(Q421),0.0001),AND(O421&lt;&gt;"",F421&lt;&gt;"",RIGHT($N421,6)="tarief"),SUM(O421)*FLOOR(SUM(Q421),0.01),S421&gt;0,IF(F421&lt;&gt;"",FLOOR(SUM(S421),0.01),"")),""),""),"")</f>
        <v/>
      </c>
      <c r="V421" s="317" t="str" cm="1">
        <f t="array" aca="1" ref="V421" ca="1">IFERROR(IF(AA421&lt;&gt;"ja",_xlfn.IFNA(_xlfn.IFS(AND(P421&lt;&gt;"",R421&lt;&gt;"",RIGHT($N421,6)="tarief",F421="Vergoeding"),SUM(P421)*FLOOR(SUM(R421),0.0001),AND(P421&lt;&gt;"",R421&lt;&gt;"",RIGHT($N421,6)="tarief"),P421*FLOOR(R421,0.01),T421&gt;0,FLOOR(SUM(T421),0.01)),""),""),"")</f>
        <v/>
      </c>
      <c r="W421" s="317" t="str" cm="1">
        <f t="array" aca="1" ref="W421" ca="1">IFERROR(_xlfn.IFS(OR(F421="",LEFT(Methode_Keuze,4)="Geen",Methode_Keuze=""),"",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17" t="str" cm="1">
        <f t="array" aca="1" ref="X421" ca="1">IFERROR(_xlfn.IFS(OR(F421="",LEFT(Methode_Keuze,4)="Geen",Methode_Keuze=""),"",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26"/>
      <c r="Z421" s="319"/>
      <c r="AA421" s="32" t="str" cm="1">
        <f t="array" ref="AA421">IFERROR(IF(INDEX(SubsidieTabel!$AD$1:$AG$12,MATCH($F421,SubsidieTabel!$AD$1:$AD$12,0),IFERROR(MATCH(Methode_Keuze,SubsidieTabel!$AD$1:$AG$1,0),2))&lt;&gt;1=TRUE,"ja",""),"")</f>
        <v/>
      </c>
    </row>
    <row r="422" spans="1:27" x14ac:dyDescent="0.25">
      <c r="A422" s="320"/>
      <c r="B422" s="321" t="str">
        <f>IF(A422&lt;&gt;"",_xlfn.MAXIFS($B$1:B421,$A$1:A421,A422)+1,"")</f>
        <v/>
      </c>
      <c r="C422" s="299"/>
      <c r="D422" s="299"/>
      <c r="E422" s="299"/>
      <c r="F422" s="299"/>
      <c r="G422" s="330"/>
      <c r="H422" s="328"/>
      <c r="I422" s="329"/>
      <c r="J422" s="329"/>
      <c r="K422" s="322"/>
      <c r="L422" s="322"/>
      <c r="M422" s="323" t="str">
        <f>IFERROR(VLOOKUP(H422,Lijsten!$H$1:$I$100,2,0),"")</f>
        <v/>
      </c>
      <c r="N422" s="323" t="str">
        <f ca="1">IFERROR(IF(VLOOKUP(F422,Kostentypen!$A$3:$E$21,3,0)=0,"",IF(OR(F422="Arbeidskosten",F422="Vergoeding"),VLOOKUP(G422,Tb_KostenTypen[],2,0),VLOOKUP(F422,Kostentypen!$A$3:$E$20,3,0))),"")</f>
        <v/>
      </c>
      <c r="O422" s="324"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4"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3"/>
      <c r="R422" s="363"/>
      <c r="S422" s="325"/>
      <c r="T422" s="325"/>
      <c r="U422" s="317" t="str" cm="1">
        <f t="array" aca="1" ref="U422" ca="1">IFERROR(IF(AA422&lt;&gt;"ja",_xlfn.IFNA(_xlfn.IFS(AND(O422&lt;&gt;"",F422&lt;&gt;"",RIGHT($N422,6)="tarief",F422="Vergoeding"),SUM(O422)*FLOOR(SUM(Q422),0.0001),AND(O422&lt;&gt;"",F422&lt;&gt;"",RIGHT($N422,6)="tarief"),SUM(O422)*FLOOR(SUM(Q422),0.01),S422&gt;0,IF(F422&lt;&gt;"",FLOOR(SUM(S422),0.01),"")),""),""),"")</f>
        <v/>
      </c>
      <c r="V422" s="317" t="str" cm="1">
        <f t="array" aca="1" ref="V422" ca="1">IFERROR(IF(AA422&lt;&gt;"ja",_xlfn.IFNA(_xlfn.IFS(AND(P422&lt;&gt;"",R422&lt;&gt;"",RIGHT($N422,6)="tarief",F422="Vergoeding"),SUM(P422)*FLOOR(SUM(R422),0.0001),AND(P422&lt;&gt;"",R422&lt;&gt;"",RIGHT($N422,6)="tarief"),P422*FLOOR(R422,0.01),T422&gt;0,FLOOR(SUM(T422),0.01)),""),""),"")</f>
        <v/>
      </c>
      <c r="W422" s="317" t="str" cm="1">
        <f t="array" aca="1" ref="W422" ca="1">IFERROR(_xlfn.IFS(OR(F422="",LEFT(Methode_Keuze,4)="Geen",Methode_Keuze=""),"",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17" t="str" cm="1">
        <f t="array" aca="1" ref="X422" ca="1">IFERROR(_xlfn.IFS(OR(F422="",LEFT(Methode_Keuze,4)="Geen",Methode_Keuze=""),"",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26"/>
      <c r="Z422" s="319"/>
      <c r="AA422" s="32" t="str" cm="1">
        <f t="array" ref="AA422">IFERROR(IF(INDEX(SubsidieTabel!$AD$1:$AG$12,MATCH($F422,SubsidieTabel!$AD$1:$AD$12,0),IFERROR(MATCH(Methode_Keuze,SubsidieTabel!$AD$1:$AG$1,0),2))&lt;&gt;1=TRUE,"ja",""),"")</f>
        <v/>
      </c>
    </row>
    <row r="423" spans="1:27" x14ac:dyDescent="0.25">
      <c r="A423" s="320"/>
      <c r="B423" s="321" t="str">
        <f>IF(A423&lt;&gt;"",_xlfn.MAXIFS($B$1:B422,$A$1:A422,A423)+1,"")</f>
        <v/>
      </c>
      <c r="C423" s="299"/>
      <c r="D423" s="299"/>
      <c r="E423" s="299"/>
      <c r="F423" s="299"/>
      <c r="G423" s="330"/>
      <c r="H423" s="328"/>
      <c r="I423" s="329"/>
      <c r="J423" s="329"/>
      <c r="K423" s="322"/>
      <c r="L423" s="322"/>
      <c r="M423" s="323" t="str">
        <f>IFERROR(VLOOKUP(H423,Lijsten!$H$1:$I$100,2,0),"")</f>
        <v/>
      </c>
      <c r="N423" s="323" t="str">
        <f ca="1">IFERROR(IF(VLOOKUP(F423,Kostentypen!$A$3:$E$21,3,0)=0,"",IF(OR(F423="Arbeidskosten",F423="Vergoeding"),VLOOKUP(G423,Tb_KostenTypen[],2,0),VLOOKUP(F423,Kostentypen!$A$3:$E$20,3,0))),"")</f>
        <v/>
      </c>
      <c r="O423" s="324"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4"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3"/>
      <c r="R423" s="363"/>
      <c r="S423" s="325"/>
      <c r="T423" s="325"/>
      <c r="U423" s="317" t="str" cm="1">
        <f t="array" aca="1" ref="U423" ca="1">IFERROR(IF(AA423&lt;&gt;"ja",_xlfn.IFNA(_xlfn.IFS(AND(O423&lt;&gt;"",F423&lt;&gt;"",RIGHT($N423,6)="tarief",F423="Vergoeding"),SUM(O423)*FLOOR(SUM(Q423),0.0001),AND(O423&lt;&gt;"",F423&lt;&gt;"",RIGHT($N423,6)="tarief"),SUM(O423)*FLOOR(SUM(Q423),0.01),S423&gt;0,IF(F423&lt;&gt;"",FLOOR(SUM(S423),0.01),"")),""),""),"")</f>
        <v/>
      </c>
      <c r="V423" s="317" t="str" cm="1">
        <f t="array" aca="1" ref="V423" ca="1">IFERROR(IF(AA423&lt;&gt;"ja",_xlfn.IFNA(_xlfn.IFS(AND(P423&lt;&gt;"",R423&lt;&gt;"",RIGHT($N423,6)="tarief",F423="Vergoeding"),SUM(P423)*FLOOR(SUM(R423),0.0001),AND(P423&lt;&gt;"",R423&lt;&gt;"",RIGHT($N423,6)="tarief"),P423*FLOOR(R423,0.01),T423&gt;0,FLOOR(SUM(T423),0.01)),""),""),"")</f>
        <v/>
      </c>
      <c r="W423" s="317" t="str" cm="1">
        <f t="array" aca="1" ref="W423" ca="1">IFERROR(_xlfn.IFS(OR(F423="",LEFT(Methode_Keuze,4)="Geen",Methode_Keuze=""),"",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17" t="str" cm="1">
        <f t="array" aca="1" ref="X423" ca="1">IFERROR(_xlfn.IFS(OR(F423="",LEFT(Methode_Keuze,4)="Geen",Methode_Keuze=""),"",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26"/>
      <c r="Z423" s="319"/>
      <c r="AA423" s="32" t="str" cm="1">
        <f t="array" ref="AA423">IFERROR(IF(INDEX(SubsidieTabel!$AD$1:$AG$12,MATCH($F423,SubsidieTabel!$AD$1:$AD$12,0),IFERROR(MATCH(Methode_Keuze,SubsidieTabel!$AD$1:$AG$1,0),2))&lt;&gt;1=TRUE,"ja",""),"")</f>
        <v/>
      </c>
    </row>
    <row r="424" spans="1:27" x14ac:dyDescent="0.25">
      <c r="A424" s="320"/>
      <c r="B424" s="321" t="str">
        <f>IF(A424&lt;&gt;"",_xlfn.MAXIFS($B$1:B423,$A$1:A423,A424)+1,"")</f>
        <v/>
      </c>
      <c r="C424" s="299"/>
      <c r="D424" s="299"/>
      <c r="E424" s="299"/>
      <c r="F424" s="299"/>
      <c r="G424" s="330"/>
      <c r="H424" s="328"/>
      <c r="I424" s="329"/>
      <c r="J424" s="329"/>
      <c r="K424" s="322"/>
      <c r="L424" s="322"/>
      <c r="M424" s="323" t="str">
        <f>IFERROR(VLOOKUP(H424,Lijsten!$H$1:$I$100,2,0),"")</f>
        <v/>
      </c>
      <c r="N424" s="323" t="str">
        <f ca="1">IFERROR(IF(VLOOKUP(F424,Kostentypen!$A$3:$E$21,3,0)=0,"",IF(OR(F424="Arbeidskosten",F424="Vergoeding"),VLOOKUP(G424,Tb_KostenTypen[],2,0),VLOOKUP(F424,Kostentypen!$A$3:$E$20,3,0))),"")</f>
        <v/>
      </c>
      <c r="O424" s="324"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4"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3"/>
      <c r="R424" s="363"/>
      <c r="S424" s="325"/>
      <c r="T424" s="325"/>
      <c r="U424" s="317" t="str" cm="1">
        <f t="array" aca="1" ref="U424" ca="1">IFERROR(IF(AA424&lt;&gt;"ja",_xlfn.IFNA(_xlfn.IFS(AND(O424&lt;&gt;"",F424&lt;&gt;"",RIGHT($N424,6)="tarief",F424="Vergoeding"),SUM(O424)*FLOOR(SUM(Q424),0.0001),AND(O424&lt;&gt;"",F424&lt;&gt;"",RIGHT($N424,6)="tarief"),SUM(O424)*FLOOR(SUM(Q424),0.01),S424&gt;0,IF(F424&lt;&gt;"",FLOOR(SUM(S424),0.01),"")),""),""),"")</f>
        <v/>
      </c>
      <c r="V424" s="317" t="str" cm="1">
        <f t="array" aca="1" ref="V424" ca="1">IFERROR(IF(AA424&lt;&gt;"ja",_xlfn.IFNA(_xlfn.IFS(AND(P424&lt;&gt;"",R424&lt;&gt;"",RIGHT($N424,6)="tarief",F424="Vergoeding"),SUM(P424)*FLOOR(SUM(R424),0.0001),AND(P424&lt;&gt;"",R424&lt;&gt;"",RIGHT($N424,6)="tarief"),P424*FLOOR(R424,0.01),T424&gt;0,FLOOR(SUM(T424),0.01)),""),""),"")</f>
        <v/>
      </c>
      <c r="W424" s="317" t="str" cm="1">
        <f t="array" aca="1" ref="W424" ca="1">IFERROR(_xlfn.IFS(OR(F424="",LEFT(Methode_Keuze,4)="Geen",Methode_Keuze=""),"",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17" t="str" cm="1">
        <f t="array" aca="1" ref="X424" ca="1">IFERROR(_xlfn.IFS(OR(F424="",LEFT(Methode_Keuze,4)="Geen",Methode_Keuze=""),"",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26"/>
      <c r="Z424" s="319"/>
      <c r="AA424" s="32" t="str" cm="1">
        <f t="array" ref="AA424">IFERROR(IF(INDEX(SubsidieTabel!$AD$1:$AG$12,MATCH($F424,SubsidieTabel!$AD$1:$AD$12,0),IFERROR(MATCH(Methode_Keuze,SubsidieTabel!$AD$1:$AG$1,0),2))&lt;&gt;1=TRUE,"ja",""),"")</f>
        <v/>
      </c>
    </row>
    <row r="425" spans="1:27" x14ac:dyDescent="0.25">
      <c r="A425" s="320"/>
      <c r="B425" s="321" t="str">
        <f>IF(A425&lt;&gt;"",_xlfn.MAXIFS($B$1:B424,$A$1:A424,A425)+1,"")</f>
        <v/>
      </c>
      <c r="C425" s="299"/>
      <c r="D425" s="299"/>
      <c r="E425" s="299"/>
      <c r="F425" s="299"/>
      <c r="G425" s="330"/>
      <c r="H425" s="328"/>
      <c r="I425" s="329"/>
      <c r="J425" s="329"/>
      <c r="K425" s="322"/>
      <c r="L425" s="322"/>
      <c r="M425" s="323" t="str">
        <f>IFERROR(VLOOKUP(H425,Lijsten!$H$1:$I$100,2,0),"")</f>
        <v/>
      </c>
      <c r="N425" s="323" t="str">
        <f ca="1">IFERROR(IF(VLOOKUP(F425,Kostentypen!$A$3:$E$21,3,0)=0,"",IF(OR(F425="Arbeidskosten",F425="Vergoeding"),VLOOKUP(G425,Tb_KostenTypen[],2,0),VLOOKUP(F425,Kostentypen!$A$3:$E$20,3,0))),"")</f>
        <v/>
      </c>
      <c r="O425" s="324"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4"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3"/>
      <c r="R425" s="363"/>
      <c r="S425" s="325"/>
      <c r="T425" s="325"/>
      <c r="U425" s="317" t="str" cm="1">
        <f t="array" aca="1" ref="U425" ca="1">IFERROR(IF(AA425&lt;&gt;"ja",_xlfn.IFNA(_xlfn.IFS(AND(O425&lt;&gt;"",F425&lt;&gt;"",RIGHT($N425,6)="tarief",F425="Vergoeding"),SUM(O425)*FLOOR(SUM(Q425),0.0001),AND(O425&lt;&gt;"",F425&lt;&gt;"",RIGHT($N425,6)="tarief"),SUM(O425)*FLOOR(SUM(Q425),0.01),S425&gt;0,IF(F425&lt;&gt;"",FLOOR(SUM(S425),0.01),"")),""),""),"")</f>
        <v/>
      </c>
      <c r="V425" s="317" t="str" cm="1">
        <f t="array" aca="1" ref="V425" ca="1">IFERROR(IF(AA425&lt;&gt;"ja",_xlfn.IFNA(_xlfn.IFS(AND(P425&lt;&gt;"",R425&lt;&gt;"",RIGHT($N425,6)="tarief",F425="Vergoeding"),SUM(P425)*FLOOR(SUM(R425),0.0001),AND(P425&lt;&gt;"",R425&lt;&gt;"",RIGHT($N425,6)="tarief"),P425*FLOOR(R425,0.01),T425&gt;0,FLOOR(SUM(T425),0.01)),""),""),"")</f>
        <v/>
      </c>
      <c r="W425" s="317" t="str" cm="1">
        <f t="array" aca="1" ref="W425" ca="1">IFERROR(_xlfn.IFS(OR(F425="",LEFT(Methode_Keuze,4)="Geen",Methode_Keuze=""),"",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17" t="str" cm="1">
        <f t="array" aca="1" ref="X425" ca="1">IFERROR(_xlfn.IFS(OR(F425="",LEFT(Methode_Keuze,4)="Geen",Methode_Keuze=""),"",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26"/>
      <c r="Z425" s="319"/>
      <c r="AA425" s="32" t="str" cm="1">
        <f t="array" ref="AA425">IFERROR(IF(INDEX(SubsidieTabel!$AD$1:$AG$12,MATCH($F425,SubsidieTabel!$AD$1:$AD$12,0),IFERROR(MATCH(Methode_Keuze,SubsidieTabel!$AD$1:$AG$1,0),2))&lt;&gt;1=TRUE,"ja",""),"")</f>
        <v/>
      </c>
    </row>
    <row r="426" spans="1:27" x14ac:dyDescent="0.25">
      <c r="A426" s="320"/>
      <c r="B426" s="321" t="str">
        <f>IF(A426&lt;&gt;"",_xlfn.MAXIFS($B$1:B425,$A$1:A425,A426)+1,"")</f>
        <v/>
      </c>
      <c r="C426" s="299"/>
      <c r="D426" s="299"/>
      <c r="E426" s="299"/>
      <c r="F426" s="299"/>
      <c r="G426" s="330"/>
      <c r="H426" s="328"/>
      <c r="I426" s="329"/>
      <c r="J426" s="329"/>
      <c r="K426" s="322"/>
      <c r="L426" s="322"/>
      <c r="M426" s="323" t="str">
        <f>IFERROR(VLOOKUP(H426,Lijsten!$H$1:$I$100,2,0),"")</f>
        <v/>
      </c>
      <c r="N426" s="323" t="str">
        <f ca="1">IFERROR(IF(VLOOKUP(F426,Kostentypen!$A$3:$E$21,3,0)=0,"",IF(OR(F426="Arbeidskosten",F426="Vergoeding"),VLOOKUP(G426,Tb_KostenTypen[],2,0),VLOOKUP(F426,Kostentypen!$A$3:$E$20,3,0))),"")</f>
        <v/>
      </c>
      <c r="O426" s="324"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4"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3"/>
      <c r="R426" s="363"/>
      <c r="S426" s="325"/>
      <c r="T426" s="325"/>
      <c r="U426" s="317" t="str" cm="1">
        <f t="array" aca="1" ref="U426" ca="1">IFERROR(IF(AA426&lt;&gt;"ja",_xlfn.IFNA(_xlfn.IFS(AND(O426&lt;&gt;"",F426&lt;&gt;"",RIGHT($N426,6)="tarief",F426="Vergoeding"),SUM(O426)*FLOOR(SUM(Q426),0.0001),AND(O426&lt;&gt;"",F426&lt;&gt;"",RIGHT($N426,6)="tarief"),SUM(O426)*FLOOR(SUM(Q426),0.01),S426&gt;0,IF(F426&lt;&gt;"",FLOOR(SUM(S426),0.01),"")),""),""),"")</f>
        <v/>
      </c>
      <c r="V426" s="317" t="str" cm="1">
        <f t="array" aca="1" ref="V426" ca="1">IFERROR(IF(AA426&lt;&gt;"ja",_xlfn.IFNA(_xlfn.IFS(AND(P426&lt;&gt;"",R426&lt;&gt;"",RIGHT($N426,6)="tarief",F426="Vergoeding"),SUM(P426)*FLOOR(SUM(R426),0.0001),AND(P426&lt;&gt;"",R426&lt;&gt;"",RIGHT($N426,6)="tarief"),P426*FLOOR(R426,0.01),T426&gt;0,FLOOR(SUM(T426),0.01)),""),""),"")</f>
        <v/>
      </c>
      <c r="W426" s="317" t="str" cm="1">
        <f t="array" aca="1" ref="W426" ca="1">IFERROR(_xlfn.IFS(OR(F426="",LEFT(Methode_Keuze,4)="Geen",Methode_Keuze=""),"",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17" t="str" cm="1">
        <f t="array" aca="1" ref="X426" ca="1">IFERROR(_xlfn.IFS(OR(F426="",LEFT(Methode_Keuze,4)="Geen",Methode_Keuze=""),"",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26"/>
      <c r="Z426" s="319"/>
      <c r="AA426" s="32" t="str" cm="1">
        <f t="array" ref="AA426">IFERROR(IF(INDEX(SubsidieTabel!$AD$1:$AG$12,MATCH($F426,SubsidieTabel!$AD$1:$AD$12,0),IFERROR(MATCH(Methode_Keuze,SubsidieTabel!$AD$1:$AG$1,0),2))&lt;&gt;1=TRUE,"ja",""),"")</f>
        <v/>
      </c>
    </row>
    <row r="427" spans="1:27" x14ac:dyDescent="0.25">
      <c r="A427" s="320"/>
      <c r="B427" s="321" t="str">
        <f>IF(A427&lt;&gt;"",_xlfn.MAXIFS($B$1:B426,$A$1:A426,A427)+1,"")</f>
        <v/>
      </c>
      <c r="C427" s="299"/>
      <c r="D427" s="299"/>
      <c r="E427" s="299"/>
      <c r="F427" s="299"/>
      <c r="G427" s="330"/>
      <c r="H427" s="328"/>
      <c r="I427" s="329"/>
      <c r="J427" s="329"/>
      <c r="K427" s="322"/>
      <c r="L427" s="322"/>
      <c r="M427" s="323" t="str">
        <f>IFERROR(VLOOKUP(H427,Lijsten!$H$1:$I$100,2,0),"")</f>
        <v/>
      </c>
      <c r="N427" s="323" t="str">
        <f ca="1">IFERROR(IF(VLOOKUP(F427,Kostentypen!$A$3:$E$21,3,0)=0,"",IF(OR(F427="Arbeidskosten",F427="Vergoeding"),VLOOKUP(G427,Tb_KostenTypen[],2,0),VLOOKUP(F427,Kostentypen!$A$3:$E$20,3,0))),"")</f>
        <v/>
      </c>
      <c r="O427" s="324"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4"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3"/>
      <c r="R427" s="363"/>
      <c r="S427" s="325"/>
      <c r="T427" s="325"/>
      <c r="U427" s="317" t="str" cm="1">
        <f t="array" aca="1" ref="U427" ca="1">IFERROR(IF(AA427&lt;&gt;"ja",_xlfn.IFNA(_xlfn.IFS(AND(O427&lt;&gt;"",F427&lt;&gt;"",RIGHT($N427,6)="tarief",F427="Vergoeding"),SUM(O427)*FLOOR(SUM(Q427),0.0001),AND(O427&lt;&gt;"",F427&lt;&gt;"",RIGHT($N427,6)="tarief"),SUM(O427)*FLOOR(SUM(Q427),0.01),S427&gt;0,IF(F427&lt;&gt;"",FLOOR(SUM(S427),0.01),"")),""),""),"")</f>
        <v/>
      </c>
      <c r="V427" s="317" t="str" cm="1">
        <f t="array" aca="1" ref="V427" ca="1">IFERROR(IF(AA427&lt;&gt;"ja",_xlfn.IFNA(_xlfn.IFS(AND(P427&lt;&gt;"",R427&lt;&gt;"",RIGHT($N427,6)="tarief",F427="Vergoeding"),SUM(P427)*FLOOR(SUM(R427),0.0001),AND(P427&lt;&gt;"",R427&lt;&gt;"",RIGHT($N427,6)="tarief"),P427*FLOOR(R427,0.01),T427&gt;0,FLOOR(SUM(T427),0.01)),""),""),"")</f>
        <v/>
      </c>
      <c r="W427" s="317" t="str" cm="1">
        <f t="array" aca="1" ref="W427" ca="1">IFERROR(_xlfn.IFS(OR(F427="",LEFT(Methode_Keuze,4)="Geen",Methode_Keuze=""),"",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17" t="str" cm="1">
        <f t="array" aca="1" ref="X427" ca="1">IFERROR(_xlfn.IFS(OR(F427="",LEFT(Methode_Keuze,4)="Geen",Methode_Keuze=""),"",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26"/>
      <c r="Z427" s="319"/>
      <c r="AA427" s="32" t="str" cm="1">
        <f t="array" ref="AA427">IFERROR(IF(INDEX(SubsidieTabel!$AD$1:$AG$12,MATCH($F427,SubsidieTabel!$AD$1:$AD$12,0),IFERROR(MATCH(Methode_Keuze,SubsidieTabel!$AD$1:$AG$1,0),2))&lt;&gt;1=TRUE,"ja",""),"")</f>
        <v/>
      </c>
    </row>
    <row r="428" spans="1:27" x14ac:dyDescent="0.25">
      <c r="A428" s="320"/>
      <c r="B428" s="321" t="str">
        <f>IF(A428&lt;&gt;"",_xlfn.MAXIFS($B$1:B427,$A$1:A427,A428)+1,"")</f>
        <v/>
      </c>
      <c r="C428" s="299"/>
      <c r="D428" s="299"/>
      <c r="E428" s="299"/>
      <c r="F428" s="299"/>
      <c r="G428" s="330"/>
      <c r="H428" s="328"/>
      <c r="I428" s="329"/>
      <c r="J428" s="329"/>
      <c r="K428" s="322"/>
      <c r="L428" s="322"/>
      <c r="M428" s="323" t="str">
        <f>IFERROR(VLOOKUP(H428,Lijsten!$H$1:$I$100,2,0),"")</f>
        <v/>
      </c>
      <c r="N428" s="323" t="str">
        <f ca="1">IFERROR(IF(VLOOKUP(F428,Kostentypen!$A$3:$E$21,3,0)=0,"",IF(OR(F428="Arbeidskosten",F428="Vergoeding"),VLOOKUP(G428,Tb_KostenTypen[],2,0),VLOOKUP(F428,Kostentypen!$A$3:$E$20,3,0))),"")</f>
        <v/>
      </c>
      <c r="O428" s="324"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4"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3"/>
      <c r="R428" s="363"/>
      <c r="S428" s="325"/>
      <c r="T428" s="325"/>
      <c r="U428" s="317" t="str" cm="1">
        <f t="array" aca="1" ref="U428" ca="1">IFERROR(IF(AA428&lt;&gt;"ja",_xlfn.IFNA(_xlfn.IFS(AND(O428&lt;&gt;"",F428&lt;&gt;"",RIGHT($N428,6)="tarief",F428="Vergoeding"),SUM(O428)*FLOOR(SUM(Q428),0.0001),AND(O428&lt;&gt;"",F428&lt;&gt;"",RIGHT($N428,6)="tarief"),SUM(O428)*FLOOR(SUM(Q428),0.01),S428&gt;0,IF(F428&lt;&gt;"",FLOOR(SUM(S428),0.01),"")),""),""),"")</f>
        <v/>
      </c>
      <c r="V428" s="317" t="str" cm="1">
        <f t="array" aca="1" ref="V428" ca="1">IFERROR(IF(AA428&lt;&gt;"ja",_xlfn.IFNA(_xlfn.IFS(AND(P428&lt;&gt;"",R428&lt;&gt;"",RIGHT($N428,6)="tarief",F428="Vergoeding"),SUM(P428)*FLOOR(SUM(R428),0.0001),AND(P428&lt;&gt;"",R428&lt;&gt;"",RIGHT($N428,6)="tarief"),P428*FLOOR(R428,0.01),T428&gt;0,FLOOR(SUM(T428),0.01)),""),""),"")</f>
        <v/>
      </c>
      <c r="W428" s="317" t="str" cm="1">
        <f t="array" aca="1" ref="W428" ca="1">IFERROR(_xlfn.IFS(OR(F428="",LEFT(Methode_Keuze,4)="Geen",Methode_Keuze=""),"",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17" t="str" cm="1">
        <f t="array" aca="1" ref="X428" ca="1">IFERROR(_xlfn.IFS(OR(F428="",LEFT(Methode_Keuze,4)="Geen",Methode_Keuze=""),"",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26"/>
      <c r="Z428" s="319"/>
      <c r="AA428" s="32" t="str" cm="1">
        <f t="array" ref="AA428">IFERROR(IF(INDEX(SubsidieTabel!$AD$1:$AG$12,MATCH($F428,SubsidieTabel!$AD$1:$AD$12,0),IFERROR(MATCH(Methode_Keuze,SubsidieTabel!$AD$1:$AG$1,0),2))&lt;&gt;1=TRUE,"ja",""),"")</f>
        <v/>
      </c>
    </row>
    <row r="429" spans="1:27" x14ac:dyDescent="0.25">
      <c r="A429" s="320"/>
      <c r="B429" s="321" t="str">
        <f>IF(A429&lt;&gt;"",_xlfn.MAXIFS($B$1:B428,$A$1:A428,A429)+1,"")</f>
        <v/>
      </c>
      <c r="C429" s="299"/>
      <c r="D429" s="299"/>
      <c r="E429" s="299"/>
      <c r="F429" s="299"/>
      <c r="G429" s="330"/>
      <c r="H429" s="328"/>
      <c r="I429" s="329"/>
      <c r="J429" s="329"/>
      <c r="K429" s="322"/>
      <c r="L429" s="322"/>
      <c r="M429" s="323" t="str">
        <f>IFERROR(VLOOKUP(H429,Lijsten!$H$1:$I$100,2,0),"")</f>
        <v/>
      </c>
      <c r="N429" s="323" t="str">
        <f ca="1">IFERROR(IF(VLOOKUP(F429,Kostentypen!$A$3:$E$21,3,0)=0,"",IF(OR(F429="Arbeidskosten",F429="Vergoeding"),VLOOKUP(G429,Tb_KostenTypen[],2,0),VLOOKUP(F429,Kostentypen!$A$3:$E$20,3,0))),"")</f>
        <v/>
      </c>
      <c r="O429" s="324"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4"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3"/>
      <c r="R429" s="363"/>
      <c r="S429" s="325"/>
      <c r="T429" s="325"/>
      <c r="U429" s="317" t="str" cm="1">
        <f t="array" aca="1" ref="U429" ca="1">IFERROR(IF(AA429&lt;&gt;"ja",_xlfn.IFNA(_xlfn.IFS(AND(O429&lt;&gt;"",F429&lt;&gt;"",RIGHT($N429,6)="tarief",F429="Vergoeding"),SUM(O429)*FLOOR(SUM(Q429),0.0001),AND(O429&lt;&gt;"",F429&lt;&gt;"",RIGHT($N429,6)="tarief"),SUM(O429)*FLOOR(SUM(Q429),0.01),S429&gt;0,IF(F429&lt;&gt;"",FLOOR(SUM(S429),0.01),"")),""),""),"")</f>
        <v/>
      </c>
      <c r="V429" s="317" t="str" cm="1">
        <f t="array" aca="1" ref="V429" ca="1">IFERROR(IF(AA429&lt;&gt;"ja",_xlfn.IFNA(_xlfn.IFS(AND(P429&lt;&gt;"",R429&lt;&gt;"",RIGHT($N429,6)="tarief",F429="Vergoeding"),SUM(P429)*FLOOR(SUM(R429),0.0001),AND(P429&lt;&gt;"",R429&lt;&gt;"",RIGHT($N429,6)="tarief"),P429*FLOOR(R429,0.01),T429&gt;0,FLOOR(SUM(T429),0.01)),""),""),"")</f>
        <v/>
      </c>
      <c r="W429" s="317" t="str" cm="1">
        <f t="array" aca="1" ref="W429" ca="1">IFERROR(_xlfn.IFS(OR(F429="",LEFT(Methode_Keuze,4)="Geen",Methode_Keuze=""),"",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17" t="str" cm="1">
        <f t="array" aca="1" ref="X429" ca="1">IFERROR(_xlfn.IFS(OR(F429="",LEFT(Methode_Keuze,4)="Geen",Methode_Keuze=""),"",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26"/>
      <c r="Z429" s="319"/>
      <c r="AA429" s="32" t="str" cm="1">
        <f t="array" ref="AA429">IFERROR(IF(INDEX(SubsidieTabel!$AD$1:$AG$12,MATCH($F429,SubsidieTabel!$AD$1:$AD$12,0),IFERROR(MATCH(Methode_Keuze,SubsidieTabel!$AD$1:$AG$1,0),2))&lt;&gt;1=TRUE,"ja",""),"")</f>
        <v/>
      </c>
    </row>
    <row r="430" spans="1:27" x14ac:dyDescent="0.25">
      <c r="A430" s="320"/>
      <c r="B430" s="321" t="str">
        <f>IF(A430&lt;&gt;"",_xlfn.MAXIFS($B$1:B429,$A$1:A429,A430)+1,"")</f>
        <v/>
      </c>
      <c r="C430" s="299"/>
      <c r="D430" s="299"/>
      <c r="E430" s="299"/>
      <c r="F430" s="299"/>
      <c r="G430" s="330"/>
      <c r="H430" s="328"/>
      <c r="I430" s="329"/>
      <c r="J430" s="329"/>
      <c r="K430" s="322"/>
      <c r="L430" s="322"/>
      <c r="M430" s="323" t="str">
        <f>IFERROR(VLOOKUP(H430,Lijsten!$H$1:$I$100,2,0),"")</f>
        <v/>
      </c>
      <c r="N430" s="323" t="str">
        <f ca="1">IFERROR(IF(VLOOKUP(F430,Kostentypen!$A$3:$E$21,3,0)=0,"",IF(OR(F430="Arbeidskosten",F430="Vergoeding"),VLOOKUP(G430,Tb_KostenTypen[],2,0),VLOOKUP(F430,Kostentypen!$A$3:$E$20,3,0))),"")</f>
        <v/>
      </c>
      <c r="O430" s="324"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4"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3"/>
      <c r="R430" s="363"/>
      <c r="S430" s="325"/>
      <c r="T430" s="325"/>
      <c r="U430" s="317" t="str" cm="1">
        <f t="array" aca="1" ref="U430" ca="1">IFERROR(IF(AA430&lt;&gt;"ja",_xlfn.IFNA(_xlfn.IFS(AND(O430&lt;&gt;"",F430&lt;&gt;"",RIGHT($N430,6)="tarief",F430="Vergoeding"),SUM(O430)*FLOOR(SUM(Q430),0.0001),AND(O430&lt;&gt;"",F430&lt;&gt;"",RIGHT($N430,6)="tarief"),SUM(O430)*FLOOR(SUM(Q430),0.01),S430&gt;0,IF(F430&lt;&gt;"",FLOOR(SUM(S430),0.01),"")),""),""),"")</f>
        <v/>
      </c>
      <c r="V430" s="317" t="str" cm="1">
        <f t="array" aca="1" ref="V430" ca="1">IFERROR(IF(AA430&lt;&gt;"ja",_xlfn.IFNA(_xlfn.IFS(AND(P430&lt;&gt;"",R430&lt;&gt;"",RIGHT($N430,6)="tarief",F430="Vergoeding"),SUM(P430)*FLOOR(SUM(R430),0.0001),AND(P430&lt;&gt;"",R430&lt;&gt;"",RIGHT($N430,6)="tarief"),P430*FLOOR(R430,0.01),T430&gt;0,FLOOR(SUM(T430),0.01)),""),""),"")</f>
        <v/>
      </c>
      <c r="W430" s="317" t="str" cm="1">
        <f t="array" aca="1" ref="W430" ca="1">IFERROR(_xlfn.IFS(OR(F430="",LEFT(Methode_Keuze,4)="Geen",Methode_Keuze=""),"",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17" t="str" cm="1">
        <f t="array" aca="1" ref="X430" ca="1">IFERROR(_xlfn.IFS(OR(F430="",LEFT(Methode_Keuze,4)="Geen",Methode_Keuze=""),"",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26"/>
      <c r="Z430" s="319"/>
      <c r="AA430" s="32" t="str" cm="1">
        <f t="array" ref="AA430">IFERROR(IF(INDEX(SubsidieTabel!$AD$1:$AG$12,MATCH($F430,SubsidieTabel!$AD$1:$AD$12,0),IFERROR(MATCH(Methode_Keuze,SubsidieTabel!$AD$1:$AG$1,0),2))&lt;&gt;1=TRUE,"ja",""),"")</f>
        <v/>
      </c>
    </row>
    <row r="431" spans="1:27" x14ac:dyDescent="0.25">
      <c r="A431" s="320"/>
      <c r="B431" s="321" t="str">
        <f>IF(A431&lt;&gt;"",_xlfn.MAXIFS($B$1:B430,$A$1:A430,A431)+1,"")</f>
        <v/>
      </c>
      <c r="C431" s="299"/>
      <c r="D431" s="299"/>
      <c r="E431" s="299"/>
      <c r="F431" s="299"/>
      <c r="G431" s="330"/>
      <c r="H431" s="328"/>
      <c r="I431" s="329"/>
      <c r="J431" s="329"/>
      <c r="K431" s="322"/>
      <c r="L431" s="322"/>
      <c r="M431" s="323" t="str">
        <f>IFERROR(VLOOKUP(H431,Lijsten!$H$1:$I$100,2,0),"")</f>
        <v/>
      </c>
      <c r="N431" s="323" t="str">
        <f ca="1">IFERROR(IF(VLOOKUP(F431,Kostentypen!$A$3:$E$21,3,0)=0,"",IF(OR(F431="Arbeidskosten",F431="Vergoeding"),VLOOKUP(G431,Tb_KostenTypen[],2,0),VLOOKUP(F431,Kostentypen!$A$3:$E$20,3,0))),"")</f>
        <v/>
      </c>
      <c r="O431" s="324"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4"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3"/>
      <c r="R431" s="363"/>
      <c r="S431" s="325"/>
      <c r="T431" s="325"/>
      <c r="U431" s="317" t="str" cm="1">
        <f t="array" aca="1" ref="U431" ca="1">IFERROR(IF(AA431&lt;&gt;"ja",_xlfn.IFNA(_xlfn.IFS(AND(O431&lt;&gt;"",F431&lt;&gt;"",RIGHT($N431,6)="tarief",F431="Vergoeding"),SUM(O431)*FLOOR(SUM(Q431),0.0001),AND(O431&lt;&gt;"",F431&lt;&gt;"",RIGHT($N431,6)="tarief"),SUM(O431)*FLOOR(SUM(Q431),0.01),S431&gt;0,IF(F431&lt;&gt;"",FLOOR(SUM(S431),0.01),"")),""),""),"")</f>
        <v/>
      </c>
      <c r="V431" s="317" t="str" cm="1">
        <f t="array" aca="1" ref="V431" ca="1">IFERROR(IF(AA431&lt;&gt;"ja",_xlfn.IFNA(_xlfn.IFS(AND(P431&lt;&gt;"",R431&lt;&gt;"",RIGHT($N431,6)="tarief",F431="Vergoeding"),SUM(P431)*FLOOR(SUM(R431),0.0001),AND(P431&lt;&gt;"",R431&lt;&gt;"",RIGHT($N431,6)="tarief"),P431*FLOOR(R431,0.01),T431&gt;0,FLOOR(SUM(T431),0.01)),""),""),"")</f>
        <v/>
      </c>
      <c r="W431" s="317" t="str" cm="1">
        <f t="array" aca="1" ref="W431" ca="1">IFERROR(_xlfn.IFS(OR(F431="",LEFT(Methode_Keuze,4)="Geen",Methode_Keuze=""),"",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17" t="str" cm="1">
        <f t="array" aca="1" ref="X431" ca="1">IFERROR(_xlfn.IFS(OR(F431="",LEFT(Methode_Keuze,4)="Geen",Methode_Keuze=""),"",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26"/>
      <c r="Z431" s="319"/>
      <c r="AA431" s="32" t="str" cm="1">
        <f t="array" ref="AA431">IFERROR(IF(INDEX(SubsidieTabel!$AD$1:$AG$12,MATCH($F431,SubsidieTabel!$AD$1:$AD$12,0),IFERROR(MATCH(Methode_Keuze,SubsidieTabel!$AD$1:$AG$1,0),2))&lt;&gt;1=TRUE,"ja",""),"")</f>
        <v/>
      </c>
    </row>
    <row r="432" spans="1:27" x14ac:dyDescent="0.25">
      <c r="A432" s="320"/>
      <c r="B432" s="321" t="str">
        <f>IF(A432&lt;&gt;"",_xlfn.MAXIFS($B$1:B431,$A$1:A431,A432)+1,"")</f>
        <v/>
      </c>
      <c r="C432" s="299"/>
      <c r="D432" s="299"/>
      <c r="E432" s="299"/>
      <c r="F432" s="299"/>
      <c r="G432" s="330"/>
      <c r="H432" s="328"/>
      <c r="I432" s="329"/>
      <c r="J432" s="329"/>
      <c r="K432" s="322"/>
      <c r="L432" s="322"/>
      <c r="M432" s="323" t="str">
        <f>IFERROR(VLOOKUP(H432,Lijsten!$H$1:$I$100,2,0),"")</f>
        <v/>
      </c>
      <c r="N432" s="323" t="str">
        <f ca="1">IFERROR(IF(VLOOKUP(F432,Kostentypen!$A$3:$E$21,3,0)=0,"",IF(OR(F432="Arbeidskosten",F432="Vergoeding"),VLOOKUP(G432,Tb_KostenTypen[],2,0),VLOOKUP(F432,Kostentypen!$A$3:$E$20,3,0))),"")</f>
        <v/>
      </c>
      <c r="O432" s="324"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4"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3"/>
      <c r="R432" s="363"/>
      <c r="S432" s="325"/>
      <c r="T432" s="325"/>
      <c r="U432" s="317" t="str" cm="1">
        <f t="array" aca="1" ref="U432" ca="1">IFERROR(IF(AA432&lt;&gt;"ja",_xlfn.IFNA(_xlfn.IFS(AND(O432&lt;&gt;"",F432&lt;&gt;"",RIGHT($N432,6)="tarief",F432="Vergoeding"),SUM(O432)*FLOOR(SUM(Q432),0.0001),AND(O432&lt;&gt;"",F432&lt;&gt;"",RIGHT($N432,6)="tarief"),SUM(O432)*FLOOR(SUM(Q432),0.01),S432&gt;0,IF(F432&lt;&gt;"",FLOOR(SUM(S432),0.01),"")),""),""),"")</f>
        <v/>
      </c>
      <c r="V432" s="317" t="str" cm="1">
        <f t="array" aca="1" ref="V432" ca="1">IFERROR(IF(AA432&lt;&gt;"ja",_xlfn.IFNA(_xlfn.IFS(AND(P432&lt;&gt;"",R432&lt;&gt;"",RIGHT($N432,6)="tarief",F432="Vergoeding"),SUM(P432)*FLOOR(SUM(R432),0.0001),AND(P432&lt;&gt;"",R432&lt;&gt;"",RIGHT($N432,6)="tarief"),P432*FLOOR(R432,0.01),T432&gt;0,FLOOR(SUM(T432),0.01)),""),""),"")</f>
        <v/>
      </c>
      <c r="W432" s="317" t="str" cm="1">
        <f t="array" aca="1" ref="W432" ca="1">IFERROR(_xlfn.IFS(OR(F432="",LEFT(Methode_Keuze,4)="Geen",Methode_Keuze=""),"",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17" t="str" cm="1">
        <f t="array" aca="1" ref="X432" ca="1">IFERROR(_xlfn.IFS(OR(F432="",LEFT(Methode_Keuze,4)="Geen",Methode_Keuze=""),"",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26"/>
      <c r="Z432" s="319"/>
      <c r="AA432" s="32" t="str" cm="1">
        <f t="array" ref="AA432">IFERROR(IF(INDEX(SubsidieTabel!$AD$1:$AG$12,MATCH($F432,SubsidieTabel!$AD$1:$AD$12,0),IFERROR(MATCH(Methode_Keuze,SubsidieTabel!$AD$1:$AG$1,0),2))&lt;&gt;1=TRUE,"ja",""),"")</f>
        <v/>
      </c>
    </row>
    <row r="433" spans="1:27" x14ac:dyDescent="0.25">
      <c r="A433" s="320"/>
      <c r="B433" s="321" t="str">
        <f>IF(A433&lt;&gt;"",_xlfn.MAXIFS($B$1:B432,$A$1:A432,A433)+1,"")</f>
        <v/>
      </c>
      <c r="C433" s="299"/>
      <c r="D433" s="299"/>
      <c r="E433" s="299"/>
      <c r="F433" s="299"/>
      <c r="G433" s="330"/>
      <c r="H433" s="328"/>
      <c r="I433" s="329"/>
      <c r="J433" s="329"/>
      <c r="K433" s="322"/>
      <c r="L433" s="322"/>
      <c r="M433" s="323" t="str">
        <f>IFERROR(VLOOKUP(H433,Lijsten!$H$1:$I$100,2,0),"")</f>
        <v/>
      </c>
      <c r="N433" s="323" t="str">
        <f ca="1">IFERROR(IF(VLOOKUP(F433,Kostentypen!$A$3:$E$21,3,0)=0,"",IF(OR(F433="Arbeidskosten",F433="Vergoeding"),VLOOKUP(G433,Tb_KostenTypen[],2,0),VLOOKUP(F433,Kostentypen!$A$3:$E$20,3,0))),"")</f>
        <v/>
      </c>
      <c r="O433" s="324"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4"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3"/>
      <c r="R433" s="363"/>
      <c r="S433" s="325"/>
      <c r="T433" s="325"/>
      <c r="U433" s="317" t="str" cm="1">
        <f t="array" aca="1" ref="U433" ca="1">IFERROR(IF(AA433&lt;&gt;"ja",_xlfn.IFNA(_xlfn.IFS(AND(O433&lt;&gt;"",F433&lt;&gt;"",RIGHT($N433,6)="tarief",F433="Vergoeding"),SUM(O433)*FLOOR(SUM(Q433),0.0001),AND(O433&lt;&gt;"",F433&lt;&gt;"",RIGHT($N433,6)="tarief"),SUM(O433)*FLOOR(SUM(Q433),0.01),S433&gt;0,IF(F433&lt;&gt;"",FLOOR(SUM(S433),0.01),"")),""),""),"")</f>
        <v/>
      </c>
      <c r="V433" s="317" t="str" cm="1">
        <f t="array" aca="1" ref="V433" ca="1">IFERROR(IF(AA433&lt;&gt;"ja",_xlfn.IFNA(_xlfn.IFS(AND(P433&lt;&gt;"",R433&lt;&gt;"",RIGHT($N433,6)="tarief",F433="Vergoeding"),SUM(P433)*FLOOR(SUM(R433),0.0001),AND(P433&lt;&gt;"",R433&lt;&gt;"",RIGHT($N433,6)="tarief"),P433*FLOOR(R433,0.01),T433&gt;0,FLOOR(SUM(T433),0.01)),""),""),"")</f>
        <v/>
      </c>
      <c r="W433" s="317" t="str" cm="1">
        <f t="array" aca="1" ref="W433" ca="1">IFERROR(_xlfn.IFS(OR(F433="",LEFT(Methode_Keuze,4)="Geen",Methode_Keuze=""),"",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17" t="str" cm="1">
        <f t="array" aca="1" ref="X433" ca="1">IFERROR(_xlfn.IFS(OR(F433="",LEFT(Methode_Keuze,4)="Geen",Methode_Keuze=""),"",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26"/>
      <c r="Z433" s="319"/>
      <c r="AA433" s="32" t="str" cm="1">
        <f t="array" ref="AA433">IFERROR(IF(INDEX(SubsidieTabel!$AD$1:$AG$12,MATCH($F433,SubsidieTabel!$AD$1:$AD$12,0),IFERROR(MATCH(Methode_Keuze,SubsidieTabel!$AD$1:$AG$1,0),2))&lt;&gt;1=TRUE,"ja",""),"")</f>
        <v/>
      </c>
    </row>
    <row r="434" spans="1:27" x14ac:dyDescent="0.25">
      <c r="A434" s="320"/>
      <c r="B434" s="321" t="str">
        <f>IF(A434&lt;&gt;"",_xlfn.MAXIFS($B$1:B433,$A$1:A433,A434)+1,"")</f>
        <v/>
      </c>
      <c r="C434" s="299"/>
      <c r="D434" s="299"/>
      <c r="E434" s="299"/>
      <c r="F434" s="299"/>
      <c r="G434" s="330"/>
      <c r="H434" s="328"/>
      <c r="I434" s="329"/>
      <c r="J434" s="329"/>
      <c r="K434" s="322"/>
      <c r="L434" s="322"/>
      <c r="M434" s="323" t="str">
        <f>IFERROR(VLOOKUP(H434,Lijsten!$H$1:$I$100,2,0),"")</f>
        <v/>
      </c>
      <c r="N434" s="323" t="str">
        <f ca="1">IFERROR(IF(VLOOKUP(F434,Kostentypen!$A$3:$E$21,3,0)=0,"",IF(OR(F434="Arbeidskosten",F434="Vergoeding"),VLOOKUP(G434,Tb_KostenTypen[],2,0),VLOOKUP(F434,Kostentypen!$A$3:$E$20,3,0))),"")</f>
        <v/>
      </c>
      <c r="O434" s="324"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4"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3"/>
      <c r="R434" s="363"/>
      <c r="S434" s="325"/>
      <c r="T434" s="325"/>
      <c r="U434" s="317" t="str" cm="1">
        <f t="array" aca="1" ref="U434" ca="1">IFERROR(IF(AA434&lt;&gt;"ja",_xlfn.IFNA(_xlfn.IFS(AND(O434&lt;&gt;"",F434&lt;&gt;"",RIGHT($N434,6)="tarief",F434="Vergoeding"),SUM(O434)*FLOOR(SUM(Q434),0.0001),AND(O434&lt;&gt;"",F434&lt;&gt;"",RIGHT($N434,6)="tarief"),SUM(O434)*FLOOR(SUM(Q434),0.01),S434&gt;0,IF(F434&lt;&gt;"",FLOOR(SUM(S434),0.01),"")),""),""),"")</f>
        <v/>
      </c>
      <c r="V434" s="317" t="str" cm="1">
        <f t="array" aca="1" ref="V434" ca="1">IFERROR(IF(AA434&lt;&gt;"ja",_xlfn.IFNA(_xlfn.IFS(AND(P434&lt;&gt;"",R434&lt;&gt;"",RIGHT($N434,6)="tarief",F434="Vergoeding"),SUM(P434)*FLOOR(SUM(R434),0.0001),AND(P434&lt;&gt;"",R434&lt;&gt;"",RIGHT($N434,6)="tarief"),P434*FLOOR(R434,0.01),T434&gt;0,FLOOR(SUM(T434),0.01)),""),""),"")</f>
        <v/>
      </c>
      <c r="W434" s="317" t="str" cm="1">
        <f t="array" aca="1" ref="W434" ca="1">IFERROR(_xlfn.IFS(OR(F434="",LEFT(Methode_Keuze,4)="Geen",Methode_Keuze=""),"",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17" t="str" cm="1">
        <f t="array" aca="1" ref="X434" ca="1">IFERROR(_xlfn.IFS(OR(F434="",LEFT(Methode_Keuze,4)="Geen",Methode_Keuze=""),"",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26"/>
      <c r="Z434" s="319"/>
      <c r="AA434" s="32" t="str" cm="1">
        <f t="array" ref="AA434">IFERROR(IF(INDEX(SubsidieTabel!$AD$1:$AG$12,MATCH($F434,SubsidieTabel!$AD$1:$AD$12,0),IFERROR(MATCH(Methode_Keuze,SubsidieTabel!$AD$1:$AG$1,0),2))&lt;&gt;1=TRUE,"ja",""),"")</f>
        <v/>
      </c>
    </row>
    <row r="435" spans="1:27" x14ac:dyDescent="0.25">
      <c r="A435" s="320"/>
      <c r="B435" s="321" t="str">
        <f>IF(A435&lt;&gt;"",_xlfn.MAXIFS($B$1:B434,$A$1:A434,A435)+1,"")</f>
        <v/>
      </c>
      <c r="C435" s="299"/>
      <c r="D435" s="299"/>
      <c r="E435" s="299"/>
      <c r="F435" s="299"/>
      <c r="G435" s="330"/>
      <c r="H435" s="328"/>
      <c r="I435" s="329"/>
      <c r="J435" s="329"/>
      <c r="K435" s="322"/>
      <c r="L435" s="322"/>
      <c r="M435" s="323" t="str">
        <f>IFERROR(VLOOKUP(H435,Lijsten!$H$1:$I$100,2,0),"")</f>
        <v/>
      </c>
      <c r="N435" s="323" t="str">
        <f ca="1">IFERROR(IF(VLOOKUP(F435,Kostentypen!$A$3:$E$21,3,0)=0,"",IF(OR(F435="Arbeidskosten",F435="Vergoeding"),VLOOKUP(G435,Tb_KostenTypen[],2,0),VLOOKUP(F435,Kostentypen!$A$3:$E$20,3,0))),"")</f>
        <v/>
      </c>
      <c r="O435" s="324"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4"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3"/>
      <c r="R435" s="363"/>
      <c r="S435" s="325"/>
      <c r="T435" s="325"/>
      <c r="U435" s="317" t="str" cm="1">
        <f t="array" aca="1" ref="U435" ca="1">IFERROR(IF(AA435&lt;&gt;"ja",_xlfn.IFNA(_xlfn.IFS(AND(O435&lt;&gt;"",F435&lt;&gt;"",RIGHT($N435,6)="tarief",F435="Vergoeding"),SUM(O435)*FLOOR(SUM(Q435),0.0001),AND(O435&lt;&gt;"",F435&lt;&gt;"",RIGHT($N435,6)="tarief"),SUM(O435)*FLOOR(SUM(Q435),0.01),S435&gt;0,IF(F435&lt;&gt;"",FLOOR(SUM(S435),0.01),"")),""),""),"")</f>
        <v/>
      </c>
      <c r="V435" s="317" t="str" cm="1">
        <f t="array" aca="1" ref="V435" ca="1">IFERROR(IF(AA435&lt;&gt;"ja",_xlfn.IFNA(_xlfn.IFS(AND(P435&lt;&gt;"",R435&lt;&gt;"",RIGHT($N435,6)="tarief",F435="Vergoeding"),SUM(P435)*FLOOR(SUM(R435),0.0001),AND(P435&lt;&gt;"",R435&lt;&gt;"",RIGHT($N435,6)="tarief"),P435*FLOOR(R435,0.01),T435&gt;0,FLOOR(SUM(T435),0.01)),""),""),"")</f>
        <v/>
      </c>
      <c r="W435" s="317" t="str" cm="1">
        <f t="array" aca="1" ref="W435" ca="1">IFERROR(_xlfn.IFS(OR(F435="",LEFT(Methode_Keuze,4)="Geen",Methode_Keuze=""),"",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17" t="str" cm="1">
        <f t="array" aca="1" ref="X435" ca="1">IFERROR(_xlfn.IFS(OR(F435="",LEFT(Methode_Keuze,4)="Geen",Methode_Keuze=""),"",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26"/>
      <c r="Z435" s="319"/>
      <c r="AA435" s="32" t="str" cm="1">
        <f t="array" ref="AA435">IFERROR(IF(INDEX(SubsidieTabel!$AD$1:$AG$12,MATCH($F435,SubsidieTabel!$AD$1:$AD$12,0),IFERROR(MATCH(Methode_Keuze,SubsidieTabel!$AD$1:$AG$1,0),2))&lt;&gt;1=TRUE,"ja",""),"")</f>
        <v/>
      </c>
    </row>
    <row r="436" spans="1:27" x14ac:dyDescent="0.25">
      <c r="A436" s="320"/>
      <c r="B436" s="321" t="str">
        <f>IF(A436&lt;&gt;"",_xlfn.MAXIFS($B$1:B435,$A$1:A435,A436)+1,"")</f>
        <v/>
      </c>
      <c r="C436" s="299"/>
      <c r="D436" s="299"/>
      <c r="E436" s="299"/>
      <c r="F436" s="299"/>
      <c r="G436" s="330"/>
      <c r="H436" s="328"/>
      <c r="I436" s="329"/>
      <c r="J436" s="329"/>
      <c r="K436" s="322"/>
      <c r="L436" s="322"/>
      <c r="M436" s="323" t="str">
        <f>IFERROR(VLOOKUP(H436,Lijsten!$H$1:$I$100,2,0),"")</f>
        <v/>
      </c>
      <c r="N436" s="323" t="str">
        <f ca="1">IFERROR(IF(VLOOKUP(F436,Kostentypen!$A$3:$E$21,3,0)=0,"",IF(OR(F436="Arbeidskosten",F436="Vergoeding"),VLOOKUP(G436,Tb_KostenTypen[],2,0),VLOOKUP(F436,Kostentypen!$A$3:$E$20,3,0))),"")</f>
        <v/>
      </c>
      <c r="O436" s="324"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4"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3"/>
      <c r="R436" s="363"/>
      <c r="S436" s="325"/>
      <c r="T436" s="325"/>
      <c r="U436" s="317" t="str" cm="1">
        <f t="array" aca="1" ref="U436" ca="1">IFERROR(IF(AA436&lt;&gt;"ja",_xlfn.IFNA(_xlfn.IFS(AND(O436&lt;&gt;"",F436&lt;&gt;"",RIGHT($N436,6)="tarief",F436="Vergoeding"),SUM(O436)*FLOOR(SUM(Q436),0.0001),AND(O436&lt;&gt;"",F436&lt;&gt;"",RIGHT($N436,6)="tarief"),SUM(O436)*FLOOR(SUM(Q436),0.01),S436&gt;0,IF(F436&lt;&gt;"",FLOOR(SUM(S436),0.01),"")),""),""),"")</f>
        <v/>
      </c>
      <c r="V436" s="317" t="str" cm="1">
        <f t="array" aca="1" ref="V436" ca="1">IFERROR(IF(AA436&lt;&gt;"ja",_xlfn.IFNA(_xlfn.IFS(AND(P436&lt;&gt;"",R436&lt;&gt;"",RIGHT($N436,6)="tarief",F436="Vergoeding"),SUM(P436)*FLOOR(SUM(R436),0.0001),AND(P436&lt;&gt;"",R436&lt;&gt;"",RIGHT($N436,6)="tarief"),P436*FLOOR(R436,0.01),T436&gt;0,FLOOR(SUM(T436),0.01)),""),""),"")</f>
        <v/>
      </c>
      <c r="W436" s="317" t="str" cm="1">
        <f t="array" aca="1" ref="W436" ca="1">IFERROR(_xlfn.IFS(OR(F436="",LEFT(Methode_Keuze,4)="Geen",Methode_Keuze=""),"",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17" t="str" cm="1">
        <f t="array" aca="1" ref="X436" ca="1">IFERROR(_xlfn.IFS(OR(F436="",LEFT(Methode_Keuze,4)="Geen",Methode_Keuze=""),"",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26"/>
      <c r="Z436" s="319"/>
      <c r="AA436" s="32" t="str" cm="1">
        <f t="array" ref="AA436">IFERROR(IF(INDEX(SubsidieTabel!$AD$1:$AG$12,MATCH($F436,SubsidieTabel!$AD$1:$AD$12,0),IFERROR(MATCH(Methode_Keuze,SubsidieTabel!$AD$1:$AG$1,0),2))&lt;&gt;1=TRUE,"ja",""),"")</f>
        <v/>
      </c>
    </row>
    <row r="437" spans="1:27" x14ac:dyDescent="0.25">
      <c r="A437" s="320"/>
      <c r="B437" s="321" t="str">
        <f>IF(A437&lt;&gt;"",_xlfn.MAXIFS($B$1:B436,$A$1:A436,A437)+1,"")</f>
        <v/>
      </c>
      <c r="C437" s="299"/>
      <c r="D437" s="299"/>
      <c r="E437" s="299"/>
      <c r="F437" s="299"/>
      <c r="G437" s="330"/>
      <c r="H437" s="328"/>
      <c r="I437" s="329"/>
      <c r="J437" s="329"/>
      <c r="K437" s="322"/>
      <c r="L437" s="322"/>
      <c r="M437" s="323" t="str">
        <f>IFERROR(VLOOKUP(H437,Lijsten!$H$1:$I$100,2,0),"")</f>
        <v/>
      </c>
      <c r="N437" s="323" t="str">
        <f ca="1">IFERROR(IF(VLOOKUP(F437,Kostentypen!$A$3:$E$21,3,0)=0,"",IF(OR(F437="Arbeidskosten",F437="Vergoeding"),VLOOKUP(G437,Tb_KostenTypen[],2,0),VLOOKUP(F437,Kostentypen!$A$3:$E$20,3,0))),"")</f>
        <v/>
      </c>
      <c r="O437" s="324"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4"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3"/>
      <c r="R437" s="363"/>
      <c r="S437" s="325"/>
      <c r="T437" s="325"/>
      <c r="U437" s="317" t="str" cm="1">
        <f t="array" aca="1" ref="U437" ca="1">IFERROR(IF(AA437&lt;&gt;"ja",_xlfn.IFNA(_xlfn.IFS(AND(O437&lt;&gt;"",F437&lt;&gt;"",RIGHT($N437,6)="tarief",F437="Vergoeding"),SUM(O437)*FLOOR(SUM(Q437),0.0001),AND(O437&lt;&gt;"",F437&lt;&gt;"",RIGHT($N437,6)="tarief"),SUM(O437)*FLOOR(SUM(Q437),0.01),S437&gt;0,IF(F437&lt;&gt;"",FLOOR(SUM(S437),0.01),"")),""),""),"")</f>
        <v/>
      </c>
      <c r="V437" s="317" t="str" cm="1">
        <f t="array" aca="1" ref="V437" ca="1">IFERROR(IF(AA437&lt;&gt;"ja",_xlfn.IFNA(_xlfn.IFS(AND(P437&lt;&gt;"",R437&lt;&gt;"",RIGHT($N437,6)="tarief",F437="Vergoeding"),SUM(P437)*FLOOR(SUM(R437),0.0001),AND(P437&lt;&gt;"",R437&lt;&gt;"",RIGHT($N437,6)="tarief"),P437*FLOOR(R437,0.01),T437&gt;0,FLOOR(SUM(T437),0.01)),""),""),"")</f>
        <v/>
      </c>
      <c r="W437" s="317" t="str" cm="1">
        <f t="array" aca="1" ref="W437" ca="1">IFERROR(_xlfn.IFS(OR(F437="",LEFT(Methode_Keuze,4)="Geen",Methode_Keuze=""),"",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17" t="str" cm="1">
        <f t="array" aca="1" ref="X437" ca="1">IFERROR(_xlfn.IFS(OR(F437="",LEFT(Methode_Keuze,4)="Geen",Methode_Keuze=""),"",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26"/>
      <c r="Z437" s="319"/>
      <c r="AA437" s="32" t="str" cm="1">
        <f t="array" ref="AA437">IFERROR(IF(INDEX(SubsidieTabel!$AD$1:$AG$12,MATCH($F437,SubsidieTabel!$AD$1:$AD$12,0),IFERROR(MATCH(Methode_Keuze,SubsidieTabel!$AD$1:$AG$1,0),2))&lt;&gt;1=TRUE,"ja",""),"")</f>
        <v/>
      </c>
    </row>
    <row r="438" spans="1:27" x14ac:dyDescent="0.25">
      <c r="A438" s="320"/>
      <c r="B438" s="321" t="str">
        <f>IF(A438&lt;&gt;"",_xlfn.MAXIFS($B$1:B437,$A$1:A437,A438)+1,"")</f>
        <v/>
      </c>
      <c r="C438" s="299"/>
      <c r="D438" s="299"/>
      <c r="E438" s="299"/>
      <c r="F438" s="299"/>
      <c r="G438" s="330"/>
      <c r="H438" s="328"/>
      <c r="I438" s="329"/>
      <c r="J438" s="329"/>
      <c r="K438" s="322"/>
      <c r="L438" s="322"/>
      <c r="M438" s="323" t="str">
        <f>IFERROR(VLOOKUP(H438,Lijsten!$H$1:$I$100,2,0),"")</f>
        <v/>
      </c>
      <c r="N438" s="323" t="str">
        <f ca="1">IFERROR(IF(VLOOKUP(F438,Kostentypen!$A$3:$E$21,3,0)=0,"",IF(OR(F438="Arbeidskosten",F438="Vergoeding"),VLOOKUP(G438,Tb_KostenTypen[],2,0),VLOOKUP(F438,Kostentypen!$A$3:$E$20,3,0))),"")</f>
        <v/>
      </c>
      <c r="O438" s="324"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4"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3"/>
      <c r="R438" s="363"/>
      <c r="S438" s="325"/>
      <c r="T438" s="325"/>
      <c r="U438" s="317" t="str" cm="1">
        <f t="array" aca="1" ref="U438" ca="1">IFERROR(IF(AA438&lt;&gt;"ja",_xlfn.IFNA(_xlfn.IFS(AND(O438&lt;&gt;"",F438&lt;&gt;"",RIGHT($N438,6)="tarief",F438="Vergoeding"),SUM(O438)*FLOOR(SUM(Q438),0.0001),AND(O438&lt;&gt;"",F438&lt;&gt;"",RIGHT($N438,6)="tarief"),SUM(O438)*FLOOR(SUM(Q438),0.01),S438&gt;0,IF(F438&lt;&gt;"",FLOOR(SUM(S438),0.01),"")),""),""),"")</f>
        <v/>
      </c>
      <c r="V438" s="317" t="str" cm="1">
        <f t="array" aca="1" ref="V438" ca="1">IFERROR(IF(AA438&lt;&gt;"ja",_xlfn.IFNA(_xlfn.IFS(AND(P438&lt;&gt;"",R438&lt;&gt;"",RIGHT($N438,6)="tarief",F438="Vergoeding"),SUM(P438)*FLOOR(SUM(R438),0.0001),AND(P438&lt;&gt;"",R438&lt;&gt;"",RIGHT($N438,6)="tarief"),P438*FLOOR(R438,0.01),T438&gt;0,FLOOR(SUM(T438),0.01)),""),""),"")</f>
        <v/>
      </c>
      <c r="W438" s="317" t="str" cm="1">
        <f t="array" aca="1" ref="W438" ca="1">IFERROR(_xlfn.IFS(OR(F438="",LEFT(Methode_Keuze,4)="Geen",Methode_Keuze=""),"",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17" t="str" cm="1">
        <f t="array" aca="1" ref="X438" ca="1">IFERROR(_xlfn.IFS(OR(F438="",LEFT(Methode_Keuze,4)="Geen",Methode_Keuze=""),"",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26"/>
      <c r="Z438" s="319"/>
      <c r="AA438" s="32" t="str" cm="1">
        <f t="array" ref="AA438">IFERROR(IF(INDEX(SubsidieTabel!$AD$1:$AG$12,MATCH($F438,SubsidieTabel!$AD$1:$AD$12,0),IFERROR(MATCH(Methode_Keuze,SubsidieTabel!$AD$1:$AG$1,0),2))&lt;&gt;1=TRUE,"ja",""),"")</f>
        <v/>
      </c>
    </row>
    <row r="439" spans="1:27" x14ac:dyDescent="0.25">
      <c r="A439" s="320"/>
      <c r="B439" s="321" t="str">
        <f>IF(A439&lt;&gt;"",_xlfn.MAXIFS($B$1:B438,$A$1:A438,A439)+1,"")</f>
        <v/>
      </c>
      <c r="C439" s="299"/>
      <c r="D439" s="299"/>
      <c r="E439" s="299"/>
      <c r="F439" s="299"/>
      <c r="G439" s="330"/>
      <c r="H439" s="328"/>
      <c r="I439" s="329"/>
      <c r="J439" s="329"/>
      <c r="K439" s="322"/>
      <c r="L439" s="322"/>
      <c r="M439" s="323" t="str">
        <f>IFERROR(VLOOKUP(H439,Lijsten!$H$1:$I$100,2,0),"")</f>
        <v/>
      </c>
      <c r="N439" s="323" t="str">
        <f ca="1">IFERROR(IF(VLOOKUP(F439,Kostentypen!$A$3:$E$21,3,0)=0,"",IF(OR(F439="Arbeidskosten",F439="Vergoeding"),VLOOKUP(G439,Tb_KostenTypen[],2,0),VLOOKUP(F439,Kostentypen!$A$3:$E$20,3,0))),"")</f>
        <v/>
      </c>
      <c r="O439" s="324"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4"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3"/>
      <c r="R439" s="363"/>
      <c r="S439" s="325"/>
      <c r="T439" s="325"/>
      <c r="U439" s="317" t="str" cm="1">
        <f t="array" aca="1" ref="U439" ca="1">IFERROR(IF(AA439&lt;&gt;"ja",_xlfn.IFNA(_xlfn.IFS(AND(O439&lt;&gt;"",F439&lt;&gt;"",RIGHT($N439,6)="tarief",F439="Vergoeding"),SUM(O439)*FLOOR(SUM(Q439),0.0001),AND(O439&lt;&gt;"",F439&lt;&gt;"",RIGHT($N439,6)="tarief"),SUM(O439)*FLOOR(SUM(Q439),0.01),S439&gt;0,IF(F439&lt;&gt;"",FLOOR(SUM(S439),0.01),"")),""),""),"")</f>
        <v/>
      </c>
      <c r="V439" s="317" t="str" cm="1">
        <f t="array" aca="1" ref="V439" ca="1">IFERROR(IF(AA439&lt;&gt;"ja",_xlfn.IFNA(_xlfn.IFS(AND(P439&lt;&gt;"",R439&lt;&gt;"",RIGHT($N439,6)="tarief",F439="Vergoeding"),SUM(P439)*FLOOR(SUM(R439),0.0001),AND(P439&lt;&gt;"",R439&lt;&gt;"",RIGHT($N439,6)="tarief"),P439*FLOOR(R439,0.01),T439&gt;0,FLOOR(SUM(T439),0.01)),""),""),"")</f>
        <v/>
      </c>
      <c r="W439" s="317" t="str" cm="1">
        <f t="array" aca="1" ref="W439" ca="1">IFERROR(_xlfn.IFS(OR(F439="",LEFT(Methode_Keuze,4)="Geen",Methode_Keuze=""),"",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17" t="str" cm="1">
        <f t="array" aca="1" ref="X439" ca="1">IFERROR(_xlfn.IFS(OR(F439="",LEFT(Methode_Keuze,4)="Geen",Methode_Keuze=""),"",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26"/>
      <c r="Z439" s="319"/>
      <c r="AA439" s="32" t="str" cm="1">
        <f t="array" ref="AA439">IFERROR(IF(INDEX(SubsidieTabel!$AD$1:$AG$12,MATCH($F439,SubsidieTabel!$AD$1:$AD$12,0),IFERROR(MATCH(Methode_Keuze,SubsidieTabel!$AD$1:$AG$1,0),2))&lt;&gt;1=TRUE,"ja",""),"")</f>
        <v/>
      </c>
    </row>
    <row r="440" spans="1:27" x14ac:dyDescent="0.25">
      <c r="A440" s="320"/>
      <c r="B440" s="321" t="str">
        <f>IF(A440&lt;&gt;"",_xlfn.MAXIFS($B$1:B439,$A$1:A439,A440)+1,"")</f>
        <v/>
      </c>
      <c r="C440" s="299"/>
      <c r="D440" s="299"/>
      <c r="E440" s="299"/>
      <c r="F440" s="299"/>
      <c r="G440" s="330"/>
      <c r="H440" s="328"/>
      <c r="I440" s="329"/>
      <c r="J440" s="329"/>
      <c r="K440" s="322"/>
      <c r="L440" s="322"/>
      <c r="M440" s="323" t="str">
        <f>IFERROR(VLOOKUP(H440,Lijsten!$H$1:$I$100,2,0),"")</f>
        <v/>
      </c>
      <c r="N440" s="323" t="str">
        <f ca="1">IFERROR(IF(VLOOKUP(F440,Kostentypen!$A$3:$E$21,3,0)=0,"",IF(OR(F440="Arbeidskosten",F440="Vergoeding"),VLOOKUP(G440,Tb_KostenTypen[],2,0),VLOOKUP(F440,Kostentypen!$A$3:$E$20,3,0))),"")</f>
        <v/>
      </c>
      <c r="O440" s="324"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4"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3"/>
      <c r="R440" s="363"/>
      <c r="S440" s="325"/>
      <c r="T440" s="325"/>
      <c r="U440" s="317" t="str" cm="1">
        <f t="array" aca="1" ref="U440" ca="1">IFERROR(IF(AA440&lt;&gt;"ja",_xlfn.IFNA(_xlfn.IFS(AND(O440&lt;&gt;"",F440&lt;&gt;"",RIGHT($N440,6)="tarief",F440="Vergoeding"),SUM(O440)*FLOOR(SUM(Q440),0.0001),AND(O440&lt;&gt;"",F440&lt;&gt;"",RIGHT($N440,6)="tarief"),SUM(O440)*FLOOR(SUM(Q440),0.01),S440&gt;0,IF(F440&lt;&gt;"",FLOOR(SUM(S440),0.01),"")),""),""),"")</f>
        <v/>
      </c>
      <c r="V440" s="317" t="str" cm="1">
        <f t="array" aca="1" ref="V440" ca="1">IFERROR(IF(AA440&lt;&gt;"ja",_xlfn.IFNA(_xlfn.IFS(AND(P440&lt;&gt;"",R440&lt;&gt;"",RIGHT($N440,6)="tarief",F440="Vergoeding"),SUM(P440)*FLOOR(SUM(R440),0.0001),AND(P440&lt;&gt;"",R440&lt;&gt;"",RIGHT($N440,6)="tarief"),P440*FLOOR(R440,0.01),T440&gt;0,FLOOR(SUM(T440),0.01)),""),""),"")</f>
        <v/>
      </c>
      <c r="W440" s="317" t="str" cm="1">
        <f t="array" aca="1" ref="W440" ca="1">IFERROR(_xlfn.IFS(OR(F440="",LEFT(Methode_Keuze,4)="Geen",Methode_Keuze=""),"",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17" t="str" cm="1">
        <f t="array" aca="1" ref="X440" ca="1">IFERROR(_xlfn.IFS(OR(F440="",LEFT(Methode_Keuze,4)="Geen",Methode_Keuze=""),"",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26"/>
      <c r="Z440" s="319"/>
      <c r="AA440" s="32" t="str" cm="1">
        <f t="array" ref="AA440">IFERROR(IF(INDEX(SubsidieTabel!$AD$1:$AG$12,MATCH($F440,SubsidieTabel!$AD$1:$AD$12,0),IFERROR(MATCH(Methode_Keuze,SubsidieTabel!$AD$1:$AG$1,0),2))&lt;&gt;1=TRUE,"ja",""),"")</f>
        <v/>
      </c>
    </row>
    <row r="441" spans="1:27" x14ac:dyDescent="0.25">
      <c r="A441" s="320"/>
      <c r="B441" s="321" t="str">
        <f>IF(A441&lt;&gt;"",_xlfn.MAXIFS($B$1:B440,$A$1:A440,A441)+1,"")</f>
        <v/>
      </c>
      <c r="C441" s="299"/>
      <c r="D441" s="299"/>
      <c r="E441" s="299"/>
      <c r="F441" s="299"/>
      <c r="G441" s="330"/>
      <c r="H441" s="328"/>
      <c r="I441" s="329"/>
      <c r="J441" s="329"/>
      <c r="K441" s="322"/>
      <c r="L441" s="322"/>
      <c r="M441" s="323" t="str">
        <f>IFERROR(VLOOKUP(H441,Lijsten!$H$1:$I$100,2,0),"")</f>
        <v/>
      </c>
      <c r="N441" s="323" t="str">
        <f ca="1">IFERROR(IF(VLOOKUP(F441,Kostentypen!$A$3:$E$21,3,0)=0,"",IF(OR(F441="Arbeidskosten",F441="Vergoeding"),VLOOKUP(G441,Tb_KostenTypen[],2,0),VLOOKUP(F441,Kostentypen!$A$3:$E$20,3,0))),"")</f>
        <v/>
      </c>
      <c r="O441" s="324"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4"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3"/>
      <c r="R441" s="363"/>
      <c r="S441" s="325"/>
      <c r="T441" s="325"/>
      <c r="U441" s="317" t="str" cm="1">
        <f t="array" aca="1" ref="U441" ca="1">IFERROR(IF(AA441&lt;&gt;"ja",_xlfn.IFNA(_xlfn.IFS(AND(O441&lt;&gt;"",F441&lt;&gt;"",RIGHT($N441,6)="tarief",F441="Vergoeding"),SUM(O441)*FLOOR(SUM(Q441),0.0001),AND(O441&lt;&gt;"",F441&lt;&gt;"",RIGHT($N441,6)="tarief"),SUM(O441)*FLOOR(SUM(Q441),0.01),S441&gt;0,IF(F441&lt;&gt;"",FLOOR(SUM(S441),0.01),"")),""),""),"")</f>
        <v/>
      </c>
      <c r="V441" s="317" t="str" cm="1">
        <f t="array" aca="1" ref="V441" ca="1">IFERROR(IF(AA441&lt;&gt;"ja",_xlfn.IFNA(_xlfn.IFS(AND(P441&lt;&gt;"",R441&lt;&gt;"",RIGHT($N441,6)="tarief",F441="Vergoeding"),SUM(P441)*FLOOR(SUM(R441),0.0001),AND(P441&lt;&gt;"",R441&lt;&gt;"",RIGHT($N441,6)="tarief"),P441*FLOOR(R441,0.01),T441&gt;0,FLOOR(SUM(T441),0.01)),""),""),"")</f>
        <v/>
      </c>
      <c r="W441" s="317" t="str" cm="1">
        <f t="array" aca="1" ref="W441" ca="1">IFERROR(_xlfn.IFS(OR(F441="",LEFT(Methode_Keuze,4)="Geen",Methode_Keuze=""),"",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17" t="str" cm="1">
        <f t="array" aca="1" ref="X441" ca="1">IFERROR(_xlfn.IFS(OR(F441="",LEFT(Methode_Keuze,4)="Geen",Methode_Keuze=""),"",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26"/>
      <c r="Z441" s="319"/>
      <c r="AA441" s="32" t="str" cm="1">
        <f t="array" ref="AA441">IFERROR(IF(INDEX(SubsidieTabel!$AD$1:$AG$12,MATCH($F441,SubsidieTabel!$AD$1:$AD$12,0),IFERROR(MATCH(Methode_Keuze,SubsidieTabel!$AD$1:$AG$1,0),2))&lt;&gt;1=TRUE,"ja",""),"")</f>
        <v/>
      </c>
    </row>
    <row r="442" spans="1:27" x14ac:dyDescent="0.25">
      <c r="A442" s="320"/>
      <c r="B442" s="321" t="str">
        <f>IF(A442&lt;&gt;"",_xlfn.MAXIFS($B$1:B441,$A$1:A441,A442)+1,"")</f>
        <v/>
      </c>
      <c r="C442" s="299"/>
      <c r="D442" s="299"/>
      <c r="E442" s="299"/>
      <c r="F442" s="299"/>
      <c r="G442" s="330"/>
      <c r="H442" s="328"/>
      <c r="I442" s="329"/>
      <c r="J442" s="329"/>
      <c r="K442" s="322"/>
      <c r="L442" s="322"/>
      <c r="M442" s="323" t="str">
        <f>IFERROR(VLOOKUP(H442,Lijsten!$H$1:$I$100,2,0),"")</f>
        <v/>
      </c>
      <c r="N442" s="323" t="str">
        <f ca="1">IFERROR(IF(VLOOKUP(F442,Kostentypen!$A$3:$E$21,3,0)=0,"",IF(OR(F442="Arbeidskosten",F442="Vergoeding"),VLOOKUP(G442,Tb_KostenTypen[],2,0),VLOOKUP(F442,Kostentypen!$A$3:$E$20,3,0))),"")</f>
        <v/>
      </c>
      <c r="O442" s="324"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4"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3"/>
      <c r="R442" s="363"/>
      <c r="S442" s="325"/>
      <c r="T442" s="325"/>
      <c r="U442" s="317" t="str" cm="1">
        <f t="array" aca="1" ref="U442" ca="1">IFERROR(IF(AA442&lt;&gt;"ja",_xlfn.IFNA(_xlfn.IFS(AND(O442&lt;&gt;"",F442&lt;&gt;"",RIGHT($N442,6)="tarief",F442="Vergoeding"),SUM(O442)*FLOOR(SUM(Q442),0.0001),AND(O442&lt;&gt;"",F442&lt;&gt;"",RIGHT($N442,6)="tarief"),SUM(O442)*FLOOR(SUM(Q442),0.01),S442&gt;0,IF(F442&lt;&gt;"",FLOOR(SUM(S442),0.01),"")),""),""),"")</f>
        <v/>
      </c>
      <c r="V442" s="317" t="str" cm="1">
        <f t="array" aca="1" ref="V442" ca="1">IFERROR(IF(AA442&lt;&gt;"ja",_xlfn.IFNA(_xlfn.IFS(AND(P442&lt;&gt;"",R442&lt;&gt;"",RIGHT($N442,6)="tarief",F442="Vergoeding"),SUM(P442)*FLOOR(SUM(R442),0.0001),AND(P442&lt;&gt;"",R442&lt;&gt;"",RIGHT($N442,6)="tarief"),P442*FLOOR(R442,0.01),T442&gt;0,FLOOR(SUM(T442),0.01)),""),""),"")</f>
        <v/>
      </c>
      <c r="W442" s="317" t="str" cm="1">
        <f t="array" aca="1" ref="W442" ca="1">IFERROR(_xlfn.IFS(OR(F442="",LEFT(Methode_Keuze,4)="Geen",Methode_Keuze=""),"",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17" t="str" cm="1">
        <f t="array" aca="1" ref="X442" ca="1">IFERROR(_xlfn.IFS(OR(F442="",LEFT(Methode_Keuze,4)="Geen",Methode_Keuze=""),"",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26"/>
      <c r="Z442" s="319"/>
      <c r="AA442" s="32" t="str" cm="1">
        <f t="array" ref="AA442">IFERROR(IF(INDEX(SubsidieTabel!$AD$1:$AG$12,MATCH($F442,SubsidieTabel!$AD$1:$AD$12,0),IFERROR(MATCH(Methode_Keuze,SubsidieTabel!$AD$1:$AG$1,0),2))&lt;&gt;1=TRUE,"ja",""),"")</f>
        <v/>
      </c>
    </row>
    <row r="443" spans="1:27" x14ac:dyDescent="0.25">
      <c r="A443" s="320"/>
      <c r="B443" s="321" t="str">
        <f>IF(A443&lt;&gt;"",_xlfn.MAXIFS($B$1:B442,$A$1:A442,A443)+1,"")</f>
        <v/>
      </c>
      <c r="C443" s="299"/>
      <c r="D443" s="299"/>
      <c r="E443" s="299"/>
      <c r="F443" s="299"/>
      <c r="G443" s="330"/>
      <c r="H443" s="328"/>
      <c r="I443" s="329"/>
      <c r="J443" s="329"/>
      <c r="K443" s="322"/>
      <c r="L443" s="322"/>
      <c r="M443" s="323" t="str">
        <f>IFERROR(VLOOKUP(H443,Lijsten!$H$1:$I$100,2,0),"")</f>
        <v/>
      </c>
      <c r="N443" s="323" t="str">
        <f ca="1">IFERROR(IF(VLOOKUP(F443,Kostentypen!$A$3:$E$21,3,0)=0,"",IF(OR(F443="Arbeidskosten",F443="Vergoeding"),VLOOKUP(G443,Tb_KostenTypen[],2,0),VLOOKUP(F443,Kostentypen!$A$3:$E$20,3,0))),"")</f>
        <v/>
      </c>
      <c r="O443" s="324"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4"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3"/>
      <c r="R443" s="363"/>
      <c r="S443" s="325"/>
      <c r="T443" s="325"/>
      <c r="U443" s="317" t="str" cm="1">
        <f t="array" aca="1" ref="U443" ca="1">IFERROR(IF(AA443&lt;&gt;"ja",_xlfn.IFNA(_xlfn.IFS(AND(O443&lt;&gt;"",F443&lt;&gt;"",RIGHT($N443,6)="tarief",F443="Vergoeding"),SUM(O443)*FLOOR(SUM(Q443),0.0001),AND(O443&lt;&gt;"",F443&lt;&gt;"",RIGHT($N443,6)="tarief"),SUM(O443)*FLOOR(SUM(Q443),0.01),S443&gt;0,IF(F443&lt;&gt;"",FLOOR(SUM(S443),0.01),"")),""),""),"")</f>
        <v/>
      </c>
      <c r="V443" s="317" t="str" cm="1">
        <f t="array" aca="1" ref="V443" ca="1">IFERROR(IF(AA443&lt;&gt;"ja",_xlfn.IFNA(_xlfn.IFS(AND(P443&lt;&gt;"",R443&lt;&gt;"",RIGHT($N443,6)="tarief",F443="Vergoeding"),SUM(P443)*FLOOR(SUM(R443),0.0001),AND(P443&lt;&gt;"",R443&lt;&gt;"",RIGHT($N443,6)="tarief"),P443*FLOOR(R443,0.01),T443&gt;0,FLOOR(SUM(T443),0.01)),""),""),"")</f>
        <v/>
      </c>
      <c r="W443" s="317" t="str" cm="1">
        <f t="array" aca="1" ref="W443" ca="1">IFERROR(_xlfn.IFS(OR(F443="",LEFT(Methode_Keuze,4)="Geen",Methode_Keuze=""),"",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17" t="str" cm="1">
        <f t="array" aca="1" ref="X443" ca="1">IFERROR(_xlfn.IFS(OR(F443="",LEFT(Methode_Keuze,4)="Geen",Methode_Keuze=""),"",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26"/>
      <c r="Z443" s="319"/>
      <c r="AA443" s="32" t="str" cm="1">
        <f t="array" ref="AA443">IFERROR(IF(INDEX(SubsidieTabel!$AD$1:$AG$12,MATCH($F443,SubsidieTabel!$AD$1:$AD$12,0),IFERROR(MATCH(Methode_Keuze,SubsidieTabel!$AD$1:$AG$1,0),2))&lt;&gt;1=TRUE,"ja",""),"")</f>
        <v/>
      </c>
    </row>
    <row r="444" spans="1:27" x14ac:dyDescent="0.25">
      <c r="A444" s="320"/>
      <c r="B444" s="321" t="str">
        <f>IF(A444&lt;&gt;"",_xlfn.MAXIFS($B$1:B443,$A$1:A443,A444)+1,"")</f>
        <v/>
      </c>
      <c r="C444" s="299"/>
      <c r="D444" s="299"/>
      <c r="E444" s="299"/>
      <c r="F444" s="299"/>
      <c r="G444" s="330"/>
      <c r="H444" s="328"/>
      <c r="I444" s="329"/>
      <c r="J444" s="329"/>
      <c r="K444" s="322"/>
      <c r="L444" s="322"/>
      <c r="M444" s="323" t="str">
        <f>IFERROR(VLOOKUP(H444,Lijsten!$H$1:$I$100,2,0),"")</f>
        <v/>
      </c>
      <c r="N444" s="323" t="str">
        <f ca="1">IFERROR(IF(VLOOKUP(F444,Kostentypen!$A$3:$E$21,3,0)=0,"",IF(OR(F444="Arbeidskosten",F444="Vergoeding"),VLOOKUP(G444,Tb_KostenTypen[],2,0),VLOOKUP(F444,Kostentypen!$A$3:$E$20,3,0))),"")</f>
        <v/>
      </c>
      <c r="O444" s="324"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4"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3"/>
      <c r="R444" s="363"/>
      <c r="S444" s="325"/>
      <c r="T444" s="325"/>
      <c r="U444" s="317" t="str" cm="1">
        <f t="array" aca="1" ref="U444" ca="1">IFERROR(IF(AA444&lt;&gt;"ja",_xlfn.IFNA(_xlfn.IFS(AND(O444&lt;&gt;"",F444&lt;&gt;"",RIGHT($N444,6)="tarief",F444="Vergoeding"),SUM(O444)*FLOOR(SUM(Q444),0.0001),AND(O444&lt;&gt;"",F444&lt;&gt;"",RIGHT($N444,6)="tarief"),SUM(O444)*FLOOR(SUM(Q444),0.01),S444&gt;0,IF(F444&lt;&gt;"",FLOOR(SUM(S444),0.01),"")),""),""),"")</f>
        <v/>
      </c>
      <c r="V444" s="317" t="str" cm="1">
        <f t="array" aca="1" ref="V444" ca="1">IFERROR(IF(AA444&lt;&gt;"ja",_xlfn.IFNA(_xlfn.IFS(AND(P444&lt;&gt;"",R444&lt;&gt;"",RIGHT($N444,6)="tarief",F444="Vergoeding"),SUM(P444)*FLOOR(SUM(R444),0.0001),AND(P444&lt;&gt;"",R444&lt;&gt;"",RIGHT($N444,6)="tarief"),P444*FLOOR(R444,0.01),T444&gt;0,FLOOR(SUM(T444),0.01)),""),""),"")</f>
        <v/>
      </c>
      <c r="W444" s="317" t="str" cm="1">
        <f t="array" aca="1" ref="W444" ca="1">IFERROR(_xlfn.IFS(OR(F444="",LEFT(Methode_Keuze,4)="Geen",Methode_Keuze=""),"",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17" t="str" cm="1">
        <f t="array" aca="1" ref="X444" ca="1">IFERROR(_xlfn.IFS(OR(F444="",LEFT(Methode_Keuze,4)="Geen",Methode_Keuze=""),"",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26"/>
      <c r="Z444" s="319"/>
      <c r="AA444" s="32" t="str" cm="1">
        <f t="array" ref="AA444">IFERROR(IF(INDEX(SubsidieTabel!$AD$1:$AG$12,MATCH($F444,SubsidieTabel!$AD$1:$AD$12,0),IFERROR(MATCH(Methode_Keuze,SubsidieTabel!$AD$1:$AG$1,0),2))&lt;&gt;1=TRUE,"ja",""),"")</f>
        <v/>
      </c>
    </row>
    <row r="445" spans="1:27" x14ac:dyDescent="0.25">
      <c r="A445" s="320"/>
      <c r="B445" s="321" t="str">
        <f>IF(A445&lt;&gt;"",_xlfn.MAXIFS($B$1:B444,$A$1:A444,A445)+1,"")</f>
        <v/>
      </c>
      <c r="C445" s="299"/>
      <c r="D445" s="299"/>
      <c r="E445" s="299"/>
      <c r="F445" s="299"/>
      <c r="G445" s="330"/>
      <c r="H445" s="328"/>
      <c r="I445" s="329"/>
      <c r="J445" s="329"/>
      <c r="K445" s="322"/>
      <c r="L445" s="322"/>
      <c r="M445" s="323" t="str">
        <f>IFERROR(VLOOKUP(H445,Lijsten!$H$1:$I$100,2,0),"")</f>
        <v/>
      </c>
      <c r="N445" s="323" t="str">
        <f ca="1">IFERROR(IF(VLOOKUP(F445,Kostentypen!$A$3:$E$21,3,0)=0,"",IF(OR(F445="Arbeidskosten",F445="Vergoeding"),VLOOKUP(G445,Tb_KostenTypen[],2,0),VLOOKUP(F445,Kostentypen!$A$3:$E$20,3,0))),"")</f>
        <v/>
      </c>
      <c r="O445" s="324"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4"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3"/>
      <c r="R445" s="363"/>
      <c r="S445" s="325"/>
      <c r="T445" s="325"/>
      <c r="U445" s="317" t="str" cm="1">
        <f t="array" aca="1" ref="U445" ca="1">IFERROR(IF(AA445&lt;&gt;"ja",_xlfn.IFNA(_xlfn.IFS(AND(O445&lt;&gt;"",F445&lt;&gt;"",RIGHT($N445,6)="tarief",F445="Vergoeding"),SUM(O445)*FLOOR(SUM(Q445),0.0001),AND(O445&lt;&gt;"",F445&lt;&gt;"",RIGHT($N445,6)="tarief"),SUM(O445)*FLOOR(SUM(Q445),0.01),S445&gt;0,IF(F445&lt;&gt;"",FLOOR(SUM(S445),0.01),"")),""),""),"")</f>
        <v/>
      </c>
      <c r="V445" s="317" t="str" cm="1">
        <f t="array" aca="1" ref="V445" ca="1">IFERROR(IF(AA445&lt;&gt;"ja",_xlfn.IFNA(_xlfn.IFS(AND(P445&lt;&gt;"",R445&lt;&gt;"",RIGHT($N445,6)="tarief",F445="Vergoeding"),SUM(P445)*FLOOR(SUM(R445),0.0001),AND(P445&lt;&gt;"",R445&lt;&gt;"",RIGHT($N445,6)="tarief"),P445*FLOOR(R445,0.01),T445&gt;0,FLOOR(SUM(T445),0.01)),""),""),"")</f>
        <v/>
      </c>
      <c r="W445" s="317" t="str" cm="1">
        <f t="array" aca="1" ref="W445" ca="1">IFERROR(_xlfn.IFS(OR(F445="",LEFT(Methode_Keuze,4)="Geen",Methode_Keuze=""),"",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17" t="str" cm="1">
        <f t="array" aca="1" ref="X445" ca="1">IFERROR(_xlfn.IFS(OR(F445="",LEFT(Methode_Keuze,4)="Geen",Methode_Keuze=""),"",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26"/>
      <c r="Z445" s="319"/>
      <c r="AA445" s="32" t="str" cm="1">
        <f t="array" ref="AA445">IFERROR(IF(INDEX(SubsidieTabel!$AD$1:$AG$12,MATCH($F445,SubsidieTabel!$AD$1:$AD$12,0),IFERROR(MATCH(Methode_Keuze,SubsidieTabel!$AD$1:$AG$1,0),2))&lt;&gt;1=TRUE,"ja",""),"")</f>
        <v/>
      </c>
    </row>
    <row r="446" spans="1:27" x14ac:dyDescent="0.25">
      <c r="A446" s="320"/>
      <c r="B446" s="321" t="str">
        <f>IF(A446&lt;&gt;"",_xlfn.MAXIFS($B$1:B445,$A$1:A445,A446)+1,"")</f>
        <v/>
      </c>
      <c r="C446" s="299"/>
      <c r="D446" s="299"/>
      <c r="E446" s="299"/>
      <c r="F446" s="299"/>
      <c r="G446" s="330"/>
      <c r="H446" s="328"/>
      <c r="I446" s="329"/>
      <c r="J446" s="329"/>
      <c r="K446" s="322"/>
      <c r="L446" s="322"/>
      <c r="M446" s="323" t="str">
        <f>IFERROR(VLOOKUP(H446,Lijsten!$H$1:$I$100,2,0),"")</f>
        <v/>
      </c>
      <c r="N446" s="323" t="str">
        <f ca="1">IFERROR(IF(VLOOKUP(F446,Kostentypen!$A$3:$E$21,3,0)=0,"",IF(OR(F446="Arbeidskosten",F446="Vergoeding"),VLOOKUP(G446,Tb_KostenTypen[],2,0),VLOOKUP(F446,Kostentypen!$A$3:$E$20,3,0))),"")</f>
        <v/>
      </c>
      <c r="O446" s="324"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4"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3"/>
      <c r="R446" s="363"/>
      <c r="S446" s="325"/>
      <c r="T446" s="325"/>
      <c r="U446" s="317" t="str" cm="1">
        <f t="array" aca="1" ref="U446" ca="1">IFERROR(IF(AA446&lt;&gt;"ja",_xlfn.IFNA(_xlfn.IFS(AND(O446&lt;&gt;"",F446&lt;&gt;"",RIGHT($N446,6)="tarief",F446="Vergoeding"),SUM(O446)*FLOOR(SUM(Q446),0.0001),AND(O446&lt;&gt;"",F446&lt;&gt;"",RIGHT($N446,6)="tarief"),SUM(O446)*FLOOR(SUM(Q446),0.01),S446&gt;0,IF(F446&lt;&gt;"",FLOOR(SUM(S446),0.01),"")),""),""),"")</f>
        <v/>
      </c>
      <c r="V446" s="317" t="str" cm="1">
        <f t="array" aca="1" ref="V446" ca="1">IFERROR(IF(AA446&lt;&gt;"ja",_xlfn.IFNA(_xlfn.IFS(AND(P446&lt;&gt;"",R446&lt;&gt;"",RIGHT($N446,6)="tarief",F446="Vergoeding"),SUM(P446)*FLOOR(SUM(R446),0.0001),AND(P446&lt;&gt;"",R446&lt;&gt;"",RIGHT($N446,6)="tarief"),P446*FLOOR(R446,0.01),T446&gt;0,FLOOR(SUM(T446),0.01)),""),""),"")</f>
        <v/>
      </c>
      <c r="W446" s="317" t="str" cm="1">
        <f t="array" aca="1" ref="W446" ca="1">IFERROR(_xlfn.IFS(OR(F446="",LEFT(Methode_Keuze,4)="Geen",Methode_Keuze=""),"",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17" t="str" cm="1">
        <f t="array" aca="1" ref="X446" ca="1">IFERROR(_xlfn.IFS(OR(F446="",LEFT(Methode_Keuze,4)="Geen",Methode_Keuze=""),"",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26"/>
      <c r="Z446" s="319"/>
      <c r="AA446" s="32" t="str" cm="1">
        <f t="array" ref="AA446">IFERROR(IF(INDEX(SubsidieTabel!$AD$1:$AG$12,MATCH($F446,SubsidieTabel!$AD$1:$AD$12,0),IFERROR(MATCH(Methode_Keuze,SubsidieTabel!$AD$1:$AG$1,0),2))&lt;&gt;1=TRUE,"ja",""),"")</f>
        <v/>
      </c>
    </row>
    <row r="447" spans="1:27" x14ac:dyDescent="0.25">
      <c r="A447" s="320"/>
      <c r="B447" s="321" t="str">
        <f>IF(A447&lt;&gt;"",_xlfn.MAXIFS($B$1:B446,$A$1:A446,A447)+1,"")</f>
        <v/>
      </c>
      <c r="C447" s="299"/>
      <c r="D447" s="299"/>
      <c r="E447" s="299"/>
      <c r="F447" s="299"/>
      <c r="G447" s="330"/>
      <c r="H447" s="328"/>
      <c r="I447" s="329"/>
      <c r="J447" s="329"/>
      <c r="K447" s="322"/>
      <c r="L447" s="322"/>
      <c r="M447" s="323" t="str">
        <f>IFERROR(VLOOKUP(H447,Lijsten!$H$1:$I$100,2,0),"")</f>
        <v/>
      </c>
      <c r="N447" s="323" t="str">
        <f ca="1">IFERROR(IF(VLOOKUP(F447,Kostentypen!$A$3:$E$21,3,0)=0,"",IF(OR(F447="Arbeidskosten",F447="Vergoeding"),VLOOKUP(G447,Tb_KostenTypen[],2,0),VLOOKUP(F447,Kostentypen!$A$3:$E$20,3,0))),"")</f>
        <v/>
      </c>
      <c r="O447" s="324"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4"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3"/>
      <c r="R447" s="363"/>
      <c r="S447" s="325"/>
      <c r="T447" s="325"/>
      <c r="U447" s="317" t="str" cm="1">
        <f t="array" aca="1" ref="U447" ca="1">IFERROR(IF(AA447&lt;&gt;"ja",_xlfn.IFNA(_xlfn.IFS(AND(O447&lt;&gt;"",F447&lt;&gt;"",RIGHT($N447,6)="tarief",F447="Vergoeding"),SUM(O447)*FLOOR(SUM(Q447),0.0001),AND(O447&lt;&gt;"",F447&lt;&gt;"",RIGHT($N447,6)="tarief"),SUM(O447)*FLOOR(SUM(Q447),0.01),S447&gt;0,IF(F447&lt;&gt;"",FLOOR(SUM(S447),0.01),"")),""),""),"")</f>
        <v/>
      </c>
      <c r="V447" s="317" t="str" cm="1">
        <f t="array" aca="1" ref="V447" ca="1">IFERROR(IF(AA447&lt;&gt;"ja",_xlfn.IFNA(_xlfn.IFS(AND(P447&lt;&gt;"",R447&lt;&gt;"",RIGHT($N447,6)="tarief",F447="Vergoeding"),SUM(P447)*FLOOR(SUM(R447),0.0001),AND(P447&lt;&gt;"",R447&lt;&gt;"",RIGHT($N447,6)="tarief"),P447*FLOOR(R447,0.01),T447&gt;0,FLOOR(SUM(T447),0.01)),""),""),"")</f>
        <v/>
      </c>
      <c r="W447" s="317" t="str" cm="1">
        <f t="array" aca="1" ref="W447" ca="1">IFERROR(_xlfn.IFS(OR(F447="",LEFT(Methode_Keuze,4)="Geen",Methode_Keuze=""),"",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17" t="str" cm="1">
        <f t="array" aca="1" ref="X447" ca="1">IFERROR(_xlfn.IFS(OR(F447="",LEFT(Methode_Keuze,4)="Geen",Methode_Keuze=""),"",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26"/>
      <c r="Z447" s="319"/>
      <c r="AA447" s="32" t="str" cm="1">
        <f t="array" ref="AA447">IFERROR(IF(INDEX(SubsidieTabel!$AD$1:$AG$12,MATCH($F447,SubsidieTabel!$AD$1:$AD$12,0),IFERROR(MATCH(Methode_Keuze,SubsidieTabel!$AD$1:$AG$1,0),2))&lt;&gt;1=TRUE,"ja",""),"")</f>
        <v/>
      </c>
    </row>
    <row r="448" spans="1:27" x14ac:dyDescent="0.25">
      <c r="A448" s="320"/>
      <c r="B448" s="321" t="str">
        <f>IF(A448&lt;&gt;"",_xlfn.MAXIFS($B$1:B447,$A$1:A447,A448)+1,"")</f>
        <v/>
      </c>
      <c r="C448" s="299"/>
      <c r="D448" s="299"/>
      <c r="E448" s="299"/>
      <c r="F448" s="299"/>
      <c r="G448" s="330"/>
      <c r="H448" s="328"/>
      <c r="I448" s="329"/>
      <c r="J448" s="329"/>
      <c r="K448" s="322"/>
      <c r="L448" s="322"/>
      <c r="M448" s="323" t="str">
        <f>IFERROR(VLOOKUP(H448,Lijsten!$H$1:$I$100,2,0),"")</f>
        <v/>
      </c>
      <c r="N448" s="323" t="str">
        <f ca="1">IFERROR(IF(VLOOKUP(F448,Kostentypen!$A$3:$E$21,3,0)=0,"",IF(OR(F448="Arbeidskosten",F448="Vergoeding"),VLOOKUP(G448,Tb_KostenTypen[],2,0),VLOOKUP(F448,Kostentypen!$A$3:$E$20,3,0))),"")</f>
        <v/>
      </c>
      <c r="O448" s="324"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4"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3"/>
      <c r="R448" s="363"/>
      <c r="S448" s="325"/>
      <c r="T448" s="325"/>
      <c r="U448" s="317" t="str" cm="1">
        <f t="array" aca="1" ref="U448" ca="1">IFERROR(IF(AA448&lt;&gt;"ja",_xlfn.IFNA(_xlfn.IFS(AND(O448&lt;&gt;"",F448&lt;&gt;"",RIGHT($N448,6)="tarief",F448="Vergoeding"),SUM(O448)*FLOOR(SUM(Q448),0.0001),AND(O448&lt;&gt;"",F448&lt;&gt;"",RIGHT($N448,6)="tarief"),SUM(O448)*FLOOR(SUM(Q448),0.01),S448&gt;0,IF(F448&lt;&gt;"",FLOOR(SUM(S448),0.01),"")),""),""),"")</f>
        <v/>
      </c>
      <c r="V448" s="317" t="str" cm="1">
        <f t="array" aca="1" ref="V448" ca="1">IFERROR(IF(AA448&lt;&gt;"ja",_xlfn.IFNA(_xlfn.IFS(AND(P448&lt;&gt;"",R448&lt;&gt;"",RIGHT($N448,6)="tarief",F448="Vergoeding"),SUM(P448)*FLOOR(SUM(R448),0.0001),AND(P448&lt;&gt;"",R448&lt;&gt;"",RIGHT($N448,6)="tarief"),P448*FLOOR(R448,0.01),T448&gt;0,FLOOR(SUM(T448),0.01)),""),""),"")</f>
        <v/>
      </c>
      <c r="W448" s="317" t="str" cm="1">
        <f t="array" aca="1" ref="W448" ca="1">IFERROR(_xlfn.IFS(OR(F448="",LEFT(Methode_Keuze,4)="Geen",Methode_Keuze=""),"",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17" t="str" cm="1">
        <f t="array" aca="1" ref="X448" ca="1">IFERROR(_xlfn.IFS(OR(F448="",LEFT(Methode_Keuze,4)="Geen",Methode_Keuze=""),"",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26"/>
      <c r="Z448" s="319"/>
      <c r="AA448" s="32" t="str" cm="1">
        <f t="array" ref="AA448">IFERROR(IF(INDEX(SubsidieTabel!$AD$1:$AG$12,MATCH($F448,SubsidieTabel!$AD$1:$AD$12,0),IFERROR(MATCH(Methode_Keuze,SubsidieTabel!$AD$1:$AG$1,0),2))&lt;&gt;1=TRUE,"ja",""),"")</f>
        <v/>
      </c>
    </row>
    <row r="449" spans="1:27" x14ac:dyDescent="0.25">
      <c r="A449" s="320"/>
      <c r="B449" s="321" t="str">
        <f>IF(A449&lt;&gt;"",_xlfn.MAXIFS($B$1:B448,$A$1:A448,A449)+1,"")</f>
        <v/>
      </c>
      <c r="C449" s="299"/>
      <c r="D449" s="299"/>
      <c r="E449" s="299"/>
      <c r="F449" s="299"/>
      <c r="G449" s="330"/>
      <c r="H449" s="328"/>
      <c r="I449" s="329"/>
      <c r="J449" s="329"/>
      <c r="K449" s="322"/>
      <c r="L449" s="322"/>
      <c r="M449" s="323" t="str">
        <f>IFERROR(VLOOKUP(H449,Lijsten!$H$1:$I$100,2,0),"")</f>
        <v/>
      </c>
      <c r="N449" s="323" t="str">
        <f ca="1">IFERROR(IF(VLOOKUP(F449,Kostentypen!$A$3:$E$21,3,0)=0,"",IF(OR(F449="Arbeidskosten",F449="Vergoeding"),VLOOKUP(G449,Tb_KostenTypen[],2,0),VLOOKUP(F449,Kostentypen!$A$3:$E$20,3,0))),"")</f>
        <v/>
      </c>
      <c r="O449" s="324"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4"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3"/>
      <c r="R449" s="363"/>
      <c r="S449" s="325"/>
      <c r="T449" s="325"/>
      <c r="U449" s="317" t="str" cm="1">
        <f t="array" aca="1" ref="U449" ca="1">IFERROR(IF(AA449&lt;&gt;"ja",_xlfn.IFNA(_xlfn.IFS(AND(O449&lt;&gt;"",F449&lt;&gt;"",RIGHT($N449,6)="tarief",F449="Vergoeding"),SUM(O449)*FLOOR(SUM(Q449),0.0001),AND(O449&lt;&gt;"",F449&lt;&gt;"",RIGHT($N449,6)="tarief"),SUM(O449)*FLOOR(SUM(Q449),0.01),S449&gt;0,IF(F449&lt;&gt;"",FLOOR(SUM(S449),0.01),"")),""),""),"")</f>
        <v/>
      </c>
      <c r="V449" s="317" t="str" cm="1">
        <f t="array" aca="1" ref="V449" ca="1">IFERROR(IF(AA449&lt;&gt;"ja",_xlfn.IFNA(_xlfn.IFS(AND(P449&lt;&gt;"",R449&lt;&gt;"",RIGHT($N449,6)="tarief",F449="Vergoeding"),SUM(P449)*FLOOR(SUM(R449),0.0001),AND(P449&lt;&gt;"",R449&lt;&gt;"",RIGHT($N449,6)="tarief"),P449*FLOOR(R449,0.01),T449&gt;0,FLOOR(SUM(T449),0.01)),""),""),"")</f>
        <v/>
      </c>
      <c r="W449" s="317" t="str" cm="1">
        <f t="array" aca="1" ref="W449" ca="1">IFERROR(_xlfn.IFS(OR(F449="",LEFT(Methode_Keuze,4)="Geen",Methode_Keuze=""),"",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17" t="str" cm="1">
        <f t="array" aca="1" ref="X449" ca="1">IFERROR(_xlfn.IFS(OR(F449="",LEFT(Methode_Keuze,4)="Geen",Methode_Keuze=""),"",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26"/>
      <c r="Z449" s="319"/>
      <c r="AA449" s="32" t="str" cm="1">
        <f t="array" ref="AA449">IFERROR(IF(INDEX(SubsidieTabel!$AD$1:$AG$12,MATCH($F449,SubsidieTabel!$AD$1:$AD$12,0),IFERROR(MATCH(Methode_Keuze,SubsidieTabel!$AD$1:$AG$1,0),2))&lt;&gt;1=TRUE,"ja",""),"")</f>
        <v/>
      </c>
    </row>
    <row r="450" spans="1:27" x14ac:dyDescent="0.25">
      <c r="A450" s="320"/>
      <c r="B450" s="321" t="str">
        <f>IF(A450&lt;&gt;"",_xlfn.MAXIFS($B$1:B449,$A$1:A449,A450)+1,"")</f>
        <v/>
      </c>
      <c r="C450" s="299"/>
      <c r="D450" s="299"/>
      <c r="E450" s="299"/>
      <c r="F450" s="299"/>
      <c r="G450" s="330"/>
      <c r="H450" s="328"/>
      <c r="I450" s="329"/>
      <c r="J450" s="329"/>
      <c r="K450" s="322"/>
      <c r="L450" s="322"/>
      <c r="M450" s="323" t="str">
        <f>IFERROR(VLOOKUP(H450,Lijsten!$H$1:$I$100,2,0),"")</f>
        <v/>
      </c>
      <c r="N450" s="323" t="str">
        <f ca="1">IFERROR(IF(VLOOKUP(F450,Kostentypen!$A$3:$E$21,3,0)=0,"",IF(OR(F450="Arbeidskosten",F450="Vergoeding"),VLOOKUP(G450,Tb_KostenTypen[],2,0),VLOOKUP(F450,Kostentypen!$A$3:$E$20,3,0))),"")</f>
        <v/>
      </c>
      <c r="O450" s="324"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4"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3"/>
      <c r="R450" s="363"/>
      <c r="S450" s="325"/>
      <c r="T450" s="325"/>
      <c r="U450" s="317" t="str" cm="1">
        <f t="array" aca="1" ref="U450" ca="1">IFERROR(IF(AA450&lt;&gt;"ja",_xlfn.IFNA(_xlfn.IFS(AND(O450&lt;&gt;"",F450&lt;&gt;"",RIGHT($N450,6)="tarief",F450="Vergoeding"),SUM(O450)*FLOOR(SUM(Q450),0.0001),AND(O450&lt;&gt;"",F450&lt;&gt;"",RIGHT($N450,6)="tarief"),SUM(O450)*FLOOR(SUM(Q450),0.01),S450&gt;0,IF(F450&lt;&gt;"",FLOOR(SUM(S450),0.01),"")),""),""),"")</f>
        <v/>
      </c>
      <c r="V450" s="317" t="str" cm="1">
        <f t="array" aca="1" ref="V450" ca="1">IFERROR(IF(AA450&lt;&gt;"ja",_xlfn.IFNA(_xlfn.IFS(AND(P450&lt;&gt;"",R450&lt;&gt;"",RIGHT($N450,6)="tarief",F450="Vergoeding"),SUM(P450)*FLOOR(SUM(R450),0.0001),AND(P450&lt;&gt;"",R450&lt;&gt;"",RIGHT($N450,6)="tarief"),P450*FLOOR(R450,0.01),T450&gt;0,FLOOR(SUM(T450),0.01)),""),""),"")</f>
        <v/>
      </c>
      <c r="W450" s="317" t="str" cm="1">
        <f t="array" aca="1" ref="W450" ca="1">IFERROR(_xlfn.IFS(OR(F450="",LEFT(Methode_Keuze,4)="Geen",Methode_Keuze=""),"",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17" t="str" cm="1">
        <f t="array" aca="1" ref="X450" ca="1">IFERROR(_xlfn.IFS(OR(F450="",LEFT(Methode_Keuze,4)="Geen",Methode_Keuze=""),"",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26"/>
      <c r="Z450" s="319"/>
      <c r="AA450" s="32" t="str" cm="1">
        <f t="array" ref="AA450">IFERROR(IF(INDEX(SubsidieTabel!$AD$1:$AG$12,MATCH($F450,SubsidieTabel!$AD$1:$AD$12,0),IFERROR(MATCH(Methode_Keuze,SubsidieTabel!$AD$1:$AG$1,0),2))&lt;&gt;1=TRUE,"ja",""),"")</f>
        <v/>
      </c>
    </row>
    <row r="451" spans="1:27" x14ac:dyDescent="0.25">
      <c r="A451" s="320"/>
      <c r="B451" s="321" t="str">
        <f>IF(A451&lt;&gt;"",_xlfn.MAXIFS($B$1:B450,$A$1:A450,A451)+1,"")</f>
        <v/>
      </c>
      <c r="C451" s="299"/>
      <c r="D451" s="299"/>
      <c r="E451" s="299"/>
      <c r="F451" s="299"/>
      <c r="G451" s="330"/>
      <c r="H451" s="328"/>
      <c r="I451" s="329"/>
      <c r="J451" s="329"/>
      <c r="K451" s="322"/>
      <c r="L451" s="322"/>
      <c r="M451" s="323" t="str">
        <f>IFERROR(VLOOKUP(H451,Lijsten!$H$1:$I$100,2,0),"")</f>
        <v/>
      </c>
      <c r="N451" s="323" t="str">
        <f ca="1">IFERROR(IF(VLOOKUP(F451,Kostentypen!$A$3:$E$21,3,0)=0,"",IF(OR(F451="Arbeidskosten",F451="Vergoeding"),VLOOKUP(G451,Tb_KostenTypen[],2,0),VLOOKUP(F451,Kostentypen!$A$3:$E$20,3,0))),"")</f>
        <v/>
      </c>
      <c r="O451" s="324"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4"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3"/>
      <c r="R451" s="363"/>
      <c r="S451" s="325"/>
      <c r="T451" s="325"/>
      <c r="U451" s="317" t="str" cm="1">
        <f t="array" aca="1" ref="U451" ca="1">IFERROR(IF(AA451&lt;&gt;"ja",_xlfn.IFNA(_xlfn.IFS(AND(O451&lt;&gt;"",F451&lt;&gt;"",RIGHT($N451,6)="tarief",F451="Vergoeding"),SUM(O451)*FLOOR(SUM(Q451),0.0001),AND(O451&lt;&gt;"",F451&lt;&gt;"",RIGHT($N451,6)="tarief"),SUM(O451)*FLOOR(SUM(Q451),0.01),S451&gt;0,IF(F451&lt;&gt;"",FLOOR(SUM(S451),0.01),"")),""),""),"")</f>
        <v/>
      </c>
      <c r="V451" s="317" t="str" cm="1">
        <f t="array" aca="1" ref="V451" ca="1">IFERROR(IF(AA451&lt;&gt;"ja",_xlfn.IFNA(_xlfn.IFS(AND(P451&lt;&gt;"",R451&lt;&gt;"",RIGHT($N451,6)="tarief",F451="Vergoeding"),SUM(P451)*FLOOR(SUM(R451),0.0001),AND(P451&lt;&gt;"",R451&lt;&gt;"",RIGHT($N451,6)="tarief"),P451*FLOOR(R451,0.01),T451&gt;0,FLOOR(SUM(T451),0.01)),""),""),"")</f>
        <v/>
      </c>
      <c r="W451" s="317" t="str" cm="1">
        <f t="array" aca="1" ref="W451" ca="1">IFERROR(_xlfn.IFS(OR(F451="",LEFT(Methode_Keuze,4)="Geen",Methode_Keuze=""),"",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17" t="str" cm="1">
        <f t="array" aca="1" ref="X451" ca="1">IFERROR(_xlfn.IFS(OR(F451="",LEFT(Methode_Keuze,4)="Geen",Methode_Keuze=""),"",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26"/>
      <c r="Z451" s="319"/>
      <c r="AA451" s="32" t="str" cm="1">
        <f t="array" ref="AA451">IFERROR(IF(INDEX(SubsidieTabel!$AD$1:$AG$12,MATCH($F451,SubsidieTabel!$AD$1:$AD$12,0),IFERROR(MATCH(Methode_Keuze,SubsidieTabel!$AD$1:$AG$1,0),2))&lt;&gt;1=TRUE,"ja",""),"")</f>
        <v/>
      </c>
    </row>
    <row r="452" spans="1:27" x14ac:dyDescent="0.25">
      <c r="A452" s="320"/>
      <c r="B452" s="321" t="str">
        <f>IF(A452&lt;&gt;"",_xlfn.MAXIFS($B$1:B451,$A$1:A451,A452)+1,"")</f>
        <v/>
      </c>
      <c r="C452" s="299"/>
      <c r="D452" s="299"/>
      <c r="E452" s="299"/>
      <c r="F452" s="299"/>
      <c r="G452" s="330"/>
      <c r="H452" s="328"/>
      <c r="I452" s="329"/>
      <c r="J452" s="329"/>
      <c r="K452" s="322"/>
      <c r="L452" s="322"/>
      <c r="M452" s="323" t="str">
        <f>IFERROR(VLOOKUP(H452,Lijsten!$H$1:$I$100,2,0),"")</f>
        <v/>
      </c>
      <c r="N452" s="323" t="str">
        <f ca="1">IFERROR(IF(VLOOKUP(F452,Kostentypen!$A$3:$E$21,3,0)=0,"",IF(OR(F452="Arbeidskosten",F452="Vergoeding"),VLOOKUP(G452,Tb_KostenTypen[],2,0),VLOOKUP(F452,Kostentypen!$A$3:$E$20,3,0))),"")</f>
        <v/>
      </c>
      <c r="O452" s="324"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4"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3"/>
      <c r="R452" s="363"/>
      <c r="S452" s="325"/>
      <c r="T452" s="325"/>
      <c r="U452" s="317" t="str" cm="1">
        <f t="array" aca="1" ref="U452" ca="1">IFERROR(IF(AA452&lt;&gt;"ja",_xlfn.IFNA(_xlfn.IFS(AND(O452&lt;&gt;"",F452&lt;&gt;"",RIGHT($N452,6)="tarief",F452="Vergoeding"),SUM(O452)*FLOOR(SUM(Q452),0.0001),AND(O452&lt;&gt;"",F452&lt;&gt;"",RIGHT($N452,6)="tarief"),SUM(O452)*FLOOR(SUM(Q452),0.01),S452&gt;0,IF(F452&lt;&gt;"",FLOOR(SUM(S452),0.01),"")),""),""),"")</f>
        <v/>
      </c>
      <c r="V452" s="317" t="str" cm="1">
        <f t="array" aca="1" ref="V452" ca="1">IFERROR(IF(AA452&lt;&gt;"ja",_xlfn.IFNA(_xlfn.IFS(AND(P452&lt;&gt;"",R452&lt;&gt;"",RIGHT($N452,6)="tarief",F452="Vergoeding"),SUM(P452)*FLOOR(SUM(R452),0.0001),AND(P452&lt;&gt;"",R452&lt;&gt;"",RIGHT($N452,6)="tarief"),P452*FLOOR(R452,0.01),T452&gt;0,FLOOR(SUM(T452),0.01)),""),""),"")</f>
        <v/>
      </c>
      <c r="W452" s="317" t="str" cm="1">
        <f t="array" aca="1" ref="W452" ca="1">IFERROR(_xlfn.IFS(OR(F452="",LEFT(Methode_Keuze,4)="Geen",Methode_Keuze=""),"",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17" t="str" cm="1">
        <f t="array" aca="1" ref="X452" ca="1">IFERROR(_xlfn.IFS(OR(F452="",LEFT(Methode_Keuze,4)="Geen",Methode_Keuze=""),"",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26"/>
      <c r="Z452" s="319"/>
      <c r="AA452" s="32" t="str" cm="1">
        <f t="array" ref="AA452">IFERROR(IF(INDEX(SubsidieTabel!$AD$1:$AG$12,MATCH($F452,SubsidieTabel!$AD$1:$AD$12,0),IFERROR(MATCH(Methode_Keuze,SubsidieTabel!$AD$1:$AG$1,0),2))&lt;&gt;1=TRUE,"ja",""),"")</f>
        <v/>
      </c>
    </row>
    <row r="453" spans="1:27" x14ac:dyDescent="0.25">
      <c r="A453" s="320"/>
      <c r="B453" s="321" t="str">
        <f>IF(A453&lt;&gt;"",_xlfn.MAXIFS($B$1:B452,$A$1:A452,A453)+1,"")</f>
        <v/>
      </c>
      <c r="C453" s="299"/>
      <c r="D453" s="299"/>
      <c r="E453" s="299"/>
      <c r="F453" s="299"/>
      <c r="G453" s="330"/>
      <c r="H453" s="328"/>
      <c r="I453" s="329"/>
      <c r="J453" s="329"/>
      <c r="K453" s="322"/>
      <c r="L453" s="322"/>
      <c r="M453" s="323" t="str">
        <f>IFERROR(VLOOKUP(H453,Lijsten!$H$1:$I$100,2,0),"")</f>
        <v/>
      </c>
      <c r="N453" s="323" t="str">
        <f ca="1">IFERROR(IF(VLOOKUP(F453,Kostentypen!$A$3:$E$21,3,0)=0,"",IF(OR(F453="Arbeidskosten",F453="Vergoeding"),VLOOKUP(G453,Tb_KostenTypen[],2,0),VLOOKUP(F453,Kostentypen!$A$3:$E$20,3,0))),"")</f>
        <v/>
      </c>
      <c r="O453" s="324"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4"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3"/>
      <c r="R453" s="363"/>
      <c r="S453" s="325"/>
      <c r="T453" s="325"/>
      <c r="U453" s="317" t="str" cm="1">
        <f t="array" aca="1" ref="U453" ca="1">IFERROR(IF(AA453&lt;&gt;"ja",_xlfn.IFNA(_xlfn.IFS(AND(O453&lt;&gt;"",F453&lt;&gt;"",RIGHT($N453,6)="tarief",F453="Vergoeding"),SUM(O453)*FLOOR(SUM(Q453),0.0001),AND(O453&lt;&gt;"",F453&lt;&gt;"",RIGHT($N453,6)="tarief"),SUM(O453)*FLOOR(SUM(Q453),0.01),S453&gt;0,IF(F453&lt;&gt;"",FLOOR(SUM(S453),0.01),"")),""),""),"")</f>
        <v/>
      </c>
      <c r="V453" s="317" t="str" cm="1">
        <f t="array" aca="1" ref="V453" ca="1">IFERROR(IF(AA453&lt;&gt;"ja",_xlfn.IFNA(_xlfn.IFS(AND(P453&lt;&gt;"",R453&lt;&gt;"",RIGHT($N453,6)="tarief",F453="Vergoeding"),SUM(P453)*FLOOR(SUM(R453),0.0001),AND(P453&lt;&gt;"",R453&lt;&gt;"",RIGHT($N453,6)="tarief"),P453*FLOOR(R453,0.01),T453&gt;0,FLOOR(SUM(T453),0.01)),""),""),"")</f>
        <v/>
      </c>
      <c r="W453" s="317" t="str" cm="1">
        <f t="array" aca="1" ref="W453" ca="1">IFERROR(_xlfn.IFS(OR(F453="",LEFT(Methode_Keuze,4)="Geen",Methode_Keuze=""),"",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17" t="str" cm="1">
        <f t="array" aca="1" ref="X453" ca="1">IFERROR(_xlfn.IFS(OR(F453="",LEFT(Methode_Keuze,4)="Geen",Methode_Keuze=""),"",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26"/>
      <c r="Z453" s="319"/>
      <c r="AA453" s="32" t="str" cm="1">
        <f t="array" ref="AA453">IFERROR(IF(INDEX(SubsidieTabel!$AD$1:$AG$12,MATCH($F453,SubsidieTabel!$AD$1:$AD$12,0),IFERROR(MATCH(Methode_Keuze,SubsidieTabel!$AD$1:$AG$1,0),2))&lt;&gt;1=TRUE,"ja",""),"")</f>
        <v/>
      </c>
    </row>
    <row r="454" spans="1:27" x14ac:dyDescent="0.25">
      <c r="A454" s="320"/>
      <c r="B454" s="321" t="str">
        <f>IF(A454&lt;&gt;"",_xlfn.MAXIFS($B$1:B453,$A$1:A453,A454)+1,"")</f>
        <v/>
      </c>
      <c r="C454" s="299"/>
      <c r="D454" s="299"/>
      <c r="E454" s="299"/>
      <c r="F454" s="299"/>
      <c r="G454" s="330"/>
      <c r="H454" s="328"/>
      <c r="I454" s="329"/>
      <c r="J454" s="329"/>
      <c r="K454" s="322"/>
      <c r="L454" s="322"/>
      <c r="M454" s="323" t="str">
        <f>IFERROR(VLOOKUP(H454,Lijsten!$H$1:$I$100,2,0),"")</f>
        <v/>
      </c>
      <c r="N454" s="323" t="str">
        <f ca="1">IFERROR(IF(VLOOKUP(F454,Kostentypen!$A$3:$E$21,3,0)=0,"",IF(OR(F454="Arbeidskosten",F454="Vergoeding"),VLOOKUP(G454,Tb_KostenTypen[],2,0),VLOOKUP(F454,Kostentypen!$A$3:$E$20,3,0))),"")</f>
        <v/>
      </c>
      <c r="O454" s="324"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4"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3"/>
      <c r="R454" s="363"/>
      <c r="S454" s="325"/>
      <c r="T454" s="325"/>
      <c r="U454" s="317" t="str" cm="1">
        <f t="array" aca="1" ref="U454" ca="1">IFERROR(IF(AA454&lt;&gt;"ja",_xlfn.IFNA(_xlfn.IFS(AND(O454&lt;&gt;"",F454&lt;&gt;"",RIGHT($N454,6)="tarief",F454="Vergoeding"),SUM(O454)*FLOOR(SUM(Q454),0.0001),AND(O454&lt;&gt;"",F454&lt;&gt;"",RIGHT($N454,6)="tarief"),SUM(O454)*FLOOR(SUM(Q454),0.01),S454&gt;0,IF(F454&lt;&gt;"",FLOOR(SUM(S454),0.01),"")),""),""),"")</f>
        <v/>
      </c>
      <c r="V454" s="317" t="str" cm="1">
        <f t="array" aca="1" ref="V454" ca="1">IFERROR(IF(AA454&lt;&gt;"ja",_xlfn.IFNA(_xlfn.IFS(AND(P454&lt;&gt;"",R454&lt;&gt;"",RIGHT($N454,6)="tarief",F454="Vergoeding"),SUM(P454)*FLOOR(SUM(R454),0.0001),AND(P454&lt;&gt;"",R454&lt;&gt;"",RIGHT($N454,6)="tarief"),P454*FLOOR(R454,0.01),T454&gt;0,FLOOR(SUM(T454),0.01)),""),""),"")</f>
        <v/>
      </c>
      <c r="W454" s="317" t="str" cm="1">
        <f t="array" aca="1" ref="W454" ca="1">IFERROR(_xlfn.IFS(OR(F454="",LEFT(Methode_Keuze,4)="Geen",Methode_Keuze=""),"",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17" t="str" cm="1">
        <f t="array" aca="1" ref="X454" ca="1">IFERROR(_xlfn.IFS(OR(F454="",LEFT(Methode_Keuze,4)="Geen",Methode_Keuze=""),"",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26"/>
      <c r="Z454" s="319"/>
      <c r="AA454" s="32" t="str" cm="1">
        <f t="array" ref="AA454">IFERROR(IF(INDEX(SubsidieTabel!$AD$1:$AG$12,MATCH($F454,SubsidieTabel!$AD$1:$AD$12,0),IFERROR(MATCH(Methode_Keuze,SubsidieTabel!$AD$1:$AG$1,0),2))&lt;&gt;1=TRUE,"ja",""),"")</f>
        <v/>
      </c>
    </row>
    <row r="455" spans="1:27" x14ac:dyDescent="0.25">
      <c r="A455" s="320"/>
      <c r="B455" s="321" t="str">
        <f>IF(A455&lt;&gt;"",_xlfn.MAXIFS($B$1:B454,$A$1:A454,A455)+1,"")</f>
        <v/>
      </c>
      <c r="C455" s="299"/>
      <c r="D455" s="299"/>
      <c r="E455" s="299"/>
      <c r="F455" s="299"/>
      <c r="G455" s="330"/>
      <c r="H455" s="328"/>
      <c r="I455" s="329"/>
      <c r="J455" s="329"/>
      <c r="K455" s="322"/>
      <c r="L455" s="322"/>
      <c r="M455" s="323" t="str">
        <f>IFERROR(VLOOKUP(H455,Lijsten!$H$1:$I$100,2,0),"")</f>
        <v/>
      </c>
      <c r="N455" s="323" t="str">
        <f ca="1">IFERROR(IF(VLOOKUP(F455,Kostentypen!$A$3:$E$21,3,0)=0,"",IF(OR(F455="Arbeidskosten",F455="Vergoeding"),VLOOKUP(G455,Tb_KostenTypen[],2,0),VLOOKUP(F455,Kostentypen!$A$3:$E$20,3,0))),"")</f>
        <v/>
      </c>
      <c r="O455" s="324"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4"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3"/>
      <c r="R455" s="363"/>
      <c r="S455" s="325"/>
      <c r="T455" s="325"/>
      <c r="U455" s="317" t="str" cm="1">
        <f t="array" aca="1" ref="U455" ca="1">IFERROR(IF(AA455&lt;&gt;"ja",_xlfn.IFNA(_xlfn.IFS(AND(O455&lt;&gt;"",F455&lt;&gt;"",RIGHT($N455,6)="tarief",F455="Vergoeding"),SUM(O455)*FLOOR(SUM(Q455),0.0001),AND(O455&lt;&gt;"",F455&lt;&gt;"",RIGHT($N455,6)="tarief"),SUM(O455)*FLOOR(SUM(Q455),0.01),S455&gt;0,IF(F455&lt;&gt;"",FLOOR(SUM(S455),0.01),"")),""),""),"")</f>
        <v/>
      </c>
      <c r="V455" s="317" t="str" cm="1">
        <f t="array" aca="1" ref="V455" ca="1">IFERROR(IF(AA455&lt;&gt;"ja",_xlfn.IFNA(_xlfn.IFS(AND(P455&lt;&gt;"",R455&lt;&gt;"",RIGHT($N455,6)="tarief",F455="Vergoeding"),SUM(P455)*FLOOR(SUM(R455),0.0001),AND(P455&lt;&gt;"",R455&lt;&gt;"",RIGHT($N455,6)="tarief"),P455*FLOOR(R455,0.01),T455&gt;0,FLOOR(SUM(T455),0.01)),""),""),"")</f>
        <v/>
      </c>
      <c r="W455" s="317" t="str" cm="1">
        <f t="array" aca="1" ref="W455" ca="1">IFERROR(_xlfn.IFS(OR(F455="",LEFT(Methode_Keuze,4)="Geen",Methode_Keuze=""),"",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17" t="str" cm="1">
        <f t="array" aca="1" ref="X455" ca="1">IFERROR(_xlfn.IFS(OR(F455="",LEFT(Methode_Keuze,4)="Geen",Methode_Keuze=""),"",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26"/>
      <c r="Z455" s="319"/>
      <c r="AA455" s="32" t="str" cm="1">
        <f t="array" ref="AA455">IFERROR(IF(INDEX(SubsidieTabel!$AD$1:$AG$12,MATCH($F455,SubsidieTabel!$AD$1:$AD$12,0),IFERROR(MATCH(Methode_Keuze,SubsidieTabel!$AD$1:$AG$1,0),2))&lt;&gt;1=TRUE,"ja",""),"")</f>
        <v/>
      </c>
    </row>
    <row r="456" spans="1:27" x14ac:dyDescent="0.25">
      <c r="A456" s="320"/>
      <c r="B456" s="321" t="str">
        <f>IF(A456&lt;&gt;"",_xlfn.MAXIFS($B$1:B455,$A$1:A455,A456)+1,"")</f>
        <v/>
      </c>
      <c r="C456" s="299"/>
      <c r="D456" s="299"/>
      <c r="E456" s="299"/>
      <c r="F456" s="299"/>
      <c r="G456" s="330"/>
      <c r="H456" s="328"/>
      <c r="I456" s="329"/>
      <c r="J456" s="329"/>
      <c r="K456" s="322"/>
      <c r="L456" s="322"/>
      <c r="M456" s="323" t="str">
        <f>IFERROR(VLOOKUP(H456,Lijsten!$H$1:$I$100,2,0),"")</f>
        <v/>
      </c>
      <c r="N456" s="323" t="str">
        <f ca="1">IFERROR(IF(VLOOKUP(F456,Kostentypen!$A$3:$E$21,3,0)=0,"",IF(OR(F456="Arbeidskosten",F456="Vergoeding"),VLOOKUP(G456,Tb_KostenTypen[],2,0),VLOOKUP(F456,Kostentypen!$A$3:$E$20,3,0))),"")</f>
        <v/>
      </c>
      <c r="O456" s="324"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4"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3"/>
      <c r="R456" s="363"/>
      <c r="S456" s="325"/>
      <c r="T456" s="325"/>
      <c r="U456" s="317" t="str" cm="1">
        <f t="array" aca="1" ref="U456" ca="1">IFERROR(IF(AA456&lt;&gt;"ja",_xlfn.IFNA(_xlfn.IFS(AND(O456&lt;&gt;"",F456&lt;&gt;"",RIGHT($N456,6)="tarief",F456="Vergoeding"),SUM(O456)*FLOOR(SUM(Q456),0.0001),AND(O456&lt;&gt;"",F456&lt;&gt;"",RIGHT($N456,6)="tarief"),SUM(O456)*FLOOR(SUM(Q456),0.01),S456&gt;0,IF(F456&lt;&gt;"",FLOOR(SUM(S456),0.01),"")),""),""),"")</f>
        <v/>
      </c>
      <c r="V456" s="317" t="str" cm="1">
        <f t="array" aca="1" ref="V456" ca="1">IFERROR(IF(AA456&lt;&gt;"ja",_xlfn.IFNA(_xlfn.IFS(AND(P456&lt;&gt;"",R456&lt;&gt;"",RIGHT($N456,6)="tarief",F456="Vergoeding"),SUM(P456)*FLOOR(SUM(R456),0.0001),AND(P456&lt;&gt;"",R456&lt;&gt;"",RIGHT($N456,6)="tarief"),P456*FLOOR(R456,0.01),T456&gt;0,FLOOR(SUM(T456),0.01)),""),""),"")</f>
        <v/>
      </c>
      <c r="W456" s="317" t="str" cm="1">
        <f t="array" aca="1" ref="W456" ca="1">IFERROR(_xlfn.IFS(OR(F456="",LEFT(Methode_Keuze,4)="Geen",Methode_Keuze=""),"",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17" t="str" cm="1">
        <f t="array" aca="1" ref="X456" ca="1">IFERROR(_xlfn.IFS(OR(F456="",LEFT(Methode_Keuze,4)="Geen",Methode_Keuze=""),"",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26"/>
      <c r="Z456" s="319"/>
      <c r="AA456" s="32" t="str" cm="1">
        <f t="array" ref="AA456">IFERROR(IF(INDEX(SubsidieTabel!$AD$1:$AG$12,MATCH($F456,SubsidieTabel!$AD$1:$AD$12,0),IFERROR(MATCH(Methode_Keuze,SubsidieTabel!$AD$1:$AG$1,0),2))&lt;&gt;1=TRUE,"ja",""),"")</f>
        <v/>
      </c>
    </row>
    <row r="457" spans="1:27" x14ac:dyDescent="0.25">
      <c r="A457" s="320"/>
      <c r="B457" s="321" t="str">
        <f>IF(A457&lt;&gt;"",_xlfn.MAXIFS($B$1:B456,$A$1:A456,A457)+1,"")</f>
        <v/>
      </c>
      <c r="C457" s="299"/>
      <c r="D457" s="299"/>
      <c r="E457" s="299"/>
      <c r="F457" s="299"/>
      <c r="G457" s="330"/>
      <c r="H457" s="328"/>
      <c r="I457" s="329"/>
      <c r="J457" s="329"/>
      <c r="K457" s="322"/>
      <c r="L457" s="322"/>
      <c r="M457" s="323" t="str">
        <f>IFERROR(VLOOKUP(H457,Lijsten!$H$1:$I$100,2,0),"")</f>
        <v/>
      </c>
      <c r="N457" s="323" t="str">
        <f ca="1">IFERROR(IF(VLOOKUP(F457,Kostentypen!$A$3:$E$21,3,0)=0,"",IF(OR(F457="Arbeidskosten",F457="Vergoeding"),VLOOKUP(G457,Tb_KostenTypen[],2,0),VLOOKUP(F457,Kostentypen!$A$3:$E$20,3,0))),"")</f>
        <v/>
      </c>
      <c r="O457" s="324"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4"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3"/>
      <c r="R457" s="363"/>
      <c r="S457" s="325"/>
      <c r="T457" s="325"/>
      <c r="U457" s="317" t="str" cm="1">
        <f t="array" aca="1" ref="U457" ca="1">IFERROR(IF(AA457&lt;&gt;"ja",_xlfn.IFNA(_xlfn.IFS(AND(O457&lt;&gt;"",F457&lt;&gt;"",RIGHT($N457,6)="tarief",F457="Vergoeding"),SUM(O457)*FLOOR(SUM(Q457),0.0001),AND(O457&lt;&gt;"",F457&lt;&gt;"",RIGHT($N457,6)="tarief"),SUM(O457)*FLOOR(SUM(Q457),0.01),S457&gt;0,IF(F457&lt;&gt;"",FLOOR(SUM(S457),0.01),"")),""),""),"")</f>
        <v/>
      </c>
      <c r="V457" s="317" t="str" cm="1">
        <f t="array" aca="1" ref="V457" ca="1">IFERROR(IF(AA457&lt;&gt;"ja",_xlfn.IFNA(_xlfn.IFS(AND(P457&lt;&gt;"",R457&lt;&gt;"",RIGHT($N457,6)="tarief",F457="Vergoeding"),SUM(P457)*FLOOR(SUM(R457),0.0001),AND(P457&lt;&gt;"",R457&lt;&gt;"",RIGHT($N457,6)="tarief"),P457*FLOOR(R457,0.01),T457&gt;0,FLOOR(SUM(T457),0.01)),""),""),"")</f>
        <v/>
      </c>
      <c r="W457" s="317" t="str" cm="1">
        <f t="array" aca="1" ref="W457" ca="1">IFERROR(_xlfn.IFS(OR(F457="",LEFT(Methode_Keuze,4)="Geen",Methode_Keuze=""),"",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17" t="str" cm="1">
        <f t="array" aca="1" ref="X457" ca="1">IFERROR(_xlfn.IFS(OR(F457="",LEFT(Methode_Keuze,4)="Geen",Methode_Keuze=""),"",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26"/>
      <c r="Z457" s="319"/>
      <c r="AA457" s="32" t="str" cm="1">
        <f t="array" ref="AA457">IFERROR(IF(INDEX(SubsidieTabel!$AD$1:$AG$12,MATCH($F457,SubsidieTabel!$AD$1:$AD$12,0),IFERROR(MATCH(Methode_Keuze,SubsidieTabel!$AD$1:$AG$1,0),2))&lt;&gt;1=TRUE,"ja",""),"")</f>
        <v/>
      </c>
    </row>
    <row r="458" spans="1:27" x14ac:dyDescent="0.25">
      <c r="A458" s="320"/>
      <c r="B458" s="321" t="str">
        <f>IF(A458&lt;&gt;"",_xlfn.MAXIFS($B$1:B457,$A$1:A457,A458)+1,"")</f>
        <v/>
      </c>
      <c r="C458" s="299"/>
      <c r="D458" s="299"/>
      <c r="E458" s="299"/>
      <c r="F458" s="299"/>
      <c r="G458" s="330"/>
      <c r="H458" s="328"/>
      <c r="I458" s="329"/>
      <c r="J458" s="329"/>
      <c r="K458" s="322"/>
      <c r="L458" s="322"/>
      <c r="M458" s="323" t="str">
        <f>IFERROR(VLOOKUP(H458,Lijsten!$H$1:$I$100,2,0),"")</f>
        <v/>
      </c>
      <c r="N458" s="323" t="str">
        <f ca="1">IFERROR(IF(VLOOKUP(F458,Kostentypen!$A$3:$E$21,3,0)=0,"",IF(OR(F458="Arbeidskosten",F458="Vergoeding"),VLOOKUP(G458,Tb_KostenTypen[],2,0),VLOOKUP(F458,Kostentypen!$A$3:$E$20,3,0))),"")</f>
        <v/>
      </c>
      <c r="O458" s="324"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4"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3"/>
      <c r="R458" s="363"/>
      <c r="S458" s="325"/>
      <c r="T458" s="325"/>
      <c r="U458" s="317" t="str" cm="1">
        <f t="array" aca="1" ref="U458" ca="1">IFERROR(IF(AA458&lt;&gt;"ja",_xlfn.IFNA(_xlfn.IFS(AND(O458&lt;&gt;"",F458&lt;&gt;"",RIGHT($N458,6)="tarief",F458="Vergoeding"),SUM(O458)*FLOOR(SUM(Q458),0.0001),AND(O458&lt;&gt;"",F458&lt;&gt;"",RIGHT($N458,6)="tarief"),SUM(O458)*FLOOR(SUM(Q458),0.01),S458&gt;0,IF(F458&lt;&gt;"",FLOOR(SUM(S458),0.01),"")),""),""),"")</f>
        <v/>
      </c>
      <c r="V458" s="317" t="str" cm="1">
        <f t="array" aca="1" ref="V458" ca="1">IFERROR(IF(AA458&lt;&gt;"ja",_xlfn.IFNA(_xlfn.IFS(AND(P458&lt;&gt;"",R458&lt;&gt;"",RIGHT($N458,6)="tarief",F458="Vergoeding"),SUM(P458)*FLOOR(SUM(R458),0.0001),AND(P458&lt;&gt;"",R458&lt;&gt;"",RIGHT($N458,6)="tarief"),P458*FLOOR(R458,0.01),T458&gt;0,FLOOR(SUM(T458),0.01)),""),""),"")</f>
        <v/>
      </c>
      <c r="W458" s="317" t="str" cm="1">
        <f t="array" aca="1" ref="W458" ca="1">IFERROR(_xlfn.IFS(OR(F458="",LEFT(Methode_Keuze,4)="Geen",Methode_Keuze=""),"",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17" t="str" cm="1">
        <f t="array" aca="1" ref="X458" ca="1">IFERROR(_xlfn.IFS(OR(F458="",LEFT(Methode_Keuze,4)="Geen",Methode_Keuze=""),"",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26"/>
      <c r="Z458" s="319"/>
      <c r="AA458" s="32" t="str" cm="1">
        <f t="array" ref="AA458">IFERROR(IF(INDEX(SubsidieTabel!$AD$1:$AG$12,MATCH($F458,SubsidieTabel!$AD$1:$AD$12,0),IFERROR(MATCH(Methode_Keuze,SubsidieTabel!$AD$1:$AG$1,0),2))&lt;&gt;1=TRUE,"ja",""),"")</f>
        <v/>
      </c>
    </row>
    <row r="459" spans="1:27" x14ac:dyDescent="0.25">
      <c r="A459" s="320"/>
      <c r="B459" s="321" t="str">
        <f>IF(A459&lt;&gt;"",_xlfn.MAXIFS($B$1:B458,$A$1:A458,A459)+1,"")</f>
        <v/>
      </c>
      <c r="C459" s="299"/>
      <c r="D459" s="299"/>
      <c r="E459" s="299"/>
      <c r="F459" s="299"/>
      <c r="G459" s="330"/>
      <c r="H459" s="328"/>
      <c r="I459" s="329"/>
      <c r="J459" s="329"/>
      <c r="K459" s="322"/>
      <c r="L459" s="322"/>
      <c r="M459" s="323" t="str">
        <f>IFERROR(VLOOKUP(H459,Lijsten!$H$1:$I$100,2,0),"")</f>
        <v/>
      </c>
      <c r="N459" s="323" t="str">
        <f ca="1">IFERROR(IF(VLOOKUP(F459,Kostentypen!$A$3:$E$21,3,0)=0,"",IF(OR(F459="Arbeidskosten",F459="Vergoeding"),VLOOKUP(G459,Tb_KostenTypen[],2,0),VLOOKUP(F459,Kostentypen!$A$3:$E$20,3,0))),"")</f>
        <v/>
      </c>
      <c r="O459" s="324"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4"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3"/>
      <c r="R459" s="363"/>
      <c r="S459" s="325"/>
      <c r="T459" s="325"/>
      <c r="U459" s="317" t="str" cm="1">
        <f t="array" aca="1" ref="U459" ca="1">IFERROR(IF(AA459&lt;&gt;"ja",_xlfn.IFNA(_xlfn.IFS(AND(O459&lt;&gt;"",F459&lt;&gt;"",RIGHT($N459,6)="tarief",F459="Vergoeding"),SUM(O459)*FLOOR(SUM(Q459),0.0001),AND(O459&lt;&gt;"",F459&lt;&gt;"",RIGHT($N459,6)="tarief"),SUM(O459)*FLOOR(SUM(Q459),0.01),S459&gt;0,IF(F459&lt;&gt;"",FLOOR(SUM(S459),0.01),"")),""),""),"")</f>
        <v/>
      </c>
      <c r="V459" s="317" t="str" cm="1">
        <f t="array" aca="1" ref="V459" ca="1">IFERROR(IF(AA459&lt;&gt;"ja",_xlfn.IFNA(_xlfn.IFS(AND(P459&lt;&gt;"",R459&lt;&gt;"",RIGHT($N459,6)="tarief",F459="Vergoeding"),SUM(P459)*FLOOR(SUM(R459),0.0001),AND(P459&lt;&gt;"",R459&lt;&gt;"",RIGHT($N459,6)="tarief"),P459*FLOOR(R459,0.01),T459&gt;0,FLOOR(SUM(T459),0.01)),""),""),"")</f>
        <v/>
      </c>
      <c r="W459" s="317" t="str" cm="1">
        <f t="array" aca="1" ref="W459" ca="1">IFERROR(_xlfn.IFS(OR(F459="",LEFT(Methode_Keuze,4)="Geen",Methode_Keuze=""),"",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17" t="str" cm="1">
        <f t="array" aca="1" ref="X459" ca="1">IFERROR(_xlfn.IFS(OR(F459="",LEFT(Methode_Keuze,4)="Geen",Methode_Keuze=""),"",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26"/>
      <c r="Z459" s="319"/>
      <c r="AA459" s="32" t="str" cm="1">
        <f t="array" ref="AA459">IFERROR(IF(INDEX(SubsidieTabel!$AD$1:$AG$12,MATCH($F459,SubsidieTabel!$AD$1:$AD$12,0),IFERROR(MATCH(Methode_Keuze,SubsidieTabel!$AD$1:$AG$1,0),2))&lt;&gt;1=TRUE,"ja",""),"")</f>
        <v/>
      </c>
    </row>
    <row r="460" spans="1:27" x14ac:dyDescent="0.25">
      <c r="A460" s="320"/>
      <c r="B460" s="321" t="str">
        <f>IF(A460&lt;&gt;"",_xlfn.MAXIFS($B$1:B459,$A$1:A459,A460)+1,"")</f>
        <v/>
      </c>
      <c r="C460" s="299"/>
      <c r="D460" s="299"/>
      <c r="E460" s="299"/>
      <c r="F460" s="299"/>
      <c r="G460" s="330"/>
      <c r="H460" s="328"/>
      <c r="I460" s="329"/>
      <c r="J460" s="329"/>
      <c r="K460" s="322"/>
      <c r="L460" s="322"/>
      <c r="M460" s="323" t="str">
        <f>IFERROR(VLOOKUP(H460,Lijsten!$H$1:$I$100,2,0),"")</f>
        <v/>
      </c>
      <c r="N460" s="323" t="str">
        <f ca="1">IFERROR(IF(VLOOKUP(F460,Kostentypen!$A$3:$E$21,3,0)=0,"",IF(OR(F460="Arbeidskosten",F460="Vergoeding"),VLOOKUP(G460,Tb_KostenTypen[],2,0),VLOOKUP(F460,Kostentypen!$A$3:$E$20,3,0))),"")</f>
        <v/>
      </c>
      <c r="O460" s="324"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4"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3"/>
      <c r="R460" s="363"/>
      <c r="S460" s="325"/>
      <c r="T460" s="325"/>
      <c r="U460" s="317" t="str" cm="1">
        <f t="array" aca="1" ref="U460" ca="1">IFERROR(IF(AA460&lt;&gt;"ja",_xlfn.IFNA(_xlfn.IFS(AND(O460&lt;&gt;"",F460&lt;&gt;"",RIGHT($N460,6)="tarief",F460="Vergoeding"),SUM(O460)*FLOOR(SUM(Q460),0.0001),AND(O460&lt;&gt;"",F460&lt;&gt;"",RIGHT($N460,6)="tarief"),SUM(O460)*FLOOR(SUM(Q460),0.01),S460&gt;0,IF(F460&lt;&gt;"",FLOOR(SUM(S460),0.01),"")),""),""),"")</f>
        <v/>
      </c>
      <c r="V460" s="317" t="str" cm="1">
        <f t="array" aca="1" ref="V460" ca="1">IFERROR(IF(AA460&lt;&gt;"ja",_xlfn.IFNA(_xlfn.IFS(AND(P460&lt;&gt;"",R460&lt;&gt;"",RIGHT($N460,6)="tarief",F460="Vergoeding"),SUM(P460)*FLOOR(SUM(R460),0.0001),AND(P460&lt;&gt;"",R460&lt;&gt;"",RIGHT($N460,6)="tarief"),P460*FLOOR(R460,0.01),T460&gt;0,FLOOR(SUM(T460),0.01)),""),""),"")</f>
        <v/>
      </c>
      <c r="W460" s="317" t="str" cm="1">
        <f t="array" aca="1" ref="W460" ca="1">IFERROR(_xlfn.IFS(OR(F460="",LEFT(Methode_Keuze,4)="Geen",Methode_Keuze=""),"",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17" t="str" cm="1">
        <f t="array" aca="1" ref="X460" ca="1">IFERROR(_xlfn.IFS(OR(F460="",LEFT(Methode_Keuze,4)="Geen",Methode_Keuze=""),"",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26"/>
      <c r="Z460" s="319"/>
      <c r="AA460" s="32" t="str" cm="1">
        <f t="array" ref="AA460">IFERROR(IF(INDEX(SubsidieTabel!$AD$1:$AG$12,MATCH($F460,SubsidieTabel!$AD$1:$AD$12,0),IFERROR(MATCH(Methode_Keuze,SubsidieTabel!$AD$1:$AG$1,0),2))&lt;&gt;1=TRUE,"ja",""),"")</f>
        <v/>
      </c>
    </row>
    <row r="461" spans="1:27" x14ac:dyDescent="0.25">
      <c r="A461" s="320"/>
      <c r="B461" s="321" t="str">
        <f>IF(A461&lt;&gt;"",_xlfn.MAXIFS($B$1:B460,$A$1:A460,A461)+1,"")</f>
        <v/>
      </c>
      <c r="C461" s="299"/>
      <c r="D461" s="299"/>
      <c r="E461" s="299"/>
      <c r="F461" s="299"/>
      <c r="G461" s="330"/>
      <c r="H461" s="328"/>
      <c r="I461" s="329"/>
      <c r="J461" s="329"/>
      <c r="K461" s="322"/>
      <c r="L461" s="322"/>
      <c r="M461" s="323" t="str">
        <f>IFERROR(VLOOKUP(H461,Lijsten!$H$1:$I$100,2,0),"")</f>
        <v/>
      </c>
      <c r="N461" s="323" t="str">
        <f ca="1">IFERROR(IF(VLOOKUP(F461,Kostentypen!$A$3:$E$21,3,0)=0,"",IF(OR(F461="Arbeidskosten",F461="Vergoeding"),VLOOKUP(G461,Tb_KostenTypen[],2,0),VLOOKUP(F461,Kostentypen!$A$3:$E$20,3,0))),"")</f>
        <v/>
      </c>
      <c r="O461" s="324"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4"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3"/>
      <c r="R461" s="363"/>
      <c r="S461" s="325"/>
      <c r="T461" s="325"/>
      <c r="U461" s="317" t="str" cm="1">
        <f t="array" aca="1" ref="U461" ca="1">IFERROR(IF(AA461&lt;&gt;"ja",_xlfn.IFNA(_xlfn.IFS(AND(O461&lt;&gt;"",F461&lt;&gt;"",RIGHT($N461,6)="tarief",F461="Vergoeding"),SUM(O461)*FLOOR(SUM(Q461),0.0001),AND(O461&lt;&gt;"",F461&lt;&gt;"",RIGHT($N461,6)="tarief"),SUM(O461)*FLOOR(SUM(Q461),0.01),S461&gt;0,IF(F461&lt;&gt;"",FLOOR(SUM(S461),0.01),"")),""),""),"")</f>
        <v/>
      </c>
      <c r="V461" s="317" t="str" cm="1">
        <f t="array" aca="1" ref="V461" ca="1">IFERROR(IF(AA461&lt;&gt;"ja",_xlfn.IFNA(_xlfn.IFS(AND(P461&lt;&gt;"",R461&lt;&gt;"",RIGHT($N461,6)="tarief",F461="Vergoeding"),SUM(P461)*FLOOR(SUM(R461),0.0001),AND(P461&lt;&gt;"",R461&lt;&gt;"",RIGHT($N461,6)="tarief"),P461*FLOOR(R461,0.01),T461&gt;0,FLOOR(SUM(T461),0.01)),""),""),"")</f>
        <v/>
      </c>
      <c r="W461" s="317" t="str" cm="1">
        <f t="array" aca="1" ref="W461" ca="1">IFERROR(_xlfn.IFS(OR(F461="",LEFT(Methode_Keuze,4)="Geen",Methode_Keuze=""),"",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17" t="str" cm="1">
        <f t="array" aca="1" ref="X461" ca="1">IFERROR(_xlfn.IFS(OR(F461="",LEFT(Methode_Keuze,4)="Geen",Methode_Keuze=""),"",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26"/>
      <c r="Z461" s="319"/>
      <c r="AA461" s="32" t="str" cm="1">
        <f t="array" ref="AA461">IFERROR(IF(INDEX(SubsidieTabel!$AD$1:$AG$12,MATCH($F461,SubsidieTabel!$AD$1:$AD$12,0),IFERROR(MATCH(Methode_Keuze,SubsidieTabel!$AD$1:$AG$1,0),2))&lt;&gt;1=TRUE,"ja",""),"")</f>
        <v/>
      </c>
    </row>
    <row r="462" spans="1:27" x14ac:dyDescent="0.25">
      <c r="A462" s="320"/>
      <c r="B462" s="321" t="str">
        <f>IF(A462&lt;&gt;"",_xlfn.MAXIFS($B$1:B461,$A$1:A461,A462)+1,"")</f>
        <v/>
      </c>
      <c r="C462" s="299"/>
      <c r="D462" s="299"/>
      <c r="E462" s="299"/>
      <c r="F462" s="299"/>
      <c r="G462" s="330"/>
      <c r="H462" s="328"/>
      <c r="I462" s="329"/>
      <c r="J462" s="329"/>
      <c r="K462" s="322"/>
      <c r="L462" s="322"/>
      <c r="M462" s="323" t="str">
        <f>IFERROR(VLOOKUP(H462,Lijsten!$H$1:$I$100,2,0),"")</f>
        <v/>
      </c>
      <c r="N462" s="323" t="str">
        <f ca="1">IFERROR(IF(VLOOKUP(F462,Kostentypen!$A$3:$E$21,3,0)=0,"",IF(OR(F462="Arbeidskosten",F462="Vergoeding"),VLOOKUP(G462,Tb_KostenTypen[],2,0),VLOOKUP(F462,Kostentypen!$A$3:$E$20,3,0))),"")</f>
        <v/>
      </c>
      <c r="O462" s="324"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4"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3"/>
      <c r="R462" s="363"/>
      <c r="S462" s="325"/>
      <c r="T462" s="325"/>
      <c r="U462" s="317" t="str" cm="1">
        <f t="array" aca="1" ref="U462" ca="1">IFERROR(IF(AA462&lt;&gt;"ja",_xlfn.IFNA(_xlfn.IFS(AND(O462&lt;&gt;"",F462&lt;&gt;"",RIGHT($N462,6)="tarief",F462="Vergoeding"),SUM(O462)*FLOOR(SUM(Q462),0.0001),AND(O462&lt;&gt;"",F462&lt;&gt;"",RIGHT($N462,6)="tarief"),SUM(O462)*FLOOR(SUM(Q462),0.01),S462&gt;0,IF(F462&lt;&gt;"",FLOOR(SUM(S462),0.01),"")),""),""),"")</f>
        <v/>
      </c>
      <c r="V462" s="317" t="str" cm="1">
        <f t="array" aca="1" ref="V462" ca="1">IFERROR(IF(AA462&lt;&gt;"ja",_xlfn.IFNA(_xlfn.IFS(AND(P462&lt;&gt;"",R462&lt;&gt;"",RIGHT($N462,6)="tarief",F462="Vergoeding"),SUM(P462)*FLOOR(SUM(R462),0.0001),AND(P462&lt;&gt;"",R462&lt;&gt;"",RIGHT($N462,6)="tarief"),P462*FLOOR(R462,0.01),T462&gt;0,FLOOR(SUM(T462),0.01)),""),""),"")</f>
        <v/>
      </c>
      <c r="W462" s="317" t="str" cm="1">
        <f t="array" aca="1" ref="W462" ca="1">IFERROR(_xlfn.IFS(OR(F462="",LEFT(Methode_Keuze,4)="Geen",Methode_Keuze=""),"",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17" t="str" cm="1">
        <f t="array" aca="1" ref="X462" ca="1">IFERROR(_xlfn.IFS(OR(F462="",LEFT(Methode_Keuze,4)="Geen",Methode_Keuze=""),"",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26"/>
      <c r="Z462" s="319"/>
      <c r="AA462" s="32" t="str" cm="1">
        <f t="array" ref="AA462">IFERROR(IF(INDEX(SubsidieTabel!$AD$1:$AG$12,MATCH($F462,SubsidieTabel!$AD$1:$AD$12,0),IFERROR(MATCH(Methode_Keuze,SubsidieTabel!$AD$1:$AG$1,0),2))&lt;&gt;1=TRUE,"ja",""),"")</f>
        <v/>
      </c>
    </row>
    <row r="463" spans="1:27" x14ac:dyDescent="0.25">
      <c r="A463" s="320"/>
      <c r="B463" s="321" t="str">
        <f>IF(A463&lt;&gt;"",_xlfn.MAXIFS($B$1:B462,$A$1:A462,A463)+1,"")</f>
        <v/>
      </c>
      <c r="C463" s="299"/>
      <c r="D463" s="299"/>
      <c r="E463" s="299"/>
      <c r="F463" s="299"/>
      <c r="G463" s="330"/>
      <c r="H463" s="328"/>
      <c r="I463" s="329"/>
      <c r="J463" s="329"/>
      <c r="K463" s="322"/>
      <c r="L463" s="322"/>
      <c r="M463" s="323" t="str">
        <f>IFERROR(VLOOKUP(H463,Lijsten!$H$1:$I$100,2,0),"")</f>
        <v/>
      </c>
      <c r="N463" s="323" t="str">
        <f ca="1">IFERROR(IF(VLOOKUP(F463,Kostentypen!$A$3:$E$21,3,0)=0,"",IF(OR(F463="Arbeidskosten",F463="Vergoeding"),VLOOKUP(G463,Tb_KostenTypen[],2,0),VLOOKUP(F463,Kostentypen!$A$3:$E$20,3,0))),"")</f>
        <v/>
      </c>
      <c r="O463" s="324"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4"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3"/>
      <c r="R463" s="363"/>
      <c r="S463" s="325"/>
      <c r="T463" s="325"/>
      <c r="U463" s="317" t="str" cm="1">
        <f t="array" aca="1" ref="U463" ca="1">IFERROR(IF(AA463&lt;&gt;"ja",_xlfn.IFNA(_xlfn.IFS(AND(O463&lt;&gt;"",F463&lt;&gt;"",RIGHT($N463,6)="tarief",F463="Vergoeding"),SUM(O463)*FLOOR(SUM(Q463),0.0001),AND(O463&lt;&gt;"",F463&lt;&gt;"",RIGHT($N463,6)="tarief"),SUM(O463)*FLOOR(SUM(Q463),0.01),S463&gt;0,IF(F463&lt;&gt;"",FLOOR(SUM(S463),0.01),"")),""),""),"")</f>
        <v/>
      </c>
      <c r="V463" s="317" t="str" cm="1">
        <f t="array" aca="1" ref="V463" ca="1">IFERROR(IF(AA463&lt;&gt;"ja",_xlfn.IFNA(_xlfn.IFS(AND(P463&lt;&gt;"",R463&lt;&gt;"",RIGHT($N463,6)="tarief",F463="Vergoeding"),SUM(P463)*FLOOR(SUM(R463),0.0001),AND(P463&lt;&gt;"",R463&lt;&gt;"",RIGHT($N463,6)="tarief"),P463*FLOOR(R463,0.01),T463&gt;0,FLOOR(SUM(T463),0.01)),""),""),"")</f>
        <v/>
      </c>
      <c r="W463" s="317" t="str" cm="1">
        <f t="array" aca="1" ref="W463" ca="1">IFERROR(_xlfn.IFS(OR(F463="",LEFT(Methode_Keuze,4)="Geen",Methode_Keuze=""),"",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17" t="str" cm="1">
        <f t="array" aca="1" ref="X463" ca="1">IFERROR(_xlfn.IFS(OR(F463="",LEFT(Methode_Keuze,4)="Geen",Methode_Keuze=""),"",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26"/>
      <c r="Z463" s="319"/>
      <c r="AA463" s="32" t="str" cm="1">
        <f t="array" ref="AA463">IFERROR(IF(INDEX(SubsidieTabel!$AD$1:$AG$12,MATCH($F463,SubsidieTabel!$AD$1:$AD$12,0),IFERROR(MATCH(Methode_Keuze,SubsidieTabel!$AD$1:$AG$1,0),2))&lt;&gt;1=TRUE,"ja",""),"")</f>
        <v/>
      </c>
    </row>
    <row r="464" spans="1:27" x14ac:dyDescent="0.25">
      <c r="A464" s="320"/>
      <c r="B464" s="321" t="str">
        <f>IF(A464&lt;&gt;"",_xlfn.MAXIFS($B$1:B463,$A$1:A463,A464)+1,"")</f>
        <v/>
      </c>
      <c r="C464" s="299"/>
      <c r="D464" s="299"/>
      <c r="E464" s="299"/>
      <c r="F464" s="299"/>
      <c r="G464" s="330"/>
      <c r="H464" s="328"/>
      <c r="I464" s="329"/>
      <c r="J464" s="329"/>
      <c r="K464" s="322"/>
      <c r="L464" s="322"/>
      <c r="M464" s="323" t="str">
        <f>IFERROR(VLOOKUP(H464,Lijsten!$H$1:$I$100,2,0),"")</f>
        <v/>
      </c>
      <c r="N464" s="323" t="str">
        <f ca="1">IFERROR(IF(VLOOKUP(F464,Kostentypen!$A$3:$E$21,3,0)=0,"",IF(OR(F464="Arbeidskosten",F464="Vergoeding"),VLOOKUP(G464,Tb_KostenTypen[],2,0),VLOOKUP(F464,Kostentypen!$A$3:$E$20,3,0))),"")</f>
        <v/>
      </c>
      <c r="O464" s="324"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4"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3"/>
      <c r="R464" s="363"/>
      <c r="S464" s="325"/>
      <c r="T464" s="325"/>
      <c r="U464" s="317" t="str" cm="1">
        <f t="array" aca="1" ref="U464" ca="1">IFERROR(IF(AA464&lt;&gt;"ja",_xlfn.IFNA(_xlfn.IFS(AND(O464&lt;&gt;"",F464&lt;&gt;"",RIGHT($N464,6)="tarief",F464="Vergoeding"),SUM(O464)*FLOOR(SUM(Q464),0.0001),AND(O464&lt;&gt;"",F464&lt;&gt;"",RIGHT($N464,6)="tarief"),SUM(O464)*FLOOR(SUM(Q464),0.01),S464&gt;0,IF(F464&lt;&gt;"",FLOOR(SUM(S464),0.01),"")),""),""),"")</f>
        <v/>
      </c>
      <c r="V464" s="317" t="str" cm="1">
        <f t="array" aca="1" ref="V464" ca="1">IFERROR(IF(AA464&lt;&gt;"ja",_xlfn.IFNA(_xlfn.IFS(AND(P464&lt;&gt;"",R464&lt;&gt;"",RIGHT($N464,6)="tarief",F464="Vergoeding"),SUM(P464)*FLOOR(SUM(R464),0.0001),AND(P464&lt;&gt;"",R464&lt;&gt;"",RIGHT($N464,6)="tarief"),P464*FLOOR(R464,0.01),T464&gt;0,FLOOR(SUM(T464),0.01)),""),""),"")</f>
        <v/>
      </c>
      <c r="W464" s="317" t="str" cm="1">
        <f t="array" aca="1" ref="W464" ca="1">IFERROR(_xlfn.IFS(OR(F464="",LEFT(Methode_Keuze,4)="Geen",Methode_Keuze=""),"",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17" t="str" cm="1">
        <f t="array" aca="1" ref="X464" ca="1">IFERROR(_xlfn.IFS(OR(F464="",LEFT(Methode_Keuze,4)="Geen",Methode_Keuze=""),"",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26"/>
      <c r="Z464" s="319"/>
      <c r="AA464" s="32" t="str" cm="1">
        <f t="array" ref="AA464">IFERROR(IF(INDEX(SubsidieTabel!$AD$1:$AG$12,MATCH($F464,SubsidieTabel!$AD$1:$AD$12,0),IFERROR(MATCH(Methode_Keuze,SubsidieTabel!$AD$1:$AG$1,0),2))&lt;&gt;1=TRUE,"ja",""),"")</f>
        <v/>
      </c>
    </row>
    <row r="465" spans="1:27" x14ac:dyDescent="0.25">
      <c r="A465" s="320"/>
      <c r="B465" s="321" t="str">
        <f>IF(A465&lt;&gt;"",_xlfn.MAXIFS($B$1:B464,$A$1:A464,A465)+1,"")</f>
        <v/>
      </c>
      <c r="C465" s="299"/>
      <c r="D465" s="299"/>
      <c r="E465" s="299"/>
      <c r="F465" s="299"/>
      <c r="G465" s="330"/>
      <c r="H465" s="328"/>
      <c r="I465" s="329"/>
      <c r="J465" s="329"/>
      <c r="K465" s="322"/>
      <c r="L465" s="322"/>
      <c r="M465" s="323" t="str">
        <f>IFERROR(VLOOKUP(H465,Lijsten!$H$1:$I$100,2,0),"")</f>
        <v/>
      </c>
      <c r="N465" s="323" t="str">
        <f ca="1">IFERROR(IF(VLOOKUP(F465,Kostentypen!$A$3:$E$21,3,0)=0,"",IF(OR(F465="Arbeidskosten",F465="Vergoeding"),VLOOKUP(G465,Tb_KostenTypen[],2,0),VLOOKUP(F465,Kostentypen!$A$3:$E$20,3,0))),"")</f>
        <v/>
      </c>
      <c r="O465" s="324"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4"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3"/>
      <c r="R465" s="363"/>
      <c r="S465" s="325"/>
      <c r="T465" s="325"/>
      <c r="U465" s="317" t="str" cm="1">
        <f t="array" aca="1" ref="U465" ca="1">IFERROR(IF(AA465&lt;&gt;"ja",_xlfn.IFNA(_xlfn.IFS(AND(O465&lt;&gt;"",F465&lt;&gt;"",RIGHT($N465,6)="tarief",F465="Vergoeding"),SUM(O465)*FLOOR(SUM(Q465),0.0001),AND(O465&lt;&gt;"",F465&lt;&gt;"",RIGHT($N465,6)="tarief"),SUM(O465)*FLOOR(SUM(Q465),0.01),S465&gt;0,IF(F465&lt;&gt;"",FLOOR(SUM(S465),0.01),"")),""),""),"")</f>
        <v/>
      </c>
      <c r="V465" s="317" t="str" cm="1">
        <f t="array" aca="1" ref="V465" ca="1">IFERROR(IF(AA465&lt;&gt;"ja",_xlfn.IFNA(_xlfn.IFS(AND(P465&lt;&gt;"",R465&lt;&gt;"",RIGHT($N465,6)="tarief",F465="Vergoeding"),SUM(P465)*FLOOR(SUM(R465),0.0001),AND(P465&lt;&gt;"",R465&lt;&gt;"",RIGHT($N465,6)="tarief"),P465*FLOOR(R465,0.01),T465&gt;0,FLOOR(SUM(T465),0.01)),""),""),"")</f>
        <v/>
      </c>
      <c r="W465" s="317" t="str" cm="1">
        <f t="array" aca="1" ref="W465" ca="1">IFERROR(_xlfn.IFS(OR(F465="",LEFT(Methode_Keuze,4)="Geen",Methode_Keuze=""),"",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17" t="str" cm="1">
        <f t="array" aca="1" ref="X465" ca="1">IFERROR(_xlfn.IFS(OR(F465="",LEFT(Methode_Keuze,4)="Geen",Methode_Keuze=""),"",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26"/>
      <c r="Z465" s="319"/>
      <c r="AA465" s="32" t="str" cm="1">
        <f t="array" ref="AA465">IFERROR(IF(INDEX(SubsidieTabel!$AD$1:$AG$12,MATCH($F465,SubsidieTabel!$AD$1:$AD$12,0),IFERROR(MATCH(Methode_Keuze,SubsidieTabel!$AD$1:$AG$1,0),2))&lt;&gt;1=TRUE,"ja",""),"")</f>
        <v/>
      </c>
    </row>
    <row r="466" spans="1:27" x14ac:dyDescent="0.25">
      <c r="A466" s="320"/>
      <c r="B466" s="321" t="str">
        <f>IF(A466&lt;&gt;"",_xlfn.MAXIFS($B$1:B465,$A$1:A465,A466)+1,"")</f>
        <v/>
      </c>
      <c r="C466" s="299"/>
      <c r="D466" s="299"/>
      <c r="E466" s="299"/>
      <c r="F466" s="299"/>
      <c r="G466" s="330"/>
      <c r="H466" s="328"/>
      <c r="I466" s="329"/>
      <c r="J466" s="329"/>
      <c r="K466" s="322"/>
      <c r="L466" s="322"/>
      <c r="M466" s="323" t="str">
        <f>IFERROR(VLOOKUP(H466,Lijsten!$H$1:$I$100,2,0),"")</f>
        <v/>
      </c>
      <c r="N466" s="323" t="str">
        <f ca="1">IFERROR(IF(VLOOKUP(F466,Kostentypen!$A$3:$E$21,3,0)=0,"",IF(OR(F466="Arbeidskosten",F466="Vergoeding"),VLOOKUP(G466,Tb_KostenTypen[],2,0),VLOOKUP(F466,Kostentypen!$A$3:$E$20,3,0))),"")</f>
        <v/>
      </c>
      <c r="O466" s="324"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4"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3"/>
      <c r="R466" s="363"/>
      <c r="S466" s="325"/>
      <c r="T466" s="325"/>
      <c r="U466" s="317" t="str" cm="1">
        <f t="array" aca="1" ref="U466" ca="1">IFERROR(IF(AA466&lt;&gt;"ja",_xlfn.IFNA(_xlfn.IFS(AND(O466&lt;&gt;"",F466&lt;&gt;"",RIGHT($N466,6)="tarief",F466="Vergoeding"),SUM(O466)*FLOOR(SUM(Q466),0.0001),AND(O466&lt;&gt;"",F466&lt;&gt;"",RIGHT($N466,6)="tarief"),SUM(O466)*FLOOR(SUM(Q466),0.01),S466&gt;0,IF(F466&lt;&gt;"",FLOOR(SUM(S466),0.01),"")),""),""),"")</f>
        <v/>
      </c>
      <c r="V466" s="317" t="str" cm="1">
        <f t="array" aca="1" ref="V466" ca="1">IFERROR(IF(AA466&lt;&gt;"ja",_xlfn.IFNA(_xlfn.IFS(AND(P466&lt;&gt;"",R466&lt;&gt;"",RIGHT($N466,6)="tarief",F466="Vergoeding"),SUM(P466)*FLOOR(SUM(R466),0.0001),AND(P466&lt;&gt;"",R466&lt;&gt;"",RIGHT($N466,6)="tarief"),P466*FLOOR(R466,0.01),T466&gt;0,FLOOR(SUM(T466),0.01)),""),""),"")</f>
        <v/>
      </c>
      <c r="W466" s="317" t="str" cm="1">
        <f t="array" aca="1" ref="W466" ca="1">IFERROR(_xlfn.IFS(OR(F466="",LEFT(Methode_Keuze,4)="Geen",Methode_Keuze=""),"",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17" t="str" cm="1">
        <f t="array" aca="1" ref="X466" ca="1">IFERROR(_xlfn.IFS(OR(F466="",LEFT(Methode_Keuze,4)="Geen",Methode_Keuze=""),"",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26"/>
      <c r="Z466" s="319"/>
      <c r="AA466" s="32" t="str" cm="1">
        <f t="array" ref="AA466">IFERROR(IF(INDEX(SubsidieTabel!$AD$1:$AG$12,MATCH($F466,SubsidieTabel!$AD$1:$AD$12,0),IFERROR(MATCH(Methode_Keuze,SubsidieTabel!$AD$1:$AG$1,0),2))&lt;&gt;1=TRUE,"ja",""),"")</f>
        <v/>
      </c>
    </row>
    <row r="467" spans="1:27" x14ac:dyDescent="0.25">
      <c r="A467" s="320"/>
      <c r="B467" s="321" t="str">
        <f>IF(A467&lt;&gt;"",_xlfn.MAXIFS($B$1:B466,$A$1:A466,A467)+1,"")</f>
        <v/>
      </c>
      <c r="C467" s="299"/>
      <c r="D467" s="299"/>
      <c r="E467" s="299"/>
      <c r="F467" s="299"/>
      <c r="G467" s="330"/>
      <c r="H467" s="328"/>
      <c r="I467" s="329"/>
      <c r="J467" s="329"/>
      <c r="K467" s="322"/>
      <c r="L467" s="322"/>
      <c r="M467" s="323" t="str">
        <f>IFERROR(VLOOKUP(H467,Lijsten!$H$1:$I$100,2,0),"")</f>
        <v/>
      </c>
      <c r="N467" s="323" t="str">
        <f ca="1">IFERROR(IF(VLOOKUP(F467,Kostentypen!$A$3:$E$21,3,0)=0,"",IF(OR(F467="Arbeidskosten",F467="Vergoeding"),VLOOKUP(G467,Tb_KostenTypen[],2,0),VLOOKUP(F467,Kostentypen!$A$3:$E$20,3,0))),"")</f>
        <v/>
      </c>
      <c r="O467" s="324"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4"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3"/>
      <c r="R467" s="363"/>
      <c r="S467" s="325"/>
      <c r="T467" s="325"/>
      <c r="U467" s="317" t="str" cm="1">
        <f t="array" aca="1" ref="U467" ca="1">IFERROR(IF(AA467&lt;&gt;"ja",_xlfn.IFNA(_xlfn.IFS(AND(O467&lt;&gt;"",F467&lt;&gt;"",RIGHT($N467,6)="tarief",F467="Vergoeding"),SUM(O467)*FLOOR(SUM(Q467),0.0001),AND(O467&lt;&gt;"",F467&lt;&gt;"",RIGHT($N467,6)="tarief"),SUM(O467)*FLOOR(SUM(Q467),0.01),S467&gt;0,IF(F467&lt;&gt;"",FLOOR(SUM(S467),0.01),"")),""),""),"")</f>
        <v/>
      </c>
      <c r="V467" s="317" t="str" cm="1">
        <f t="array" aca="1" ref="V467" ca="1">IFERROR(IF(AA467&lt;&gt;"ja",_xlfn.IFNA(_xlfn.IFS(AND(P467&lt;&gt;"",R467&lt;&gt;"",RIGHT($N467,6)="tarief",F467="Vergoeding"),SUM(P467)*FLOOR(SUM(R467),0.0001),AND(P467&lt;&gt;"",R467&lt;&gt;"",RIGHT($N467,6)="tarief"),P467*FLOOR(R467,0.01),T467&gt;0,FLOOR(SUM(T467),0.01)),""),""),"")</f>
        <v/>
      </c>
      <c r="W467" s="317" t="str" cm="1">
        <f t="array" aca="1" ref="W467" ca="1">IFERROR(_xlfn.IFS(OR(F467="",LEFT(Methode_Keuze,4)="Geen",Methode_Keuze=""),"",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17" t="str" cm="1">
        <f t="array" aca="1" ref="X467" ca="1">IFERROR(_xlfn.IFS(OR(F467="",LEFT(Methode_Keuze,4)="Geen",Methode_Keuze=""),"",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26"/>
      <c r="Z467" s="319"/>
      <c r="AA467" s="32" t="str" cm="1">
        <f t="array" ref="AA467">IFERROR(IF(INDEX(SubsidieTabel!$AD$1:$AG$12,MATCH($F467,SubsidieTabel!$AD$1:$AD$12,0),IFERROR(MATCH(Methode_Keuze,SubsidieTabel!$AD$1:$AG$1,0),2))&lt;&gt;1=TRUE,"ja",""),"")</f>
        <v/>
      </c>
    </row>
    <row r="468" spans="1:27" x14ac:dyDescent="0.25">
      <c r="A468" s="320"/>
      <c r="B468" s="321" t="str">
        <f>IF(A468&lt;&gt;"",_xlfn.MAXIFS($B$1:B467,$A$1:A467,A468)+1,"")</f>
        <v/>
      </c>
      <c r="C468" s="299"/>
      <c r="D468" s="299"/>
      <c r="E468" s="299"/>
      <c r="F468" s="299"/>
      <c r="G468" s="330"/>
      <c r="H468" s="328"/>
      <c r="I468" s="329"/>
      <c r="J468" s="329"/>
      <c r="K468" s="322"/>
      <c r="L468" s="322"/>
      <c r="M468" s="323" t="str">
        <f>IFERROR(VLOOKUP(H468,Lijsten!$H$1:$I$100,2,0),"")</f>
        <v/>
      </c>
      <c r="N468" s="323" t="str">
        <f ca="1">IFERROR(IF(VLOOKUP(F468,Kostentypen!$A$3:$E$21,3,0)=0,"",IF(OR(F468="Arbeidskosten",F468="Vergoeding"),VLOOKUP(G468,Tb_KostenTypen[],2,0),VLOOKUP(F468,Kostentypen!$A$3:$E$20,3,0))),"")</f>
        <v/>
      </c>
      <c r="O468" s="324"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4"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3"/>
      <c r="R468" s="363"/>
      <c r="S468" s="325"/>
      <c r="T468" s="325"/>
      <c r="U468" s="317" t="str" cm="1">
        <f t="array" aca="1" ref="U468" ca="1">IFERROR(IF(AA468&lt;&gt;"ja",_xlfn.IFNA(_xlfn.IFS(AND(O468&lt;&gt;"",F468&lt;&gt;"",RIGHT($N468,6)="tarief",F468="Vergoeding"),SUM(O468)*FLOOR(SUM(Q468),0.0001),AND(O468&lt;&gt;"",F468&lt;&gt;"",RIGHT($N468,6)="tarief"),SUM(O468)*FLOOR(SUM(Q468),0.01),S468&gt;0,IF(F468&lt;&gt;"",FLOOR(SUM(S468),0.01),"")),""),""),"")</f>
        <v/>
      </c>
      <c r="V468" s="317" t="str" cm="1">
        <f t="array" aca="1" ref="V468" ca="1">IFERROR(IF(AA468&lt;&gt;"ja",_xlfn.IFNA(_xlfn.IFS(AND(P468&lt;&gt;"",R468&lt;&gt;"",RIGHT($N468,6)="tarief",F468="Vergoeding"),SUM(P468)*FLOOR(SUM(R468),0.0001),AND(P468&lt;&gt;"",R468&lt;&gt;"",RIGHT($N468,6)="tarief"),P468*FLOOR(R468,0.01),T468&gt;0,FLOOR(SUM(T468),0.01)),""),""),"")</f>
        <v/>
      </c>
      <c r="W468" s="317" t="str" cm="1">
        <f t="array" aca="1" ref="W468" ca="1">IFERROR(_xlfn.IFS(OR(F468="",LEFT(Methode_Keuze,4)="Geen",Methode_Keuze=""),"",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17" t="str" cm="1">
        <f t="array" aca="1" ref="X468" ca="1">IFERROR(_xlfn.IFS(OR(F468="",LEFT(Methode_Keuze,4)="Geen",Methode_Keuze=""),"",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26"/>
      <c r="Z468" s="319"/>
      <c r="AA468" s="32" t="str" cm="1">
        <f t="array" ref="AA468">IFERROR(IF(INDEX(SubsidieTabel!$AD$1:$AG$12,MATCH($F468,SubsidieTabel!$AD$1:$AD$12,0),IFERROR(MATCH(Methode_Keuze,SubsidieTabel!$AD$1:$AG$1,0),2))&lt;&gt;1=TRUE,"ja",""),"")</f>
        <v/>
      </c>
    </row>
    <row r="469" spans="1:27" x14ac:dyDescent="0.25">
      <c r="A469" s="320"/>
      <c r="B469" s="321" t="str">
        <f>IF(A469&lt;&gt;"",_xlfn.MAXIFS($B$1:B468,$A$1:A468,A469)+1,"")</f>
        <v/>
      </c>
      <c r="C469" s="299"/>
      <c r="D469" s="299"/>
      <c r="E469" s="299"/>
      <c r="F469" s="299"/>
      <c r="G469" s="330"/>
      <c r="H469" s="328"/>
      <c r="I469" s="329"/>
      <c r="J469" s="329"/>
      <c r="K469" s="322"/>
      <c r="L469" s="322"/>
      <c r="M469" s="323" t="str">
        <f>IFERROR(VLOOKUP(H469,Lijsten!$H$1:$I$100,2,0),"")</f>
        <v/>
      </c>
      <c r="N469" s="323" t="str">
        <f ca="1">IFERROR(IF(VLOOKUP(F469,Kostentypen!$A$3:$E$21,3,0)=0,"",IF(OR(F469="Arbeidskosten",F469="Vergoeding"),VLOOKUP(G469,Tb_KostenTypen[],2,0),VLOOKUP(F469,Kostentypen!$A$3:$E$20,3,0))),"")</f>
        <v/>
      </c>
      <c r="O469" s="324"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4"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3"/>
      <c r="R469" s="363"/>
      <c r="S469" s="325"/>
      <c r="T469" s="325"/>
      <c r="U469" s="317" t="str" cm="1">
        <f t="array" aca="1" ref="U469" ca="1">IFERROR(IF(AA469&lt;&gt;"ja",_xlfn.IFNA(_xlfn.IFS(AND(O469&lt;&gt;"",F469&lt;&gt;"",RIGHT($N469,6)="tarief",F469="Vergoeding"),SUM(O469)*FLOOR(SUM(Q469),0.0001),AND(O469&lt;&gt;"",F469&lt;&gt;"",RIGHT($N469,6)="tarief"),SUM(O469)*FLOOR(SUM(Q469),0.01),S469&gt;0,IF(F469&lt;&gt;"",FLOOR(SUM(S469),0.01),"")),""),""),"")</f>
        <v/>
      </c>
      <c r="V469" s="317" t="str" cm="1">
        <f t="array" aca="1" ref="V469" ca="1">IFERROR(IF(AA469&lt;&gt;"ja",_xlfn.IFNA(_xlfn.IFS(AND(P469&lt;&gt;"",R469&lt;&gt;"",RIGHT($N469,6)="tarief",F469="Vergoeding"),SUM(P469)*FLOOR(SUM(R469),0.0001),AND(P469&lt;&gt;"",R469&lt;&gt;"",RIGHT($N469,6)="tarief"),P469*FLOOR(R469,0.01),T469&gt;0,FLOOR(SUM(T469),0.01)),""),""),"")</f>
        <v/>
      </c>
      <c r="W469" s="317" t="str" cm="1">
        <f t="array" aca="1" ref="W469" ca="1">IFERROR(_xlfn.IFS(OR(F469="",LEFT(Methode_Keuze,4)="Geen",Methode_Keuze=""),"",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17" t="str" cm="1">
        <f t="array" aca="1" ref="X469" ca="1">IFERROR(_xlfn.IFS(OR(F469="",LEFT(Methode_Keuze,4)="Geen",Methode_Keuze=""),"",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26"/>
      <c r="Z469" s="319"/>
      <c r="AA469" s="32" t="str" cm="1">
        <f t="array" ref="AA469">IFERROR(IF(INDEX(SubsidieTabel!$AD$1:$AG$12,MATCH($F469,SubsidieTabel!$AD$1:$AD$12,0),IFERROR(MATCH(Methode_Keuze,SubsidieTabel!$AD$1:$AG$1,0),2))&lt;&gt;1=TRUE,"ja",""),"")</f>
        <v/>
      </c>
    </row>
    <row r="470" spans="1:27" x14ac:dyDescent="0.25">
      <c r="A470" s="320"/>
      <c r="B470" s="321" t="str">
        <f>IF(A470&lt;&gt;"",_xlfn.MAXIFS($B$1:B469,$A$1:A469,A470)+1,"")</f>
        <v/>
      </c>
      <c r="C470" s="299"/>
      <c r="D470" s="299"/>
      <c r="E470" s="299"/>
      <c r="F470" s="299"/>
      <c r="G470" s="330"/>
      <c r="H470" s="328"/>
      <c r="I470" s="329"/>
      <c r="J470" s="329"/>
      <c r="K470" s="322"/>
      <c r="L470" s="322"/>
      <c r="M470" s="323" t="str">
        <f>IFERROR(VLOOKUP(H470,Lijsten!$H$1:$I$100,2,0),"")</f>
        <v/>
      </c>
      <c r="N470" s="323" t="str">
        <f ca="1">IFERROR(IF(VLOOKUP(F470,Kostentypen!$A$3:$E$21,3,0)=0,"",IF(OR(F470="Arbeidskosten",F470="Vergoeding"),VLOOKUP(G470,Tb_KostenTypen[],2,0),VLOOKUP(F470,Kostentypen!$A$3:$E$20,3,0))),"")</f>
        <v/>
      </c>
      <c r="O470" s="324"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4"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3"/>
      <c r="R470" s="363"/>
      <c r="S470" s="325"/>
      <c r="T470" s="325"/>
      <c r="U470" s="317" t="str" cm="1">
        <f t="array" aca="1" ref="U470" ca="1">IFERROR(IF(AA470&lt;&gt;"ja",_xlfn.IFNA(_xlfn.IFS(AND(O470&lt;&gt;"",F470&lt;&gt;"",RIGHT($N470,6)="tarief",F470="Vergoeding"),SUM(O470)*FLOOR(SUM(Q470),0.0001),AND(O470&lt;&gt;"",F470&lt;&gt;"",RIGHT($N470,6)="tarief"),SUM(O470)*FLOOR(SUM(Q470),0.01),S470&gt;0,IF(F470&lt;&gt;"",FLOOR(SUM(S470),0.01),"")),""),""),"")</f>
        <v/>
      </c>
      <c r="V470" s="317" t="str" cm="1">
        <f t="array" aca="1" ref="V470" ca="1">IFERROR(IF(AA470&lt;&gt;"ja",_xlfn.IFNA(_xlfn.IFS(AND(P470&lt;&gt;"",R470&lt;&gt;"",RIGHT($N470,6)="tarief",F470="Vergoeding"),SUM(P470)*FLOOR(SUM(R470),0.0001),AND(P470&lt;&gt;"",R470&lt;&gt;"",RIGHT($N470,6)="tarief"),P470*FLOOR(R470,0.01),T470&gt;0,FLOOR(SUM(T470),0.01)),""),""),"")</f>
        <v/>
      </c>
      <c r="W470" s="317" t="str" cm="1">
        <f t="array" aca="1" ref="W470" ca="1">IFERROR(_xlfn.IFS(OR(F470="",LEFT(Methode_Keuze,4)="Geen",Methode_Keuze=""),"",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17" t="str" cm="1">
        <f t="array" aca="1" ref="X470" ca="1">IFERROR(_xlfn.IFS(OR(F470="",LEFT(Methode_Keuze,4)="Geen",Methode_Keuze=""),"",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26"/>
      <c r="Z470" s="319"/>
      <c r="AA470" s="32" t="str" cm="1">
        <f t="array" ref="AA470">IFERROR(IF(INDEX(SubsidieTabel!$AD$1:$AG$12,MATCH($F470,SubsidieTabel!$AD$1:$AD$12,0),IFERROR(MATCH(Methode_Keuze,SubsidieTabel!$AD$1:$AG$1,0),2))&lt;&gt;1=TRUE,"ja",""),"")</f>
        <v/>
      </c>
    </row>
    <row r="471" spans="1:27" x14ac:dyDescent="0.25">
      <c r="A471" s="320"/>
      <c r="B471" s="321" t="str">
        <f>IF(A471&lt;&gt;"",_xlfn.MAXIFS($B$1:B470,$A$1:A470,A471)+1,"")</f>
        <v/>
      </c>
      <c r="C471" s="299"/>
      <c r="D471" s="299"/>
      <c r="E471" s="299"/>
      <c r="F471" s="299"/>
      <c r="G471" s="330"/>
      <c r="H471" s="328"/>
      <c r="I471" s="329"/>
      <c r="J471" s="329"/>
      <c r="K471" s="322"/>
      <c r="L471" s="322"/>
      <c r="M471" s="323" t="str">
        <f>IFERROR(VLOOKUP(H471,Lijsten!$H$1:$I$100,2,0),"")</f>
        <v/>
      </c>
      <c r="N471" s="323" t="str">
        <f ca="1">IFERROR(IF(VLOOKUP(F471,Kostentypen!$A$3:$E$21,3,0)=0,"",IF(OR(F471="Arbeidskosten",F471="Vergoeding"),VLOOKUP(G471,Tb_KostenTypen[],2,0),VLOOKUP(F471,Kostentypen!$A$3:$E$20,3,0))),"")</f>
        <v/>
      </c>
      <c r="O471" s="324"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4"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3"/>
      <c r="R471" s="363"/>
      <c r="S471" s="325"/>
      <c r="T471" s="325"/>
      <c r="U471" s="317" t="str" cm="1">
        <f t="array" aca="1" ref="U471" ca="1">IFERROR(IF(AA471&lt;&gt;"ja",_xlfn.IFNA(_xlfn.IFS(AND(O471&lt;&gt;"",F471&lt;&gt;"",RIGHT($N471,6)="tarief",F471="Vergoeding"),SUM(O471)*FLOOR(SUM(Q471),0.0001),AND(O471&lt;&gt;"",F471&lt;&gt;"",RIGHT($N471,6)="tarief"),SUM(O471)*FLOOR(SUM(Q471),0.01),S471&gt;0,IF(F471&lt;&gt;"",FLOOR(SUM(S471),0.01),"")),""),""),"")</f>
        <v/>
      </c>
      <c r="V471" s="317" t="str" cm="1">
        <f t="array" aca="1" ref="V471" ca="1">IFERROR(IF(AA471&lt;&gt;"ja",_xlfn.IFNA(_xlfn.IFS(AND(P471&lt;&gt;"",R471&lt;&gt;"",RIGHT($N471,6)="tarief",F471="Vergoeding"),SUM(P471)*FLOOR(SUM(R471),0.0001),AND(P471&lt;&gt;"",R471&lt;&gt;"",RIGHT($N471,6)="tarief"),P471*FLOOR(R471,0.01),T471&gt;0,FLOOR(SUM(T471),0.01)),""),""),"")</f>
        <v/>
      </c>
      <c r="W471" s="317" t="str" cm="1">
        <f t="array" aca="1" ref="W471" ca="1">IFERROR(_xlfn.IFS(OR(F471="",LEFT(Methode_Keuze,4)="Geen",Methode_Keuze=""),"",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17" t="str" cm="1">
        <f t="array" aca="1" ref="X471" ca="1">IFERROR(_xlfn.IFS(OR(F471="",LEFT(Methode_Keuze,4)="Geen",Methode_Keuze=""),"",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26"/>
      <c r="Z471" s="319"/>
      <c r="AA471" s="32" t="str" cm="1">
        <f t="array" ref="AA471">IFERROR(IF(INDEX(SubsidieTabel!$AD$1:$AG$12,MATCH($F471,SubsidieTabel!$AD$1:$AD$12,0),IFERROR(MATCH(Methode_Keuze,SubsidieTabel!$AD$1:$AG$1,0),2))&lt;&gt;1=TRUE,"ja",""),"")</f>
        <v/>
      </c>
    </row>
    <row r="472" spans="1:27" x14ac:dyDescent="0.25">
      <c r="A472" s="320"/>
      <c r="B472" s="321" t="str">
        <f>IF(A472&lt;&gt;"",_xlfn.MAXIFS($B$1:B471,$A$1:A471,A472)+1,"")</f>
        <v/>
      </c>
      <c r="C472" s="299"/>
      <c r="D472" s="299"/>
      <c r="E472" s="299"/>
      <c r="F472" s="299"/>
      <c r="G472" s="330"/>
      <c r="H472" s="328"/>
      <c r="I472" s="329"/>
      <c r="J472" s="329"/>
      <c r="K472" s="322"/>
      <c r="L472" s="322"/>
      <c r="M472" s="323" t="str">
        <f>IFERROR(VLOOKUP(H472,Lijsten!$H$1:$I$100,2,0),"")</f>
        <v/>
      </c>
      <c r="N472" s="323" t="str">
        <f ca="1">IFERROR(IF(VLOOKUP(F472,Kostentypen!$A$3:$E$21,3,0)=0,"",IF(OR(F472="Arbeidskosten",F472="Vergoeding"),VLOOKUP(G472,Tb_KostenTypen[],2,0),VLOOKUP(F472,Kostentypen!$A$3:$E$20,3,0))),"")</f>
        <v/>
      </c>
      <c r="O472" s="324"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4"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3"/>
      <c r="R472" s="363"/>
      <c r="S472" s="325"/>
      <c r="T472" s="325"/>
      <c r="U472" s="317" t="str" cm="1">
        <f t="array" aca="1" ref="U472" ca="1">IFERROR(IF(AA472&lt;&gt;"ja",_xlfn.IFNA(_xlfn.IFS(AND(O472&lt;&gt;"",F472&lt;&gt;"",RIGHT($N472,6)="tarief",F472="Vergoeding"),SUM(O472)*FLOOR(SUM(Q472),0.0001),AND(O472&lt;&gt;"",F472&lt;&gt;"",RIGHT($N472,6)="tarief"),SUM(O472)*FLOOR(SUM(Q472),0.01),S472&gt;0,IF(F472&lt;&gt;"",FLOOR(SUM(S472),0.01),"")),""),""),"")</f>
        <v/>
      </c>
      <c r="V472" s="317" t="str" cm="1">
        <f t="array" aca="1" ref="V472" ca="1">IFERROR(IF(AA472&lt;&gt;"ja",_xlfn.IFNA(_xlfn.IFS(AND(P472&lt;&gt;"",R472&lt;&gt;"",RIGHT($N472,6)="tarief",F472="Vergoeding"),SUM(P472)*FLOOR(SUM(R472),0.0001),AND(P472&lt;&gt;"",R472&lt;&gt;"",RIGHT($N472,6)="tarief"),P472*FLOOR(R472,0.01),T472&gt;0,FLOOR(SUM(T472),0.01)),""),""),"")</f>
        <v/>
      </c>
      <c r="W472" s="317" t="str" cm="1">
        <f t="array" aca="1" ref="W472" ca="1">IFERROR(_xlfn.IFS(OR(F472="",LEFT(Methode_Keuze,4)="Geen",Methode_Keuze=""),"",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17" t="str" cm="1">
        <f t="array" aca="1" ref="X472" ca="1">IFERROR(_xlfn.IFS(OR(F472="",LEFT(Methode_Keuze,4)="Geen",Methode_Keuze=""),"",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26"/>
      <c r="Z472" s="319"/>
      <c r="AA472" s="32" t="str" cm="1">
        <f t="array" ref="AA472">IFERROR(IF(INDEX(SubsidieTabel!$AD$1:$AG$12,MATCH($F472,SubsidieTabel!$AD$1:$AD$12,0),IFERROR(MATCH(Methode_Keuze,SubsidieTabel!$AD$1:$AG$1,0),2))&lt;&gt;1=TRUE,"ja",""),"")</f>
        <v/>
      </c>
    </row>
    <row r="473" spans="1:27" x14ac:dyDescent="0.25">
      <c r="A473" s="320"/>
      <c r="B473" s="321" t="str">
        <f>IF(A473&lt;&gt;"",_xlfn.MAXIFS($B$1:B472,$A$1:A472,A473)+1,"")</f>
        <v/>
      </c>
      <c r="C473" s="299"/>
      <c r="D473" s="299"/>
      <c r="E473" s="299"/>
      <c r="F473" s="299"/>
      <c r="G473" s="330"/>
      <c r="H473" s="328"/>
      <c r="I473" s="329"/>
      <c r="J473" s="329"/>
      <c r="K473" s="322"/>
      <c r="L473" s="322"/>
      <c r="M473" s="323" t="str">
        <f>IFERROR(VLOOKUP(H473,Lijsten!$H$1:$I$100,2,0),"")</f>
        <v/>
      </c>
      <c r="N473" s="323" t="str">
        <f ca="1">IFERROR(IF(VLOOKUP(F473,Kostentypen!$A$3:$E$21,3,0)=0,"",IF(OR(F473="Arbeidskosten",F473="Vergoeding"),VLOOKUP(G473,Tb_KostenTypen[],2,0),VLOOKUP(F473,Kostentypen!$A$3:$E$20,3,0))),"")</f>
        <v/>
      </c>
      <c r="O473" s="324"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4"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3"/>
      <c r="R473" s="363"/>
      <c r="S473" s="325"/>
      <c r="T473" s="325"/>
      <c r="U473" s="317" t="str" cm="1">
        <f t="array" aca="1" ref="U473" ca="1">IFERROR(IF(AA473&lt;&gt;"ja",_xlfn.IFNA(_xlfn.IFS(AND(O473&lt;&gt;"",F473&lt;&gt;"",RIGHT($N473,6)="tarief",F473="Vergoeding"),SUM(O473)*FLOOR(SUM(Q473),0.0001),AND(O473&lt;&gt;"",F473&lt;&gt;"",RIGHT($N473,6)="tarief"),SUM(O473)*FLOOR(SUM(Q473),0.01),S473&gt;0,IF(F473&lt;&gt;"",FLOOR(SUM(S473),0.01),"")),""),""),"")</f>
        <v/>
      </c>
      <c r="V473" s="317" t="str" cm="1">
        <f t="array" aca="1" ref="V473" ca="1">IFERROR(IF(AA473&lt;&gt;"ja",_xlfn.IFNA(_xlfn.IFS(AND(P473&lt;&gt;"",R473&lt;&gt;"",RIGHT($N473,6)="tarief",F473="Vergoeding"),SUM(P473)*FLOOR(SUM(R473),0.0001),AND(P473&lt;&gt;"",R473&lt;&gt;"",RIGHT($N473,6)="tarief"),P473*FLOOR(R473,0.01),T473&gt;0,FLOOR(SUM(T473),0.01)),""),""),"")</f>
        <v/>
      </c>
      <c r="W473" s="317" t="str" cm="1">
        <f t="array" aca="1" ref="W473" ca="1">IFERROR(_xlfn.IFS(OR(F473="",LEFT(Methode_Keuze,4)="Geen",Methode_Keuze=""),"",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17" t="str" cm="1">
        <f t="array" aca="1" ref="X473" ca="1">IFERROR(_xlfn.IFS(OR(F473="",LEFT(Methode_Keuze,4)="Geen",Methode_Keuze=""),"",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26"/>
      <c r="Z473" s="319"/>
      <c r="AA473" s="32" t="str" cm="1">
        <f t="array" ref="AA473">IFERROR(IF(INDEX(SubsidieTabel!$AD$1:$AG$12,MATCH($F473,SubsidieTabel!$AD$1:$AD$12,0),IFERROR(MATCH(Methode_Keuze,SubsidieTabel!$AD$1:$AG$1,0),2))&lt;&gt;1=TRUE,"ja",""),"")</f>
        <v/>
      </c>
    </row>
    <row r="474" spans="1:27" x14ac:dyDescent="0.25">
      <c r="A474" s="320"/>
      <c r="B474" s="321" t="str">
        <f>IF(A474&lt;&gt;"",_xlfn.MAXIFS($B$1:B473,$A$1:A473,A474)+1,"")</f>
        <v/>
      </c>
      <c r="C474" s="299"/>
      <c r="D474" s="299"/>
      <c r="E474" s="299"/>
      <c r="F474" s="299"/>
      <c r="G474" s="330"/>
      <c r="H474" s="328"/>
      <c r="I474" s="329"/>
      <c r="J474" s="329"/>
      <c r="K474" s="322"/>
      <c r="L474" s="322"/>
      <c r="M474" s="323" t="str">
        <f>IFERROR(VLOOKUP(H474,Lijsten!$H$1:$I$100,2,0),"")</f>
        <v/>
      </c>
      <c r="N474" s="323" t="str">
        <f ca="1">IFERROR(IF(VLOOKUP(F474,Kostentypen!$A$3:$E$21,3,0)=0,"",IF(OR(F474="Arbeidskosten",F474="Vergoeding"),VLOOKUP(G474,Tb_KostenTypen[],2,0),VLOOKUP(F474,Kostentypen!$A$3:$E$20,3,0))),"")</f>
        <v/>
      </c>
      <c r="O474" s="324"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4"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3"/>
      <c r="R474" s="363"/>
      <c r="S474" s="325"/>
      <c r="T474" s="325"/>
      <c r="U474" s="317" t="str" cm="1">
        <f t="array" aca="1" ref="U474" ca="1">IFERROR(IF(AA474&lt;&gt;"ja",_xlfn.IFNA(_xlfn.IFS(AND(O474&lt;&gt;"",F474&lt;&gt;"",RIGHT($N474,6)="tarief",F474="Vergoeding"),SUM(O474)*FLOOR(SUM(Q474),0.0001),AND(O474&lt;&gt;"",F474&lt;&gt;"",RIGHT($N474,6)="tarief"),SUM(O474)*FLOOR(SUM(Q474),0.01),S474&gt;0,IF(F474&lt;&gt;"",FLOOR(SUM(S474),0.01),"")),""),""),"")</f>
        <v/>
      </c>
      <c r="V474" s="317" t="str" cm="1">
        <f t="array" aca="1" ref="V474" ca="1">IFERROR(IF(AA474&lt;&gt;"ja",_xlfn.IFNA(_xlfn.IFS(AND(P474&lt;&gt;"",R474&lt;&gt;"",RIGHT($N474,6)="tarief",F474="Vergoeding"),SUM(P474)*FLOOR(SUM(R474),0.0001),AND(P474&lt;&gt;"",R474&lt;&gt;"",RIGHT($N474,6)="tarief"),P474*FLOOR(R474,0.01),T474&gt;0,FLOOR(SUM(T474),0.01)),""),""),"")</f>
        <v/>
      </c>
      <c r="W474" s="317" t="str" cm="1">
        <f t="array" aca="1" ref="W474" ca="1">IFERROR(_xlfn.IFS(OR(F474="",LEFT(Methode_Keuze,4)="Geen",Methode_Keuze=""),"",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17" t="str" cm="1">
        <f t="array" aca="1" ref="X474" ca="1">IFERROR(_xlfn.IFS(OR(F474="",LEFT(Methode_Keuze,4)="Geen",Methode_Keuze=""),"",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26"/>
      <c r="Z474" s="319"/>
      <c r="AA474" s="32" t="str" cm="1">
        <f t="array" ref="AA474">IFERROR(IF(INDEX(SubsidieTabel!$AD$1:$AG$12,MATCH($F474,SubsidieTabel!$AD$1:$AD$12,0),IFERROR(MATCH(Methode_Keuze,SubsidieTabel!$AD$1:$AG$1,0),2))&lt;&gt;1=TRUE,"ja",""),"")</f>
        <v/>
      </c>
    </row>
    <row r="475" spans="1:27" x14ac:dyDescent="0.25">
      <c r="A475" s="320"/>
      <c r="B475" s="321" t="str">
        <f>IF(A475&lt;&gt;"",_xlfn.MAXIFS($B$1:B474,$A$1:A474,A475)+1,"")</f>
        <v/>
      </c>
      <c r="C475" s="299"/>
      <c r="D475" s="299"/>
      <c r="E475" s="299"/>
      <c r="F475" s="299"/>
      <c r="G475" s="330"/>
      <c r="H475" s="328"/>
      <c r="I475" s="329"/>
      <c r="J475" s="329"/>
      <c r="K475" s="322"/>
      <c r="L475" s="322"/>
      <c r="M475" s="323" t="str">
        <f>IFERROR(VLOOKUP(H475,Lijsten!$H$1:$I$100,2,0),"")</f>
        <v/>
      </c>
      <c r="N475" s="323" t="str">
        <f ca="1">IFERROR(IF(VLOOKUP(F475,Kostentypen!$A$3:$E$21,3,0)=0,"",IF(OR(F475="Arbeidskosten",F475="Vergoeding"),VLOOKUP(G475,Tb_KostenTypen[],2,0),VLOOKUP(F475,Kostentypen!$A$3:$E$20,3,0))),"")</f>
        <v/>
      </c>
      <c r="O475" s="324"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4"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3"/>
      <c r="R475" s="363"/>
      <c r="S475" s="325"/>
      <c r="T475" s="325"/>
      <c r="U475" s="317" t="str" cm="1">
        <f t="array" aca="1" ref="U475" ca="1">IFERROR(IF(AA475&lt;&gt;"ja",_xlfn.IFNA(_xlfn.IFS(AND(O475&lt;&gt;"",F475&lt;&gt;"",RIGHT($N475,6)="tarief",F475="Vergoeding"),SUM(O475)*FLOOR(SUM(Q475),0.0001),AND(O475&lt;&gt;"",F475&lt;&gt;"",RIGHT($N475,6)="tarief"),SUM(O475)*FLOOR(SUM(Q475),0.01),S475&gt;0,IF(F475&lt;&gt;"",FLOOR(SUM(S475),0.01),"")),""),""),"")</f>
        <v/>
      </c>
      <c r="V475" s="317" t="str" cm="1">
        <f t="array" aca="1" ref="V475" ca="1">IFERROR(IF(AA475&lt;&gt;"ja",_xlfn.IFNA(_xlfn.IFS(AND(P475&lt;&gt;"",R475&lt;&gt;"",RIGHT($N475,6)="tarief",F475="Vergoeding"),SUM(P475)*FLOOR(SUM(R475),0.0001),AND(P475&lt;&gt;"",R475&lt;&gt;"",RIGHT($N475,6)="tarief"),P475*FLOOR(R475,0.01),T475&gt;0,FLOOR(SUM(T475),0.01)),""),""),"")</f>
        <v/>
      </c>
      <c r="W475" s="317" t="str" cm="1">
        <f t="array" aca="1" ref="W475" ca="1">IFERROR(_xlfn.IFS(OR(F475="",LEFT(Methode_Keuze,4)="Geen",Methode_Keuze=""),"",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17" t="str" cm="1">
        <f t="array" aca="1" ref="X475" ca="1">IFERROR(_xlfn.IFS(OR(F475="",LEFT(Methode_Keuze,4)="Geen",Methode_Keuze=""),"",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26"/>
      <c r="Z475" s="319"/>
      <c r="AA475" s="32" t="str" cm="1">
        <f t="array" ref="AA475">IFERROR(IF(INDEX(SubsidieTabel!$AD$1:$AG$12,MATCH($F475,SubsidieTabel!$AD$1:$AD$12,0),IFERROR(MATCH(Methode_Keuze,SubsidieTabel!$AD$1:$AG$1,0),2))&lt;&gt;1=TRUE,"ja",""),"")</f>
        <v/>
      </c>
    </row>
    <row r="476" spans="1:27" x14ac:dyDescent="0.25">
      <c r="A476" s="320"/>
      <c r="B476" s="321" t="str">
        <f>IF(A476&lt;&gt;"",_xlfn.MAXIFS($B$1:B475,$A$1:A475,A476)+1,"")</f>
        <v/>
      </c>
      <c r="C476" s="299"/>
      <c r="D476" s="299"/>
      <c r="E476" s="299"/>
      <c r="F476" s="299"/>
      <c r="G476" s="330"/>
      <c r="H476" s="328"/>
      <c r="I476" s="329"/>
      <c r="J476" s="329"/>
      <c r="K476" s="322"/>
      <c r="L476" s="322"/>
      <c r="M476" s="323" t="str">
        <f>IFERROR(VLOOKUP(H476,Lijsten!$H$1:$I$100,2,0),"")</f>
        <v/>
      </c>
      <c r="N476" s="323" t="str">
        <f ca="1">IFERROR(IF(VLOOKUP(F476,Kostentypen!$A$3:$E$21,3,0)=0,"",IF(OR(F476="Arbeidskosten",F476="Vergoeding"),VLOOKUP(G476,Tb_KostenTypen[],2,0),VLOOKUP(F476,Kostentypen!$A$3:$E$20,3,0))),"")</f>
        <v/>
      </c>
      <c r="O476" s="324"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4"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3"/>
      <c r="R476" s="363"/>
      <c r="S476" s="325"/>
      <c r="T476" s="325"/>
      <c r="U476" s="317" t="str" cm="1">
        <f t="array" aca="1" ref="U476" ca="1">IFERROR(IF(AA476&lt;&gt;"ja",_xlfn.IFNA(_xlfn.IFS(AND(O476&lt;&gt;"",F476&lt;&gt;"",RIGHT($N476,6)="tarief",F476="Vergoeding"),SUM(O476)*FLOOR(SUM(Q476),0.0001),AND(O476&lt;&gt;"",F476&lt;&gt;"",RIGHT($N476,6)="tarief"),SUM(O476)*FLOOR(SUM(Q476),0.01),S476&gt;0,IF(F476&lt;&gt;"",FLOOR(SUM(S476),0.01),"")),""),""),"")</f>
        <v/>
      </c>
      <c r="V476" s="317" t="str" cm="1">
        <f t="array" aca="1" ref="V476" ca="1">IFERROR(IF(AA476&lt;&gt;"ja",_xlfn.IFNA(_xlfn.IFS(AND(P476&lt;&gt;"",R476&lt;&gt;"",RIGHT($N476,6)="tarief",F476="Vergoeding"),SUM(P476)*FLOOR(SUM(R476),0.0001),AND(P476&lt;&gt;"",R476&lt;&gt;"",RIGHT($N476,6)="tarief"),P476*FLOOR(R476,0.01),T476&gt;0,FLOOR(SUM(T476),0.01)),""),""),"")</f>
        <v/>
      </c>
      <c r="W476" s="317" t="str" cm="1">
        <f t="array" aca="1" ref="W476" ca="1">IFERROR(_xlfn.IFS(OR(F476="",LEFT(Methode_Keuze,4)="Geen",Methode_Keuze=""),"",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17" t="str" cm="1">
        <f t="array" aca="1" ref="X476" ca="1">IFERROR(_xlfn.IFS(OR(F476="",LEFT(Methode_Keuze,4)="Geen",Methode_Keuze=""),"",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26"/>
      <c r="Z476" s="319"/>
      <c r="AA476" s="32" t="str" cm="1">
        <f t="array" ref="AA476">IFERROR(IF(INDEX(SubsidieTabel!$AD$1:$AG$12,MATCH($F476,SubsidieTabel!$AD$1:$AD$12,0),IFERROR(MATCH(Methode_Keuze,SubsidieTabel!$AD$1:$AG$1,0),2))&lt;&gt;1=TRUE,"ja",""),"")</f>
        <v/>
      </c>
    </row>
    <row r="477" spans="1:27" x14ac:dyDescent="0.25">
      <c r="A477" s="320"/>
      <c r="B477" s="321" t="str">
        <f>IF(A477&lt;&gt;"",_xlfn.MAXIFS($B$1:B476,$A$1:A476,A477)+1,"")</f>
        <v/>
      </c>
      <c r="C477" s="299"/>
      <c r="D477" s="299"/>
      <c r="E477" s="299"/>
      <c r="F477" s="299"/>
      <c r="G477" s="330"/>
      <c r="H477" s="328"/>
      <c r="I477" s="329"/>
      <c r="J477" s="329"/>
      <c r="K477" s="322"/>
      <c r="L477" s="322"/>
      <c r="M477" s="323" t="str">
        <f>IFERROR(VLOOKUP(H477,Lijsten!$H$1:$I$100,2,0),"")</f>
        <v/>
      </c>
      <c r="N477" s="323" t="str">
        <f ca="1">IFERROR(IF(VLOOKUP(F477,Kostentypen!$A$3:$E$21,3,0)=0,"",IF(OR(F477="Arbeidskosten",F477="Vergoeding"),VLOOKUP(G477,Tb_KostenTypen[],2,0),VLOOKUP(F477,Kostentypen!$A$3:$E$20,3,0))),"")</f>
        <v/>
      </c>
      <c r="O477" s="324"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4"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3"/>
      <c r="R477" s="363"/>
      <c r="S477" s="325"/>
      <c r="T477" s="325"/>
      <c r="U477" s="317" t="str" cm="1">
        <f t="array" aca="1" ref="U477" ca="1">IFERROR(IF(AA477&lt;&gt;"ja",_xlfn.IFNA(_xlfn.IFS(AND(O477&lt;&gt;"",F477&lt;&gt;"",RIGHT($N477,6)="tarief",F477="Vergoeding"),SUM(O477)*FLOOR(SUM(Q477),0.0001),AND(O477&lt;&gt;"",F477&lt;&gt;"",RIGHT($N477,6)="tarief"),SUM(O477)*FLOOR(SUM(Q477),0.01),S477&gt;0,IF(F477&lt;&gt;"",FLOOR(SUM(S477),0.01),"")),""),""),"")</f>
        <v/>
      </c>
      <c r="V477" s="317" t="str" cm="1">
        <f t="array" aca="1" ref="V477" ca="1">IFERROR(IF(AA477&lt;&gt;"ja",_xlfn.IFNA(_xlfn.IFS(AND(P477&lt;&gt;"",R477&lt;&gt;"",RIGHT($N477,6)="tarief",F477="Vergoeding"),SUM(P477)*FLOOR(SUM(R477),0.0001),AND(P477&lt;&gt;"",R477&lt;&gt;"",RIGHT($N477,6)="tarief"),P477*FLOOR(R477,0.01),T477&gt;0,FLOOR(SUM(T477),0.01)),""),""),"")</f>
        <v/>
      </c>
      <c r="W477" s="317" t="str" cm="1">
        <f t="array" aca="1" ref="W477" ca="1">IFERROR(_xlfn.IFS(OR(F477="",LEFT(Methode_Keuze,4)="Geen",Methode_Keuze=""),"",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17" t="str" cm="1">
        <f t="array" aca="1" ref="X477" ca="1">IFERROR(_xlfn.IFS(OR(F477="",LEFT(Methode_Keuze,4)="Geen",Methode_Keuze=""),"",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26"/>
      <c r="Z477" s="319"/>
      <c r="AA477" s="32" t="str" cm="1">
        <f t="array" ref="AA477">IFERROR(IF(INDEX(SubsidieTabel!$AD$1:$AG$12,MATCH($F477,SubsidieTabel!$AD$1:$AD$12,0),IFERROR(MATCH(Methode_Keuze,SubsidieTabel!$AD$1:$AG$1,0),2))&lt;&gt;1=TRUE,"ja",""),"")</f>
        <v/>
      </c>
    </row>
    <row r="478" spans="1:27" x14ac:dyDescent="0.25">
      <c r="A478" s="320"/>
      <c r="B478" s="321" t="str">
        <f>IF(A478&lt;&gt;"",_xlfn.MAXIFS($B$1:B477,$A$1:A477,A478)+1,"")</f>
        <v/>
      </c>
      <c r="C478" s="299"/>
      <c r="D478" s="299"/>
      <c r="E478" s="299"/>
      <c r="F478" s="299"/>
      <c r="G478" s="330"/>
      <c r="H478" s="328"/>
      <c r="I478" s="329"/>
      <c r="J478" s="329"/>
      <c r="K478" s="322"/>
      <c r="L478" s="322"/>
      <c r="M478" s="323" t="str">
        <f>IFERROR(VLOOKUP(H478,Lijsten!$H$1:$I$100,2,0),"")</f>
        <v/>
      </c>
      <c r="N478" s="323" t="str">
        <f ca="1">IFERROR(IF(VLOOKUP(F478,Kostentypen!$A$3:$E$21,3,0)=0,"",IF(OR(F478="Arbeidskosten",F478="Vergoeding"),VLOOKUP(G478,Tb_KostenTypen[],2,0),VLOOKUP(F478,Kostentypen!$A$3:$E$20,3,0))),"")</f>
        <v/>
      </c>
      <c r="O478" s="324"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4"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3"/>
      <c r="R478" s="363"/>
      <c r="S478" s="325"/>
      <c r="T478" s="325"/>
      <c r="U478" s="317" t="str" cm="1">
        <f t="array" aca="1" ref="U478" ca="1">IFERROR(IF(AA478&lt;&gt;"ja",_xlfn.IFNA(_xlfn.IFS(AND(O478&lt;&gt;"",F478&lt;&gt;"",RIGHT($N478,6)="tarief",F478="Vergoeding"),SUM(O478)*FLOOR(SUM(Q478),0.0001),AND(O478&lt;&gt;"",F478&lt;&gt;"",RIGHT($N478,6)="tarief"),SUM(O478)*FLOOR(SUM(Q478),0.01),S478&gt;0,IF(F478&lt;&gt;"",FLOOR(SUM(S478),0.01),"")),""),""),"")</f>
        <v/>
      </c>
      <c r="V478" s="317" t="str" cm="1">
        <f t="array" aca="1" ref="V478" ca="1">IFERROR(IF(AA478&lt;&gt;"ja",_xlfn.IFNA(_xlfn.IFS(AND(P478&lt;&gt;"",R478&lt;&gt;"",RIGHT($N478,6)="tarief",F478="Vergoeding"),SUM(P478)*FLOOR(SUM(R478),0.0001),AND(P478&lt;&gt;"",R478&lt;&gt;"",RIGHT($N478,6)="tarief"),P478*FLOOR(R478,0.01),T478&gt;0,FLOOR(SUM(T478),0.01)),""),""),"")</f>
        <v/>
      </c>
      <c r="W478" s="317" t="str" cm="1">
        <f t="array" aca="1" ref="W478" ca="1">IFERROR(_xlfn.IFS(OR(F478="",LEFT(Methode_Keuze,4)="Geen",Methode_Keuze=""),"",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17" t="str" cm="1">
        <f t="array" aca="1" ref="X478" ca="1">IFERROR(_xlfn.IFS(OR(F478="",LEFT(Methode_Keuze,4)="Geen",Methode_Keuze=""),"",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26"/>
      <c r="Z478" s="319"/>
      <c r="AA478" s="32" t="str" cm="1">
        <f t="array" ref="AA478">IFERROR(IF(INDEX(SubsidieTabel!$AD$1:$AG$12,MATCH($F478,SubsidieTabel!$AD$1:$AD$12,0),IFERROR(MATCH(Methode_Keuze,SubsidieTabel!$AD$1:$AG$1,0),2))&lt;&gt;1=TRUE,"ja",""),"")</f>
        <v/>
      </c>
    </row>
    <row r="479" spans="1:27" x14ac:dyDescent="0.25">
      <c r="A479" s="320"/>
      <c r="B479" s="321" t="str">
        <f>IF(A479&lt;&gt;"",_xlfn.MAXIFS($B$1:B478,$A$1:A478,A479)+1,"")</f>
        <v/>
      </c>
      <c r="C479" s="299"/>
      <c r="D479" s="299"/>
      <c r="E479" s="299"/>
      <c r="F479" s="299"/>
      <c r="G479" s="330"/>
      <c r="H479" s="328"/>
      <c r="I479" s="329"/>
      <c r="J479" s="329"/>
      <c r="K479" s="322"/>
      <c r="L479" s="322"/>
      <c r="M479" s="323" t="str">
        <f>IFERROR(VLOOKUP(H479,Lijsten!$H$1:$I$100,2,0),"")</f>
        <v/>
      </c>
      <c r="N479" s="323" t="str">
        <f ca="1">IFERROR(IF(VLOOKUP(F479,Kostentypen!$A$3:$E$21,3,0)=0,"",IF(OR(F479="Arbeidskosten",F479="Vergoeding"),VLOOKUP(G479,Tb_KostenTypen[],2,0),VLOOKUP(F479,Kostentypen!$A$3:$E$20,3,0))),"")</f>
        <v/>
      </c>
      <c r="O479" s="324"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4"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3"/>
      <c r="R479" s="363"/>
      <c r="S479" s="325"/>
      <c r="T479" s="325"/>
      <c r="U479" s="317" t="str" cm="1">
        <f t="array" aca="1" ref="U479" ca="1">IFERROR(IF(AA479&lt;&gt;"ja",_xlfn.IFNA(_xlfn.IFS(AND(O479&lt;&gt;"",F479&lt;&gt;"",RIGHT($N479,6)="tarief",F479="Vergoeding"),SUM(O479)*FLOOR(SUM(Q479),0.0001),AND(O479&lt;&gt;"",F479&lt;&gt;"",RIGHT($N479,6)="tarief"),SUM(O479)*FLOOR(SUM(Q479),0.01),S479&gt;0,IF(F479&lt;&gt;"",FLOOR(SUM(S479),0.01),"")),""),""),"")</f>
        <v/>
      </c>
      <c r="V479" s="317" t="str" cm="1">
        <f t="array" aca="1" ref="V479" ca="1">IFERROR(IF(AA479&lt;&gt;"ja",_xlfn.IFNA(_xlfn.IFS(AND(P479&lt;&gt;"",R479&lt;&gt;"",RIGHT($N479,6)="tarief",F479="Vergoeding"),SUM(P479)*FLOOR(SUM(R479),0.0001),AND(P479&lt;&gt;"",R479&lt;&gt;"",RIGHT($N479,6)="tarief"),P479*FLOOR(R479,0.01),T479&gt;0,FLOOR(SUM(T479),0.01)),""),""),"")</f>
        <v/>
      </c>
      <c r="W479" s="317" t="str" cm="1">
        <f t="array" aca="1" ref="W479" ca="1">IFERROR(_xlfn.IFS(OR(F479="",LEFT(Methode_Keuze,4)="Geen",Methode_Keuze=""),"",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17" t="str" cm="1">
        <f t="array" aca="1" ref="X479" ca="1">IFERROR(_xlfn.IFS(OR(F479="",LEFT(Methode_Keuze,4)="Geen",Methode_Keuze=""),"",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26"/>
      <c r="Z479" s="319"/>
      <c r="AA479" s="32" t="str" cm="1">
        <f t="array" ref="AA479">IFERROR(IF(INDEX(SubsidieTabel!$AD$1:$AG$12,MATCH($F479,SubsidieTabel!$AD$1:$AD$12,0),IFERROR(MATCH(Methode_Keuze,SubsidieTabel!$AD$1:$AG$1,0),2))&lt;&gt;1=TRUE,"ja",""),"")</f>
        <v/>
      </c>
    </row>
    <row r="480" spans="1:27" x14ac:dyDescent="0.25">
      <c r="A480" s="320"/>
      <c r="B480" s="321" t="str">
        <f>IF(A480&lt;&gt;"",_xlfn.MAXIFS($B$1:B479,$A$1:A479,A480)+1,"")</f>
        <v/>
      </c>
      <c r="C480" s="299"/>
      <c r="D480" s="299"/>
      <c r="E480" s="299"/>
      <c r="F480" s="299"/>
      <c r="G480" s="330"/>
      <c r="H480" s="328"/>
      <c r="I480" s="329"/>
      <c r="J480" s="329"/>
      <c r="K480" s="322"/>
      <c r="L480" s="322"/>
      <c r="M480" s="323" t="str">
        <f>IFERROR(VLOOKUP(H480,Lijsten!$H$1:$I$100,2,0),"")</f>
        <v/>
      </c>
      <c r="N480" s="323" t="str">
        <f ca="1">IFERROR(IF(VLOOKUP(F480,Kostentypen!$A$3:$E$21,3,0)=0,"",IF(OR(F480="Arbeidskosten",F480="Vergoeding"),VLOOKUP(G480,Tb_KostenTypen[],2,0),VLOOKUP(F480,Kostentypen!$A$3:$E$20,3,0))),"")</f>
        <v/>
      </c>
      <c r="O480" s="324"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4"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3"/>
      <c r="R480" s="363"/>
      <c r="S480" s="325"/>
      <c r="T480" s="325"/>
      <c r="U480" s="317" t="str" cm="1">
        <f t="array" aca="1" ref="U480" ca="1">IFERROR(IF(AA480&lt;&gt;"ja",_xlfn.IFNA(_xlfn.IFS(AND(O480&lt;&gt;"",F480&lt;&gt;"",RIGHT($N480,6)="tarief",F480="Vergoeding"),SUM(O480)*FLOOR(SUM(Q480),0.0001),AND(O480&lt;&gt;"",F480&lt;&gt;"",RIGHT($N480,6)="tarief"),SUM(O480)*FLOOR(SUM(Q480),0.01),S480&gt;0,IF(F480&lt;&gt;"",FLOOR(SUM(S480),0.01),"")),""),""),"")</f>
        <v/>
      </c>
      <c r="V480" s="317" t="str" cm="1">
        <f t="array" aca="1" ref="V480" ca="1">IFERROR(IF(AA480&lt;&gt;"ja",_xlfn.IFNA(_xlfn.IFS(AND(P480&lt;&gt;"",R480&lt;&gt;"",RIGHT($N480,6)="tarief",F480="Vergoeding"),SUM(P480)*FLOOR(SUM(R480),0.0001),AND(P480&lt;&gt;"",R480&lt;&gt;"",RIGHT($N480,6)="tarief"),P480*FLOOR(R480,0.01),T480&gt;0,FLOOR(SUM(T480),0.01)),""),""),"")</f>
        <v/>
      </c>
      <c r="W480" s="317" t="str" cm="1">
        <f t="array" aca="1" ref="W480" ca="1">IFERROR(_xlfn.IFS(OR(F480="",LEFT(Methode_Keuze,4)="Geen",Methode_Keuze=""),"",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17" t="str" cm="1">
        <f t="array" aca="1" ref="X480" ca="1">IFERROR(_xlfn.IFS(OR(F480="",LEFT(Methode_Keuze,4)="Geen",Methode_Keuze=""),"",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26"/>
      <c r="Z480" s="319"/>
      <c r="AA480" s="32" t="str" cm="1">
        <f t="array" ref="AA480">IFERROR(IF(INDEX(SubsidieTabel!$AD$1:$AG$12,MATCH($F480,SubsidieTabel!$AD$1:$AD$12,0),IFERROR(MATCH(Methode_Keuze,SubsidieTabel!$AD$1:$AG$1,0),2))&lt;&gt;1=TRUE,"ja",""),"")</f>
        <v/>
      </c>
    </row>
    <row r="481" spans="1:27" x14ac:dyDescent="0.25">
      <c r="A481" s="320"/>
      <c r="B481" s="321" t="str">
        <f>IF(A481&lt;&gt;"",_xlfn.MAXIFS($B$1:B480,$A$1:A480,A481)+1,"")</f>
        <v/>
      </c>
      <c r="C481" s="299"/>
      <c r="D481" s="299"/>
      <c r="E481" s="299"/>
      <c r="F481" s="299"/>
      <c r="G481" s="330"/>
      <c r="H481" s="328"/>
      <c r="I481" s="329"/>
      <c r="J481" s="329"/>
      <c r="K481" s="322"/>
      <c r="L481" s="322"/>
      <c r="M481" s="323" t="str">
        <f>IFERROR(VLOOKUP(H481,Lijsten!$H$1:$I$100,2,0),"")</f>
        <v/>
      </c>
      <c r="N481" s="323" t="str">
        <f ca="1">IFERROR(IF(VLOOKUP(F481,Kostentypen!$A$3:$E$21,3,0)=0,"",IF(OR(F481="Arbeidskosten",F481="Vergoeding"),VLOOKUP(G481,Tb_KostenTypen[],2,0),VLOOKUP(F481,Kostentypen!$A$3:$E$20,3,0))),"")</f>
        <v/>
      </c>
      <c r="O481" s="324"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4"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3"/>
      <c r="R481" s="363"/>
      <c r="S481" s="325"/>
      <c r="T481" s="325"/>
      <c r="U481" s="317" t="str" cm="1">
        <f t="array" aca="1" ref="U481" ca="1">IFERROR(IF(AA481&lt;&gt;"ja",_xlfn.IFNA(_xlfn.IFS(AND(O481&lt;&gt;"",F481&lt;&gt;"",RIGHT($N481,6)="tarief",F481="Vergoeding"),SUM(O481)*FLOOR(SUM(Q481),0.0001),AND(O481&lt;&gt;"",F481&lt;&gt;"",RIGHT($N481,6)="tarief"),SUM(O481)*FLOOR(SUM(Q481),0.01),S481&gt;0,IF(F481&lt;&gt;"",FLOOR(SUM(S481),0.01),"")),""),""),"")</f>
        <v/>
      </c>
      <c r="V481" s="317" t="str" cm="1">
        <f t="array" aca="1" ref="V481" ca="1">IFERROR(IF(AA481&lt;&gt;"ja",_xlfn.IFNA(_xlfn.IFS(AND(P481&lt;&gt;"",R481&lt;&gt;"",RIGHT($N481,6)="tarief",F481="Vergoeding"),SUM(P481)*FLOOR(SUM(R481),0.0001),AND(P481&lt;&gt;"",R481&lt;&gt;"",RIGHT($N481,6)="tarief"),P481*FLOOR(R481,0.01),T481&gt;0,FLOOR(SUM(T481),0.01)),""),""),"")</f>
        <v/>
      </c>
      <c r="W481" s="317" t="str" cm="1">
        <f t="array" aca="1" ref="W481" ca="1">IFERROR(_xlfn.IFS(OR(F481="",LEFT(Methode_Keuze,4)="Geen",Methode_Keuze=""),"",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17" t="str" cm="1">
        <f t="array" aca="1" ref="X481" ca="1">IFERROR(_xlfn.IFS(OR(F481="",LEFT(Methode_Keuze,4)="Geen",Methode_Keuze=""),"",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26"/>
      <c r="Z481" s="319"/>
      <c r="AA481" s="32" t="str" cm="1">
        <f t="array" ref="AA481">IFERROR(IF(INDEX(SubsidieTabel!$AD$1:$AG$12,MATCH($F481,SubsidieTabel!$AD$1:$AD$12,0),IFERROR(MATCH(Methode_Keuze,SubsidieTabel!$AD$1:$AG$1,0),2))&lt;&gt;1=TRUE,"ja",""),"")</f>
        <v/>
      </c>
    </row>
    <row r="482" spans="1:27" x14ac:dyDescent="0.25">
      <c r="A482" s="320"/>
      <c r="B482" s="321" t="str">
        <f>IF(A482&lt;&gt;"",_xlfn.MAXIFS($B$1:B481,$A$1:A481,A482)+1,"")</f>
        <v/>
      </c>
      <c r="C482" s="299"/>
      <c r="D482" s="299"/>
      <c r="E482" s="299"/>
      <c r="F482" s="299"/>
      <c r="G482" s="330"/>
      <c r="H482" s="328"/>
      <c r="I482" s="329"/>
      <c r="J482" s="329"/>
      <c r="K482" s="322"/>
      <c r="L482" s="322"/>
      <c r="M482" s="323" t="str">
        <f>IFERROR(VLOOKUP(H482,Lijsten!$H$1:$I$100,2,0),"")</f>
        <v/>
      </c>
      <c r="N482" s="323" t="str">
        <f ca="1">IFERROR(IF(VLOOKUP(F482,Kostentypen!$A$3:$E$21,3,0)=0,"",IF(OR(F482="Arbeidskosten",F482="Vergoeding"),VLOOKUP(G482,Tb_KostenTypen[],2,0),VLOOKUP(F482,Kostentypen!$A$3:$E$20,3,0))),"")</f>
        <v/>
      </c>
      <c r="O482" s="324"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4"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3"/>
      <c r="R482" s="363"/>
      <c r="S482" s="325"/>
      <c r="T482" s="325"/>
      <c r="U482" s="317" t="str" cm="1">
        <f t="array" aca="1" ref="U482" ca="1">IFERROR(IF(AA482&lt;&gt;"ja",_xlfn.IFNA(_xlfn.IFS(AND(O482&lt;&gt;"",F482&lt;&gt;"",RIGHT($N482,6)="tarief",F482="Vergoeding"),SUM(O482)*FLOOR(SUM(Q482),0.0001),AND(O482&lt;&gt;"",F482&lt;&gt;"",RIGHT($N482,6)="tarief"),SUM(O482)*FLOOR(SUM(Q482),0.01),S482&gt;0,IF(F482&lt;&gt;"",FLOOR(SUM(S482),0.01),"")),""),""),"")</f>
        <v/>
      </c>
      <c r="V482" s="317" t="str" cm="1">
        <f t="array" aca="1" ref="V482" ca="1">IFERROR(IF(AA482&lt;&gt;"ja",_xlfn.IFNA(_xlfn.IFS(AND(P482&lt;&gt;"",R482&lt;&gt;"",RIGHT($N482,6)="tarief",F482="Vergoeding"),SUM(P482)*FLOOR(SUM(R482),0.0001),AND(P482&lt;&gt;"",R482&lt;&gt;"",RIGHT($N482,6)="tarief"),P482*FLOOR(R482,0.01),T482&gt;0,FLOOR(SUM(T482),0.01)),""),""),"")</f>
        <v/>
      </c>
      <c r="W482" s="317" t="str" cm="1">
        <f t="array" aca="1" ref="W482" ca="1">IFERROR(_xlfn.IFS(OR(F482="",LEFT(Methode_Keuze,4)="Geen",Methode_Keuze=""),"",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17" t="str" cm="1">
        <f t="array" aca="1" ref="X482" ca="1">IFERROR(_xlfn.IFS(OR(F482="",LEFT(Methode_Keuze,4)="Geen",Methode_Keuze=""),"",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26"/>
      <c r="Z482" s="319"/>
      <c r="AA482" s="32" t="str" cm="1">
        <f t="array" ref="AA482">IFERROR(IF(INDEX(SubsidieTabel!$AD$1:$AG$12,MATCH($F482,SubsidieTabel!$AD$1:$AD$12,0),IFERROR(MATCH(Methode_Keuze,SubsidieTabel!$AD$1:$AG$1,0),2))&lt;&gt;1=TRUE,"ja",""),"")</f>
        <v/>
      </c>
    </row>
    <row r="483" spans="1:27" x14ac:dyDescent="0.25">
      <c r="A483" s="320"/>
      <c r="B483" s="321" t="str">
        <f>IF(A483&lt;&gt;"",_xlfn.MAXIFS($B$1:B482,$A$1:A482,A483)+1,"")</f>
        <v/>
      </c>
      <c r="C483" s="299"/>
      <c r="D483" s="299"/>
      <c r="E483" s="299"/>
      <c r="F483" s="299"/>
      <c r="G483" s="330"/>
      <c r="H483" s="328"/>
      <c r="I483" s="329"/>
      <c r="J483" s="329"/>
      <c r="K483" s="322"/>
      <c r="L483" s="322"/>
      <c r="M483" s="323" t="str">
        <f>IFERROR(VLOOKUP(H483,Lijsten!$H$1:$I$100,2,0),"")</f>
        <v/>
      </c>
      <c r="N483" s="323" t="str">
        <f ca="1">IFERROR(IF(VLOOKUP(F483,Kostentypen!$A$3:$E$21,3,0)=0,"",IF(OR(F483="Arbeidskosten",F483="Vergoeding"),VLOOKUP(G483,Tb_KostenTypen[],2,0),VLOOKUP(F483,Kostentypen!$A$3:$E$20,3,0))),"")</f>
        <v/>
      </c>
      <c r="O483" s="324"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4"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3"/>
      <c r="R483" s="363"/>
      <c r="S483" s="325"/>
      <c r="T483" s="325"/>
      <c r="U483" s="317" t="str" cm="1">
        <f t="array" aca="1" ref="U483" ca="1">IFERROR(IF(AA483&lt;&gt;"ja",_xlfn.IFNA(_xlfn.IFS(AND(O483&lt;&gt;"",F483&lt;&gt;"",RIGHT($N483,6)="tarief",F483="Vergoeding"),SUM(O483)*FLOOR(SUM(Q483),0.0001),AND(O483&lt;&gt;"",F483&lt;&gt;"",RIGHT($N483,6)="tarief"),SUM(O483)*FLOOR(SUM(Q483),0.01),S483&gt;0,IF(F483&lt;&gt;"",FLOOR(SUM(S483),0.01),"")),""),""),"")</f>
        <v/>
      </c>
      <c r="V483" s="317" t="str" cm="1">
        <f t="array" aca="1" ref="V483" ca="1">IFERROR(IF(AA483&lt;&gt;"ja",_xlfn.IFNA(_xlfn.IFS(AND(P483&lt;&gt;"",R483&lt;&gt;"",RIGHT($N483,6)="tarief",F483="Vergoeding"),SUM(P483)*FLOOR(SUM(R483),0.0001),AND(P483&lt;&gt;"",R483&lt;&gt;"",RIGHT($N483,6)="tarief"),P483*FLOOR(R483,0.01),T483&gt;0,FLOOR(SUM(T483),0.01)),""),""),"")</f>
        <v/>
      </c>
      <c r="W483" s="317" t="str" cm="1">
        <f t="array" aca="1" ref="W483" ca="1">IFERROR(_xlfn.IFS(OR(F483="",LEFT(Methode_Keuze,4)="Geen",Methode_Keuze=""),"",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17" t="str" cm="1">
        <f t="array" aca="1" ref="X483" ca="1">IFERROR(_xlfn.IFS(OR(F483="",LEFT(Methode_Keuze,4)="Geen",Methode_Keuze=""),"",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26"/>
      <c r="Z483" s="319"/>
      <c r="AA483" s="32" t="str" cm="1">
        <f t="array" ref="AA483">IFERROR(IF(INDEX(SubsidieTabel!$AD$1:$AG$12,MATCH($F483,SubsidieTabel!$AD$1:$AD$12,0),IFERROR(MATCH(Methode_Keuze,SubsidieTabel!$AD$1:$AG$1,0),2))&lt;&gt;1=TRUE,"ja",""),"")</f>
        <v/>
      </c>
    </row>
    <row r="484" spans="1:27" x14ac:dyDescent="0.25">
      <c r="A484" s="320"/>
      <c r="B484" s="321" t="str">
        <f>IF(A484&lt;&gt;"",_xlfn.MAXIFS($B$1:B483,$A$1:A483,A484)+1,"")</f>
        <v/>
      </c>
      <c r="C484" s="299"/>
      <c r="D484" s="299"/>
      <c r="E484" s="299"/>
      <c r="F484" s="299"/>
      <c r="G484" s="330"/>
      <c r="H484" s="328"/>
      <c r="I484" s="329"/>
      <c r="J484" s="329"/>
      <c r="K484" s="322"/>
      <c r="L484" s="322"/>
      <c r="M484" s="323" t="str">
        <f>IFERROR(VLOOKUP(H484,Lijsten!$H$1:$I$100,2,0),"")</f>
        <v/>
      </c>
      <c r="N484" s="323" t="str">
        <f ca="1">IFERROR(IF(VLOOKUP(F484,Kostentypen!$A$3:$E$21,3,0)=0,"",IF(OR(F484="Arbeidskosten",F484="Vergoeding"),VLOOKUP(G484,Tb_KostenTypen[],2,0),VLOOKUP(F484,Kostentypen!$A$3:$E$20,3,0))),"")</f>
        <v/>
      </c>
      <c r="O484" s="324"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4"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3"/>
      <c r="R484" s="363"/>
      <c r="S484" s="325"/>
      <c r="T484" s="325"/>
      <c r="U484" s="317" t="str" cm="1">
        <f t="array" aca="1" ref="U484" ca="1">IFERROR(IF(AA484&lt;&gt;"ja",_xlfn.IFNA(_xlfn.IFS(AND(O484&lt;&gt;"",F484&lt;&gt;"",RIGHT($N484,6)="tarief",F484="Vergoeding"),SUM(O484)*FLOOR(SUM(Q484),0.0001),AND(O484&lt;&gt;"",F484&lt;&gt;"",RIGHT($N484,6)="tarief"),SUM(O484)*FLOOR(SUM(Q484),0.01),S484&gt;0,IF(F484&lt;&gt;"",FLOOR(SUM(S484),0.01),"")),""),""),"")</f>
        <v/>
      </c>
      <c r="V484" s="317" t="str" cm="1">
        <f t="array" aca="1" ref="V484" ca="1">IFERROR(IF(AA484&lt;&gt;"ja",_xlfn.IFNA(_xlfn.IFS(AND(P484&lt;&gt;"",R484&lt;&gt;"",RIGHT($N484,6)="tarief",F484="Vergoeding"),SUM(P484)*FLOOR(SUM(R484),0.0001),AND(P484&lt;&gt;"",R484&lt;&gt;"",RIGHT($N484,6)="tarief"),P484*FLOOR(R484,0.01),T484&gt;0,FLOOR(SUM(T484),0.01)),""),""),"")</f>
        <v/>
      </c>
      <c r="W484" s="317" t="str" cm="1">
        <f t="array" aca="1" ref="W484" ca="1">IFERROR(_xlfn.IFS(OR(F484="",LEFT(Methode_Keuze,4)="Geen",Methode_Keuze=""),"",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17" t="str" cm="1">
        <f t="array" aca="1" ref="X484" ca="1">IFERROR(_xlfn.IFS(OR(F484="",LEFT(Methode_Keuze,4)="Geen",Methode_Keuze=""),"",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26"/>
      <c r="Z484" s="319"/>
      <c r="AA484" s="32" t="str" cm="1">
        <f t="array" ref="AA484">IFERROR(IF(INDEX(SubsidieTabel!$AD$1:$AG$12,MATCH($F484,SubsidieTabel!$AD$1:$AD$12,0),IFERROR(MATCH(Methode_Keuze,SubsidieTabel!$AD$1:$AG$1,0),2))&lt;&gt;1=TRUE,"ja",""),"")</f>
        <v/>
      </c>
    </row>
    <row r="485" spans="1:27" x14ac:dyDescent="0.25">
      <c r="A485" s="320"/>
      <c r="B485" s="321" t="str">
        <f>IF(A485&lt;&gt;"",_xlfn.MAXIFS($B$1:B484,$A$1:A484,A485)+1,"")</f>
        <v/>
      </c>
      <c r="C485" s="299"/>
      <c r="D485" s="299"/>
      <c r="E485" s="299"/>
      <c r="F485" s="299"/>
      <c r="G485" s="330"/>
      <c r="H485" s="328"/>
      <c r="I485" s="329"/>
      <c r="J485" s="329"/>
      <c r="K485" s="322"/>
      <c r="L485" s="322"/>
      <c r="M485" s="323" t="str">
        <f>IFERROR(VLOOKUP(H485,Lijsten!$H$1:$I$100,2,0),"")</f>
        <v/>
      </c>
      <c r="N485" s="323" t="str">
        <f ca="1">IFERROR(IF(VLOOKUP(F485,Kostentypen!$A$3:$E$21,3,0)=0,"",IF(OR(F485="Arbeidskosten",F485="Vergoeding"),VLOOKUP(G485,Tb_KostenTypen[],2,0),VLOOKUP(F485,Kostentypen!$A$3:$E$20,3,0))),"")</f>
        <v/>
      </c>
      <c r="O485" s="324"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4"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3"/>
      <c r="R485" s="363"/>
      <c r="S485" s="325"/>
      <c r="T485" s="325"/>
      <c r="U485" s="317" t="str" cm="1">
        <f t="array" aca="1" ref="U485" ca="1">IFERROR(IF(AA485&lt;&gt;"ja",_xlfn.IFNA(_xlfn.IFS(AND(O485&lt;&gt;"",F485&lt;&gt;"",RIGHT($N485,6)="tarief",F485="Vergoeding"),SUM(O485)*FLOOR(SUM(Q485),0.0001),AND(O485&lt;&gt;"",F485&lt;&gt;"",RIGHT($N485,6)="tarief"),SUM(O485)*FLOOR(SUM(Q485),0.01),S485&gt;0,IF(F485&lt;&gt;"",FLOOR(SUM(S485),0.01),"")),""),""),"")</f>
        <v/>
      </c>
      <c r="V485" s="317" t="str" cm="1">
        <f t="array" aca="1" ref="V485" ca="1">IFERROR(IF(AA485&lt;&gt;"ja",_xlfn.IFNA(_xlfn.IFS(AND(P485&lt;&gt;"",R485&lt;&gt;"",RIGHT($N485,6)="tarief",F485="Vergoeding"),SUM(P485)*FLOOR(SUM(R485),0.0001),AND(P485&lt;&gt;"",R485&lt;&gt;"",RIGHT($N485,6)="tarief"),P485*FLOOR(R485,0.01),T485&gt;0,FLOOR(SUM(T485),0.01)),""),""),"")</f>
        <v/>
      </c>
      <c r="W485" s="317" t="str" cm="1">
        <f t="array" aca="1" ref="W485" ca="1">IFERROR(_xlfn.IFS(OR(F485="",LEFT(Methode_Keuze,4)="Geen",Methode_Keuze=""),"",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17" t="str" cm="1">
        <f t="array" aca="1" ref="X485" ca="1">IFERROR(_xlfn.IFS(OR(F485="",LEFT(Methode_Keuze,4)="Geen",Methode_Keuze=""),"",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26"/>
      <c r="Z485" s="319"/>
      <c r="AA485" s="32" t="str" cm="1">
        <f t="array" ref="AA485">IFERROR(IF(INDEX(SubsidieTabel!$AD$1:$AG$12,MATCH($F485,SubsidieTabel!$AD$1:$AD$12,0),IFERROR(MATCH(Methode_Keuze,SubsidieTabel!$AD$1:$AG$1,0),2))&lt;&gt;1=TRUE,"ja",""),"")</f>
        <v/>
      </c>
    </row>
    <row r="486" spans="1:27" x14ac:dyDescent="0.25">
      <c r="A486" s="320"/>
      <c r="B486" s="321" t="str">
        <f>IF(A486&lt;&gt;"",_xlfn.MAXIFS($B$1:B485,$A$1:A485,A486)+1,"")</f>
        <v/>
      </c>
      <c r="C486" s="299"/>
      <c r="D486" s="299"/>
      <c r="E486" s="299"/>
      <c r="F486" s="299"/>
      <c r="G486" s="330"/>
      <c r="H486" s="328"/>
      <c r="I486" s="329"/>
      <c r="J486" s="329"/>
      <c r="K486" s="322"/>
      <c r="L486" s="322"/>
      <c r="M486" s="323" t="str">
        <f>IFERROR(VLOOKUP(H486,Lijsten!$H$1:$I$100,2,0),"")</f>
        <v/>
      </c>
      <c r="N486" s="323" t="str">
        <f ca="1">IFERROR(IF(VLOOKUP(F486,Kostentypen!$A$3:$E$21,3,0)=0,"",IF(OR(F486="Arbeidskosten",F486="Vergoeding"),VLOOKUP(G486,Tb_KostenTypen[],2,0),VLOOKUP(F486,Kostentypen!$A$3:$E$20,3,0))),"")</f>
        <v/>
      </c>
      <c r="O486" s="324"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4"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3"/>
      <c r="R486" s="363"/>
      <c r="S486" s="325"/>
      <c r="T486" s="325"/>
      <c r="U486" s="317" t="str" cm="1">
        <f t="array" aca="1" ref="U486" ca="1">IFERROR(IF(AA486&lt;&gt;"ja",_xlfn.IFNA(_xlfn.IFS(AND(O486&lt;&gt;"",F486&lt;&gt;"",RIGHT($N486,6)="tarief",F486="Vergoeding"),SUM(O486)*FLOOR(SUM(Q486),0.0001),AND(O486&lt;&gt;"",F486&lt;&gt;"",RIGHT($N486,6)="tarief"),SUM(O486)*FLOOR(SUM(Q486),0.01),S486&gt;0,IF(F486&lt;&gt;"",FLOOR(SUM(S486),0.01),"")),""),""),"")</f>
        <v/>
      </c>
      <c r="V486" s="317" t="str" cm="1">
        <f t="array" aca="1" ref="V486" ca="1">IFERROR(IF(AA486&lt;&gt;"ja",_xlfn.IFNA(_xlfn.IFS(AND(P486&lt;&gt;"",R486&lt;&gt;"",RIGHT($N486,6)="tarief",F486="Vergoeding"),SUM(P486)*FLOOR(SUM(R486),0.0001),AND(P486&lt;&gt;"",R486&lt;&gt;"",RIGHT($N486,6)="tarief"),P486*FLOOR(R486,0.01),T486&gt;0,FLOOR(SUM(T486),0.01)),""),""),"")</f>
        <v/>
      </c>
      <c r="W486" s="317" t="str" cm="1">
        <f t="array" aca="1" ref="W486" ca="1">IFERROR(_xlfn.IFS(OR(F486="",LEFT(Methode_Keuze,4)="Geen",Methode_Keuze=""),"",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17" t="str" cm="1">
        <f t="array" aca="1" ref="X486" ca="1">IFERROR(_xlfn.IFS(OR(F486="",LEFT(Methode_Keuze,4)="Geen",Methode_Keuze=""),"",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26"/>
      <c r="Z486" s="319"/>
      <c r="AA486" s="32" t="str" cm="1">
        <f t="array" ref="AA486">IFERROR(IF(INDEX(SubsidieTabel!$AD$1:$AG$12,MATCH($F486,SubsidieTabel!$AD$1:$AD$12,0),IFERROR(MATCH(Methode_Keuze,SubsidieTabel!$AD$1:$AG$1,0),2))&lt;&gt;1=TRUE,"ja",""),"")</f>
        <v/>
      </c>
    </row>
    <row r="487" spans="1:27" x14ac:dyDescent="0.25">
      <c r="A487" s="320"/>
      <c r="B487" s="321" t="str">
        <f>IF(A487&lt;&gt;"",_xlfn.MAXIFS($B$1:B486,$A$1:A486,A487)+1,"")</f>
        <v/>
      </c>
      <c r="C487" s="299"/>
      <c r="D487" s="299"/>
      <c r="E487" s="299"/>
      <c r="F487" s="299"/>
      <c r="G487" s="330"/>
      <c r="H487" s="328"/>
      <c r="I487" s="329"/>
      <c r="J487" s="329"/>
      <c r="K487" s="322"/>
      <c r="L487" s="322"/>
      <c r="M487" s="323" t="str">
        <f>IFERROR(VLOOKUP(H487,Lijsten!$H$1:$I$100,2,0),"")</f>
        <v/>
      </c>
      <c r="N487" s="323" t="str">
        <f ca="1">IFERROR(IF(VLOOKUP(F487,Kostentypen!$A$3:$E$21,3,0)=0,"",IF(OR(F487="Arbeidskosten",F487="Vergoeding"),VLOOKUP(G487,Tb_KostenTypen[],2,0),VLOOKUP(F487,Kostentypen!$A$3:$E$20,3,0))),"")</f>
        <v/>
      </c>
      <c r="O487" s="324"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4"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3"/>
      <c r="R487" s="363"/>
      <c r="S487" s="325"/>
      <c r="T487" s="325"/>
      <c r="U487" s="317" t="str" cm="1">
        <f t="array" aca="1" ref="U487" ca="1">IFERROR(IF(AA487&lt;&gt;"ja",_xlfn.IFNA(_xlfn.IFS(AND(O487&lt;&gt;"",F487&lt;&gt;"",RIGHT($N487,6)="tarief",F487="Vergoeding"),SUM(O487)*FLOOR(SUM(Q487),0.0001),AND(O487&lt;&gt;"",F487&lt;&gt;"",RIGHT($N487,6)="tarief"),SUM(O487)*FLOOR(SUM(Q487),0.01),S487&gt;0,IF(F487&lt;&gt;"",FLOOR(SUM(S487),0.01),"")),""),""),"")</f>
        <v/>
      </c>
      <c r="V487" s="317" t="str" cm="1">
        <f t="array" aca="1" ref="V487" ca="1">IFERROR(IF(AA487&lt;&gt;"ja",_xlfn.IFNA(_xlfn.IFS(AND(P487&lt;&gt;"",R487&lt;&gt;"",RIGHT($N487,6)="tarief",F487="Vergoeding"),SUM(P487)*FLOOR(SUM(R487),0.0001),AND(P487&lt;&gt;"",R487&lt;&gt;"",RIGHT($N487,6)="tarief"),P487*FLOOR(R487,0.01),T487&gt;0,FLOOR(SUM(T487),0.01)),""),""),"")</f>
        <v/>
      </c>
      <c r="W487" s="317" t="str" cm="1">
        <f t="array" aca="1" ref="W487" ca="1">IFERROR(_xlfn.IFS(OR(F487="",LEFT(Methode_Keuze,4)="Geen",Methode_Keuze=""),"",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17" t="str" cm="1">
        <f t="array" aca="1" ref="X487" ca="1">IFERROR(_xlfn.IFS(OR(F487="",LEFT(Methode_Keuze,4)="Geen",Methode_Keuze=""),"",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26"/>
      <c r="Z487" s="319"/>
      <c r="AA487" s="32" t="str" cm="1">
        <f t="array" ref="AA487">IFERROR(IF(INDEX(SubsidieTabel!$AD$1:$AG$12,MATCH($F487,SubsidieTabel!$AD$1:$AD$12,0),IFERROR(MATCH(Methode_Keuze,SubsidieTabel!$AD$1:$AG$1,0),2))&lt;&gt;1=TRUE,"ja",""),"")</f>
        <v/>
      </c>
    </row>
    <row r="488" spans="1:27" x14ac:dyDescent="0.25">
      <c r="A488" s="320"/>
      <c r="B488" s="321" t="str">
        <f>IF(A488&lt;&gt;"",_xlfn.MAXIFS($B$1:B487,$A$1:A487,A488)+1,"")</f>
        <v/>
      </c>
      <c r="C488" s="299"/>
      <c r="D488" s="299"/>
      <c r="E488" s="299"/>
      <c r="F488" s="299"/>
      <c r="G488" s="330"/>
      <c r="H488" s="328"/>
      <c r="I488" s="329"/>
      <c r="J488" s="329"/>
      <c r="K488" s="322"/>
      <c r="L488" s="322"/>
      <c r="M488" s="323" t="str">
        <f>IFERROR(VLOOKUP(H488,Lijsten!$H$1:$I$100,2,0),"")</f>
        <v/>
      </c>
      <c r="N488" s="323" t="str">
        <f ca="1">IFERROR(IF(VLOOKUP(F488,Kostentypen!$A$3:$E$21,3,0)=0,"",IF(OR(F488="Arbeidskosten",F488="Vergoeding"),VLOOKUP(G488,Tb_KostenTypen[],2,0),VLOOKUP(F488,Kostentypen!$A$3:$E$20,3,0))),"")</f>
        <v/>
      </c>
      <c r="O488" s="324"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4"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3"/>
      <c r="R488" s="363"/>
      <c r="S488" s="325"/>
      <c r="T488" s="325"/>
      <c r="U488" s="317" t="str" cm="1">
        <f t="array" aca="1" ref="U488" ca="1">IFERROR(IF(AA488&lt;&gt;"ja",_xlfn.IFNA(_xlfn.IFS(AND(O488&lt;&gt;"",F488&lt;&gt;"",RIGHT($N488,6)="tarief",F488="Vergoeding"),SUM(O488)*FLOOR(SUM(Q488),0.0001),AND(O488&lt;&gt;"",F488&lt;&gt;"",RIGHT($N488,6)="tarief"),SUM(O488)*FLOOR(SUM(Q488),0.01),S488&gt;0,IF(F488&lt;&gt;"",FLOOR(SUM(S488),0.01),"")),""),""),"")</f>
        <v/>
      </c>
      <c r="V488" s="317" t="str" cm="1">
        <f t="array" aca="1" ref="V488" ca="1">IFERROR(IF(AA488&lt;&gt;"ja",_xlfn.IFNA(_xlfn.IFS(AND(P488&lt;&gt;"",R488&lt;&gt;"",RIGHT($N488,6)="tarief",F488="Vergoeding"),SUM(P488)*FLOOR(SUM(R488),0.0001),AND(P488&lt;&gt;"",R488&lt;&gt;"",RIGHT($N488,6)="tarief"),P488*FLOOR(R488,0.01),T488&gt;0,FLOOR(SUM(T488),0.01)),""),""),"")</f>
        <v/>
      </c>
      <c r="W488" s="317" t="str" cm="1">
        <f t="array" aca="1" ref="W488" ca="1">IFERROR(_xlfn.IFS(OR(F488="",LEFT(Methode_Keuze,4)="Geen",Methode_Keuze=""),"",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17" t="str" cm="1">
        <f t="array" aca="1" ref="X488" ca="1">IFERROR(_xlfn.IFS(OR(F488="",LEFT(Methode_Keuze,4)="Geen",Methode_Keuze=""),"",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26"/>
      <c r="Z488" s="319"/>
      <c r="AA488" s="32" t="str" cm="1">
        <f t="array" ref="AA488">IFERROR(IF(INDEX(SubsidieTabel!$AD$1:$AG$12,MATCH($F488,SubsidieTabel!$AD$1:$AD$12,0),IFERROR(MATCH(Methode_Keuze,SubsidieTabel!$AD$1:$AG$1,0),2))&lt;&gt;1=TRUE,"ja",""),"")</f>
        <v/>
      </c>
    </row>
    <row r="489" spans="1:27" x14ac:dyDescent="0.25">
      <c r="A489" s="320"/>
      <c r="B489" s="321" t="str">
        <f>IF(A489&lt;&gt;"",_xlfn.MAXIFS($B$1:B488,$A$1:A488,A489)+1,"")</f>
        <v/>
      </c>
      <c r="C489" s="299"/>
      <c r="D489" s="299"/>
      <c r="E489" s="299"/>
      <c r="F489" s="299"/>
      <c r="G489" s="330"/>
      <c r="H489" s="328"/>
      <c r="I489" s="329"/>
      <c r="J489" s="329"/>
      <c r="K489" s="322"/>
      <c r="L489" s="322"/>
      <c r="M489" s="323" t="str">
        <f>IFERROR(VLOOKUP(H489,Lijsten!$H$1:$I$100,2,0),"")</f>
        <v/>
      </c>
      <c r="N489" s="323" t="str">
        <f ca="1">IFERROR(IF(VLOOKUP(F489,Kostentypen!$A$3:$E$21,3,0)=0,"",IF(OR(F489="Arbeidskosten",F489="Vergoeding"),VLOOKUP(G489,Tb_KostenTypen[],2,0),VLOOKUP(F489,Kostentypen!$A$3:$E$20,3,0))),"")</f>
        <v/>
      </c>
      <c r="O489" s="324"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4"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3"/>
      <c r="R489" s="363"/>
      <c r="S489" s="325"/>
      <c r="T489" s="325"/>
      <c r="U489" s="317" t="str" cm="1">
        <f t="array" aca="1" ref="U489" ca="1">IFERROR(IF(AA489&lt;&gt;"ja",_xlfn.IFNA(_xlfn.IFS(AND(O489&lt;&gt;"",F489&lt;&gt;"",RIGHT($N489,6)="tarief",F489="Vergoeding"),SUM(O489)*FLOOR(SUM(Q489),0.0001),AND(O489&lt;&gt;"",F489&lt;&gt;"",RIGHT($N489,6)="tarief"),SUM(O489)*FLOOR(SUM(Q489),0.01),S489&gt;0,IF(F489&lt;&gt;"",FLOOR(SUM(S489),0.01),"")),""),""),"")</f>
        <v/>
      </c>
      <c r="V489" s="317" t="str" cm="1">
        <f t="array" aca="1" ref="V489" ca="1">IFERROR(IF(AA489&lt;&gt;"ja",_xlfn.IFNA(_xlfn.IFS(AND(P489&lt;&gt;"",R489&lt;&gt;"",RIGHT($N489,6)="tarief",F489="Vergoeding"),SUM(P489)*FLOOR(SUM(R489),0.0001),AND(P489&lt;&gt;"",R489&lt;&gt;"",RIGHT($N489,6)="tarief"),P489*FLOOR(R489,0.01),T489&gt;0,FLOOR(SUM(T489),0.01)),""),""),"")</f>
        <v/>
      </c>
      <c r="W489" s="317" t="str" cm="1">
        <f t="array" aca="1" ref="W489" ca="1">IFERROR(_xlfn.IFS(OR(F489="",LEFT(Methode_Keuze,4)="Geen",Methode_Keuze=""),"",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17" t="str" cm="1">
        <f t="array" aca="1" ref="X489" ca="1">IFERROR(_xlfn.IFS(OR(F489="",LEFT(Methode_Keuze,4)="Geen",Methode_Keuze=""),"",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26"/>
      <c r="Z489" s="319"/>
      <c r="AA489" s="32" t="str" cm="1">
        <f t="array" ref="AA489">IFERROR(IF(INDEX(SubsidieTabel!$AD$1:$AG$12,MATCH($F489,SubsidieTabel!$AD$1:$AD$12,0),IFERROR(MATCH(Methode_Keuze,SubsidieTabel!$AD$1:$AG$1,0),2))&lt;&gt;1=TRUE,"ja",""),"")</f>
        <v/>
      </c>
    </row>
    <row r="490" spans="1:27" x14ac:dyDescent="0.25">
      <c r="A490" s="320"/>
      <c r="B490" s="321" t="str">
        <f>IF(A490&lt;&gt;"",_xlfn.MAXIFS($B$1:B489,$A$1:A489,A490)+1,"")</f>
        <v/>
      </c>
      <c r="C490" s="299"/>
      <c r="D490" s="299"/>
      <c r="E490" s="299"/>
      <c r="F490" s="299"/>
      <c r="G490" s="330"/>
      <c r="H490" s="328"/>
      <c r="I490" s="329"/>
      <c r="J490" s="329"/>
      <c r="K490" s="322"/>
      <c r="L490" s="322"/>
      <c r="M490" s="323" t="str">
        <f>IFERROR(VLOOKUP(H490,Lijsten!$H$1:$I$100,2,0),"")</f>
        <v/>
      </c>
      <c r="N490" s="323" t="str">
        <f ca="1">IFERROR(IF(VLOOKUP(F490,Kostentypen!$A$3:$E$21,3,0)=0,"",IF(OR(F490="Arbeidskosten",F490="Vergoeding"),VLOOKUP(G490,Tb_KostenTypen[],2,0),VLOOKUP(F490,Kostentypen!$A$3:$E$20,3,0))),"")</f>
        <v/>
      </c>
      <c r="O490" s="324"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4"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3"/>
      <c r="R490" s="363"/>
      <c r="S490" s="325"/>
      <c r="T490" s="325"/>
      <c r="U490" s="317" t="str" cm="1">
        <f t="array" aca="1" ref="U490" ca="1">IFERROR(IF(AA490&lt;&gt;"ja",_xlfn.IFNA(_xlfn.IFS(AND(O490&lt;&gt;"",F490&lt;&gt;"",RIGHT($N490,6)="tarief",F490="Vergoeding"),SUM(O490)*FLOOR(SUM(Q490),0.0001),AND(O490&lt;&gt;"",F490&lt;&gt;"",RIGHT($N490,6)="tarief"),SUM(O490)*FLOOR(SUM(Q490),0.01),S490&gt;0,IF(F490&lt;&gt;"",FLOOR(SUM(S490),0.01),"")),""),""),"")</f>
        <v/>
      </c>
      <c r="V490" s="317" t="str" cm="1">
        <f t="array" aca="1" ref="V490" ca="1">IFERROR(IF(AA490&lt;&gt;"ja",_xlfn.IFNA(_xlfn.IFS(AND(P490&lt;&gt;"",R490&lt;&gt;"",RIGHT($N490,6)="tarief",F490="Vergoeding"),SUM(P490)*FLOOR(SUM(R490),0.0001),AND(P490&lt;&gt;"",R490&lt;&gt;"",RIGHT($N490,6)="tarief"),P490*FLOOR(R490,0.01),T490&gt;0,FLOOR(SUM(T490),0.01)),""),""),"")</f>
        <v/>
      </c>
      <c r="W490" s="317" t="str" cm="1">
        <f t="array" aca="1" ref="W490" ca="1">IFERROR(_xlfn.IFS(OR(F490="",LEFT(Methode_Keuze,4)="Geen",Methode_Keuze=""),"",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17" t="str" cm="1">
        <f t="array" aca="1" ref="X490" ca="1">IFERROR(_xlfn.IFS(OR(F490="",LEFT(Methode_Keuze,4)="Geen",Methode_Keuze=""),"",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26"/>
      <c r="Z490" s="319"/>
      <c r="AA490" s="32" t="str" cm="1">
        <f t="array" ref="AA490">IFERROR(IF(INDEX(SubsidieTabel!$AD$1:$AG$12,MATCH($F490,SubsidieTabel!$AD$1:$AD$12,0),IFERROR(MATCH(Methode_Keuze,SubsidieTabel!$AD$1:$AG$1,0),2))&lt;&gt;1=TRUE,"ja",""),"")</f>
        <v/>
      </c>
    </row>
    <row r="491" spans="1:27" x14ac:dyDescent="0.25">
      <c r="A491" s="320"/>
      <c r="B491" s="321" t="str">
        <f>IF(A491&lt;&gt;"",_xlfn.MAXIFS($B$1:B490,$A$1:A490,A491)+1,"")</f>
        <v/>
      </c>
      <c r="C491" s="299"/>
      <c r="D491" s="299"/>
      <c r="E491" s="299"/>
      <c r="F491" s="299"/>
      <c r="G491" s="330"/>
      <c r="H491" s="328"/>
      <c r="I491" s="329"/>
      <c r="J491" s="329"/>
      <c r="K491" s="322"/>
      <c r="L491" s="322"/>
      <c r="M491" s="323" t="str">
        <f>IFERROR(VLOOKUP(H491,Lijsten!$H$1:$I$100,2,0),"")</f>
        <v/>
      </c>
      <c r="N491" s="323" t="str">
        <f ca="1">IFERROR(IF(VLOOKUP(F491,Kostentypen!$A$3:$E$21,3,0)=0,"",IF(OR(F491="Arbeidskosten",F491="Vergoeding"),VLOOKUP(G491,Tb_KostenTypen[],2,0),VLOOKUP(F491,Kostentypen!$A$3:$E$20,3,0))),"")</f>
        <v/>
      </c>
      <c r="O491" s="324"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4"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3"/>
      <c r="R491" s="363"/>
      <c r="S491" s="325"/>
      <c r="T491" s="325"/>
      <c r="U491" s="317" t="str" cm="1">
        <f t="array" aca="1" ref="U491" ca="1">IFERROR(IF(AA491&lt;&gt;"ja",_xlfn.IFNA(_xlfn.IFS(AND(O491&lt;&gt;"",F491&lt;&gt;"",RIGHT($N491,6)="tarief",F491="Vergoeding"),SUM(O491)*FLOOR(SUM(Q491),0.0001),AND(O491&lt;&gt;"",F491&lt;&gt;"",RIGHT($N491,6)="tarief"),SUM(O491)*FLOOR(SUM(Q491),0.01),S491&gt;0,IF(F491&lt;&gt;"",FLOOR(SUM(S491),0.01),"")),""),""),"")</f>
        <v/>
      </c>
      <c r="V491" s="317" t="str" cm="1">
        <f t="array" aca="1" ref="V491" ca="1">IFERROR(IF(AA491&lt;&gt;"ja",_xlfn.IFNA(_xlfn.IFS(AND(P491&lt;&gt;"",R491&lt;&gt;"",RIGHT($N491,6)="tarief",F491="Vergoeding"),SUM(P491)*FLOOR(SUM(R491),0.0001),AND(P491&lt;&gt;"",R491&lt;&gt;"",RIGHT($N491,6)="tarief"),P491*FLOOR(R491,0.01),T491&gt;0,FLOOR(SUM(T491),0.01)),""),""),"")</f>
        <v/>
      </c>
      <c r="W491" s="317" t="str" cm="1">
        <f t="array" aca="1" ref="W491" ca="1">IFERROR(_xlfn.IFS(OR(F491="",LEFT(Methode_Keuze,4)="Geen",Methode_Keuze=""),"",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17" t="str" cm="1">
        <f t="array" aca="1" ref="X491" ca="1">IFERROR(_xlfn.IFS(OR(F491="",LEFT(Methode_Keuze,4)="Geen",Methode_Keuze=""),"",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26"/>
      <c r="Z491" s="319"/>
      <c r="AA491" s="32" t="str" cm="1">
        <f t="array" ref="AA491">IFERROR(IF(INDEX(SubsidieTabel!$AD$1:$AG$12,MATCH($F491,SubsidieTabel!$AD$1:$AD$12,0),IFERROR(MATCH(Methode_Keuze,SubsidieTabel!$AD$1:$AG$1,0),2))&lt;&gt;1=TRUE,"ja",""),"")</f>
        <v/>
      </c>
    </row>
    <row r="492" spans="1:27" x14ac:dyDescent="0.25">
      <c r="A492" s="320"/>
      <c r="B492" s="321" t="str">
        <f>IF(A492&lt;&gt;"",_xlfn.MAXIFS($B$1:B491,$A$1:A491,A492)+1,"")</f>
        <v/>
      </c>
      <c r="C492" s="299"/>
      <c r="D492" s="299"/>
      <c r="E492" s="299"/>
      <c r="F492" s="299"/>
      <c r="G492" s="330"/>
      <c r="H492" s="328"/>
      <c r="I492" s="329"/>
      <c r="J492" s="329"/>
      <c r="K492" s="322"/>
      <c r="L492" s="322"/>
      <c r="M492" s="323" t="str">
        <f>IFERROR(VLOOKUP(H492,Lijsten!$H$1:$I$100,2,0),"")</f>
        <v/>
      </c>
      <c r="N492" s="323" t="str">
        <f ca="1">IFERROR(IF(VLOOKUP(F492,Kostentypen!$A$3:$E$21,3,0)=0,"",IF(OR(F492="Arbeidskosten",F492="Vergoeding"),VLOOKUP(G492,Tb_KostenTypen[],2,0),VLOOKUP(F492,Kostentypen!$A$3:$E$20,3,0))),"")</f>
        <v/>
      </c>
      <c r="O492" s="324"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4"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3"/>
      <c r="R492" s="363"/>
      <c r="S492" s="325"/>
      <c r="T492" s="325"/>
      <c r="U492" s="317" t="str" cm="1">
        <f t="array" aca="1" ref="U492" ca="1">IFERROR(IF(AA492&lt;&gt;"ja",_xlfn.IFNA(_xlfn.IFS(AND(O492&lt;&gt;"",F492&lt;&gt;"",RIGHT($N492,6)="tarief",F492="Vergoeding"),SUM(O492)*FLOOR(SUM(Q492),0.0001),AND(O492&lt;&gt;"",F492&lt;&gt;"",RIGHT($N492,6)="tarief"),SUM(O492)*FLOOR(SUM(Q492),0.01),S492&gt;0,IF(F492&lt;&gt;"",FLOOR(SUM(S492),0.01),"")),""),""),"")</f>
        <v/>
      </c>
      <c r="V492" s="317" t="str" cm="1">
        <f t="array" aca="1" ref="V492" ca="1">IFERROR(IF(AA492&lt;&gt;"ja",_xlfn.IFNA(_xlfn.IFS(AND(P492&lt;&gt;"",R492&lt;&gt;"",RIGHT($N492,6)="tarief",F492="Vergoeding"),SUM(P492)*FLOOR(SUM(R492),0.0001),AND(P492&lt;&gt;"",R492&lt;&gt;"",RIGHT($N492,6)="tarief"),P492*FLOOR(R492,0.01),T492&gt;0,FLOOR(SUM(T492),0.01)),""),""),"")</f>
        <v/>
      </c>
      <c r="W492" s="317" t="str" cm="1">
        <f t="array" aca="1" ref="W492" ca="1">IFERROR(_xlfn.IFS(OR(F492="",LEFT(Methode_Keuze,4)="Geen",Methode_Keuze=""),"",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17" t="str" cm="1">
        <f t="array" aca="1" ref="X492" ca="1">IFERROR(_xlfn.IFS(OR(F492="",LEFT(Methode_Keuze,4)="Geen",Methode_Keuze=""),"",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26"/>
      <c r="Z492" s="319"/>
      <c r="AA492" s="32" t="str" cm="1">
        <f t="array" ref="AA492">IFERROR(IF(INDEX(SubsidieTabel!$AD$1:$AG$12,MATCH($F492,SubsidieTabel!$AD$1:$AD$12,0),IFERROR(MATCH(Methode_Keuze,SubsidieTabel!$AD$1:$AG$1,0),2))&lt;&gt;1=TRUE,"ja",""),"")</f>
        <v/>
      </c>
    </row>
    <row r="493" spans="1:27" x14ac:dyDescent="0.25">
      <c r="A493" s="320"/>
      <c r="B493" s="321" t="str">
        <f>IF(A493&lt;&gt;"",_xlfn.MAXIFS($B$1:B492,$A$1:A492,A493)+1,"")</f>
        <v/>
      </c>
      <c r="C493" s="299"/>
      <c r="D493" s="299"/>
      <c r="E493" s="299"/>
      <c r="F493" s="299"/>
      <c r="G493" s="330"/>
      <c r="H493" s="328"/>
      <c r="I493" s="329"/>
      <c r="J493" s="329"/>
      <c r="K493" s="322"/>
      <c r="L493" s="322"/>
      <c r="M493" s="323" t="str">
        <f>IFERROR(VLOOKUP(H493,Lijsten!$H$1:$I$100,2,0),"")</f>
        <v/>
      </c>
      <c r="N493" s="323" t="str">
        <f ca="1">IFERROR(IF(VLOOKUP(F493,Kostentypen!$A$3:$E$21,3,0)=0,"",IF(OR(F493="Arbeidskosten",F493="Vergoeding"),VLOOKUP(G493,Tb_KostenTypen[],2,0),VLOOKUP(F493,Kostentypen!$A$3:$E$20,3,0))),"")</f>
        <v/>
      </c>
      <c r="O493" s="324"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4"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3"/>
      <c r="R493" s="363"/>
      <c r="S493" s="325"/>
      <c r="T493" s="325"/>
      <c r="U493" s="317" t="str" cm="1">
        <f t="array" aca="1" ref="U493" ca="1">IFERROR(IF(AA493&lt;&gt;"ja",_xlfn.IFNA(_xlfn.IFS(AND(O493&lt;&gt;"",F493&lt;&gt;"",RIGHT($N493,6)="tarief",F493="Vergoeding"),SUM(O493)*FLOOR(SUM(Q493),0.0001),AND(O493&lt;&gt;"",F493&lt;&gt;"",RIGHT($N493,6)="tarief"),SUM(O493)*FLOOR(SUM(Q493),0.01),S493&gt;0,IF(F493&lt;&gt;"",FLOOR(SUM(S493),0.01),"")),""),""),"")</f>
        <v/>
      </c>
      <c r="V493" s="317" t="str" cm="1">
        <f t="array" aca="1" ref="V493" ca="1">IFERROR(IF(AA493&lt;&gt;"ja",_xlfn.IFNA(_xlfn.IFS(AND(P493&lt;&gt;"",R493&lt;&gt;"",RIGHT($N493,6)="tarief",F493="Vergoeding"),SUM(P493)*FLOOR(SUM(R493),0.0001),AND(P493&lt;&gt;"",R493&lt;&gt;"",RIGHT($N493,6)="tarief"),P493*FLOOR(R493,0.01),T493&gt;0,FLOOR(SUM(T493),0.01)),""),""),"")</f>
        <v/>
      </c>
      <c r="W493" s="317" t="str" cm="1">
        <f t="array" aca="1" ref="W493" ca="1">IFERROR(_xlfn.IFS(OR(F493="",LEFT(Methode_Keuze,4)="Geen",Methode_Keuze=""),"",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17" t="str" cm="1">
        <f t="array" aca="1" ref="X493" ca="1">IFERROR(_xlfn.IFS(OR(F493="",LEFT(Methode_Keuze,4)="Geen",Methode_Keuze=""),"",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26"/>
      <c r="Z493" s="319"/>
      <c r="AA493" s="32" t="str" cm="1">
        <f t="array" ref="AA493">IFERROR(IF(INDEX(SubsidieTabel!$AD$1:$AG$12,MATCH($F493,SubsidieTabel!$AD$1:$AD$12,0),IFERROR(MATCH(Methode_Keuze,SubsidieTabel!$AD$1:$AG$1,0),2))&lt;&gt;1=TRUE,"ja",""),"")</f>
        <v/>
      </c>
    </row>
    <row r="494" spans="1:27" x14ac:dyDescent="0.25">
      <c r="A494" s="320"/>
      <c r="B494" s="321" t="str">
        <f>IF(A494&lt;&gt;"",_xlfn.MAXIFS($B$1:B493,$A$1:A493,A494)+1,"")</f>
        <v/>
      </c>
      <c r="C494" s="299"/>
      <c r="D494" s="299"/>
      <c r="E494" s="299"/>
      <c r="F494" s="299"/>
      <c r="G494" s="330"/>
      <c r="H494" s="328"/>
      <c r="I494" s="329"/>
      <c r="J494" s="329"/>
      <c r="K494" s="322"/>
      <c r="L494" s="322"/>
      <c r="M494" s="323" t="str">
        <f>IFERROR(VLOOKUP(H494,Lijsten!$H$1:$I$100,2,0),"")</f>
        <v/>
      </c>
      <c r="N494" s="323" t="str">
        <f ca="1">IFERROR(IF(VLOOKUP(F494,Kostentypen!$A$3:$E$21,3,0)=0,"",IF(OR(F494="Arbeidskosten",F494="Vergoeding"),VLOOKUP(G494,Tb_KostenTypen[],2,0),VLOOKUP(F494,Kostentypen!$A$3:$E$20,3,0))),"")</f>
        <v/>
      </c>
      <c r="O494" s="324"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4"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3"/>
      <c r="R494" s="363"/>
      <c r="S494" s="325"/>
      <c r="T494" s="325"/>
      <c r="U494" s="317" t="str" cm="1">
        <f t="array" aca="1" ref="U494" ca="1">IFERROR(IF(AA494&lt;&gt;"ja",_xlfn.IFNA(_xlfn.IFS(AND(O494&lt;&gt;"",F494&lt;&gt;"",RIGHT($N494,6)="tarief",F494="Vergoeding"),SUM(O494)*FLOOR(SUM(Q494),0.0001),AND(O494&lt;&gt;"",F494&lt;&gt;"",RIGHT($N494,6)="tarief"),SUM(O494)*FLOOR(SUM(Q494),0.01),S494&gt;0,IF(F494&lt;&gt;"",FLOOR(SUM(S494),0.01),"")),""),""),"")</f>
        <v/>
      </c>
      <c r="V494" s="317" t="str" cm="1">
        <f t="array" aca="1" ref="V494" ca="1">IFERROR(IF(AA494&lt;&gt;"ja",_xlfn.IFNA(_xlfn.IFS(AND(P494&lt;&gt;"",R494&lt;&gt;"",RIGHT($N494,6)="tarief",F494="Vergoeding"),SUM(P494)*FLOOR(SUM(R494),0.0001),AND(P494&lt;&gt;"",R494&lt;&gt;"",RIGHT($N494,6)="tarief"),P494*FLOOR(R494,0.01),T494&gt;0,FLOOR(SUM(T494),0.01)),""),""),"")</f>
        <v/>
      </c>
      <c r="W494" s="317" t="str" cm="1">
        <f t="array" aca="1" ref="W494" ca="1">IFERROR(_xlfn.IFS(OR(F494="",LEFT(Methode_Keuze,4)="Geen",Methode_Keuze=""),"",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17" t="str" cm="1">
        <f t="array" aca="1" ref="X494" ca="1">IFERROR(_xlfn.IFS(OR(F494="",LEFT(Methode_Keuze,4)="Geen",Methode_Keuze=""),"",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26"/>
      <c r="Z494" s="319"/>
      <c r="AA494" s="32" t="str" cm="1">
        <f t="array" ref="AA494">IFERROR(IF(INDEX(SubsidieTabel!$AD$1:$AG$12,MATCH($F494,SubsidieTabel!$AD$1:$AD$12,0),IFERROR(MATCH(Methode_Keuze,SubsidieTabel!$AD$1:$AG$1,0),2))&lt;&gt;1=TRUE,"ja",""),"")</f>
        <v/>
      </c>
    </row>
    <row r="495" spans="1:27" x14ac:dyDescent="0.25">
      <c r="A495" s="320"/>
      <c r="B495" s="321" t="str">
        <f>IF(A495&lt;&gt;"",_xlfn.MAXIFS($B$1:B494,$A$1:A494,A495)+1,"")</f>
        <v/>
      </c>
      <c r="C495" s="299"/>
      <c r="D495" s="299"/>
      <c r="E495" s="299"/>
      <c r="F495" s="299"/>
      <c r="G495" s="330"/>
      <c r="H495" s="328"/>
      <c r="I495" s="329"/>
      <c r="J495" s="329"/>
      <c r="K495" s="322"/>
      <c r="L495" s="322"/>
      <c r="M495" s="323" t="str">
        <f>IFERROR(VLOOKUP(H495,Lijsten!$H$1:$I$100,2,0),"")</f>
        <v/>
      </c>
      <c r="N495" s="323" t="str">
        <f ca="1">IFERROR(IF(VLOOKUP(F495,Kostentypen!$A$3:$E$21,3,0)=0,"",IF(OR(F495="Arbeidskosten",F495="Vergoeding"),VLOOKUP(G495,Tb_KostenTypen[],2,0),VLOOKUP(F495,Kostentypen!$A$3:$E$20,3,0))),"")</f>
        <v/>
      </c>
      <c r="O495" s="324"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4"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3"/>
      <c r="R495" s="363"/>
      <c r="S495" s="325"/>
      <c r="T495" s="325"/>
      <c r="U495" s="317" t="str" cm="1">
        <f t="array" aca="1" ref="U495" ca="1">IFERROR(IF(AA495&lt;&gt;"ja",_xlfn.IFNA(_xlfn.IFS(AND(O495&lt;&gt;"",F495&lt;&gt;"",RIGHT($N495,6)="tarief",F495="Vergoeding"),SUM(O495)*FLOOR(SUM(Q495),0.0001),AND(O495&lt;&gt;"",F495&lt;&gt;"",RIGHT($N495,6)="tarief"),SUM(O495)*FLOOR(SUM(Q495),0.01),S495&gt;0,IF(F495&lt;&gt;"",FLOOR(SUM(S495),0.01),"")),""),""),"")</f>
        <v/>
      </c>
      <c r="V495" s="317" t="str" cm="1">
        <f t="array" aca="1" ref="V495" ca="1">IFERROR(IF(AA495&lt;&gt;"ja",_xlfn.IFNA(_xlfn.IFS(AND(P495&lt;&gt;"",R495&lt;&gt;"",RIGHT($N495,6)="tarief",F495="Vergoeding"),SUM(P495)*FLOOR(SUM(R495),0.0001),AND(P495&lt;&gt;"",R495&lt;&gt;"",RIGHT($N495,6)="tarief"),P495*FLOOR(R495,0.01),T495&gt;0,FLOOR(SUM(T495),0.01)),""),""),"")</f>
        <v/>
      </c>
      <c r="W495" s="317" t="str" cm="1">
        <f t="array" aca="1" ref="W495" ca="1">IFERROR(_xlfn.IFS(OR(F495="",LEFT(Methode_Keuze,4)="Geen",Methode_Keuze=""),"",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17" t="str" cm="1">
        <f t="array" aca="1" ref="X495" ca="1">IFERROR(_xlfn.IFS(OR(F495="",LEFT(Methode_Keuze,4)="Geen",Methode_Keuze=""),"",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26"/>
      <c r="Z495" s="319"/>
      <c r="AA495" s="32" t="str" cm="1">
        <f t="array" ref="AA495">IFERROR(IF(INDEX(SubsidieTabel!$AD$1:$AG$12,MATCH($F495,SubsidieTabel!$AD$1:$AD$12,0),IFERROR(MATCH(Methode_Keuze,SubsidieTabel!$AD$1:$AG$1,0),2))&lt;&gt;1=TRUE,"ja",""),"")</f>
        <v/>
      </c>
    </row>
    <row r="496" spans="1:27" x14ac:dyDescent="0.25">
      <c r="A496" s="320"/>
      <c r="B496" s="321" t="str">
        <f>IF(A496&lt;&gt;"",_xlfn.MAXIFS($B$1:B495,$A$1:A495,A496)+1,"")</f>
        <v/>
      </c>
      <c r="C496" s="299"/>
      <c r="D496" s="299"/>
      <c r="E496" s="299"/>
      <c r="F496" s="299"/>
      <c r="G496" s="330"/>
      <c r="H496" s="328"/>
      <c r="I496" s="329"/>
      <c r="J496" s="329"/>
      <c r="K496" s="322"/>
      <c r="L496" s="322"/>
      <c r="M496" s="323" t="str">
        <f>IFERROR(VLOOKUP(H496,Lijsten!$H$1:$I$100,2,0),"")</f>
        <v/>
      </c>
      <c r="N496" s="323" t="str">
        <f ca="1">IFERROR(IF(VLOOKUP(F496,Kostentypen!$A$3:$E$21,3,0)=0,"",IF(OR(F496="Arbeidskosten",F496="Vergoeding"),VLOOKUP(G496,Tb_KostenTypen[],2,0),VLOOKUP(F496,Kostentypen!$A$3:$E$20,3,0))),"")</f>
        <v/>
      </c>
      <c r="O496" s="324"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4"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3"/>
      <c r="R496" s="363"/>
      <c r="S496" s="325"/>
      <c r="T496" s="325"/>
      <c r="U496" s="317" t="str" cm="1">
        <f t="array" aca="1" ref="U496" ca="1">IFERROR(IF(AA496&lt;&gt;"ja",_xlfn.IFNA(_xlfn.IFS(AND(O496&lt;&gt;"",F496&lt;&gt;"",RIGHT($N496,6)="tarief",F496="Vergoeding"),SUM(O496)*FLOOR(SUM(Q496),0.0001),AND(O496&lt;&gt;"",F496&lt;&gt;"",RIGHT($N496,6)="tarief"),SUM(O496)*FLOOR(SUM(Q496),0.01),S496&gt;0,IF(F496&lt;&gt;"",FLOOR(SUM(S496),0.01),"")),""),""),"")</f>
        <v/>
      </c>
      <c r="V496" s="317" t="str" cm="1">
        <f t="array" aca="1" ref="V496" ca="1">IFERROR(IF(AA496&lt;&gt;"ja",_xlfn.IFNA(_xlfn.IFS(AND(P496&lt;&gt;"",R496&lt;&gt;"",RIGHT($N496,6)="tarief",F496="Vergoeding"),SUM(P496)*FLOOR(SUM(R496),0.0001),AND(P496&lt;&gt;"",R496&lt;&gt;"",RIGHT($N496,6)="tarief"),P496*FLOOR(R496,0.01),T496&gt;0,FLOOR(SUM(T496),0.01)),""),""),"")</f>
        <v/>
      </c>
      <c r="W496" s="317" t="str" cm="1">
        <f t="array" aca="1" ref="W496" ca="1">IFERROR(_xlfn.IFS(OR(F496="",LEFT(Methode_Keuze,4)="Geen",Methode_Keuze=""),"",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17" t="str" cm="1">
        <f t="array" aca="1" ref="X496" ca="1">IFERROR(_xlfn.IFS(OR(F496="",LEFT(Methode_Keuze,4)="Geen",Methode_Keuze=""),"",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26"/>
      <c r="Z496" s="319"/>
      <c r="AA496" s="32" t="str" cm="1">
        <f t="array" ref="AA496">IFERROR(IF(INDEX(SubsidieTabel!$AD$1:$AG$12,MATCH($F496,SubsidieTabel!$AD$1:$AD$12,0),IFERROR(MATCH(Methode_Keuze,SubsidieTabel!$AD$1:$AG$1,0),2))&lt;&gt;1=TRUE,"ja",""),"")</f>
        <v/>
      </c>
    </row>
    <row r="497" spans="1:27" x14ac:dyDescent="0.25">
      <c r="A497" s="320"/>
      <c r="B497" s="321" t="str">
        <f>IF(A497&lt;&gt;"",_xlfn.MAXIFS($B$1:B496,$A$1:A496,A497)+1,"")</f>
        <v/>
      </c>
      <c r="C497" s="299"/>
      <c r="D497" s="299"/>
      <c r="E497" s="299"/>
      <c r="F497" s="299"/>
      <c r="G497" s="330"/>
      <c r="H497" s="328"/>
      <c r="I497" s="329"/>
      <c r="J497" s="329"/>
      <c r="K497" s="322"/>
      <c r="L497" s="322"/>
      <c r="M497" s="323" t="str">
        <f>IFERROR(VLOOKUP(H497,Lijsten!$H$1:$I$100,2,0),"")</f>
        <v/>
      </c>
      <c r="N497" s="323" t="str">
        <f ca="1">IFERROR(IF(VLOOKUP(F497,Kostentypen!$A$3:$E$21,3,0)=0,"",IF(OR(F497="Arbeidskosten",F497="Vergoeding"),VLOOKUP(G497,Tb_KostenTypen[],2,0),VLOOKUP(F497,Kostentypen!$A$3:$E$20,3,0))),"")</f>
        <v/>
      </c>
      <c r="O497" s="324"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4"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3"/>
      <c r="R497" s="363"/>
      <c r="S497" s="325"/>
      <c r="T497" s="325"/>
      <c r="U497" s="317" t="str" cm="1">
        <f t="array" aca="1" ref="U497" ca="1">IFERROR(IF(AA497&lt;&gt;"ja",_xlfn.IFNA(_xlfn.IFS(AND(O497&lt;&gt;"",F497&lt;&gt;"",RIGHT($N497,6)="tarief",F497="Vergoeding"),SUM(O497)*FLOOR(SUM(Q497),0.0001),AND(O497&lt;&gt;"",F497&lt;&gt;"",RIGHT($N497,6)="tarief"),SUM(O497)*FLOOR(SUM(Q497),0.01),S497&gt;0,IF(F497&lt;&gt;"",FLOOR(SUM(S497),0.01),"")),""),""),"")</f>
        <v/>
      </c>
      <c r="V497" s="317" t="str" cm="1">
        <f t="array" aca="1" ref="V497" ca="1">IFERROR(IF(AA497&lt;&gt;"ja",_xlfn.IFNA(_xlfn.IFS(AND(P497&lt;&gt;"",R497&lt;&gt;"",RIGHT($N497,6)="tarief",F497="Vergoeding"),SUM(P497)*FLOOR(SUM(R497),0.0001),AND(P497&lt;&gt;"",R497&lt;&gt;"",RIGHT($N497,6)="tarief"),P497*FLOOR(R497,0.01),T497&gt;0,FLOOR(SUM(T497),0.01)),""),""),"")</f>
        <v/>
      </c>
      <c r="W497" s="317" t="str" cm="1">
        <f t="array" aca="1" ref="W497" ca="1">IFERROR(_xlfn.IFS(OR(F497="",LEFT(Methode_Keuze,4)="Geen",Methode_Keuze=""),"",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17" t="str" cm="1">
        <f t="array" aca="1" ref="X497" ca="1">IFERROR(_xlfn.IFS(OR(F497="",LEFT(Methode_Keuze,4)="Geen",Methode_Keuze=""),"",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26"/>
      <c r="Z497" s="319"/>
      <c r="AA497" s="32" t="str" cm="1">
        <f t="array" ref="AA497">IFERROR(IF(INDEX(SubsidieTabel!$AD$1:$AG$12,MATCH($F497,SubsidieTabel!$AD$1:$AD$12,0),IFERROR(MATCH(Methode_Keuze,SubsidieTabel!$AD$1:$AG$1,0),2))&lt;&gt;1=TRUE,"ja",""),"")</f>
        <v/>
      </c>
    </row>
    <row r="498" spans="1:27" x14ac:dyDescent="0.25">
      <c r="A498" s="320"/>
      <c r="B498" s="321" t="str">
        <f>IF(A498&lt;&gt;"",_xlfn.MAXIFS($B$1:B497,$A$1:A497,A498)+1,"")</f>
        <v/>
      </c>
      <c r="C498" s="299"/>
      <c r="D498" s="299"/>
      <c r="E498" s="299"/>
      <c r="F498" s="299"/>
      <c r="G498" s="330"/>
      <c r="H498" s="328"/>
      <c r="I498" s="329"/>
      <c r="J498" s="329"/>
      <c r="K498" s="322"/>
      <c r="L498" s="322"/>
      <c r="M498" s="323" t="str">
        <f>IFERROR(VLOOKUP(H498,Lijsten!$H$1:$I$100,2,0),"")</f>
        <v/>
      </c>
      <c r="N498" s="323" t="str">
        <f ca="1">IFERROR(IF(VLOOKUP(F498,Kostentypen!$A$3:$E$21,3,0)=0,"",IF(OR(F498="Arbeidskosten",F498="Vergoeding"),VLOOKUP(G498,Tb_KostenTypen[],2,0),VLOOKUP(F498,Kostentypen!$A$3:$E$20,3,0))),"")</f>
        <v/>
      </c>
      <c r="O498" s="324"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4"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3"/>
      <c r="R498" s="363"/>
      <c r="S498" s="325"/>
      <c r="T498" s="325"/>
      <c r="U498" s="317" t="str" cm="1">
        <f t="array" aca="1" ref="U498" ca="1">IFERROR(IF(AA498&lt;&gt;"ja",_xlfn.IFNA(_xlfn.IFS(AND(O498&lt;&gt;"",F498&lt;&gt;"",RIGHT($N498,6)="tarief",F498="Vergoeding"),SUM(O498)*FLOOR(SUM(Q498),0.0001),AND(O498&lt;&gt;"",F498&lt;&gt;"",RIGHT($N498,6)="tarief"),SUM(O498)*FLOOR(SUM(Q498),0.01),S498&gt;0,IF(F498&lt;&gt;"",FLOOR(SUM(S498),0.01),"")),""),""),"")</f>
        <v/>
      </c>
      <c r="V498" s="317" t="str" cm="1">
        <f t="array" aca="1" ref="V498" ca="1">IFERROR(IF(AA498&lt;&gt;"ja",_xlfn.IFNA(_xlfn.IFS(AND(P498&lt;&gt;"",R498&lt;&gt;"",RIGHT($N498,6)="tarief",F498="Vergoeding"),SUM(P498)*FLOOR(SUM(R498),0.0001),AND(P498&lt;&gt;"",R498&lt;&gt;"",RIGHT($N498,6)="tarief"),P498*FLOOR(R498,0.01),T498&gt;0,FLOOR(SUM(T498),0.01)),""),""),"")</f>
        <v/>
      </c>
      <c r="W498" s="317" t="str" cm="1">
        <f t="array" aca="1" ref="W498" ca="1">IFERROR(_xlfn.IFS(OR(F498="",LEFT(Methode_Keuze,4)="Geen",Methode_Keuze=""),"",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17" t="str" cm="1">
        <f t="array" aca="1" ref="X498" ca="1">IFERROR(_xlfn.IFS(OR(F498="",LEFT(Methode_Keuze,4)="Geen",Methode_Keuze=""),"",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26"/>
      <c r="Z498" s="319"/>
      <c r="AA498" s="32" t="str" cm="1">
        <f t="array" ref="AA498">IFERROR(IF(INDEX(SubsidieTabel!$AD$1:$AG$12,MATCH($F498,SubsidieTabel!$AD$1:$AD$12,0),IFERROR(MATCH(Methode_Keuze,SubsidieTabel!$AD$1:$AG$1,0),2))&lt;&gt;1=TRUE,"ja",""),"")</f>
        <v/>
      </c>
    </row>
    <row r="499" spans="1:27" x14ac:dyDescent="0.25">
      <c r="A499" s="320"/>
      <c r="B499" s="321" t="str">
        <f>IF(A499&lt;&gt;"",_xlfn.MAXIFS($B$1:B498,$A$1:A498,A499)+1,"")</f>
        <v/>
      </c>
      <c r="C499" s="299"/>
      <c r="D499" s="299"/>
      <c r="E499" s="299"/>
      <c r="F499" s="299"/>
      <c r="G499" s="330"/>
      <c r="H499" s="328"/>
      <c r="I499" s="329"/>
      <c r="J499" s="329"/>
      <c r="K499" s="322"/>
      <c r="L499" s="322"/>
      <c r="M499" s="323" t="str">
        <f>IFERROR(VLOOKUP(H499,Lijsten!$H$1:$I$100,2,0),"")</f>
        <v/>
      </c>
      <c r="N499" s="323" t="str">
        <f ca="1">IFERROR(IF(VLOOKUP(F499,Kostentypen!$A$3:$E$21,3,0)=0,"",IF(OR(F499="Arbeidskosten",F499="Vergoeding"),VLOOKUP(G499,Tb_KostenTypen[],2,0),VLOOKUP(F499,Kostentypen!$A$3:$E$20,3,0))),"")</f>
        <v/>
      </c>
      <c r="O499" s="324"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4"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3"/>
      <c r="R499" s="363"/>
      <c r="S499" s="325"/>
      <c r="T499" s="325"/>
      <c r="U499" s="317" t="str" cm="1">
        <f t="array" aca="1" ref="U499" ca="1">IFERROR(IF(AA499&lt;&gt;"ja",_xlfn.IFNA(_xlfn.IFS(AND(O499&lt;&gt;"",F499&lt;&gt;"",RIGHT($N499,6)="tarief",F499="Vergoeding"),SUM(O499)*FLOOR(SUM(Q499),0.0001),AND(O499&lt;&gt;"",F499&lt;&gt;"",RIGHT($N499,6)="tarief"),SUM(O499)*FLOOR(SUM(Q499),0.01),S499&gt;0,IF(F499&lt;&gt;"",FLOOR(SUM(S499),0.01),"")),""),""),"")</f>
        <v/>
      </c>
      <c r="V499" s="317" t="str" cm="1">
        <f t="array" aca="1" ref="V499" ca="1">IFERROR(IF(AA499&lt;&gt;"ja",_xlfn.IFNA(_xlfn.IFS(AND(P499&lt;&gt;"",R499&lt;&gt;"",RIGHT($N499,6)="tarief",F499="Vergoeding"),SUM(P499)*FLOOR(SUM(R499),0.0001),AND(P499&lt;&gt;"",R499&lt;&gt;"",RIGHT($N499,6)="tarief"),P499*FLOOR(R499,0.01),T499&gt;0,FLOOR(SUM(T499),0.01)),""),""),"")</f>
        <v/>
      </c>
      <c r="W499" s="317" t="str" cm="1">
        <f t="array" aca="1" ref="W499" ca="1">IFERROR(_xlfn.IFS(OR(F499="",LEFT(Methode_Keuze,4)="Geen",Methode_Keuze=""),"",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17" t="str" cm="1">
        <f t="array" aca="1" ref="X499" ca="1">IFERROR(_xlfn.IFS(OR(F499="",LEFT(Methode_Keuze,4)="Geen",Methode_Keuze=""),"",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26"/>
      <c r="Z499" s="319"/>
      <c r="AA499" s="32" t="str" cm="1">
        <f t="array" ref="AA499">IFERROR(IF(INDEX(SubsidieTabel!$AD$1:$AG$12,MATCH($F499,SubsidieTabel!$AD$1:$AD$12,0),IFERROR(MATCH(Methode_Keuze,SubsidieTabel!$AD$1:$AG$1,0),2))&lt;&gt;1=TRUE,"ja",""),"")</f>
        <v/>
      </c>
    </row>
    <row r="500" spans="1:27" x14ac:dyDescent="0.25">
      <c r="A500" s="320"/>
      <c r="B500" s="321" t="str">
        <f>IF(A500&lt;&gt;"",_xlfn.MAXIFS($B$1:B499,$A$1:A499,A500)+1,"")</f>
        <v/>
      </c>
      <c r="C500" s="299"/>
      <c r="D500" s="299"/>
      <c r="E500" s="299"/>
      <c r="F500" s="299"/>
      <c r="G500" s="330"/>
      <c r="H500" s="328"/>
      <c r="I500" s="329"/>
      <c r="J500" s="329"/>
      <c r="K500" s="322"/>
      <c r="L500" s="322"/>
      <c r="M500" s="323" t="str">
        <f>IFERROR(VLOOKUP(H500,Lijsten!$H$1:$I$100,2,0),"")</f>
        <v/>
      </c>
      <c r="N500" s="323" t="str">
        <f ca="1">IFERROR(IF(VLOOKUP(F500,Kostentypen!$A$3:$E$21,3,0)=0,"",IF(OR(F500="Arbeidskosten",F500="Vergoeding"),VLOOKUP(G500,Tb_KostenTypen[],2,0),VLOOKUP(F500,Kostentypen!$A$3:$E$20,3,0))),"")</f>
        <v/>
      </c>
      <c r="O500" s="324"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4"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3"/>
      <c r="R500" s="363"/>
      <c r="S500" s="325"/>
      <c r="T500" s="325"/>
      <c r="U500" s="317" t="str" cm="1">
        <f t="array" aca="1" ref="U500" ca="1">IFERROR(IF(AA500&lt;&gt;"ja",_xlfn.IFNA(_xlfn.IFS(AND(O500&lt;&gt;"",F500&lt;&gt;"",RIGHT($N500,6)="tarief",F500="Vergoeding"),SUM(O500)*FLOOR(SUM(Q500),0.0001),AND(O500&lt;&gt;"",F500&lt;&gt;"",RIGHT($N500,6)="tarief"),SUM(O500)*FLOOR(SUM(Q500),0.01),S500&gt;0,IF(F500&lt;&gt;"",FLOOR(SUM(S500),0.01),"")),""),""),"")</f>
        <v/>
      </c>
      <c r="V500" s="317" t="str" cm="1">
        <f t="array" aca="1" ref="V500" ca="1">IFERROR(IF(AA500&lt;&gt;"ja",_xlfn.IFNA(_xlfn.IFS(AND(P500&lt;&gt;"",R500&lt;&gt;"",RIGHT($N500,6)="tarief",F500="Vergoeding"),SUM(P500)*FLOOR(SUM(R500),0.0001),AND(P500&lt;&gt;"",R500&lt;&gt;"",RIGHT($N500,6)="tarief"),P500*FLOOR(R500,0.01),T500&gt;0,FLOOR(SUM(T500),0.01)),""),""),"")</f>
        <v/>
      </c>
      <c r="W500" s="317" t="str" cm="1">
        <f t="array" aca="1" ref="W500" ca="1">IFERROR(_xlfn.IFS(OR(F500="",LEFT(Methode_Keuze,4)="Geen",Methode_Keuze=""),"",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17" t="str" cm="1">
        <f t="array" aca="1" ref="X500" ca="1">IFERROR(_xlfn.IFS(OR(F500="",LEFT(Methode_Keuze,4)="Geen",Methode_Keuze=""),"",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26"/>
      <c r="Z500" s="319"/>
      <c r="AA500" s="32" t="str" cm="1">
        <f t="array" ref="AA500">IFERROR(IF(INDEX(SubsidieTabel!$AD$1:$AG$12,MATCH($F500,SubsidieTabel!$AD$1:$AD$12,0),IFERROR(MATCH(Methode_Keuze,SubsidieTabel!$AD$1:$AG$1,0),2))&lt;&gt;1=TRUE,"ja",""),"")</f>
        <v/>
      </c>
    </row>
    <row r="501" spans="1:27" x14ac:dyDescent="0.25">
      <c r="A501" s="320"/>
      <c r="B501" s="321" t="str">
        <f>IF(A501&lt;&gt;"",_xlfn.MAXIFS($B$1:B500,$A$1:A500,A501)+1,"")</f>
        <v/>
      </c>
      <c r="C501" s="299"/>
      <c r="D501" s="299"/>
      <c r="E501" s="299"/>
      <c r="F501" s="299"/>
      <c r="G501" s="330"/>
      <c r="H501" s="328"/>
      <c r="I501" s="329"/>
      <c r="J501" s="329"/>
      <c r="K501" s="322"/>
      <c r="L501" s="322"/>
      <c r="M501" s="323" t="str">
        <f>IFERROR(VLOOKUP(H501,Lijsten!$H$1:$I$100,2,0),"")</f>
        <v/>
      </c>
      <c r="N501" s="323" t="str">
        <f ca="1">IFERROR(IF(VLOOKUP(F501,Kostentypen!$A$3:$E$21,3,0)=0,"",IF(OR(F501="Arbeidskosten",F501="Vergoeding"),VLOOKUP(G501,Tb_KostenTypen[],2,0),VLOOKUP(F501,Kostentypen!$A$3:$E$20,3,0))),"")</f>
        <v/>
      </c>
      <c r="O501" s="324"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4"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3"/>
      <c r="R501" s="363"/>
      <c r="S501" s="325"/>
      <c r="T501" s="325"/>
      <c r="U501" s="317" t="str" cm="1">
        <f t="array" aca="1" ref="U501" ca="1">IFERROR(IF(AA501&lt;&gt;"ja",_xlfn.IFNA(_xlfn.IFS(AND(O501&lt;&gt;"",F501&lt;&gt;"",RIGHT($N501,6)="tarief",F501="Vergoeding"),SUM(O501)*FLOOR(SUM(Q501),0.0001),AND(O501&lt;&gt;"",F501&lt;&gt;"",RIGHT($N501,6)="tarief"),SUM(O501)*FLOOR(SUM(Q501),0.01),S501&gt;0,IF(F501&lt;&gt;"",FLOOR(SUM(S501),0.01),"")),""),""),"")</f>
        <v/>
      </c>
      <c r="V501" s="317" t="str" cm="1">
        <f t="array" aca="1" ref="V501" ca="1">IFERROR(IF(AA501&lt;&gt;"ja",_xlfn.IFNA(_xlfn.IFS(AND(P501&lt;&gt;"",R501&lt;&gt;"",RIGHT($N501,6)="tarief",F501="Vergoeding"),SUM(P501)*FLOOR(SUM(R501),0.0001),AND(P501&lt;&gt;"",R501&lt;&gt;"",RIGHT($N501,6)="tarief"),P501*FLOOR(R501,0.01),T501&gt;0,FLOOR(SUM(T501),0.01)),""),""),"")</f>
        <v/>
      </c>
      <c r="W501" s="317" t="str" cm="1">
        <f t="array" aca="1" ref="W501" ca="1">IFERROR(_xlfn.IFS(OR(F501="",LEFT(Methode_Keuze,4)="Geen",Methode_Keuze=""),"",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17" t="str" cm="1">
        <f t="array" aca="1" ref="X501" ca="1">IFERROR(_xlfn.IFS(OR(F501="",LEFT(Methode_Keuze,4)="Geen",Methode_Keuze=""),"",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26"/>
      <c r="Z501" s="319"/>
      <c r="AA501" s="32" t="str" cm="1">
        <f t="array" ref="AA501">IFERROR(IF(INDEX(SubsidieTabel!$AD$1:$AG$12,MATCH($F501,SubsidieTabel!$AD$1:$AD$12,0),IFERROR(MATCH(Methode_Keuze,SubsidieTabel!$AD$1:$AG$1,0),2))&lt;&gt;1=TRUE,"ja",""),"")</f>
        <v/>
      </c>
    </row>
    <row r="502" spans="1:27" x14ac:dyDescent="0.25">
      <c r="A502" s="320"/>
      <c r="B502" s="321" t="str">
        <f>IF(A502&lt;&gt;"",_xlfn.MAXIFS($B$1:B501,$A$1:A501,A502)+1,"")</f>
        <v/>
      </c>
      <c r="C502" s="299"/>
      <c r="D502" s="299"/>
      <c r="E502" s="299"/>
      <c r="F502" s="299"/>
      <c r="G502" s="330"/>
      <c r="H502" s="328"/>
      <c r="I502" s="329"/>
      <c r="J502" s="329"/>
      <c r="K502" s="322"/>
      <c r="L502" s="322"/>
      <c r="M502" s="323" t="str">
        <f>IFERROR(VLOOKUP(H502,Lijsten!$H$1:$I$100,2,0),"")</f>
        <v/>
      </c>
      <c r="N502" s="323" t="str">
        <f ca="1">IFERROR(IF(VLOOKUP(F502,Kostentypen!$A$3:$E$21,3,0)=0,"",IF(OR(F502="Arbeidskosten",F502="Vergoeding"),VLOOKUP(G502,Tb_KostenTypen[],2,0),VLOOKUP(F502,Kostentypen!$A$3:$E$20,3,0))),"")</f>
        <v/>
      </c>
      <c r="O502" s="324"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4"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3"/>
      <c r="R502" s="363"/>
      <c r="S502" s="325"/>
      <c r="T502" s="325"/>
      <c r="U502" s="317" t="str" cm="1">
        <f t="array" aca="1" ref="U502" ca="1">IFERROR(IF(AA502&lt;&gt;"ja",_xlfn.IFNA(_xlfn.IFS(AND(O502&lt;&gt;"",F502&lt;&gt;"",RIGHT($N502,6)="tarief",F502="Vergoeding"),SUM(O502)*FLOOR(SUM(Q502),0.0001),AND(O502&lt;&gt;"",F502&lt;&gt;"",RIGHT($N502,6)="tarief"),SUM(O502)*FLOOR(SUM(Q502),0.01),S502&gt;0,IF(F502&lt;&gt;"",FLOOR(SUM(S502),0.01),"")),""),""),"")</f>
        <v/>
      </c>
      <c r="V502" s="317" t="str" cm="1">
        <f t="array" aca="1" ref="V502" ca="1">IFERROR(IF(AA502&lt;&gt;"ja",_xlfn.IFNA(_xlfn.IFS(AND(P502&lt;&gt;"",R502&lt;&gt;"",RIGHT($N502,6)="tarief",F502="Vergoeding"),SUM(P502)*FLOOR(SUM(R502),0.0001),AND(P502&lt;&gt;"",R502&lt;&gt;"",RIGHT($N502,6)="tarief"),P502*FLOOR(R502,0.01),T502&gt;0,FLOOR(SUM(T502),0.01)),""),""),"")</f>
        <v/>
      </c>
      <c r="W502" s="317" t="str" cm="1">
        <f t="array" aca="1" ref="W502" ca="1">IFERROR(_xlfn.IFS(OR(F502="",LEFT(Methode_Keuze,4)="Geen",Methode_Keuze=""),"",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17" t="str" cm="1">
        <f t="array" aca="1" ref="X502" ca="1">IFERROR(_xlfn.IFS(OR(F502="",LEFT(Methode_Keuze,4)="Geen",Methode_Keuze=""),"",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26"/>
      <c r="Z502" s="319"/>
      <c r="AA502" s="32" t="str" cm="1">
        <f t="array" ref="AA502">IFERROR(IF(INDEX(SubsidieTabel!$AD$1:$AG$12,MATCH($F502,SubsidieTabel!$AD$1:$AD$12,0),IFERROR(MATCH(Methode_Keuze,SubsidieTabel!$AD$1:$AG$1,0),2))&lt;&gt;1=TRUE,"ja",""),"")</f>
        <v/>
      </c>
    </row>
    <row r="503" spans="1:27" x14ac:dyDescent="0.25">
      <c r="A503" s="320"/>
      <c r="B503" s="321" t="str">
        <f>IF(A503&lt;&gt;"",_xlfn.MAXIFS($B$1:B502,$A$1:A502,A503)+1,"")</f>
        <v/>
      </c>
      <c r="C503" s="299"/>
      <c r="D503" s="299"/>
      <c r="E503" s="299"/>
      <c r="F503" s="299"/>
      <c r="G503" s="330"/>
      <c r="H503" s="328"/>
      <c r="I503" s="329"/>
      <c r="J503" s="329"/>
      <c r="K503" s="322"/>
      <c r="L503" s="322"/>
      <c r="M503" s="323" t="str">
        <f>IFERROR(VLOOKUP(H503,Lijsten!$H$1:$I$100,2,0),"")</f>
        <v/>
      </c>
      <c r="N503" s="323" t="str">
        <f ca="1">IFERROR(IF(VLOOKUP(F503,Kostentypen!$A$3:$E$21,3,0)=0,"",IF(OR(F503="Arbeidskosten",F503="Vergoeding"),VLOOKUP(G503,Tb_KostenTypen[],2,0),VLOOKUP(F503,Kostentypen!$A$3:$E$20,3,0))),"")</f>
        <v/>
      </c>
      <c r="O503" s="324"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4"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3"/>
      <c r="R503" s="363"/>
      <c r="S503" s="325"/>
      <c r="T503" s="325"/>
      <c r="U503" s="317" t="str" cm="1">
        <f t="array" aca="1" ref="U503" ca="1">IFERROR(IF(AA503&lt;&gt;"ja",_xlfn.IFNA(_xlfn.IFS(AND(O503&lt;&gt;"",F503&lt;&gt;"",RIGHT($N503,6)="tarief",F503="Vergoeding"),SUM(O503)*FLOOR(SUM(Q503),0.0001),AND(O503&lt;&gt;"",F503&lt;&gt;"",RIGHT($N503,6)="tarief"),SUM(O503)*FLOOR(SUM(Q503),0.01),S503&gt;0,IF(F503&lt;&gt;"",FLOOR(SUM(S503),0.01),"")),""),""),"")</f>
        <v/>
      </c>
      <c r="V503" s="317" t="str" cm="1">
        <f t="array" aca="1" ref="V503" ca="1">IFERROR(IF(AA503&lt;&gt;"ja",_xlfn.IFNA(_xlfn.IFS(AND(P503&lt;&gt;"",R503&lt;&gt;"",RIGHT($N503,6)="tarief",F503="Vergoeding"),SUM(P503)*FLOOR(SUM(R503),0.0001),AND(P503&lt;&gt;"",R503&lt;&gt;"",RIGHT($N503,6)="tarief"),P503*FLOOR(R503,0.01),T503&gt;0,FLOOR(SUM(T503),0.01)),""),""),"")</f>
        <v/>
      </c>
      <c r="W503" s="317" t="str" cm="1">
        <f t="array" aca="1" ref="W503" ca="1">IFERROR(_xlfn.IFS(OR(F503="",LEFT(Methode_Keuze,4)="Geen",Methode_Keuze=""),"",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17" t="str" cm="1">
        <f t="array" aca="1" ref="X503" ca="1">IFERROR(_xlfn.IFS(OR(F503="",LEFT(Methode_Keuze,4)="Geen",Methode_Keuze=""),"",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26"/>
      <c r="Z503" s="319"/>
      <c r="AA503" s="32" t="str" cm="1">
        <f t="array" ref="AA503">IFERROR(IF(INDEX(SubsidieTabel!$AD$1:$AG$12,MATCH($F503,SubsidieTabel!$AD$1:$AD$12,0),IFERROR(MATCH(Methode_Keuze,SubsidieTabel!$AD$1:$AG$1,0),2))&lt;&gt;1=TRUE,"ja",""),"")</f>
        <v/>
      </c>
    </row>
    <row r="504" spans="1:27" x14ac:dyDescent="0.25">
      <c r="A504" s="320"/>
      <c r="B504" s="321" t="str">
        <f>IF(A504&lt;&gt;"",_xlfn.MAXIFS($B$1:B503,$A$1:A503,A504)+1,"")</f>
        <v/>
      </c>
      <c r="C504" s="299"/>
      <c r="D504" s="299"/>
      <c r="E504" s="299"/>
      <c r="F504" s="299"/>
      <c r="G504" s="330"/>
      <c r="H504" s="328"/>
      <c r="I504" s="329"/>
      <c r="J504" s="329"/>
      <c r="K504" s="322"/>
      <c r="L504" s="322"/>
      <c r="M504" s="323" t="str">
        <f>IFERROR(VLOOKUP(H504,Lijsten!$H$1:$I$100,2,0),"")</f>
        <v/>
      </c>
      <c r="N504" s="323" t="str">
        <f ca="1">IFERROR(IF(VLOOKUP(F504,Kostentypen!$A$3:$E$21,3,0)=0,"",IF(OR(F504="Arbeidskosten",F504="Vergoeding"),VLOOKUP(G504,Tb_KostenTypen[],2,0),VLOOKUP(F504,Kostentypen!$A$3:$E$20,3,0))),"")</f>
        <v/>
      </c>
      <c r="O504" s="324"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4"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3"/>
      <c r="R504" s="363"/>
      <c r="S504" s="325"/>
      <c r="T504" s="325"/>
      <c r="U504" s="317" t="str" cm="1">
        <f t="array" aca="1" ref="U504" ca="1">IFERROR(IF(AA504&lt;&gt;"ja",_xlfn.IFNA(_xlfn.IFS(AND(O504&lt;&gt;"",F504&lt;&gt;"",RIGHT($N504,6)="tarief",F504="Vergoeding"),SUM(O504)*FLOOR(SUM(Q504),0.0001),AND(O504&lt;&gt;"",F504&lt;&gt;"",RIGHT($N504,6)="tarief"),SUM(O504)*FLOOR(SUM(Q504),0.01),S504&gt;0,IF(F504&lt;&gt;"",FLOOR(SUM(S504),0.01),"")),""),""),"")</f>
        <v/>
      </c>
      <c r="V504" s="317" t="str" cm="1">
        <f t="array" aca="1" ref="V504" ca="1">IFERROR(IF(AA504&lt;&gt;"ja",_xlfn.IFNA(_xlfn.IFS(AND(P504&lt;&gt;"",R504&lt;&gt;"",RIGHT($N504,6)="tarief",F504="Vergoeding"),SUM(P504)*FLOOR(SUM(R504),0.0001),AND(P504&lt;&gt;"",R504&lt;&gt;"",RIGHT($N504,6)="tarief"),P504*FLOOR(R504,0.01),T504&gt;0,FLOOR(SUM(T504),0.01)),""),""),"")</f>
        <v/>
      </c>
      <c r="W504" s="317" t="str" cm="1">
        <f t="array" aca="1" ref="W504" ca="1">IFERROR(_xlfn.IFS(OR(F504="",LEFT(Methode_Keuze,4)="Geen",Methode_Keuze=""),"",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17" t="str" cm="1">
        <f t="array" aca="1" ref="X504" ca="1">IFERROR(_xlfn.IFS(OR(F504="",LEFT(Methode_Keuze,4)="Geen",Methode_Keuze=""),"",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26"/>
      <c r="Z504" s="319"/>
      <c r="AA504" s="32" t="str" cm="1">
        <f t="array" ref="AA504">IFERROR(IF(INDEX(SubsidieTabel!$AD$1:$AG$12,MATCH($F504,SubsidieTabel!$AD$1:$AD$12,0),IFERROR(MATCH(Methode_Keuze,SubsidieTabel!$AD$1:$AG$1,0),2))&lt;&gt;1=TRUE,"ja",""),"")</f>
        <v/>
      </c>
    </row>
    <row r="505" spans="1:27" x14ac:dyDescent="0.25">
      <c r="A505" s="320"/>
      <c r="B505" s="321" t="str">
        <f>IF(A505&lt;&gt;"",_xlfn.MAXIFS($B$1:B504,$A$1:A504,A505)+1,"")</f>
        <v/>
      </c>
      <c r="C505" s="299"/>
      <c r="D505" s="299"/>
      <c r="E505" s="299"/>
      <c r="F505" s="299"/>
      <c r="G505" s="330"/>
      <c r="H505" s="328"/>
      <c r="I505" s="329"/>
      <c r="J505" s="329"/>
      <c r="K505" s="322"/>
      <c r="L505" s="322"/>
      <c r="M505" s="323" t="str">
        <f>IFERROR(VLOOKUP(H505,Lijsten!$H$1:$I$100,2,0),"")</f>
        <v/>
      </c>
      <c r="N505" s="323" t="str">
        <f ca="1">IFERROR(IF(VLOOKUP(F505,Kostentypen!$A$3:$E$21,3,0)=0,"",IF(OR(F505="Arbeidskosten",F505="Vergoeding"),VLOOKUP(G505,Tb_KostenTypen[],2,0),VLOOKUP(F505,Kostentypen!$A$3:$E$20,3,0))),"")</f>
        <v/>
      </c>
      <c r="O505" s="324"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4"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3"/>
      <c r="R505" s="363"/>
      <c r="S505" s="325"/>
      <c r="T505" s="325"/>
      <c r="U505" s="317" t="str" cm="1">
        <f t="array" aca="1" ref="U505" ca="1">IFERROR(IF(AA505&lt;&gt;"ja",_xlfn.IFNA(_xlfn.IFS(AND(O505&lt;&gt;"",F505&lt;&gt;"",RIGHT($N505,6)="tarief",F505="Vergoeding"),SUM(O505)*FLOOR(SUM(Q505),0.0001),AND(O505&lt;&gt;"",F505&lt;&gt;"",RIGHT($N505,6)="tarief"),SUM(O505)*FLOOR(SUM(Q505),0.01),S505&gt;0,IF(F505&lt;&gt;"",FLOOR(SUM(S505),0.01),"")),""),""),"")</f>
        <v/>
      </c>
      <c r="V505" s="317" t="str" cm="1">
        <f t="array" aca="1" ref="V505" ca="1">IFERROR(IF(AA505&lt;&gt;"ja",_xlfn.IFNA(_xlfn.IFS(AND(P505&lt;&gt;"",R505&lt;&gt;"",RIGHT($N505,6)="tarief",F505="Vergoeding"),SUM(P505)*FLOOR(SUM(R505),0.0001),AND(P505&lt;&gt;"",R505&lt;&gt;"",RIGHT($N505,6)="tarief"),P505*FLOOR(R505,0.01),T505&gt;0,FLOOR(SUM(T505),0.01)),""),""),"")</f>
        <v/>
      </c>
      <c r="W505" s="317" t="str" cm="1">
        <f t="array" aca="1" ref="W505" ca="1">IFERROR(_xlfn.IFS(OR(F505="",LEFT(Methode_Keuze,4)="Geen",Methode_Keuze=""),"",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17" t="str" cm="1">
        <f t="array" aca="1" ref="X505" ca="1">IFERROR(_xlfn.IFS(OR(F505="",LEFT(Methode_Keuze,4)="Geen",Methode_Keuze=""),"",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26"/>
      <c r="Z505" s="319"/>
      <c r="AA505" s="32" t="str" cm="1">
        <f t="array" ref="AA505">IFERROR(IF(INDEX(SubsidieTabel!$AD$1:$AG$12,MATCH($F505,SubsidieTabel!$AD$1:$AD$12,0),IFERROR(MATCH(Methode_Keuze,SubsidieTabel!$AD$1:$AG$1,0),2))&lt;&gt;1=TRUE,"ja",""),"")</f>
        <v/>
      </c>
    </row>
    <row r="506" spans="1:27" x14ac:dyDescent="0.25">
      <c r="A506" s="320"/>
      <c r="B506" s="321" t="str">
        <f>IF(A506&lt;&gt;"",_xlfn.MAXIFS($B$1:B505,$A$1:A505,A506)+1,"")</f>
        <v/>
      </c>
      <c r="C506" s="299"/>
      <c r="D506" s="299"/>
      <c r="E506" s="299"/>
      <c r="F506" s="299"/>
      <c r="G506" s="330"/>
      <c r="H506" s="328"/>
      <c r="I506" s="329"/>
      <c r="J506" s="329"/>
      <c r="K506" s="322"/>
      <c r="L506" s="322"/>
      <c r="M506" s="323" t="str">
        <f>IFERROR(VLOOKUP(H506,Lijsten!$H$1:$I$100,2,0),"")</f>
        <v/>
      </c>
      <c r="N506" s="323" t="str">
        <f ca="1">IFERROR(IF(VLOOKUP(F506,Kostentypen!$A$3:$E$21,3,0)=0,"",IF(OR(F506="Arbeidskosten",F506="Vergoeding"),VLOOKUP(G506,Tb_KostenTypen[],2,0),VLOOKUP(F506,Kostentypen!$A$3:$E$20,3,0))),"")</f>
        <v/>
      </c>
      <c r="O506" s="324"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4"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3"/>
      <c r="R506" s="363"/>
      <c r="S506" s="325"/>
      <c r="T506" s="325"/>
      <c r="U506" s="317" t="str" cm="1">
        <f t="array" aca="1" ref="U506" ca="1">IFERROR(IF(AA506&lt;&gt;"ja",_xlfn.IFNA(_xlfn.IFS(AND(O506&lt;&gt;"",F506&lt;&gt;"",RIGHT($N506,6)="tarief",F506="Vergoeding"),SUM(O506)*FLOOR(SUM(Q506),0.0001),AND(O506&lt;&gt;"",F506&lt;&gt;"",RIGHT($N506,6)="tarief"),SUM(O506)*FLOOR(SUM(Q506),0.01),S506&gt;0,IF(F506&lt;&gt;"",FLOOR(SUM(S506),0.01),"")),""),""),"")</f>
        <v/>
      </c>
      <c r="V506" s="317" t="str" cm="1">
        <f t="array" aca="1" ref="V506" ca="1">IFERROR(IF(AA506&lt;&gt;"ja",_xlfn.IFNA(_xlfn.IFS(AND(P506&lt;&gt;"",R506&lt;&gt;"",RIGHT($N506,6)="tarief",F506="Vergoeding"),SUM(P506)*FLOOR(SUM(R506),0.0001),AND(P506&lt;&gt;"",R506&lt;&gt;"",RIGHT($N506,6)="tarief"),P506*FLOOR(R506,0.01),T506&gt;0,FLOOR(SUM(T506),0.01)),""),""),"")</f>
        <v/>
      </c>
      <c r="W506" s="317" t="str" cm="1">
        <f t="array" aca="1" ref="W506" ca="1">IFERROR(_xlfn.IFS(OR(F506="",LEFT(Methode_Keuze,4)="Geen",Methode_Keuze=""),"",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17" t="str" cm="1">
        <f t="array" aca="1" ref="X506" ca="1">IFERROR(_xlfn.IFS(OR(F506="",LEFT(Methode_Keuze,4)="Geen",Methode_Keuze=""),"",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26"/>
      <c r="Z506" s="319"/>
      <c r="AA506" s="32" t="str" cm="1">
        <f t="array" ref="AA506">IFERROR(IF(INDEX(SubsidieTabel!$AD$1:$AG$12,MATCH($F506,SubsidieTabel!$AD$1:$AD$12,0),IFERROR(MATCH(Methode_Keuze,SubsidieTabel!$AD$1:$AG$1,0),2))&lt;&gt;1=TRUE,"ja",""),"")</f>
        <v/>
      </c>
    </row>
    <row r="507" spans="1:27" x14ac:dyDescent="0.25">
      <c r="A507" s="320"/>
      <c r="B507" s="321" t="str">
        <f>IF(A507&lt;&gt;"",_xlfn.MAXIFS($B$1:B506,$A$1:A506,A507)+1,"")</f>
        <v/>
      </c>
      <c r="C507" s="299"/>
      <c r="D507" s="299"/>
      <c r="E507" s="299"/>
      <c r="F507" s="299"/>
      <c r="G507" s="330"/>
      <c r="H507" s="328"/>
      <c r="I507" s="329"/>
      <c r="J507" s="329"/>
      <c r="K507" s="322"/>
      <c r="L507" s="322"/>
      <c r="M507" s="323" t="str">
        <f>IFERROR(VLOOKUP(H507,Lijsten!$H$1:$I$100,2,0),"")</f>
        <v/>
      </c>
      <c r="N507" s="323" t="str">
        <f ca="1">IFERROR(IF(VLOOKUP(F507,Kostentypen!$A$3:$E$21,3,0)=0,"",IF(OR(F507="Arbeidskosten",F507="Vergoeding"),VLOOKUP(G507,Tb_KostenTypen[],2,0),VLOOKUP(F507,Kostentypen!$A$3:$E$20,3,0))),"")</f>
        <v/>
      </c>
      <c r="O507" s="324"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4"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3"/>
      <c r="R507" s="363"/>
      <c r="S507" s="325"/>
      <c r="T507" s="325"/>
      <c r="U507" s="317" t="str" cm="1">
        <f t="array" aca="1" ref="U507" ca="1">IFERROR(IF(AA507&lt;&gt;"ja",_xlfn.IFNA(_xlfn.IFS(AND(O507&lt;&gt;"",F507&lt;&gt;"",RIGHT($N507,6)="tarief",F507="Vergoeding"),SUM(O507)*FLOOR(SUM(Q507),0.0001),AND(O507&lt;&gt;"",F507&lt;&gt;"",RIGHT($N507,6)="tarief"),SUM(O507)*FLOOR(SUM(Q507),0.01),S507&gt;0,IF(F507&lt;&gt;"",FLOOR(SUM(S507),0.01),"")),""),""),"")</f>
        <v/>
      </c>
      <c r="V507" s="317" t="str" cm="1">
        <f t="array" aca="1" ref="V507" ca="1">IFERROR(IF(AA507&lt;&gt;"ja",_xlfn.IFNA(_xlfn.IFS(AND(P507&lt;&gt;"",R507&lt;&gt;"",RIGHT($N507,6)="tarief",F507="Vergoeding"),SUM(P507)*FLOOR(SUM(R507),0.0001),AND(P507&lt;&gt;"",R507&lt;&gt;"",RIGHT($N507,6)="tarief"),P507*FLOOR(R507,0.01),T507&gt;0,FLOOR(SUM(T507),0.01)),""),""),"")</f>
        <v/>
      </c>
      <c r="W507" s="317" t="str" cm="1">
        <f t="array" aca="1" ref="W507" ca="1">IFERROR(_xlfn.IFS(OR(F507="",LEFT(Methode_Keuze,4)="Geen",Methode_Keuze=""),"",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17" t="str" cm="1">
        <f t="array" aca="1" ref="X507" ca="1">IFERROR(_xlfn.IFS(OR(F507="",LEFT(Methode_Keuze,4)="Geen",Methode_Keuze=""),"",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26"/>
      <c r="Z507" s="319"/>
      <c r="AA507" s="32" t="str" cm="1">
        <f t="array" ref="AA507">IFERROR(IF(INDEX(SubsidieTabel!$AD$1:$AG$12,MATCH($F507,SubsidieTabel!$AD$1:$AD$12,0),IFERROR(MATCH(Methode_Keuze,SubsidieTabel!$AD$1:$AG$1,0),2))&lt;&gt;1=TRUE,"ja",""),"")</f>
        <v/>
      </c>
    </row>
    <row r="508" spans="1:27" x14ac:dyDescent="0.25">
      <c r="A508" s="320"/>
      <c r="B508" s="321" t="str">
        <f>IF(A508&lt;&gt;"",_xlfn.MAXIFS($B$1:B507,$A$1:A507,A508)+1,"")</f>
        <v/>
      </c>
      <c r="C508" s="299"/>
      <c r="D508" s="299"/>
      <c r="E508" s="299"/>
      <c r="F508" s="299"/>
      <c r="G508" s="330"/>
      <c r="H508" s="328"/>
      <c r="I508" s="329"/>
      <c r="J508" s="329"/>
      <c r="K508" s="322"/>
      <c r="L508" s="322"/>
      <c r="M508" s="323" t="str">
        <f>IFERROR(VLOOKUP(H508,Lijsten!$H$1:$I$100,2,0),"")</f>
        <v/>
      </c>
      <c r="N508" s="323" t="str">
        <f ca="1">IFERROR(IF(VLOOKUP(F508,Kostentypen!$A$3:$E$21,3,0)=0,"",IF(OR(F508="Arbeidskosten",F508="Vergoeding"),VLOOKUP(G508,Tb_KostenTypen[],2,0),VLOOKUP(F508,Kostentypen!$A$3:$E$20,3,0))),"")</f>
        <v/>
      </c>
      <c r="O508" s="324"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4"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3"/>
      <c r="R508" s="363"/>
      <c r="S508" s="325"/>
      <c r="T508" s="325"/>
      <c r="U508" s="317" t="str" cm="1">
        <f t="array" aca="1" ref="U508" ca="1">IFERROR(IF(AA508&lt;&gt;"ja",_xlfn.IFNA(_xlfn.IFS(AND(O508&lt;&gt;"",F508&lt;&gt;"",RIGHT($N508,6)="tarief",F508="Vergoeding"),SUM(O508)*FLOOR(SUM(Q508),0.0001),AND(O508&lt;&gt;"",F508&lt;&gt;"",RIGHT($N508,6)="tarief"),SUM(O508)*FLOOR(SUM(Q508),0.01),S508&gt;0,IF(F508&lt;&gt;"",FLOOR(SUM(S508),0.01),"")),""),""),"")</f>
        <v/>
      </c>
      <c r="V508" s="317" t="str" cm="1">
        <f t="array" aca="1" ref="V508" ca="1">IFERROR(IF(AA508&lt;&gt;"ja",_xlfn.IFNA(_xlfn.IFS(AND(P508&lt;&gt;"",R508&lt;&gt;"",RIGHT($N508,6)="tarief",F508="Vergoeding"),SUM(P508)*FLOOR(SUM(R508),0.0001),AND(P508&lt;&gt;"",R508&lt;&gt;"",RIGHT($N508,6)="tarief"),P508*FLOOR(R508,0.01),T508&gt;0,FLOOR(SUM(T508),0.01)),""),""),"")</f>
        <v/>
      </c>
      <c r="W508" s="317" t="str" cm="1">
        <f t="array" aca="1" ref="W508" ca="1">IFERROR(_xlfn.IFS(OR(F508="",LEFT(Methode_Keuze,4)="Geen",Methode_Keuze=""),"",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17" t="str" cm="1">
        <f t="array" aca="1" ref="X508" ca="1">IFERROR(_xlfn.IFS(OR(F508="",LEFT(Methode_Keuze,4)="Geen",Methode_Keuze=""),"",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26"/>
      <c r="Z508" s="319"/>
      <c r="AA508" s="32" t="str" cm="1">
        <f t="array" ref="AA508">IFERROR(IF(INDEX(SubsidieTabel!$AD$1:$AG$12,MATCH($F508,SubsidieTabel!$AD$1:$AD$12,0),IFERROR(MATCH(Methode_Keuze,SubsidieTabel!$AD$1:$AG$1,0),2))&lt;&gt;1=TRUE,"ja",""),"")</f>
        <v/>
      </c>
    </row>
    <row r="509" spans="1:27" x14ac:dyDescent="0.25">
      <c r="A509" s="320"/>
      <c r="B509" s="321" t="str">
        <f>IF(A509&lt;&gt;"",_xlfn.MAXIFS($B$1:B508,$A$1:A508,A509)+1,"")</f>
        <v/>
      </c>
      <c r="C509" s="299"/>
      <c r="D509" s="299"/>
      <c r="E509" s="299"/>
      <c r="F509" s="299"/>
      <c r="G509" s="330"/>
      <c r="H509" s="328"/>
      <c r="I509" s="329"/>
      <c r="J509" s="329"/>
      <c r="K509" s="322"/>
      <c r="L509" s="322"/>
      <c r="M509" s="323" t="str">
        <f>IFERROR(VLOOKUP(H509,Lijsten!$H$1:$I$100,2,0),"")</f>
        <v/>
      </c>
      <c r="N509" s="323" t="str">
        <f ca="1">IFERROR(IF(VLOOKUP(F509,Kostentypen!$A$3:$E$21,3,0)=0,"",IF(OR(F509="Arbeidskosten",F509="Vergoeding"),VLOOKUP(G509,Tb_KostenTypen[],2,0),VLOOKUP(F509,Kostentypen!$A$3:$E$20,3,0))),"")</f>
        <v/>
      </c>
      <c r="O509" s="324"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4"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3"/>
      <c r="R509" s="363"/>
      <c r="S509" s="325"/>
      <c r="T509" s="325"/>
      <c r="U509" s="317" t="str" cm="1">
        <f t="array" aca="1" ref="U509" ca="1">IFERROR(IF(AA509&lt;&gt;"ja",_xlfn.IFNA(_xlfn.IFS(AND(O509&lt;&gt;"",F509&lt;&gt;"",RIGHT($N509,6)="tarief",F509="Vergoeding"),SUM(O509)*FLOOR(SUM(Q509),0.0001),AND(O509&lt;&gt;"",F509&lt;&gt;"",RIGHT($N509,6)="tarief"),SUM(O509)*FLOOR(SUM(Q509),0.01),S509&gt;0,IF(F509&lt;&gt;"",FLOOR(SUM(S509),0.01),"")),""),""),"")</f>
        <v/>
      </c>
      <c r="V509" s="317" t="str" cm="1">
        <f t="array" aca="1" ref="V509" ca="1">IFERROR(IF(AA509&lt;&gt;"ja",_xlfn.IFNA(_xlfn.IFS(AND(P509&lt;&gt;"",R509&lt;&gt;"",RIGHT($N509,6)="tarief",F509="Vergoeding"),SUM(P509)*FLOOR(SUM(R509),0.0001),AND(P509&lt;&gt;"",R509&lt;&gt;"",RIGHT($N509,6)="tarief"),P509*FLOOR(R509,0.01),T509&gt;0,FLOOR(SUM(T509),0.01)),""),""),"")</f>
        <v/>
      </c>
      <c r="W509" s="317" t="str" cm="1">
        <f t="array" aca="1" ref="W509" ca="1">IFERROR(_xlfn.IFS(OR(F509="",LEFT(Methode_Keuze,4)="Geen",Methode_Keuze=""),"",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17" t="str" cm="1">
        <f t="array" aca="1" ref="X509" ca="1">IFERROR(_xlfn.IFS(OR(F509="",LEFT(Methode_Keuze,4)="Geen",Methode_Keuze=""),"",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26"/>
      <c r="Z509" s="319"/>
      <c r="AA509" s="32" t="str" cm="1">
        <f t="array" ref="AA509">IFERROR(IF(INDEX(SubsidieTabel!$AD$1:$AG$12,MATCH($F509,SubsidieTabel!$AD$1:$AD$12,0),IFERROR(MATCH(Methode_Keuze,SubsidieTabel!$AD$1:$AG$1,0),2))&lt;&gt;1=TRUE,"ja",""),"")</f>
        <v/>
      </c>
    </row>
    <row r="510" spans="1:27" x14ac:dyDescent="0.25">
      <c r="A510" s="320"/>
      <c r="B510" s="321" t="str">
        <f>IF(A510&lt;&gt;"",_xlfn.MAXIFS($B$1:B509,$A$1:A509,A510)+1,"")</f>
        <v/>
      </c>
      <c r="C510" s="299"/>
      <c r="D510" s="299"/>
      <c r="E510" s="299"/>
      <c r="F510" s="299"/>
      <c r="G510" s="330"/>
      <c r="H510" s="328"/>
      <c r="I510" s="329"/>
      <c r="J510" s="329"/>
      <c r="K510" s="322"/>
      <c r="L510" s="322"/>
      <c r="M510" s="323" t="str">
        <f>IFERROR(VLOOKUP(H510,Lijsten!$H$1:$I$100,2,0),"")</f>
        <v/>
      </c>
      <c r="N510" s="323" t="str">
        <f ca="1">IFERROR(IF(VLOOKUP(F510,Kostentypen!$A$3:$E$21,3,0)=0,"",IF(OR(F510="Arbeidskosten",F510="Vergoeding"),VLOOKUP(G510,Tb_KostenTypen[],2,0),VLOOKUP(F510,Kostentypen!$A$3:$E$20,3,0))),"")</f>
        <v/>
      </c>
      <c r="O510" s="324"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4"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3"/>
      <c r="R510" s="363"/>
      <c r="S510" s="325"/>
      <c r="T510" s="325"/>
      <c r="U510" s="317" t="str" cm="1">
        <f t="array" aca="1" ref="U510" ca="1">IFERROR(IF(AA510&lt;&gt;"ja",_xlfn.IFNA(_xlfn.IFS(AND(O510&lt;&gt;"",F510&lt;&gt;"",RIGHT($N510,6)="tarief",F510="Vergoeding"),SUM(O510)*FLOOR(SUM(Q510),0.0001),AND(O510&lt;&gt;"",F510&lt;&gt;"",RIGHT($N510,6)="tarief"),SUM(O510)*FLOOR(SUM(Q510),0.01),S510&gt;0,IF(F510&lt;&gt;"",FLOOR(SUM(S510),0.01),"")),""),""),"")</f>
        <v/>
      </c>
      <c r="V510" s="317" t="str" cm="1">
        <f t="array" aca="1" ref="V510" ca="1">IFERROR(IF(AA510&lt;&gt;"ja",_xlfn.IFNA(_xlfn.IFS(AND(P510&lt;&gt;"",R510&lt;&gt;"",RIGHT($N510,6)="tarief",F510="Vergoeding"),SUM(P510)*FLOOR(SUM(R510),0.0001),AND(P510&lt;&gt;"",R510&lt;&gt;"",RIGHT($N510,6)="tarief"),P510*FLOOR(R510,0.01),T510&gt;0,FLOOR(SUM(T510),0.01)),""),""),"")</f>
        <v/>
      </c>
      <c r="W510" s="317" t="str" cm="1">
        <f t="array" aca="1" ref="W510" ca="1">IFERROR(_xlfn.IFS(OR(F510="",LEFT(Methode_Keuze,4)="Geen",Methode_Keuze=""),"",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17" t="str" cm="1">
        <f t="array" aca="1" ref="X510" ca="1">IFERROR(_xlfn.IFS(OR(F510="",LEFT(Methode_Keuze,4)="Geen",Methode_Keuze=""),"",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26"/>
      <c r="Z510" s="319"/>
      <c r="AA510" s="32" t="str" cm="1">
        <f t="array" ref="AA510">IFERROR(IF(INDEX(SubsidieTabel!$AD$1:$AG$12,MATCH($F510,SubsidieTabel!$AD$1:$AD$12,0),IFERROR(MATCH(Methode_Keuze,SubsidieTabel!$AD$1:$AG$1,0),2))&lt;&gt;1=TRUE,"ja",""),"")</f>
        <v/>
      </c>
    </row>
    <row r="511" spans="1:27" x14ac:dyDescent="0.25">
      <c r="A511" s="320"/>
      <c r="B511" s="321" t="str">
        <f>IF(A511&lt;&gt;"",_xlfn.MAXIFS($B$1:B510,$A$1:A510,A511)+1,"")</f>
        <v/>
      </c>
      <c r="C511" s="299"/>
      <c r="D511" s="299"/>
      <c r="E511" s="299"/>
      <c r="F511" s="299"/>
      <c r="G511" s="330"/>
      <c r="H511" s="328"/>
      <c r="I511" s="329"/>
      <c r="J511" s="329"/>
      <c r="K511" s="322"/>
      <c r="L511" s="322"/>
      <c r="M511" s="323" t="str">
        <f>IFERROR(VLOOKUP(H511,Lijsten!$H$1:$I$100,2,0),"")</f>
        <v/>
      </c>
      <c r="N511" s="323" t="str">
        <f ca="1">IFERROR(IF(VLOOKUP(F511,Kostentypen!$A$3:$E$21,3,0)=0,"",IF(OR(F511="Arbeidskosten",F511="Vergoeding"),VLOOKUP(G511,Tb_KostenTypen[],2,0),VLOOKUP(F511,Kostentypen!$A$3:$E$20,3,0))),"")</f>
        <v/>
      </c>
      <c r="O511" s="324"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4"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3"/>
      <c r="R511" s="363"/>
      <c r="S511" s="325"/>
      <c r="T511" s="325"/>
      <c r="U511" s="317" t="str" cm="1">
        <f t="array" aca="1" ref="U511" ca="1">IFERROR(IF(AA511&lt;&gt;"ja",_xlfn.IFNA(_xlfn.IFS(AND(O511&lt;&gt;"",F511&lt;&gt;"",RIGHT($N511,6)="tarief",F511="Vergoeding"),SUM(O511)*FLOOR(SUM(Q511),0.0001),AND(O511&lt;&gt;"",F511&lt;&gt;"",RIGHT($N511,6)="tarief"),SUM(O511)*FLOOR(SUM(Q511),0.01),S511&gt;0,IF(F511&lt;&gt;"",FLOOR(SUM(S511),0.01),"")),""),""),"")</f>
        <v/>
      </c>
      <c r="V511" s="317" t="str" cm="1">
        <f t="array" aca="1" ref="V511" ca="1">IFERROR(IF(AA511&lt;&gt;"ja",_xlfn.IFNA(_xlfn.IFS(AND(P511&lt;&gt;"",R511&lt;&gt;"",RIGHT($N511,6)="tarief",F511="Vergoeding"),SUM(P511)*FLOOR(SUM(R511),0.0001),AND(P511&lt;&gt;"",R511&lt;&gt;"",RIGHT($N511,6)="tarief"),P511*FLOOR(R511,0.01),T511&gt;0,FLOOR(SUM(T511),0.01)),""),""),"")</f>
        <v/>
      </c>
      <c r="W511" s="317" t="str" cm="1">
        <f t="array" aca="1" ref="W511" ca="1">IFERROR(_xlfn.IFS(OR(F511="",LEFT(Methode_Keuze,4)="Geen",Methode_Keuze=""),"",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17" t="str" cm="1">
        <f t="array" aca="1" ref="X511" ca="1">IFERROR(_xlfn.IFS(OR(F511="",LEFT(Methode_Keuze,4)="Geen",Methode_Keuze=""),"",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26"/>
      <c r="Z511" s="319"/>
      <c r="AA511" s="32" t="str" cm="1">
        <f t="array" ref="AA511">IFERROR(IF(INDEX(SubsidieTabel!$AD$1:$AG$12,MATCH($F511,SubsidieTabel!$AD$1:$AD$12,0),IFERROR(MATCH(Methode_Keuze,SubsidieTabel!$AD$1:$AG$1,0),2))&lt;&gt;1=TRUE,"ja",""),"")</f>
        <v/>
      </c>
    </row>
    <row r="512" spans="1:27" x14ac:dyDescent="0.25">
      <c r="A512" s="320"/>
      <c r="B512" s="321" t="str">
        <f>IF(A512&lt;&gt;"",_xlfn.MAXIFS($B$1:B511,$A$1:A511,A512)+1,"")</f>
        <v/>
      </c>
      <c r="C512" s="299"/>
      <c r="D512" s="299"/>
      <c r="E512" s="299"/>
      <c r="F512" s="299"/>
      <c r="G512" s="330"/>
      <c r="H512" s="328"/>
      <c r="I512" s="329"/>
      <c r="J512" s="329"/>
      <c r="K512" s="322"/>
      <c r="L512" s="322"/>
      <c r="M512" s="323" t="str">
        <f>IFERROR(VLOOKUP(H512,Lijsten!$H$1:$I$100,2,0),"")</f>
        <v/>
      </c>
      <c r="N512" s="323" t="str">
        <f ca="1">IFERROR(IF(VLOOKUP(F512,Kostentypen!$A$3:$E$21,3,0)=0,"",IF(OR(F512="Arbeidskosten",F512="Vergoeding"),VLOOKUP(G512,Tb_KostenTypen[],2,0),VLOOKUP(F512,Kostentypen!$A$3:$E$20,3,0))),"")</f>
        <v/>
      </c>
      <c r="O512" s="324"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4"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3"/>
      <c r="R512" s="363"/>
      <c r="S512" s="325"/>
      <c r="T512" s="325"/>
      <c r="U512" s="317" t="str" cm="1">
        <f t="array" aca="1" ref="U512" ca="1">IFERROR(IF(AA512&lt;&gt;"ja",_xlfn.IFNA(_xlfn.IFS(AND(O512&lt;&gt;"",F512&lt;&gt;"",RIGHT($N512,6)="tarief",F512="Vergoeding"),SUM(O512)*FLOOR(SUM(Q512),0.0001),AND(O512&lt;&gt;"",F512&lt;&gt;"",RIGHT($N512,6)="tarief"),SUM(O512)*FLOOR(SUM(Q512),0.01),S512&gt;0,IF(F512&lt;&gt;"",FLOOR(SUM(S512),0.01),"")),""),""),"")</f>
        <v/>
      </c>
      <c r="V512" s="317" t="str" cm="1">
        <f t="array" aca="1" ref="V512" ca="1">IFERROR(IF(AA512&lt;&gt;"ja",_xlfn.IFNA(_xlfn.IFS(AND(P512&lt;&gt;"",R512&lt;&gt;"",RIGHT($N512,6)="tarief",F512="Vergoeding"),SUM(P512)*FLOOR(SUM(R512),0.0001),AND(P512&lt;&gt;"",R512&lt;&gt;"",RIGHT($N512,6)="tarief"),P512*FLOOR(R512,0.01),T512&gt;0,FLOOR(SUM(T512),0.01)),""),""),"")</f>
        <v/>
      </c>
      <c r="W512" s="317" t="str" cm="1">
        <f t="array" aca="1" ref="W512" ca="1">IFERROR(_xlfn.IFS(OR(F512="",LEFT(Methode_Keuze,4)="Geen",Methode_Keuze=""),"",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17" t="str" cm="1">
        <f t="array" aca="1" ref="X512" ca="1">IFERROR(_xlfn.IFS(OR(F512="",LEFT(Methode_Keuze,4)="Geen",Methode_Keuze=""),"",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26"/>
      <c r="Z512" s="319"/>
      <c r="AA512" s="32" t="str" cm="1">
        <f t="array" ref="AA512">IFERROR(IF(INDEX(SubsidieTabel!$AD$1:$AG$12,MATCH($F512,SubsidieTabel!$AD$1:$AD$12,0),IFERROR(MATCH(Methode_Keuze,SubsidieTabel!$AD$1:$AG$1,0),2))&lt;&gt;1=TRUE,"ja",""),"")</f>
        <v/>
      </c>
    </row>
    <row r="513" spans="1:27" x14ac:dyDescent="0.25">
      <c r="A513" s="320"/>
      <c r="B513" s="321" t="str">
        <f>IF(A513&lt;&gt;"",_xlfn.MAXIFS($B$1:B512,$A$1:A512,A513)+1,"")</f>
        <v/>
      </c>
      <c r="C513" s="299"/>
      <c r="D513" s="299"/>
      <c r="E513" s="299"/>
      <c r="F513" s="299"/>
      <c r="G513" s="330"/>
      <c r="H513" s="328"/>
      <c r="I513" s="329"/>
      <c r="J513" s="329"/>
      <c r="K513" s="322"/>
      <c r="L513" s="322"/>
      <c r="M513" s="323" t="str">
        <f>IFERROR(VLOOKUP(H513,Lijsten!$H$1:$I$100,2,0),"")</f>
        <v/>
      </c>
      <c r="N513" s="323" t="str">
        <f ca="1">IFERROR(IF(VLOOKUP(F513,Kostentypen!$A$3:$E$21,3,0)=0,"",IF(OR(F513="Arbeidskosten",F513="Vergoeding"),VLOOKUP(G513,Tb_KostenTypen[],2,0),VLOOKUP(F513,Kostentypen!$A$3:$E$20,3,0))),"")</f>
        <v/>
      </c>
      <c r="O513" s="324"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4"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3"/>
      <c r="R513" s="363"/>
      <c r="S513" s="325"/>
      <c r="T513" s="325"/>
      <c r="U513" s="317" t="str" cm="1">
        <f t="array" aca="1" ref="U513" ca="1">IFERROR(IF(AA513&lt;&gt;"ja",_xlfn.IFNA(_xlfn.IFS(AND(O513&lt;&gt;"",F513&lt;&gt;"",RIGHT($N513,6)="tarief",F513="Vergoeding"),SUM(O513)*FLOOR(SUM(Q513),0.0001),AND(O513&lt;&gt;"",F513&lt;&gt;"",RIGHT($N513,6)="tarief"),SUM(O513)*FLOOR(SUM(Q513),0.01),S513&gt;0,IF(F513&lt;&gt;"",FLOOR(SUM(S513),0.01),"")),""),""),"")</f>
        <v/>
      </c>
      <c r="V513" s="317" t="str" cm="1">
        <f t="array" aca="1" ref="V513" ca="1">IFERROR(IF(AA513&lt;&gt;"ja",_xlfn.IFNA(_xlfn.IFS(AND(P513&lt;&gt;"",R513&lt;&gt;"",RIGHT($N513,6)="tarief",F513="Vergoeding"),SUM(P513)*FLOOR(SUM(R513),0.0001),AND(P513&lt;&gt;"",R513&lt;&gt;"",RIGHT($N513,6)="tarief"),P513*FLOOR(R513,0.01),T513&gt;0,FLOOR(SUM(T513),0.01)),""),""),"")</f>
        <v/>
      </c>
      <c r="W513" s="317" t="str" cm="1">
        <f t="array" aca="1" ref="W513" ca="1">IFERROR(_xlfn.IFS(OR(F513="",LEFT(Methode_Keuze,4)="Geen",Methode_Keuze=""),"",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17" t="str" cm="1">
        <f t="array" aca="1" ref="X513" ca="1">IFERROR(_xlfn.IFS(OR(F513="",LEFT(Methode_Keuze,4)="Geen",Methode_Keuze=""),"",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26"/>
      <c r="Z513" s="319"/>
      <c r="AA513" s="32" t="str" cm="1">
        <f t="array" ref="AA513">IFERROR(IF(INDEX(SubsidieTabel!$AD$1:$AG$12,MATCH($F513,SubsidieTabel!$AD$1:$AD$12,0),IFERROR(MATCH(Methode_Keuze,SubsidieTabel!$AD$1:$AG$1,0),2))&lt;&gt;1=TRUE,"ja",""),"")</f>
        <v/>
      </c>
    </row>
    <row r="514" spans="1:27" x14ac:dyDescent="0.25">
      <c r="A514" s="320"/>
      <c r="B514" s="321" t="str">
        <f>IF(A514&lt;&gt;"",_xlfn.MAXIFS($B$1:B513,$A$1:A513,A514)+1,"")</f>
        <v/>
      </c>
      <c r="C514" s="299"/>
      <c r="D514" s="299"/>
      <c r="E514" s="299"/>
      <c r="F514" s="299"/>
      <c r="G514" s="330"/>
      <c r="H514" s="328"/>
      <c r="I514" s="329"/>
      <c r="J514" s="329"/>
      <c r="K514" s="322"/>
      <c r="L514" s="322"/>
      <c r="M514" s="323" t="str">
        <f>IFERROR(VLOOKUP(H514,Lijsten!$H$1:$I$100,2,0),"")</f>
        <v/>
      </c>
      <c r="N514" s="323" t="str">
        <f ca="1">IFERROR(IF(VLOOKUP(F514,Kostentypen!$A$3:$E$21,3,0)=0,"",IF(OR(F514="Arbeidskosten",F514="Vergoeding"),VLOOKUP(G514,Tb_KostenTypen[],2,0),VLOOKUP(F514,Kostentypen!$A$3:$E$20,3,0))),"")</f>
        <v/>
      </c>
      <c r="O514" s="324"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4"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3"/>
      <c r="R514" s="363"/>
      <c r="S514" s="325"/>
      <c r="T514" s="325"/>
      <c r="U514" s="317" t="str" cm="1">
        <f t="array" aca="1" ref="U514" ca="1">IFERROR(IF(AA514&lt;&gt;"ja",_xlfn.IFNA(_xlfn.IFS(AND(O514&lt;&gt;"",F514&lt;&gt;"",RIGHT($N514,6)="tarief",F514="Vergoeding"),SUM(O514)*FLOOR(SUM(Q514),0.0001),AND(O514&lt;&gt;"",F514&lt;&gt;"",RIGHT($N514,6)="tarief"),SUM(O514)*FLOOR(SUM(Q514),0.01),S514&gt;0,IF(F514&lt;&gt;"",FLOOR(SUM(S514),0.01),"")),""),""),"")</f>
        <v/>
      </c>
      <c r="V514" s="317" t="str" cm="1">
        <f t="array" aca="1" ref="V514" ca="1">IFERROR(IF(AA514&lt;&gt;"ja",_xlfn.IFNA(_xlfn.IFS(AND(P514&lt;&gt;"",R514&lt;&gt;"",RIGHT($N514,6)="tarief",F514="Vergoeding"),SUM(P514)*FLOOR(SUM(R514),0.0001),AND(P514&lt;&gt;"",R514&lt;&gt;"",RIGHT($N514,6)="tarief"),P514*FLOOR(R514,0.01),T514&gt;0,FLOOR(SUM(T514),0.01)),""),""),"")</f>
        <v/>
      </c>
      <c r="W514" s="317" t="str" cm="1">
        <f t="array" aca="1" ref="W514" ca="1">IFERROR(_xlfn.IFS(OR(F514="",LEFT(Methode_Keuze,4)="Geen",Methode_Keuze=""),"",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17" t="str" cm="1">
        <f t="array" aca="1" ref="X514" ca="1">IFERROR(_xlfn.IFS(OR(F514="",LEFT(Methode_Keuze,4)="Geen",Methode_Keuze=""),"",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26"/>
      <c r="Z514" s="319"/>
      <c r="AA514" s="32" t="str" cm="1">
        <f t="array" ref="AA514">IFERROR(IF(INDEX(SubsidieTabel!$AD$1:$AG$12,MATCH($F514,SubsidieTabel!$AD$1:$AD$12,0),IFERROR(MATCH(Methode_Keuze,SubsidieTabel!$AD$1:$AG$1,0),2))&lt;&gt;1=TRUE,"ja",""),"")</f>
        <v/>
      </c>
    </row>
    <row r="515" spans="1:27" x14ac:dyDescent="0.25">
      <c r="A515" s="320"/>
      <c r="B515" s="321" t="str">
        <f>IF(A515&lt;&gt;"",_xlfn.MAXIFS($B$1:B514,$A$1:A514,A515)+1,"")</f>
        <v/>
      </c>
      <c r="C515" s="299"/>
      <c r="D515" s="299"/>
      <c r="E515" s="299"/>
      <c r="F515" s="299"/>
      <c r="G515" s="330"/>
      <c r="H515" s="328"/>
      <c r="I515" s="329"/>
      <c r="J515" s="329"/>
      <c r="K515" s="322"/>
      <c r="L515" s="322"/>
      <c r="M515" s="323" t="str">
        <f>IFERROR(VLOOKUP(H515,Lijsten!$H$1:$I$100,2,0),"")</f>
        <v/>
      </c>
      <c r="N515" s="323" t="str">
        <f ca="1">IFERROR(IF(VLOOKUP(F515,Kostentypen!$A$3:$E$21,3,0)=0,"",IF(OR(F515="Arbeidskosten",F515="Vergoeding"),VLOOKUP(G515,Tb_KostenTypen[],2,0),VLOOKUP(F515,Kostentypen!$A$3:$E$20,3,0))),"")</f>
        <v/>
      </c>
      <c r="O515" s="324"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4"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3"/>
      <c r="R515" s="363"/>
      <c r="S515" s="325"/>
      <c r="T515" s="325"/>
      <c r="U515" s="317" t="str" cm="1">
        <f t="array" aca="1" ref="U515" ca="1">IFERROR(IF(AA515&lt;&gt;"ja",_xlfn.IFNA(_xlfn.IFS(AND(O515&lt;&gt;"",F515&lt;&gt;"",RIGHT($N515,6)="tarief",F515="Vergoeding"),SUM(O515)*FLOOR(SUM(Q515),0.0001),AND(O515&lt;&gt;"",F515&lt;&gt;"",RIGHT($N515,6)="tarief"),SUM(O515)*FLOOR(SUM(Q515),0.01),S515&gt;0,IF(F515&lt;&gt;"",FLOOR(SUM(S515),0.01),"")),""),""),"")</f>
        <v/>
      </c>
      <c r="V515" s="317" t="str" cm="1">
        <f t="array" aca="1" ref="V515" ca="1">IFERROR(IF(AA515&lt;&gt;"ja",_xlfn.IFNA(_xlfn.IFS(AND(P515&lt;&gt;"",R515&lt;&gt;"",RIGHT($N515,6)="tarief",F515="Vergoeding"),SUM(P515)*FLOOR(SUM(R515),0.0001),AND(P515&lt;&gt;"",R515&lt;&gt;"",RIGHT($N515,6)="tarief"),P515*FLOOR(R515,0.01),T515&gt;0,FLOOR(SUM(T515),0.01)),""),""),"")</f>
        <v/>
      </c>
      <c r="W515" s="317" t="str" cm="1">
        <f t="array" aca="1" ref="W515" ca="1">IFERROR(_xlfn.IFS(OR(F515="",LEFT(Methode_Keuze,4)="Geen",Methode_Keuze=""),"",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17" t="str" cm="1">
        <f t="array" aca="1" ref="X515" ca="1">IFERROR(_xlfn.IFS(OR(F515="",LEFT(Methode_Keuze,4)="Geen",Methode_Keuze=""),"",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26"/>
      <c r="Z515" s="319"/>
      <c r="AA515" s="32" t="str" cm="1">
        <f t="array" ref="AA515">IFERROR(IF(INDEX(SubsidieTabel!$AD$1:$AG$12,MATCH($F515,SubsidieTabel!$AD$1:$AD$12,0),IFERROR(MATCH(Methode_Keuze,SubsidieTabel!$AD$1:$AG$1,0),2))&lt;&gt;1=TRUE,"ja",""),"")</f>
        <v/>
      </c>
    </row>
    <row r="516" spans="1:27" x14ac:dyDescent="0.25">
      <c r="A516" s="320"/>
      <c r="B516" s="321" t="str">
        <f>IF(A516&lt;&gt;"",_xlfn.MAXIFS($B$1:B515,$A$1:A515,A516)+1,"")</f>
        <v/>
      </c>
      <c r="C516" s="299"/>
      <c r="D516" s="299"/>
      <c r="E516" s="299"/>
      <c r="F516" s="299"/>
      <c r="G516" s="330"/>
      <c r="H516" s="328"/>
      <c r="I516" s="329"/>
      <c r="J516" s="329"/>
      <c r="K516" s="322"/>
      <c r="L516" s="322"/>
      <c r="M516" s="323" t="str">
        <f>IFERROR(VLOOKUP(H516,Lijsten!$H$1:$I$100,2,0),"")</f>
        <v/>
      </c>
      <c r="N516" s="323" t="str">
        <f ca="1">IFERROR(IF(VLOOKUP(F516,Kostentypen!$A$3:$E$21,3,0)=0,"",IF(OR(F516="Arbeidskosten",F516="Vergoeding"),VLOOKUP(G516,Tb_KostenTypen[],2,0),VLOOKUP(F516,Kostentypen!$A$3:$E$20,3,0))),"")</f>
        <v/>
      </c>
      <c r="O516" s="324"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4"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3"/>
      <c r="R516" s="363"/>
      <c r="S516" s="325"/>
      <c r="T516" s="325"/>
      <c r="U516" s="317" t="str" cm="1">
        <f t="array" aca="1" ref="U516" ca="1">IFERROR(IF(AA516&lt;&gt;"ja",_xlfn.IFNA(_xlfn.IFS(AND(O516&lt;&gt;"",F516&lt;&gt;"",RIGHT($N516,6)="tarief",F516="Vergoeding"),SUM(O516)*FLOOR(SUM(Q516),0.0001),AND(O516&lt;&gt;"",F516&lt;&gt;"",RIGHT($N516,6)="tarief"),SUM(O516)*FLOOR(SUM(Q516),0.01),S516&gt;0,IF(F516&lt;&gt;"",FLOOR(SUM(S516),0.01),"")),""),""),"")</f>
        <v/>
      </c>
      <c r="V516" s="317" t="str" cm="1">
        <f t="array" aca="1" ref="V516" ca="1">IFERROR(IF(AA516&lt;&gt;"ja",_xlfn.IFNA(_xlfn.IFS(AND(P516&lt;&gt;"",R516&lt;&gt;"",RIGHT($N516,6)="tarief",F516="Vergoeding"),SUM(P516)*FLOOR(SUM(R516),0.0001),AND(P516&lt;&gt;"",R516&lt;&gt;"",RIGHT($N516,6)="tarief"),P516*FLOOR(R516,0.01),T516&gt;0,FLOOR(SUM(T516),0.01)),""),""),"")</f>
        <v/>
      </c>
      <c r="W516" s="317" t="str" cm="1">
        <f t="array" aca="1" ref="W516" ca="1">IFERROR(_xlfn.IFS(OR(F516="",LEFT(Methode_Keuze,4)="Geen",Methode_Keuze=""),"",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17" t="str" cm="1">
        <f t="array" aca="1" ref="X516" ca="1">IFERROR(_xlfn.IFS(OR(F516="",LEFT(Methode_Keuze,4)="Geen",Methode_Keuze=""),"",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26"/>
      <c r="Z516" s="319"/>
      <c r="AA516" s="32" t="str" cm="1">
        <f t="array" ref="AA516">IFERROR(IF(INDEX(SubsidieTabel!$AD$1:$AG$12,MATCH($F516,SubsidieTabel!$AD$1:$AD$12,0),IFERROR(MATCH(Methode_Keuze,SubsidieTabel!$AD$1:$AG$1,0),2))&lt;&gt;1=TRUE,"ja",""),"")</f>
        <v/>
      </c>
    </row>
    <row r="517" spans="1:27" x14ac:dyDescent="0.25">
      <c r="A517" s="320"/>
      <c r="B517" s="321" t="str">
        <f>IF(A517&lt;&gt;"",_xlfn.MAXIFS($B$1:B516,$A$1:A516,A517)+1,"")</f>
        <v/>
      </c>
      <c r="C517" s="299"/>
      <c r="D517" s="299"/>
      <c r="E517" s="299"/>
      <c r="F517" s="299"/>
      <c r="G517" s="330"/>
      <c r="H517" s="328"/>
      <c r="I517" s="329"/>
      <c r="J517" s="329"/>
      <c r="K517" s="322"/>
      <c r="L517" s="322"/>
      <c r="M517" s="323" t="str">
        <f>IFERROR(VLOOKUP(H517,Lijsten!$H$1:$I$100,2,0),"")</f>
        <v/>
      </c>
      <c r="N517" s="323" t="str">
        <f ca="1">IFERROR(IF(VLOOKUP(F517,Kostentypen!$A$3:$E$21,3,0)=0,"",IF(OR(F517="Arbeidskosten",F517="Vergoeding"),VLOOKUP(G517,Tb_KostenTypen[],2,0),VLOOKUP(F517,Kostentypen!$A$3:$E$20,3,0))),"")</f>
        <v/>
      </c>
      <c r="O517" s="324"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4"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3"/>
      <c r="R517" s="363"/>
      <c r="S517" s="325"/>
      <c r="T517" s="325"/>
      <c r="U517" s="317" t="str" cm="1">
        <f t="array" aca="1" ref="U517" ca="1">IFERROR(IF(AA517&lt;&gt;"ja",_xlfn.IFNA(_xlfn.IFS(AND(O517&lt;&gt;"",F517&lt;&gt;"",RIGHT($N517,6)="tarief",F517="Vergoeding"),SUM(O517)*FLOOR(SUM(Q517),0.0001),AND(O517&lt;&gt;"",F517&lt;&gt;"",RIGHT($N517,6)="tarief"),SUM(O517)*FLOOR(SUM(Q517),0.01),S517&gt;0,IF(F517&lt;&gt;"",FLOOR(SUM(S517),0.01),"")),""),""),"")</f>
        <v/>
      </c>
      <c r="V517" s="317" t="str" cm="1">
        <f t="array" aca="1" ref="V517" ca="1">IFERROR(IF(AA517&lt;&gt;"ja",_xlfn.IFNA(_xlfn.IFS(AND(P517&lt;&gt;"",R517&lt;&gt;"",RIGHT($N517,6)="tarief",F517="Vergoeding"),SUM(P517)*FLOOR(SUM(R517),0.0001),AND(P517&lt;&gt;"",R517&lt;&gt;"",RIGHT($N517,6)="tarief"),P517*FLOOR(R517,0.01),T517&gt;0,FLOOR(SUM(T517),0.01)),""),""),"")</f>
        <v/>
      </c>
      <c r="W517" s="317" t="str" cm="1">
        <f t="array" aca="1" ref="W517" ca="1">IFERROR(_xlfn.IFS(OR(F517="",LEFT(Methode_Keuze,4)="Geen",Methode_Keuze=""),"",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17" t="str" cm="1">
        <f t="array" aca="1" ref="X517" ca="1">IFERROR(_xlfn.IFS(OR(F517="",LEFT(Methode_Keuze,4)="Geen",Methode_Keuze=""),"",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26"/>
      <c r="Z517" s="319"/>
      <c r="AA517" s="32" t="str" cm="1">
        <f t="array" ref="AA517">IFERROR(IF(INDEX(SubsidieTabel!$AD$1:$AG$12,MATCH($F517,SubsidieTabel!$AD$1:$AD$12,0),IFERROR(MATCH(Methode_Keuze,SubsidieTabel!$AD$1:$AG$1,0),2))&lt;&gt;1=TRUE,"ja",""),"")</f>
        <v/>
      </c>
    </row>
    <row r="518" spans="1:27" x14ac:dyDescent="0.25">
      <c r="A518" s="320"/>
      <c r="B518" s="321" t="str">
        <f>IF(A518&lt;&gt;"",_xlfn.MAXIFS($B$1:B517,$A$1:A517,A518)+1,"")</f>
        <v/>
      </c>
      <c r="C518" s="299"/>
      <c r="D518" s="299"/>
      <c r="E518" s="299"/>
      <c r="F518" s="299"/>
      <c r="G518" s="330"/>
      <c r="H518" s="328"/>
      <c r="I518" s="329"/>
      <c r="J518" s="329"/>
      <c r="K518" s="322"/>
      <c r="L518" s="322"/>
      <c r="M518" s="323" t="str">
        <f>IFERROR(VLOOKUP(H518,Lijsten!$H$1:$I$100,2,0),"")</f>
        <v/>
      </c>
      <c r="N518" s="323" t="str">
        <f ca="1">IFERROR(IF(VLOOKUP(F518,Kostentypen!$A$3:$E$21,3,0)=0,"",IF(OR(F518="Arbeidskosten",F518="Vergoeding"),VLOOKUP(G518,Tb_KostenTypen[],2,0),VLOOKUP(F518,Kostentypen!$A$3:$E$20,3,0))),"")</f>
        <v/>
      </c>
      <c r="O518" s="324"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4"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3"/>
      <c r="R518" s="363"/>
      <c r="S518" s="325"/>
      <c r="T518" s="325"/>
      <c r="U518" s="317" t="str" cm="1">
        <f t="array" aca="1" ref="U518" ca="1">IFERROR(IF(AA518&lt;&gt;"ja",_xlfn.IFNA(_xlfn.IFS(AND(O518&lt;&gt;"",F518&lt;&gt;"",RIGHT($N518,6)="tarief",F518="Vergoeding"),SUM(O518)*FLOOR(SUM(Q518),0.0001),AND(O518&lt;&gt;"",F518&lt;&gt;"",RIGHT($N518,6)="tarief"),SUM(O518)*FLOOR(SUM(Q518),0.01),S518&gt;0,IF(F518&lt;&gt;"",FLOOR(SUM(S518),0.01),"")),""),""),"")</f>
        <v/>
      </c>
      <c r="V518" s="317" t="str" cm="1">
        <f t="array" aca="1" ref="V518" ca="1">IFERROR(IF(AA518&lt;&gt;"ja",_xlfn.IFNA(_xlfn.IFS(AND(P518&lt;&gt;"",R518&lt;&gt;"",RIGHT($N518,6)="tarief",F518="Vergoeding"),SUM(P518)*FLOOR(SUM(R518),0.0001),AND(P518&lt;&gt;"",R518&lt;&gt;"",RIGHT($N518,6)="tarief"),P518*FLOOR(R518,0.01),T518&gt;0,FLOOR(SUM(T518),0.01)),""),""),"")</f>
        <v/>
      </c>
      <c r="W518" s="317" t="str" cm="1">
        <f t="array" aca="1" ref="W518" ca="1">IFERROR(_xlfn.IFS(OR(F518="",LEFT(Methode_Keuze,4)="Geen",Methode_Keuze=""),"",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17" t="str" cm="1">
        <f t="array" aca="1" ref="X518" ca="1">IFERROR(_xlfn.IFS(OR(F518="",LEFT(Methode_Keuze,4)="Geen",Methode_Keuze=""),"",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26"/>
      <c r="Z518" s="319"/>
      <c r="AA518" s="32" t="str" cm="1">
        <f t="array" ref="AA518">IFERROR(IF(INDEX(SubsidieTabel!$AD$1:$AG$12,MATCH($F518,SubsidieTabel!$AD$1:$AD$12,0),IFERROR(MATCH(Methode_Keuze,SubsidieTabel!$AD$1:$AG$1,0),2))&lt;&gt;1=TRUE,"ja",""),"")</f>
        <v/>
      </c>
    </row>
    <row r="519" spans="1:27" x14ac:dyDescent="0.25">
      <c r="A519" s="320"/>
      <c r="B519" s="321" t="str">
        <f>IF(A519&lt;&gt;"",_xlfn.MAXIFS($B$1:B518,$A$1:A518,A519)+1,"")</f>
        <v/>
      </c>
      <c r="C519" s="299"/>
      <c r="D519" s="299"/>
      <c r="E519" s="299"/>
      <c r="F519" s="299"/>
      <c r="G519" s="330"/>
      <c r="H519" s="328"/>
      <c r="I519" s="329"/>
      <c r="J519" s="329"/>
      <c r="K519" s="322"/>
      <c r="L519" s="322"/>
      <c r="M519" s="323" t="str">
        <f>IFERROR(VLOOKUP(H519,Lijsten!$H$1:$I$100,2,0),"")</f>
        <v/>
      </c>
      <c r="N519" s="323" t="str">
        <f ca="1">IFERROR(IF(VLOOKUP(F519,Kostentypen!$A$3:$E$21,3,0)=0,"",IF(OR(F519="Arbeidskosten",F519="Vergoeding"),VLOOKUP(G519,Tb_KostenTypen[],2,0),VLOOKUP(F519,Kostentypen!$A$3:$E$20,3,0))),"")</f>
        <v/>
      </c>
      <c r="O519" s="324"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4"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3"/>
      <c r="R519" s="363"/>
      <c r="S519" s="325"/>
      <c r="T519" s="325"/>
      <c r="U519" s="317" t="str" cm="1">
        <f t="array" aca="1" ref="U519" ca="1">IFERROR(IF(AA519&lt;&gt;"ja",_xlfn.IFNA(_xlfn.IFS(AND(O519&lt;&gt;"",F519&lt;&gt;"",RIGHT($N519,6)="tarief",F519="Vergoeding"),SUM(O519)*FLOOR(SUM(Q519),0.0001),AND(O519&lt;&gt;"",F519&lt;&gt;"",RIGHT($N519,6)="tarief"),SUM(O519)*FLOOR(SUM(Q519),0.01),S519&gt;0,IF(F519&lt;&gt;"",FLOOR(SUM(S519),0.01),"")),""),""),"")</f>
        <v/>
      </c>
      <c r="V519" s="317" t="str" cm="1">
        <f t="array" aca="1" ref="V519" ca="1">IFERROR(IF(AA519&lt;&gt;"ja",_xlfn.IFNA(_xlfn.IFS(AND(P519&lt;&gt;"",R519&lt;&gt;"",RIGHT($N519,6)="tarief",F519="Vergoeding"),SUM(P519)*FLOOR(SUM(R519),0.0001),AND(P519&lt;&gt;"",R519&lt;&gt;"",RIGHT($N519,6)="tarief"),P519*FLOOR(R519,0.01),T519&gt;0,FLOOR(SUM(T519),0.01)),""),""),"")</f>
        <v/>
      </c>
      <c r="W519" s="317" t="str" cm="1">
        <f t="array" aca="1" ref="W519" ca="1">IFERROR(_xlfn.IFS(OR(F519="",LEFT(Methode_Keuze,4)="Geen",Methode_Keuze=""),"",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17" t="str" cm="1">
        <f t="array" aca="1" ref="X519" ca="1">IFERROR(_xlfn.IFS(OR(F519="",LEFT(Methode_Keuze,4)="Geen",Methode_Keuze=""),"",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26"/>
      <c r="Z519" s="319"/>
      <c r="AA519" s="32" t="str" cm="1">
        <f t="array" ref="AA519">IFERROR(IF(INDEX(SubsidieTabel!$AD$1:$AG$12,MATCH($F519,SubsidieTabel!$AD$1:$AD$12,0),IFERROR(MATCH(Methode_Keuze,SubsidieTabel!$AD$1:$AG$1,0),2))&lt;&gt;1=TRUE,"ja",""),"")</f>
        <v/>
      </c>
    </row>
    <row r="520" spans="1:27" x14ac:dyDescent="0.25">
      <c r="A520" s="320"/>
      <c r="B520" s="321" t="str">
        <f>IF(A520&lt;&gt;"",_xlfn.MAXIFS($B$1:B519,$A$1:A519,A520)+1,"")</f>
        <v/>
      </c>
      <c r="C520" s="299"/>
      <c r="D520" s="299"/>
      <c r="E520" s="299"/>
      <c r="F520" s="299"/>
      <c r="G520" s="330"/>
      <c r="H520" s="328"/>
      <c r="I520" s="329"/>
      <c r="J520" s="329"/>
      <c r="K520" s="322"/>
      <c r="L520" s="322"/>
      <c r="M520" s="323" t="str">
        <f>IFERROR(VLOOKUP(H520,Lijsten!$H$1:$I$100,2,0),"")</f>
        <v/>
      </c>
      <c r="N520" s="323" t="str">
        <f ca="1">IFERROR(IF(VLOOKUP(F520,Kostentypen!$A$3:$E$21,3,0)=0,"",IF(OR(F520="Arbeidskosten",F520="Vergoeding"),VLOOKUP(G520,Tb_KostenTypen[],2,0),VLOOKUP(F520,Kostentypen!$A$3:$E$20,3,0))),"")</f>
        <v/>
      </c>
      <c r="O520" s="324"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4"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3"/>
      <c r="R520" s="363"/>
      <c r="S520" s="325"/>
      <c r="T520" s="325"/>
      <c r="U520" s="317" t="str" cm="1">
        <f t="array" aca="1" ref="U520" ca="1">IFERROR(IF(AA520&lt;&gt;"ja",_xlfn.IFNA(_xlfn.IFS(AND(O520&lt;&gt;"",F520&lt;&gt;"",RIGHT($N520,6)="tarief",F520="Vergoeding"),SUM(O520)*FLOOR(SUM(Q520),0.0001),AND(O520&lt;&gt;"",F520&lt;&gt;"",RIGHT($N520,6)="tarief"),SUM(O520)*FLOOR(SUM(Q520),0.01),S520&gt;0,IF(F520&lt;&gt;"",FLOOR(SUM(S520),0.01),"")),""),""),"")</f>
        <v/>
      </c>
      <c r="V520" s="317" t="str" cm="1">
        <f t="array" aca="1" ref="V520" ca="1">IFERROR(IF(AA520&lt;&gt;"ja",_xlfn.IFNA(_xlfn.IFS(AND(P520&lt;&gt;"",R520&lt;&gt;"",RIGHT($N520,6)="tarief",F520="Vergoeding"),SUM(P520)*FLOOR(SUM(R520),0.0001),AND(P520&lt;&gt;"",R520&lt;&gt;"",RIGHT($N520,6)="tarief"),P520*FLOOR(R520,0.01),T520&gt;0,FLOOR(SUM(T520),0.01)),""),""),"")</f>
        <v/>
      </c>
      <c r="W520" s="317" t="str" cm="1">
        <f t="array" aca="1" ref="W520" ca="1">IFERROR(_xlfn.IFS(OR(F520="",LEFT(Methode_Keuze,4)="Geen",Methode_Keuze=""),"",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17" t="str" cm="1">
        <f t="array" aca="1" ref="X520" ca="1">IFERROR(_xlfn.IFS(OR(F520="",LEFT(Methode_Keuze,4)="Geen",Methode_Keuze=""),"",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26"/>
      <c r="Z520" s="319"/>
      <c r="AA520" s="32" t="str" cm="1">
        <f t="array" ref="AA520">IFERROR(IF(INDEX(SubsidieTabel!$AD$1:$AG$12,MATCH($F520,SubsidieTabel!$AD$1:$AD$12,0),IFERROR(MATCH(Methode_Keuze,SubsidieTabel!$AD$1:$AG$1,0),2))&lt;&gt;1=TRUE,"ja",""),"")</f>
        <v/>
      </c>
    </row>
    <row r="521" spans="1:27" x14ac:dyDescent="0.25">
      <c r="A521" s="320"/>
      <c r="B521" s="321" t="str">
        <f>IF(A521&lt;&gt;"",_xlfn.MAXIFS($B$1:B520,$A$1:A520,A521)+1,"")</f>
        <v/>
      </c>
      <c r="C521" s="299"/>
      <c r="D521" s="299"/>
      <c r="E521" s="299"/>
      <c r="F521" s="299"/>
      <c r="G521" s="330"/>
      <c r="H521" s="328"/>
      <c r="I521" s="329"/>
      <c r="J521" s="329"/>
      <c r="K521" s="322"/>
      <c r="L521" s="322"/>
      <c r="M521" s="323" t="str">
        <f>IFERROR(VLOOKUP(H521,Lijsten!$H$1:$I$100,2,0),"")</f>
        <v/>
      </c>
      <c r="N521" s="323" t="str">
        <f ca="1">IFERROR(IF(VLOOKUP(F521,Kostentypen!$A$3:$E$21,3,0)=0,"",IF(OR(F521="Arbeidskosten",F521="Vergoeding"),VLOOKUP(G521,Tb_KostenTypen[],2,0),VLOOKUP(F521,Kostentypen!$A$3:$E$20,3,0))),"")</f>
        <v/>
      </c>
      <c r="O521" s="324"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4"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3"/>
      <c r="R521" s="363"/>
      <c r="S521" s="325"/>
      <c r="T521" s="325"/>
      <c r="U521" s="317" t="str" cm="1">
        <f t="array" aca="1" ref="U521" ca="1">IFERROR(IF(AA521&lt;&gt;"ja",_xlfn.IFNA(_xlfn.IFS(AND(O521&lt;&gt;"",F521&lt;&gt;"",RIGHT($N521,6)="tarief",F521="Vergoeding"),SUM(O521)*FLOOR(SUM(Q521),0.0001),AND(O521&lt;&gt;"",F521&lt;&gt;"",RIGHT($N521,6)="tarief"),SUM(O521)*FLOOR(SUM(Q521),0.01),S521&gt;0,IF(F521&lt;&gt;"",FLOOR(SUM(S521),0.01),"")),""),""),"")</f>
        <v/>
      </c>
      <c r="V521" s="317" t="str" cm="1">
        <f t="array" aca="1" ref="V521" ca="1">IFERROR(IF(AA521&lt;&gt;"ja",_xlfn.IFNA(_xlfn.IFS(AND(P521&lt;&gt;"",R521&lt;&gt;"",RIGHT($N521,6)="tarief",F521="Vergoeding"),SUM(P521)*FLOOR(SUM(R521),0.0001),AND(P521&lt;&gt;"",R521&lt;&gt;"",RIGHT($N521,6)="tarief"),P521*FLOOR(R521,0.01),T521&gt;0,FLOOR(SUM(T521),0.01)),""),""),"")</f>
        <v/>
      </c>
      <c r="W521" s="317" t="str" cm="1">
        <f t="array" aca="1" ref="W521" ca="1">IFERROR(_xlfn.IFS(OR(F521="",LEFT(Methode_Keuze,4)="Geen",Methode_Keuze=""),"",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17" t="str" cm="1">
        <f t="array" aca="1" ref="X521" ca="1">IFERROR(_xlfn.IFS(OR(F521="",LEFT(Methode_Keuze,4)="Geen",Methode_Keuze=""),"",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26"/>
      <c r="Z521" s="319"/>
      <c r="AA521" s="32" t="str" cm="1">
        <f t="array" ref="AA521">IFERROR(IF(INDEX(SubsidieTabel!$AD$1:$AG$12,MATCH($F521,SubsidieTabel!$AD$1:$AD$12,0),IFERROR(MATCH(Methode_Keuze,SubsidieTabel!$AD$1:$AG$1,0),2))&lt;&gt;1=TRUE,"ja",""),"")</f>
        <v/>
      </c>
    </row>
    <row r="522" spans="1:27" x14ac:dyDescent="0.25">
      <c r="A522" s="320"/>
      <c r="B522" s="321" t="str">
        <f>IF(A522&lt;&gt;"",_xlfn.MAXIFS($B$1:B521,$A$1:A521,A522)+1,"")</f>
        <v/>
      </c>
      <c r="C522" s="299"/>
      <c r="D522" s="299"/>
      <c r="E522" s="299"/>
      <c r="F522" s="299"/>
      <c r="G522" s="330"/>
      <c r="H522" s="328"/>
      <c r="I522" s="329"/>
      <c r="J522" s="329"/>
      <c r="K522" s="322"/>
      <c r="L522" s="322"/>
      <c r="M522" s="323" t="str">
        <f>IFERROR(VLOOKUP(H522,Lijsten!$H$1:$I$100,2,0),"")</f>
        <v/>
      </c>
      <c r="N522" s="323" t="str">
        <f ca="1">IFERROR(IF(VLOOKUP(F522,Kostentypen!$A$3:$E$21,3,0)=0,"",IF(OR(F522="Arbeidskosten",F522="Vergoeding"),VLOOKUP(G522,Tb_KostenTypen[],2,0),VLOOKUP(F522,Kostentypen!$A$3:$E$20,3,0))),"")</f>
        <v/>
      </c>
      <c r="O522" s="324"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4"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3"/>
      <c r="R522" s="363"/>
      <c r="S522" s="325"/>
      <c r="T522" s="325"/>
      <c r="U522" s="317" t="str" cm="1">
        <f t="array" aca="1" ref="U522" ca="1">IFERROR(IF(AA522&lt;&gt;"ja",_xlfn.IFNA(_xlfn.IFS(AND(O522&lt;&gt;"",F522&lt;&gt;"",RIGHT($N522,6)="tarief",F522="Vergoeding"),SUM(O522)*FLOOR(SUM(Q522),0.0001),AND(O522&lt;&gt;"",F522&lt;&gt;"",RIGHT($N522,6)="tarief"),SUM(O522)*FLOOR(SUM(Q522),0.01),S522&gt;0,IF(F522&lt;&gt;"",FLOOR(SUM(S522),0.01),"")),""),""),"")</f>
        <v/>
      </c>
      <c r="V522" s="317" t="str" cm="1">
        <f t="array" aca="1" ref="V522" ca="1">IFERROR(IF(AA522&lt;&gt;"ja",_xlfn.IFNA(_xlfn.IFS(AND(P522&lt;&gt;"",R522&lt;&gt;"",RIGHT($N522,6)="tarief",F522="Vergoeding"),SUM(P522)*FLOOR(SUM(R522),0.0001),AND(P522&lt;&gt;"",R522&lt;&gt;"",RIGHT($N522,6)="tarief"),P522*FLOOR(R522,0.01),T522&gt;0,FLOOR(SUM(T522),0.01)),""),""),"")</f>
        <v/>
      </c>
      <c r="W522" s="317" t="str" cm="1">
        <f t="array" aca="1" ref="W522" ca="1">IFERROR(_xlfn.IFS(OR(F522="",LEFT(Methode_Keuze,4)="Geen",Methode_Keuze=""),"",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17" t="str" cm="1">
        <f t="array" aca="1" ref="X522" ca="1">IFERROR(_xlfn.IFS(OR(F522="",LEFT(Methode_Keuze,4)="Geen",Methode_Keuze=""),"",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26"/>
      <c r="Z522" s="319"/>
      <c r="AA522" s="32" t="str" cm="1">
        <f t="array" ref="AA522">IFERROR(IF(INDEX(SubsidieTabel!$AD$1:$AG$12,MATCH($F522,SubsidieTabel!$AD$1:$AD$12,0),IFERROR(MATCH(Methode_Keuze,SubsidieTabel!$AD$1:$AG$1,0),2))&lt;&gt;1=TRUE,"ja",""),"")</f>
        <v/>
      </c>
    </row>
    <row r="523" spans="1:27" x14ac:dyDescent="0.25">
      <c r="A523" s="320"/>
      <c r="B523" s="321" t="str">
        <f>IF(A523&lt;&gt;"",_xlfn.MAXIFS($B$1:B522,$A$1:A522,A523)+1,"")</f>
        <v/>
      </c>
      <c r="C523" s="299"/>
      <c r="D523" s="299"/>
      <c r="E523" s="299"/>
      <c r="F523" s="299"/>
      <c r="G523" s="330"/>
      <c r="H523" s="328"/>
      <c r="I523" s="329"/>
      <c r="J523" s="329"/>
      <c r="K523" s="322"/>
      <c r="L523" s="322"/>
      <c r="M523" s="323" t="str">
        <f>IFERROR(VLOOKUP(H523,Lijsten!$H$1:$I$100,2,0),"")</f>
        <v/>
      </c>
      <c r="N523" s="323" t="str">
        <f ca="1">IFERROR(IF(VLOOKUP(F523,Kostentypen!$A$3:$E$21,3,0)=0,"",IF(OR(F523="Arbeidskosten",F523="Vergoeding"),VLOOKUP(G523,Tb_KostenTypen[],2,0),VLOOKUP(F523,Kostentypen!$A$3:$E$20,3,0))),"")</f>
        <v/>
      </c>
      <c r="O523" s="324"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4"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3"/>
      <c r="R523" s="363"/>
      <c r="S523" s="325"/>
      <c r="T523" s="325"/>
      <c r="U523" s="317" t="str" cm="1">
        <f t="array" aca="1" ref="U523" ca="1">IFERROR(IF(AA523&lt;&gt;"ja",_xlfn.IFNA(_xlfn.IFS(AND(O523&lt;&gt;"",F523&lt;&gt;"",RIGHT($N523,6)="tarief",F523="Vergoeding"),SUM(O523)*FLOOR(SUM(Q523),0.0001),AND(O523&lt;&gt;"",F523&lt;&gt;"",RIGHT($N523,6)="tarief"),SUM(O523)*FLOOR(SUM(Q523),0.01),S523&gt;0,IF(F523&lt;&gt;"",FLOOR(SUM(S523),0.01),"")),""),""),"")</f>
        <v/>
      </c>
      <c r="V523" s="317" t="str" cm="1">
        <f t="array" aca="1" ref="V523" ca="1">IFERROR(IF(AA523&lt;&gt;"ja",_xlfn.IFNA(_xlfn.IFS(AND(P523&lt;&gt;"",R523&lt;&gt;"",RIGHT($N523,6)="tarief",F523="Vergoeding"),SUM(P523)*FLOOR(SUM(R523),0.0001),AND(P523&lt;&gt;"",R523&lt;&gt;"",RIGHT($N523,6)="tarief"),P523*FLOOR(R523,0.01),T523&gt;0,FLOOR(SUM(T523),0.01)),""),""),"")</f>
        <v/>
      </c>
      <c r="W523" s="317" t="str" cm="1">
        <f t="array" aca="1" ref="W523" ca="1">IFERROR(_xlfn.IFS(OR(F523="",LEFT(Methode_Keuze,4)="Geen",Methode_Keuze=""),"",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17" t="str" cm="1">
        <f t="array" aca="1" ref="X523" ca="1">IFERROR(_xlfn.IFS(OR(F523="",LEFT(Methode_Keuze,4)="Geen",Methode_Keuze=""),"",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26"/>
      <c r="Z523" s="319"/>
      <c r="AA523" s="32" t="str" cm="1">
        <f t="array" ref="AA523">IFERROR(IF(INDEX(SubsidieTabel!$AD$1:$AG$12,MATCH($F523,SubsidieTabel!$AD$1:$AD$12,0),IFERROR(MATCH(Methode_Keuze,SubsidieTabel!$AD$1:$AG$1,0),2))&lt;&gt;1=TRUE,"ja",""),"")</f>
        <v/>
      </c>
    </row>
    <row r="524" spans="1:27" x14ac:dyDescent="0.25">
      <c r="A524" s="320"/>
      <c r="B524" s="321" t="str">
        <f>IF(A524&lt;&gt;"",_xlfn.MAXIFS($B$1:B523,$A$1:A523,A524)+1,"")</f>
        <v/>
      </c>
      <c r="C524" s="299"/>
      <c r="D524" s="299"/>
      <c r="E524" s="299"/>
      <c r="F524" s="299"/>
      <c r="G524" s="330"/>
      <c r="H524" s="328"/>
      <c r="I524" s="329"/>
      <c r="J524" s="329"/>
      <c r="K524" s="322"/>
      <c r="L524" s="322"/>
      <c r="M524" s="323" t="str">
        <f>IFERROR(VLOOKUP(H524,Lijsten!$H$1:$I$100,2,0),"")</f>
        <v/>
      </c>
      <c r="N524" s="323" t="str">
        <f ca="1">IFERROR(IF(VLOOKUP(F524,Kostentypen!$A$3:$E$21,3,0)=0,"",IF(OR(F524="Arbeidskosten",F524="Vergoeding"),VLOOKUP(G524,Tb_KostenTypen[],2,0),VLOOKUP(F524,Kostentypen!$A$3:$E$20,3,0))),"")</f>
        <v/>
      </c>
      <c r="O524" s="324"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4"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3"/>
      <c r="R524" s="363"/>
      <c r="S524" s="325"/>
      <c r="T524" s="325"/>
      <c r="U524" s="317" t="str" cm="1">
        <f t="array" aca="1" ref="U524" ca="1">IFERROR(IF(AA524&lt;&gt;"ja",_xlfn.IFNA(_xlfn.IFS(AND(O524&lt;&gt;"",F524&lt;&gt;"",RIGHT($N524,6)="tarief",F524="Vergoeding"),SUM(O524)*FLOOR(SUM(Q524),0.0001),AND(O524&lt;&gt;"",F524&lt;&gt;"",RIGHT($N524,6)="tarief"),SUM(O524)*FLOOR(SUM(Q524),0.01),S524&gt;0,IF(F524&lt;&gt;"",FLOOR(SUM(S524),0.01),"")),""),""),"")</f>
        <v/>
      </c>
      <c r="V524" s="317" t="str" cm="1">
        <f t="array" aca="1" ref="V524" ca="1">IFERROR(IF(AA524&lt;&gt;"ja",_xlfn.IFNA(_xlfn.IFS(AND(P524&lt;&gt;"",R524&lt;&gt;"",RIGHT($N524,6)="tarief",F524="Vergoeding"),SUM(P524)*FLOOR(SUM(R524),0.0001),AND(P524&lt;&gt;"",R524&lt;&gt;"",RIGHT($N524,6)="tarief"),P524*FLOOR(R524,0.01),T524&gt;0,FLOOR(SUM(T524),0.01)),""),""),"")</f>
        <v/>
      </c>
      <c r="W524" s="317" t="str" cm="1">
        <f t="array" aca="1" ref="W524" ca="1">IFERROR(_xlfn.IFS(OR(F524="",LEFT(Methode_Keuze,4)="Geen",Methode_Keuze=""),"",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17" t="str" cm="1">
        <f t="array" aca="1" ref="X524" ca="1">IFERROR(_xlfn.IFS(OR(F524="",LEFT(Methode_Keuze,4)="Geen",Methode_Keuze=""),"",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26"/>
      <c r="Z524" s="319"/>
      <c r="AA524" s="32" t="str" cm="1">
        <f t="array" ref="AA524">IFERROR(IF(INDEX(SubsidieTabel!$AD$1:$AG$12,MATCH($F524,SubsidieTabel!$AD$1:$AD$12,0),IFERROR(MATCH(Methode_Keuze,SubsidieTabel!$AD$1:$AG$1,0),2))&lt;&gt;1=TRUE,"ja",""),"")</f>
        <v/>
      </c>
    </row>
    <row r="525" spans="1:27" x14ac:dyDescent="0.25">
      <c r="A525" s="320"/>
      <c r="B525" s="321" t="str">
        <f>IF(A525&lt;&gt;"",_xlfn.MAXIFS($B$1:B524,$A$1:A524,A525)+1,"")</f>
        <v/>
      </c>
      <c r="C525" s="299"/>
      <c r="D525" s="299"/>
      <c r="E525" s="299"/>
      <c r="F525" s="299"/>
      <c r="G525" s="330"/>
      <c r="H525" s="328"/>
      <c r="I525" s="329"/>
      <c r="J525" s="329"/>
      <c r="K525" s="322"/>
      <c r="L525" s="322"/>
      <c r="M525" s="323" t="str">
        <f>IFERROR(VLOOKUP(H525,Lijsten!$H$1:$I$100,2,0),"")</f>
        <v/>
      </c>
      <c r="N525" s="323" t="str">
        <f ca="1">IFERROR(IF(VLOOKUP(F525,Kostentypen!$A$3:$E$21,3,0)=0,"",IF(OR(F525="Arbeidskosten",F525="Vergoeding"),VLOOKUP(G525,Tb_KostenTypen[],2,0),VLOOKUP(F525,Kostentypen!$A$3:$E$20,3,0))),"")</f>
        <v/>
      </c>
      <c r="O525" s="324"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4"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3"/>
      <c r="R525" s="363"/>
      <c r="S525" s="325"/>
      <c r="T525" s="325"/>
      <c r="U525" s="317" t="str" cm="1">
        <f t="array" aca="1" ref="U525" ca="1">IFERROR(IF(AA525&lt;&gt;"ja",_xlfn.IFNA(_xlfn.IFS(AND(O525&lt;&gt;"",F525&lt;&gt;"",RIGHT($N525,6)="tarief",F525="Vergoeding"),SUM(O525)*FLOOR(SUM(Q525),0.0001),AND(O525&lt;&gt;"",F525&lt;&gt;"",RIGHT($N525,6)="tarief"),SUM(O525)*FLOOR(SUM(Q525),0.01),S525&gt;0,IF(F525&lt;&gt;"",FLOOR(SUM(S525),0.01),"")),""),""),"")</f>
        <v/>
      </c>
      <c r="V525" s="317" t="str" cm="1">
        <f t="array" aca="1" ref="V525" ca="1">IFERROR(IF(AA525&lt;&gt;"ja",_xlfn.IFNA(_xlfn.IFS(AND(P525&lt;&gt;"",R525&lt;&gt;"",RIGHT($N525,6)="tarief",F525="Vergoeding"),SUM(P525)*FLOOR(SUM(R525),0.0001),AND(P525&lt;&gt;"",R525&lt;&gt;"",RIGHT($N525,6)="tarief"),P525*FLOOR(R525,0.01),T525&gt;0,FLOOR(SUM(T525),0.01)),""),""),"")</f>
        <v/>
      </c>
      <c r="W525" s="317" t="str" cm="1">
        <f t="array" aca="1" ref="W525" ca="1">IFERROR(_xlfn.IFS(OR(F525="",LEFT(Methode_Keuze,4)="Geen",Methode_Keuze=""),"",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17" t="str" cm="1">
        <f t="array" aca="1" ref="X525" ca="1">IFERROR(_xlfn.IFS(OR(F525="",LEFT(Methode_Keuze,4)="Geen",Methode_Keuze=""),"",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26"/>
      <c r="Z525" s="319"/>
      <c r="AA525" s="32" t="str" cm="1">
        <f t="array" ref="AA525">IFERROR(IF(INDEX(SubsidieTabel!$AD$1:$AG$12,MATCH($F525,SubsidieTabel!$AD$1:$AD$12,0),IFERROR(MATCH(Methode_Keuze,SubsidieTabel!$AD$1:$AG$1,0),2))&lt;&gt;1=TRUE,"ja",""),"")</f>
        <v/>
      </c>
    </row>
    <row r="526" spans="1:27" x14ac:dyDescent="0.25">
      <c r="A526" s="320"/>
      <c r="B526" s="321" t="str">
        <f>IF(A526&lt;&gt;"",_xlfn.MAXIFS($B$1:B525,$A$1:A525,A526)+1,"")</f>
        <v/>
      </c>
      <c r="C526" s="299"/>
      <c r="D526" s="299"/>
      <c r="E526" s="299"/>
      <c r="F526" s="299"/>
      <c r="G526" s="330"/>
      <c r="H526" s="328"/>
      <c r="I526" s="329"/>
      <c r="J526" s="329"/>
      <c r="K526" s="322"/>
      <c r="L526" s="322"/>
      <c r="M526" s="323" t="str">
        <f>IFERROR(VLOOKUP(H526,Lijsten!$H$1:$I$100,2,0),"")</f>
        <v/>
      </c>
      <c r="N526" s="323" t="str">
        <f ca="1">IFERROR(IF(VLOOKUP(F526,Kostentypen!$A$3:$E$21,3,0)=0,"",IF(OR(F526="Arbeidskosten",F526="Vergoeding"),VLOOKUP(G526,Tb_KostenTypen[],2,0),VLOOKUP(F526,Kostentypen!$A$3:$E$20,3,0))),"")</f>
        <v/>
      </c>
      <c r="O526" s="324"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4"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3"/>
      <c r="R526" s="363"/>
      <c r="S526" s="325"/>
      <c r="T526" s="325"/>
      <c r="U526" s="317" t="str" cm="1">
        <f t="array" aca="1" ref="U526" ca="1">IFERROR(IF(AA526&lt;&gt;"ja",_xlfn.IFNA(_xlfn.IFS(AND(O526&lt;&gt;"",F526&lt;&gt;"",RIGHT($N526,6)="tarief",F526="Vergoeding"),SUM(O526)*FLOOR(SUM(Q526),0.0001),AND(O526&lt;&gt;"",F526&lt;&gt;"",RIGHT($N526,6)="tarief"),SUM(O526)*FLOOR(SUM(Q526),0.01),S526&gt;0,IF(F526&lt;&gt;"",FLOOR(SUM(S526),0.01),"")),""),""),"")</f>
        <v/>
      </c>
      <c r="V526" s="317" t="str" cm="1">
        <f t="array" aca="1" ref="V526" ca="1">IFERROR(IF(AA526&lt;&gt;"ja",_xlfn.IFNA(_xlfn.IFS(AND(P526&lt;&gt;"",R526&lt;&gt;"",RIGHT($N526,6)="tarief",F526="Vergoeding"),SUM(P526)*FLOOR(SUM(R526),0.0001),AND(P526&lt;&gt;"",R526&lt;&gt;"",RIGHT($N526,6)="tarief"),P526*FLOOR(R526,0.01),T526&gt;0,FLOOR(SUM(T526),0.01)),""),""),"")</f>
        <v/>
      </c>
      <c r="W526" s="317" t="str" cm="1">
        <f t="array" aca="1" ref="W526" ca="1">IFERROR(_xlfn.IFS(OR(F526="",LEFT(Methode_Keuze,4)="Geen",Methode_Keuze=""),"",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17" t="str" cm="1">
        <f t="array" aca="1" ref="X526" ca="1">IFERROR(_xlfn.IFS(OR(F526="",LEFT(Methode_Keuze,4)="Geen",Methode_Keuze=""),"",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26"/>
      <c r="Z526" s="319"/>
      <c r="AA526" s="32" t="str" cm="1">
        <f t="array" ref="AA526">IFERROR(IF(INDEX(SubsidieTabel!$AD$1:$AG$12,MATCH($F526,SubsidieTabel!$AD$1:$AD$12,0),IFERROR(MATCH(Methode_Keuze,SubsidieTabel!$AD$1:$AG$1,0),2))&lt;&gt;1=TRUE,"ja",""),"")</f>
        <v/>
      </c>
    </row>
    <row r="527" spans="1:27" x14ac:dyDescent="0.25">
      <c r="A527" s="320"/>
      <c r="B527" s="321" t="str">
        <f>IF(A527&lt;&gt;"",_xlfn.MAXIFS($B$1:B526,$A$1:A526,A527)+1,"")</f>
        <v/>
      </c>
      <c r="C527" s="299"/>
      <c r="D527" s="299"/>
      <c r="E527" s="299"/>
      <c r="F527" s="299"/>
      <c r="G527" s="330"/>
      <c r="H527" s="328"/>
      <c r="I527" s="329"/>
      <c r="J527" s="329"/>
      <c r="K527" s="322"/>
      <c r="L527" s="322"/>
      <c r="M527" s="323" t="str">
        <f>IFERROR(VLOOKUP(H527,Lijsten!$H$1:$I$100,2,0),"")</f>
        <v/>
      </c>
      <c r="N527" s="323" t="str">
        <f ca="1">IFERROR(IF(VLOOKUP(F527,Kostentypen!$A$3:$E$21,3,0)=0,"",IF(OR(F527="Arbeidskosten",F527="Vergoeding"),VLOOKUP(G527,Tb_KostenTypen[],2,0),VLOOKUP(F527,Kostentypen!$A$3:$E$20,3,0))),"")</f>
        <v/>
      </c>
      <c r="O527" s="324"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4"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3"/>
      <c r="R527" s="363"/>
      <c r="S527" s="325"/>
      <c r="T527" s="325"/>
      <c r="U527" s="317" t="str" cm="1">
        <f t="array" aca="1" ref="U527" ca="1">IFERROR(IF(AA527&lt;&gt;"ja",_xlfn.IFNA(_xlfn.IFS(AND(O527&lt;&gt;"",F527&lt;&gt;"",RIGHT($N527,6)="tarief",F527="Vergoeding"),SUM(O527)*FLOOR(SUM(Q527),0.0001),AND(O527&lt;&gt;"",F527&lt;&gt;"",RIGHT($N527,6)="tarief"),SUM(O527)*FLOOR(SUM(Q527),0.01),S527&gt;0,IF(F527&lt;&gt;"",FLOOR(SUM(S527),0.01),"")),""),""),"")</f>
        <v/>
      </c>
      <c r="V527" s="317" t="str" cm="1">
        <f t="array" aca="1" ref="V527" ca="1">IFERROR(IF(AA527&lt;&gt;"ja",_xlfn.IFNA(_xlfn.IFS(AND(P527&lt;&gt;"",R527&lt;&gt;"",RIGHT($N527,6)="tarief",F527="Vergoeding"),SUM(P527)*FLOOR(SUM(R527),0.0001),AND(P527&lt;&gt;"",R527&lt;&gt;"",RIGHT($N527,6)="tarief"),P527*FLOOR(R527,0.01),T527&gt;0,FLOOR(SUM(T527),0.01)),""),""),"")</f>
        <v/>
      </c>
      <c r="W527" s="317" t="str" cm="1">
        <f t="array" aca="1" ref="W527" ca="1">IFERROR(_xlfn.IFS(OR(F527="",LEFT(Methode_Keuze,4)="Geen",Methode_Keuze=""),"",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17" t="str" cm="1">
        <f t="array" aca="1" ref="X527" ca="1">IFERROR(_xlfn.IFS(OR(F527="",LEFT(Methode_Keuze,4)="Geen",Methode_Keuze=""),"",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26"/>
      <c r="Z527" s="319"/>
      <c r="AA527" s="32" t="str" cm="1">
        <f t="array" ref="AA527">IFERROR(IF(INDEX(SubsidieTabel!$AD$1:$AG$12,MATCH($F527,SubsidieTabel!$AD$1:$AD$12,0),IFERROR(MATCH(Methode_Keuze,SubsidieTabel!$AD$1:$AG$1,0),2))&lt;&gt;1=TRUE,"ja",""),"")</f>
        <v/>
      </c>
    </row>
    <row r="528" spans="1:27" x14ac:dyDescent="0.25">
      <c r="A528" s="320"/>
      <c r="B528" s="321" t="str">
        <f>IF(A528&lt;&gt;"",_xlfn.MAXIFS($B$1:B527,$A$1:A527,A528)+1,"")</f>
        <v/>
      </c>
      <c r="C528" s="299"/>
      <c r="D528" s="299"/>
      <c r="E528" s="299"/>
      <c r="F528" s="299"/>
      <c r="G528" s="330"/>
      <c r="H528" s="328"/>
      <c r="I528" s="329"/>
      <c r="J528" s="329"/>
      <c r="K528" s="322"/>
      <c r="L528" s="322"/>
      <c r="M528" s="323" t="str">
        <f>IFERROR(VLOOKUP(H528,Lijsten!$H$1:$I$100,2,0),"")</f>
        <v/>
      </c>
      <c r="N528" s="323" t="str">
        <f ca="1">IFERROR(IF(VLOOKUP(F528,Kostentypen!$A$3:$E$21,3,0)=0,"",IF(OR(F528="Arbeidskosten",F528="Vergoeding"),VLOOKUP(G528,Tb_KostenTypen[],2,0),VLOOKUP(F528,Kostentypen!$A$3:$E$20,3,0))),"")</f>
        <v/>
      </c>
      <c r="O528" s="324"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4"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3"/>
      <c r="R528" s="363"/>
      <c r="S528" s="325"/>
      <c r="T528" s="325"/>
      <c r="U528" s="317" t="str" cm="1">
        <f t="array" aca="1" ref="U528" ca="1">IFERROR(IF(AA528&lt;&gt;"ja",_xlfn.IFNA(_xlfn.IFS(AND(O528&lt;&gt;"",F528&lt;&gt;"",RIGHT($N528,6)="tarief",F528="Vergoeding"),SUM(O528)*FLOOR(SUM(Q528),0.0001),AND(O528&lt;&gt;"",F528&lt;&gt;"",RIGHT($N528,6)="tarief"),SUM(O528)*FLOOR(SUM(Q528),0.01),S528&gt;0,IF(F528&lt;&gt;"",FLOOR(SUM(S528),0.01),"")),""),""),"")</f>
        <v/>
      </c>
      <c r="V528" s="317" t="str" cm="1">
        <f t="array" aca="1" ref="V528" ca="1">IFERROR(IF(AA528&lt;&gt;"ja",_xlfn.IFNA(_xlfn.IFS(AND(P528&lt;&gt;"",R528&lt;&gt;"",RIGHT($N528,6)="tarief",F528="Vergoeding"),SUM(P528)*FLOOR(SUM(R528),0.0001),AND(P528&lt;&gt;"",R528&lt;&gt;"",RIGHT($N528,6)="tarief"),P528*FLOOR(R528,0.01),T528&gt;0,FLOOR(SUM(T528),0.01)),""),""),"")</f>
        <v/>
      </c>
      <c r="W528" s="317" t="str" cm="1">
        <f t="array" aca="1" ref="W528" ca="1">IFERROR(_xlfn.IFS(OR(F528="",LEFT(Methode_Keuze,4)="Geen",Methode_Keuze=""),"",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17" t="str" cm="1">
        <f t="array" aca="1" ref="X528" ca="1">IFERROR(_xlfn.IFS(OR(F528="",LEFT(Methode_Keuze,4)="Geen",Methode_Keuze=""),"",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26"/>
      <c r="Z528" s="319"/>
      <c r="AA528" s="32" t="str" cm="1">
        <f t="array" ref="AA528">IFERROR(IF(INDEX(SubsidieTabel!$AD$1:$AG$12,MATCH($F528,SubsidieTabel!$AD$1:$AD$12,0),IFERROR(MATCH(Methode_Keuze,SubsidieTabel!$AD$1:$AG$1,0),2))&lt;&gt;1=TRUE,"ja",""),"")</f>
        <v/>
      </c>
    </row>
    <row r="529" spans="1:27" x14ac:dyDescent="0.25">
      <c r="A529" s="320"/>
      <c r="B529" s="321" t="str">
        <f>IF(A529&lt;&gt;"",_xlfn.MAXIFS($B$1:B528,$A$1:A528,A529)+1,"")</f>
        <v/>
      </c>
      <c r="C529" s="299"/>
      <c r="D529" s="299"/>
      <c r="E529" s="299"/>
      <c r="F529" s="299"/>
      <c r="G529" s="330"/>
      <c r="H529" s="328"/>
      <c r="I529" s="329"/>
      <c r="J529" s="329"/>
      <c r="K529" s="322"/>
      <c r="L529" s="322"/>
      <c r="M529" s="323" t="str">
        <f>IFERROR(VLOOKUP(H529,Lijsten!$H$1:$I$100,2,0),"")</f>
        <v/>
      </c>
      <c r="N529" s="323" t="str">
        <f ca="1">IFERROR(IF(VLOOKUP(F529,Kostentypen!$A$3:$E$21,3,0)=0,"",IF(OR(F529="Arbeidskosten",F529="Vergoeding"),VLOOKUP(G529,Tb_KostenTypen[],2,0),VLOOKUP(F529,Kostentypen!$A$3:$E$20,3,0))),"")</f>
        <v/>
      </c>
      <c r="O529" s="324"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4"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3"/>
      <c r="R529" s="363"/>
      <c r="S529" s="325"/>
      <c r="T529" s="325"/>
      <c r="U529" s="317" t="str" cm="1">
        <f t="array" aca="1" ref="U529" ca="1">IFERROR(IF(AA529&lt;&gt;"ja",_xlfn.IFNA(_xlfn.IFS(AND(O529&lt;&gt;"",F529&lt;&gt;"",RIGHT($N529,6)="tarief",F529="Vergoeding"),SUM(O529)*FLOOR(SUM(Q529),0.0001),AND(O529&lt;&gt;"",F529&lt;&gt;"",RIGHT($N529,6)="tarief"),SUM(O529)*FLOOR(SUM(Q529),0.01),S529&gt;0,IF(F529&lt;&gt;"",FLOOR(SUM(S529),0.01),"")),""),""),"")</f>
        <v/>
      </c>
      <c r="V529" s="317" t="str" cm="1">
        <f t="array" aca="1" ref="V529" ca="1">IFERROR(IF(AA529&lt;&gt;"ja",_xlfn.IFNA(_xlfn.IFS(AND(P529&lt;&gt;"",R529&lt;&gt;"",RIGHT($N529,6)="tarief",F529="Vergoeding"),SUM(P529)*FLOOR(SUM(R529),0.0001),AND(P529&lt;&gt;"",R529&lt;&gt;"",RIGHT($N529,6)="tarief"),P529*FLOOR(R529,0.01),T529&gt;0,FLOOR(SUM(T529),0.01)),""),""),"")</f>
        <v/>
      </c>
      <c r="W529" s="317" t="str" cm="1">
        <f t="array" aca="1" ref="W529" ca="1">IFERROR(_xlfn.IFS(OR(F529="",LEFT(Methode_Keuze,4)="Geen",Methode_Keuze=""),"",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17" t="str" cm="1">
        <f t="array" aca="1" ref="X529" ca="1">IFERROR(_xlfn.IFS(OR(F529="",LEFT(Methode_Keuze,4)="Geen",Methode_Keuze=""),"",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26"/>
      <c r="Z529" s="319"/>
      <c r="AA529" s="32" t="str" cm="1">
        <f t="array" ref="AA529">IFERROR(IF(INDEX(SubsidieTabel!$AD$1:$AG$12,MATCH($F529,SubsidieTabel!$AD$1:$AD$12,0),IFERROR(MATCH(Methode_Keuze,SubsidieTabel!$AD$1:$AG$1,0),2))&lt;&gt;1=TRUE,"ja",""),"")</f>
        <v/>
      </c>
    </row>
    <row r="530" spans="1:27" x14ac:dyDescent="0.25">
      <c r="A530" s="320"/>
      <c r="B530" s="321" t="str">
        <f>IF(A530&lt;&gt;"",_xlfn.MAXIFS($B$1:B529,$A$1:A529,A530)+1,"")</f>
        <v/>
      </c>
      <c r="C530" s="299"/>
      <c r="D530" s="299"/>
      <c r="E530" s="299"/>
      <c r="F530" s="299"/>
      <c r="G530" s="330"/>
      <c r="H530" s="328"/>
      <c r="I530" s="329"/>
      <c r="J530" s="329"/>
      <c r="K530" s="322"/>
      <c r="L530" s="322"/>
      <c r="M530" s="323" t="str">
        <f>IFERROR(VLOOKUP(H530,Lijsten!$H$1:$I$100,2,0),"")</f>
        <v/>
      </c>
      <c r="N530" s="323" t="str">
        <f ca="1">IFERROR(IF(VLOOKUP(F530,Kostentypen!$A$3:$E$21,3,0)=0,"",IF(OR(F530="Arbeidskosten",F530="Vergoeding"),VLOOKUP(G530,Tb_KostenTypen[],2,0),VLOOKUP(F530,Kostentypen!$A$3:$E$20,3,0))),"")</f>
        <v/>
      </c>
      <c r="O530" s="324"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4"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3"/>
      <c r="R530" s="363"/>
      <c r="S530" s="325"/>
      <c r="T530" s="325"/>
      <c r="U530" s="317" t="str" cm="1">
        <f t="array" aca="1" ref="U530" ca="1">IFERROR(IF(AA530&lt;&gt;"ja",_xlfn.IFNA(_xlfn.IFS(AND(O530&lt;&gt;"",F530&lt;&gt;"",RIGHT($N530,6)="tarief",F530="Vergoeding"),SUM(O530)*FLOOR(SUM(Q530),0.0001),AND(O530&lt;&gt;"",F530&lt;&gt;"",RIGHT($N530,6)="tarief"),SUM(O530)*FLOOR(SUM(Q530),0.01),S530&gt;0,IF(F530&lt;&gt;"",FLOOR(SUM(S530),0.01),"")),""),""),"")</f>
        <v/>
      </c>
      <c r="V530" s="317" t="str" cm="1">
        <f t="array" aca="1" ref="V530" ca="1">IFERROR(IF(AA530&lt;&gt;"ja",_xlfn.IFNA(_xlfn.IFS(AND(P530&lt;&gt;"",R530&lt;&gt;"",RIGHT($N530,6)="tarief",F530="Vergoeding"),SUM(P530)*FLOOR(SUM(R530),0.0001),AND(P530&lt;&gt;"",R530&lt;&gt;"",RIGHT($N530,6)="tarief"),P530*FLOOR(R530,0.01),T530&gt;0,FLOOR(SUM(T530),0.01)),""),""),"")</f>
        <v/>
      </c>
      <c r="W530" s="317" t="str" cm="1">
        <f t="array" aca="1" ref="W530" ca="1">IFERROR(_xlfn.IFS(OR(F530="",LEFT(Methode_Keuze,4)="Geen",Methode_Keuze=""),"",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17" t="str" cm="1">
        <f t="array" aca="1" ref="X530" ca="1">IFERROR(_xlfn.IFS(OR(F530="",LEFT(Methode_Keuze,4)="Geen",Methode_Keuze=""),"",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26"/>
      <c r="Z530" s="319"/>
      <c r="AA530" s="32" t="str" cm="1">
        <f t="array" ref="AA530">IFERROR(IF(INDEX(SubsidieTabel!$AD$1:$AG$12,MATCH($F530,SubsidieTabel!$AD$1:$AD$12,0),IFERROR(MATCH(Methode_Keuze,SubsidieTabel!$AD$1:$AG$1,0),2))&lt;&gt;1=TRUE,"ja",""),"")</f>
        <v/>
      </c>
    </row>
    <row r="531" spans="1:27" x14ac:dyDescent="0.25">
      <c r="A531" s="320"/>
      <c r="B531" s="321" t="str">
        <f>IF(A531&lt;&gt;"",_xlfn.MAXIFS($B$1:B530,$A$1:A530,A531)+1,"")</f>
        <v/>
      </c>
      <c r="C531" s="299"/>
      <c r="D531" s="299"/>
      <c r="E531" s="299"/>
      <c r="F531" s="299"/>
      <c r="G531" s="330"/>
      <c r="H531" s="328"/>
      <c r="I531" s="329"/>
      <c r="J531" s="329"/>
      <c r="K531" s="322"/>
      <c r="L531" s="322"/>
      <c r="M531" s="323" t="str">
        <f>IFERROR(VLOOKUP(H531,Lijsten!$H$1:$I$100,2,0),"")</f>
        <v/>
      </c>
      <c r="N531" s="323" t="str">
        <f ca="1">IFERROR(IF(VLOOKUP(F531,Kostentypen!$A$3:$E$21,3,0)=0,"",IF(OR(F531="Arbeidskosten",F531="Vergoeding"),VLOOKUP(G531,Tb_KostenTypen[],2,0),VLOOKUP(F531,Kostentypen!$A$3:$E$20,3,0))),"")</f>
        <v/>
      </c>
      <c r="O531" s="324"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4"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3"/>
      <c r="R531" s="363"/>
      <c r="S531" s="325"/>
      <c r="T531" s="325"/>
      <c r="U531" s="317" t="str" cm="1">
        <f t="array" aca="1" ref="U531" ca="1">IFERROR(IF(AA531&lt;&gt;"ja",_xlfn.IFNA(_xlfn.IFS(AND(O531&lt;&gt;"",F531&lt;&gt;"",RIGHT($N531,6)="tarief",F531="Vergoeding"),SUM(O531)*FLOOR(SUM(Q531),0.0001),AND(O531&lt;&gt;"",F531&lt;&gt;"",RIGHT($N531,6)="tarief"),SUM(O531)*FLOOR(SUM(Q531),0.01),S531&gt;0,IF(F531&lt;&gt;"",FLOOR(SUM(S531),0.01),"")),""),""),"")</f>
        <v/>
      </c>
      <c r="V531" s="317" t="str" cm="1">
        <f t="array" aca="1" ref="V531" ca="1">IFERROR(IF(AA531&lt;&gt;"ja",_xlfn.IFNA(_xlfn.IFS(AND(P531&lt;&gt;"",R531&lt;&gt;"",RIGHT($N531,6)="tarief",F531="Vergoeding"),SUM(P531)*FLOOR(SUM(R531),0.0001),AND(P531&lt;&gt;"",R531&lt;&gt;"",RIGHT($N531,6)="tarief"),P531*FLOOR(R531,0.01),T531&gt;0,FLOOR(SUM(T531),0.01)),""),""),"")</f>
        <v/>
      </c>
      <c r="W531" s="317" t="str" cm="1">
        <f t="array" aca="1" ref="W531" ca="1">IFERROR(_xlfn.IFS(OR(F531="",LEFT(Methode_Keuze,4)="Geen",Methode_Keuze=""),"",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17" t="str" cm="1">
        <f t="array" aca="1" ref="X531" ca="1">IFERROR(_xlfn.IFS(OR(F531="",LEFT(Methode_Keuze,4)="Geen",Methode_Keuze=""),"",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26"/>
      <c r="Z531" s="319"/>
      <c r="AA531" s="32" t="str" cm="1">
        <f t="array" ref="AA531">IFERROR(IF(INDEX(SubsidieTabel!$AD$1:$AG$12,MATCH($F531,SubsidieTabel!$AD$1:$AD$12,0),IFERROR(MATCH(Methode_Keuze,SubsidieTabel!$AD$1:$AG$1,0),2))&lt;&gt;1=TRUE,"ja",""),"")</f>
        <v/>
      </c>
    </row>
    <row r="532" spans="1:27" x14ac:dyDescent="0.25">
      <c r="A532" s="320"/>
      <c r="B532" s="321" t="str">
        <f>IF(A532&lt;&gt;"",_xlfn.MAXIFS($B$1:B531,$A$1:A531,A532)+1,"")</f>
        <v/>
      </c>
      <c r="C532" s="299"/>
      <c r="D532" s="299"/>
      <c r="E532" s="299"/>
      <c r="F532" s="299"/>
      <c r="G532" s="330"/>
      <c r="H532" s="328"/>
      <c r="I532" s="329"/>
      <c r="J532" s="329"/>
      <c r="K532" s="322"/>
      <c r="L532" s="322"/>
      <c r="M532" s="323" t="str">
        <f>IFERROR(VLOOKUP(H532,Lijsten!$H$1:$I$100,2,0),"")</f>
        <v/>
      </c>
      <c r="N532" s="323" t="str">
        <f ca="1">IFERROR(IF(VLOOKUP(F532,Kostentypen!$A$3:$E$21,3,0)=0,"",IF(OR(F532="Arbeidskosten",F532="Vergoeding"),VLOOKUP(G532,Tb_KostenTypen[],2,0),VLOOKUP(F532,Kostentypen!$A$3:$E$20,3,0))),"")</f>
        <v/>
      </c>
      <c r="O532" s="324"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4"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3"/>
      <c r="R532" s="363"/>
      <c r="S532" s="325"/>
      <c r="T532" s="325"/>
      <c r="U532" s="317" t="str" cm="1">
        <f t="array" aca="1" ref="U532" ca="1">IFERROR(IF(AA532&lt;&gt;"ja",_xlfn.IFNA(_xlfn.IFS(AND(O532&lt;&gt;"",F532&lt;&gt;"",RIGHT($N532,6)="tarief",F532="Vergoeding"),SUM(O532)*FLOOR(SUM(Q532),0.0001),AND(O532&lt;&gt;"",F532&lt;&gt;"",RIGHT($N532,6)="tarief"),SUM(O532)*FLOOR(SUM(Q532),0.01),S532&gt;0,IF(F532&lt;&gt;"",FLOOR(SUM(S532),0.01),"")),""),""),"")</f>
        <v/>
      </c>
      <c r="V532" s="317" t="str" cm="1">
        <f t="array" aca="1" ref="V532" ca="1">IFERROR(IF(AA532&lt;&gt;"ja",_xlfn.IFNA(_xlfn.IFS(AND(P532&lt;&gt;"",R532&lt;&gt;"",RIGHT($N532,6)="tarief",F532="Vergoeding"),SUM(P532)*FLOOR(SUM(R532),0.0001),AND(P532&lt;&gt;"",R532&lt;&gt;"",RIGHT($N532,6)="tarief"),P532*FLOOR(R532,0.01),T532&gt;0,FLOOR(SUM(T532),0.01)),""),""),"")</f>
        <v/>
      </c>
      <c r="W532" s="317" t="str" cm="1">
        <f t="array" aca="1" ref="W532" ca="1">IFERROR(_xlfn.IFS(OR(F532="",LEFT(Methode_Keuze,4)="Geen",Methode_Keuze=""),"",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17" t="str" cm="1">
        <f t="array" aca="1" ref="X532" ca="1">IFERROR(_xlfn.IFS(OR(F532="",LEFT(Methode_Keuze,4)="Geen",Methode_Keuze=""),"",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26"/>
      <c r="Z532" s="319"/>
      <c r="AA532" s="32" t="str" cm="1">
        <f t="array" ref="AA532">IFERROR(IF(INDEX(SubsidieTabel!$AD$1:$AG$12,MATCH($F532,SubsidieTabel!$AD$1:$AD$12,0),IFERROR(MATCH(Methode_Keuze,SubsidieTabel!$AD$1:$AG$1,0),2))&lt;&gt;1=TRUE,"ja",""),"")</f>
        <v/>
      </c>
    </row>
    <row r="533" spans="1:27" x14ac:dyDescent="0.25">
      <c r="A533" s="320"/>
      <c r="B533" s="321" t="str">
        <f>IF(A533&lt;&gt;"",_xlfn.MAXIFS($B$1:B532,$A$1:A532,A533)+1,"")</f>
        <v/>
      </c>
      <c r="C533" s="299"/>
      <c r="D533" s="299"/>
      <c r="E533" s="299"/>
      <c r="F533" s="299"/>
      <c r="G533" s="330"/>
      <c r="H533" s="328"/>
      <c r="I533" s="329"/>
      <c r="J533" s="329"/>
      <c r="K533" s="322"/>
      <c r="L533" s="322"/>
      <c r="M533" s="323" t="str">
        <f>IFERROR(VLOOKUP(H533,Lijsten!$H$1:$I$100,2,0),"")</f>
        <v/>
      </c>
      <c r="N533" s="323" t="str">
        <f ca="1">IFERROR(IF(VLOOKUP(F533,Kostentypen!$A$3:$E$21,3,0)=0,"",IF(OR(F533="Arbeidskosten",F533="Vergoeding"),VLOOKUP(G533,Tb_KostenTypen[],2,0),VLOOKUP(F533,Kostentypen!$A$3:$E$20,3,0))),"")</f>
        <v/>
      </c>
      <c r="O533" s="324"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4"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3"/>
      <c r="R533" s="363"/>
      <c r="S533" s="325"/>
      <c r="T533" s="325"/>
      <c r="U533" s="317" t="str" cm="1">
        <f t="array" aca="1" ref="U533" ca="1">IFERROR(IF(AA533&lt;&gt;"ja",_xlfn.IFNA(_xlfn.IFS(AND(O533&lt;&gt;"",F533&lt;&gt;"",RIGHT($N533,6)="tarief",F533="Vergoeding"),SUM(O533)*FLOOR(SUM(Q533),0.0001),AND(O533&lt;&gt;"",F533&lt;&gt;"",RIGHT($N533,6)="tarief"),SUM(O533)*FLOOR(SUM(Q533),0.01),S533&gt;0,IF(F533&lt;&gt;"",FLOOR(SUM(S533),0.01),"")),""),""),"")</f>
        <v/>
      </c>
      <c r="V533" s="317" t="str" cm="1">
        <f t="array" aca="1" ref="V533" ca="1">IFERROR(IF(AA533&lt;&gt;"ja",_xlfn.IFNA(_xlfn.IFS(AND(P533&lt;&gt;"",R533&lt;&gt;"",RIGHT($N533,6)="tarief",F533="Vergoeding"),SUM(P533)*FLOOR(SUM(R533),0.0001),AND(P533&lt;&gt;"",R533&lt;&gt;"",RIGHT($N533,6)="tarief"),P533*FLOOR(R533,0.01),T533&gt;0,FLOOR(SUM(T533),0.01)),""),""),"")</f>
        <v/>
      </c>
      <c r="W533" s="317" t="str" cm="1">
        <f t="array" aca="1" ref="W533" ca="1">IFERROR(_xlfn.IFS(OR(F533="",LEFT(Methode_Keuze,4)="Geen",Methode_Keuze=""),"",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17" t="str" cm="1">
        <f t="array" aca="1" ref="X533" ca="1">IFERROR(_xlfn.IFS(OR(F533="",LEFT(Methode_Keuze,4)="Geen",Methode_Keuze=""),"",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26"/>
      <c r="Z533" s="319"/>
      <c r="AA533" s="32" t="str" cm="1">
        <f t="array" ref="AA533">IFERROR(IF(INDEX(SubsidieTabel!$AD$1:$AG$12,MATCH($F533,SubsidieTabel!$AD$1:$AD$12,0),IFERROR(MATCH(Methode_Keuze,SubsidieTabel!$AD$1:$AG$1,0),2))&lt;&gt;1=TRUE,"ja",""),"")</f>
        <v/>
      </c>
    </row>
    <row r="534" spans="1:27" x14ac:dyDescent="0.25">
      <c r="A534" s="320"/>
      <c r="B534" s="321" t="str">
        <f>IF(A534&lt;&gt;"",_xlfn.MAXIFS($B$1:B533,$A$1:A533,A534)+1,"")</f>
        <v/>
      </c>
      <c r="C534" s="299"/>
      <c r="D534" s="299"/>
      <c r="E534" s="299"/>
      <c r="F534" s="299"/>
      <c r="G534" s="330"/>
      <c r="H534" s="328"/>
      <c r="I534" s="329"/>
      <c r="J534" s="329"/>
      <c r="K534" s="322"/>
      <c r="L534" s="322"/>
      <c r="M534" s="323" t="str">
        <f>IFERROR(VLOOKUP(H534,Lijsten!$H$1:$I$100,2,0),"")</f>
        <v/>
      </c>
      <c r="N534" s="323" t="str">
        <f ca="1">IFERROR(IF(VLOOKUP(F534,Kostentypen!$A$3:$E$21,3,0)=0,"",IF(OR(F534="Arbeidskosten",F534="Vergoeding"),VLOOKUP(G534,Tb_KostenTypen[],2,0),VLOOKUP(F534,Kostentypen!$A$3:$E$20,3,0))),"")</f>
        <v/>
      </c>
      <c r="O534" s="324"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4"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3"/>
      <c r="R534" s="363"/>
      <c r="S534" s="325"/>
      <c r="T534" s="325"/>
      <c r="U534" s="317" t="str" cm="1">
        <f t="array" aca="1" ref="U534" ca="1">IFERROR(IF(AA534&lt;&gt;"ja",_xlfn.IFNA(_xlfn.IFS(AND(O534&lt;&gt;"",F534&lt;&gt;"",RIGHT($N534,6)="tarief",F534="Vergoeding"),SUM(O534)*FLOOR(SUM(Q534),0.0001),AND(O534&lt;&gt;"",F534&lt;&gt;"",RIGHT($N534,6)="tarief"),SUM(O534)*FLOOR(SUM(Q534),0.01),S534&gt;0,IF(F534&lt;&gt;"",FLOOR(SUM(S534),0.01),"")),""),""),"")</f>
        <v/>
      </c>
      <c r="V534" s="317" t="str" cm="1">
        <f t="array" aca="1" ref="V534" ca="1">IFERROR(IF(AA534&lt;&gt;"ja",_xlfn.IFNA(_xlfn.IFS(AND(P534&lt;&gt;"",R534&lt;&gt;"",RIGHT($N534,6)="tarief",F534="Vergoeding"),SUM(P534)*FLOOR(SUM(R534),0.0001),AND(P534&lt;&gt;"",R534&lt;&gt;"",RIGHT($N534,6)="tarief"),P534*FLOOR(R534,0.01),T534&gt;0,FLOOR(SUM(T534),0.01)),""),""),"")</f>
        <v/>
      </c>
      <c r="W534" s="317" t="str" cm="1">
        <f t="array" aca="1" ref="W534" ca="1">IFERROR(_xlfn.IFS(OR(F534="",LEFT(Methode_Keuze,4)="Geen",Methode_Keuze=""),"",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17" t="str" cm="1">
        <f t="array" aca="1" ref="X534" ca="1">IFERROR(_xlfn.IFS(OR(F534="",LEFT(Methode_Keuze,4)="Geen",Methode_Keuze=""),"",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26"/>
      <c r="Z534" s="319"/>
      <c r="AA534" s="32" t="str" cm="1">
        <f t="array" ref="AA534">IFERROR(IF(INDEX(SubsidieTabel!$AD$1:$AG$12,MATCH($F534,SubsidieTabel!$AD$1:$AD$12,0),IFERROR(MATCH(Methode_Keuze,SubsidieTabel!$AD$1:$AG$1,0),2))&lt;&gt;1=TRUE,"ja",""),"")</f>
        <v/>
      </c>
    </row>
    <row r="535" spans="1:27" x14ac:dyDescent="0.25">
      <c r="A535" s="320"/>
      <c r="B535" s="321" t="str">
        <f>IF(A535&lt;&gt;"",_xlfn.MAXIFS($B$1:B534,$A$1:A534,A535)+1,"")</f>
        <v/>
      </c>
      <c r="C535" s="299"/>
      <c r="D535" s="299"/>
      <c r="E535" s="299"/>
      <c r="F535" s="299"/>
      <c r="G535" s="330"/>
      <c r="H535" s="328"/>
      <c r="I535" s="329"/>
      <c r="J535" s="329"/>
      <c r="K535" s="322"/>
      <c r="L535" s="322"/>
      <c r="M535" s="323" t="str">
        <f>IFERROR(VLOOKUP(H535,Lijsten!$H$1:$I$100,2,0),"")</f>
        <v/>
      </c>
      <c r="N535" s="323" t="str">
        <f ca="1">IFERROR(IF(VLOOKUP(F535,Kostentypen!$A$3:$E$21,3,0)=0,"",IF(OR(F535="Arbeidskosten",F535="Vergoeding"),VLOOKUP(G535,Tb_KostenTypen[],2,0),VLOOKUP(F535,Kostentypen!$A$3:$E$20,3,0))),"")</f>
        <v/>
      </c>
      <c r="O535" s="324"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4"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3"/>
      <c r="R535" s="363"/>
      <c r="S535" s="325"/>
      <c r="T535" s="325"/>
      <c r="U535" s="317" t="str" cm="1">
        <f t="array" aca="1" ref="U535" ca="1">IFERROR(IF(AA535&lt;&gt;"ja",_xlfn.IFNA(_xlfn.IFS(AND(O535&lt;&gt;"",F535&lt;&gt;"",RIGHT($N535,6)="tarief",F535="Vergoeding"),SUM(O535)*FLOOR(SUM(Q535),0.0001),AND(O535&lt;&gt;"",F535&lt;&gt;"",RIGHT($N535,6)="tarief"),SUM(O535)*FLOOR(SUM(Q535),0.01),S535&gt;0,IF(F535&lt;&gt;"",FLOOR(SUM(S535),0.01),"")),""),""),"")</f>
        <v/>
      </c>
      <c r="V535" s="317" t="str" cm="1">
        <f t="array" aca="1" ref="V535" ca="1">IFERROR(IF(AA535&lt;&gt;"ja",_xlfn.IFNA(_xlfn.IFS(AND(P535&lt;&gt;"",R535&lt;&gt;"",RIGHT($N535,6)="tarief",F535="Vergoeding"),SUM(P535)*FLOOR(SUM(R535),0.0001),AND(P535&lt;&gt;"",R535&lt;&gt;"",RIGHT($N535,6)="tarief"),P535*FLOOR(R535,0.01),T535&gt;0,FLOOR(SUM(T535),0.01)),""),""),"")</f>
        <v/>
      </c>
      <c r="W535" s="317" t="str" cm="1">
        <f t="array" aca="1" ref="W535" ca="1">IFERROR(_xlfn.IFS(OR(F535="",LEFT(Methode_Keuze,4)="Geen",Methode_Keuze=""),"",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17" t="str" cm="1">
        <f t="array" aca="1" ref="X535" ca="1">IFERROR(_xlfn.IFS(OR(F535="",LEFT(Methode_Keuze,4)="Geen",Methode_Keuze=""),"",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26"/>
      <c r="Z535" s="319"/>
      <c r="AA535" s="32" t="str" cm="1">
        <f t="array" ref="AA535">IFERROR(IF(INDEX(SubsidieTabel!$AD$1:$AG$12,MATCH($F535,SubsidieTabel!$AD$1:$AD$12,0),IFERROR(MATCH(Methode_Keuze,SubsidieTabel!$AD$1:$AG$1,0),2))&lt;&gt;1=TRUE,"ja",""),"")</f>
        <v/>
      </c>
    </row>
    <row r="536" spans="1:27" x14ac:dyDescent="0.25">
      <c r="A536" s="320"/>
      <c r="B536" s="321" t="str">
        <f>IF(A536&lt;&gt;"",_xlfn.MAXIFS($B$1:B535,$A$1:A535,A536)+1,"")</f>
        <v/>
      </c>
      <c r="C536" s="299"/>
      <c r="D536" s="299"/>
      <c r="E536" s="299"/>
      <c r="F536" s="299"/>
      <c r="G536" s="330"/>
      <c r="H536" s="328"/>
      <c r="I536" s="329"/>
      <c r="J536" s="329"/>
      <c r="K536" s="322"/>
      <c r="L536" s="322"/>
      <c r="M536" s="323" t="str">
        <f>IFERROR(VLOOKUP(H536,Lijsten!$H$1:$I$100,2,0),"")</f>
        <v/>
      </c>
      <c r="N536" s="323" t="str">
        <f ca="1">IFERROR(IF(VLOOKUP(F536,Kostentypen!$A$3:$E$21,3,0)=0,"",IF(OR(F536="Arbeidskosten",F536="Vergoeding"),VLOOKUP(G536,Tb_KostenTypen[],2,0),VLOOKUP(F536,Kostentypen!$A$3:$E$20,3,0))),"")</f>
        <v/>
      </c>
      <c r="O536" s="324"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4"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3"/>
      <c r="R536" s="363"/>
      <c r="S536" s="325"/>
      <c r="T536" s="325"/>
      <c r="U536" s="317" t="str" cm="1">
        <f t="array" aca="1" ref="U536" ca="1">IFERROR(IF(AA536&lt;&gt;"ja",_xlfn.IFNA(_xlfn.IFS(AND(O536&lt;&gt;"",F536&lt;&gt;"",RIGHT($N536,6)="tarief",F536="Vergoeding"),SUM(O536)*FLOOR(SUM(Q536),0.0001),AND(O536&lt;&gt;"",F536&lt;&gt;"",RIGHT($N536,6)="tarief"),SUM(O536)*FLOOR(SUM(Q536),0.01),S536&gt;0,IF(F536&lt;&gt;"",FLOOR(SUM(S536),0.01),"")),""),""),"")</f>
        <v/>
      </c>
      <c r="V536" s="317" t="str" cm="1">
        <f t="array" aca="1" ref="V536" ca="1">IFERROR(IF(AA536&lt;&gt;"ja",_xlfn.IFNA(_xlfn.IFS(AND(P536&lt;&gt;"",R536&lt;&gt;"",RIGHT($N536,6)="tarief",F536="Vergoeding"),SUM(P536)*FLOOR(SUM(R536),0.0001),AND(P536&lt;&gt;"",R536&lt;&gt;"",RIGHT($N536,6)="tarief"),P536*FLOOR(R536,0.01),T536&gt;0,FLOOR(SUM(T536),0.01)),""),""),"")</f>
        <v/>
      </c>
      <c r="W536" s="317" t="str" cm="1">
        <f t="array" aca="1" ref="W536" ca="1">IFERROR(_xlfn.IFS(OR(F536="",LEFT(Methode_Keuze,4)="Geen",Methode_Keuze=""),"",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17" t="str" cm="1">
        <f t="array" aca="1" ref="X536" ca="1">IFERROR(_xlfn.IFS(OR(F536="",LEFT(Methode_Keuze,4)="Geen",Methode_Keuze=""),"",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26"/>
      <c r="Z536" s="319"/>
      <c r="AA536" s="32" t="str" cm="1">
        <f t="array" ref="AA536">IFERROR(IF(INDEX(SubsidieTabel!$AD$1:$AG$12,MATCH($F536,SubsidieTabel!$AD$1:$AD$12,0),IFERROR(MATCH(Methode_Keuze,SubsidieTabel!$AD$1:$AG$1,0),2))&lt;&gt;1=TRUE,"ja",""),"")</f>
        <v/>
      </c>
    </row>
    <row r="537" spans="1:27" x14ac:dyDescent="0.25">
      <c r="A537" s="320"/>
      <c r="B537" s="321" t="str">
        <f>IF(A537&lt;&gt;"",_xlfn.MAXIFS($B$1:B536,$A$1:A536,A537)+1,"")</f>
        <v/>
      </c>
      <c r="C537" s="299"/>
      <c r="D537" s="299"/>
      <c r="E537" s="299"/>
      <c r="F537" s="299"/>
      <c r="G537" s="330"/>
      <c r="H537" s="328"/>
      <c r="I537" s="329"/>
      <c r="J537" s="329"/>
      <c r="K537" s="322"/>
      <c r="L537" s="322"/>
      <c r="M537" s="323" t="str">
        <f>IFERROR(VLOOKUP(H537,Lijsten!$H$1:$I$100,2,0),"")</f>
        <v/>
      </c>
      <c r="N537" s="323" t="str">
        <f ca="1">IFERROR(IF(VLOOKUP(F537,Kostentypen!$A$3:$E$21,3,0)=0,"",IF(OR(F537="Arbeidskosten",F537="Vergoeding"),VLOOKUP(G537,Tb_KostenTypen[],2,0),VLOOKUP(F537,Kostentypen!$A$3:$E$20,3,0))),"")</f>
        <v/>
      </c>
      <c r="O537" s="324"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4"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3"/>
      <c r="R537" s="363"/>
      <c r="S537" s="325"/>
      <c r="T537" s="325"/>
      <c r="U537" s="317" t="str" cm="1">
        <f t="array" aca="1" ref="U537" ca="1">IFERROR(IF(AA537&lt;&gt;"ja",_xlfn.IFNA(_xlfn.IFS(AND(O537&lt;&gt;"",F537&lt;&gt;"",RIGHT($N537,6)="tarief",F537="Vergoeding"),SUM(O537)*FLOOR(SUM(Q537),0.0001),AND(O537&lt;&gt;"",F537&lt;&gt;"",RIGHT($N537,6)="tarief"),SUM(O537)*FLOOR(SUM(Q537),0.01),S537&gt;0,IF(F537&lt;&gt;"",FLOOR(SUM(S537),0.01),"")),""),""),"")</f>
        <v/>
      </c>
      <c r="V537" s="317" t="str" cm="1">
        <f t="array" aca="1" ref="V537" ca="1">IFERROR(IF(AA537&lt;&gt;"ja",_xlfn.IFNA(_xlfn.IFS(AND(P537&lt;&gt;"",R537&lt;&gt;"",RIGHT($N537,6)="tarief",F537="Vergoeding"),SUM(P537)*FLOOR(SUM(R537),0.0001),AND(P537&lt;&gt;"",R537&lt;&gt;"",RIGHT($N537,6)="tarief"),P537*FLOOR(R537,0.01),T537&gt;0,FLOOR(SUM(T537),0.01)),""),""),"")</f>
        <v/>
      </c>
      <c r="W537" s="317" t="str" cm="1">
        <f t="array" aca="1" ref="W537" ca="1">IFERROR(_xlfn.IFS(OR(F537="",LEFT(Methode_Keuze,4)="Geen",Methode_Keuze=""),"",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17" t="str" cm="1">
        <f t="array" aca="1" ref="X537" ca="1">IFERROR(_xlfn.IFS(OR(F537="",LEFT(Methode_Keuze,4)="Geen",Methode_Keuze=""),"",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26"/>
      <c r="Z537" s="319"/>
      <c r="AA537" s="32" t="str" cm="1">
        <f t="array" ref="AA537">IFERROR(IF(INDEX(SubsidieTabel!$AD$1:$AG$12,MATCH($F537,SubsidieTabel!$AD$1:$AD$12,0),IFERROR(MATCH(Methode_Keuze,SubsidieTabel!$AD$1:$AG$1,0),2))&lt;&gt;1=TRUE,"ja",""),"")</f>
        <v/>
      </c>
    </row>
    <row r="538" spans="1:27" x14ac:dyDescent="0.25">
      <c r="A538" s="320"/>
      <c r="B538" s="321" t="str">
        <f>IF(A538&lt;&gt;"",_xlfn.MAXIFS($B$1:B537,$A$1:A537,A538)+1,"")</f>
        <v/>
      </c>
      <c r="C538" s="299"/>
      <c r="D538" s="299"/>
      <c r="E538" s="299"/>
      <c r="F538" s="299"/>
      <c r="G538" s="330"/>
      <c r="H538" s="328"/>
      <c r="I538" s="329"/>
      <c r="J538" s="329"/>
      <c r="K538" s="322"/>
      <c r="L538" s="322"/>
      <c r="M538" s="323" t="str">
        <f>IFERROR(VLOOKUP(H538,Lijsten!$H$1:$I$100,2,0),"")</f>
        <v/>
      </c>
      <c r="N538" s="323" t="str">
        <f ca="1">IFERROR(IF(VLOOKUP(F538,Kostentypen!$A$3:$E$21,3,0)=0,"",IF(OR(F538="Arbeidskosten",F538="Vergoeding"),VLOOKUP(G538,Tb_KostenTypen[],2,0),VLOOKUP(F538,Kostentypen!$A$3:$E$20,3,0))),"")</f>
        <v/>
      </c>
      <c r="O538" s="324"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4"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3"/>
      <c r="R538" s="363"/>
      <c r="S538" s="325"/>
      <c r="T538" s="325"/>
      <c r="U538" s="317" t="str" cm="1">
        <f t="array" aca="1" ref="U538" ca="1">IFERROR(IF(AA538&lt;&gt;"ja",_xlfn.IFNA(_xlfn.IFS(AND(O538&lt;&gt;"",F538&lt;&gt;"",RIGHT($N538,6)="tarief",F538="Vergoeding"),SUM(O538)*FLOOR(SUM(Q538),0.0001),AND(O538&lt;&gt;"",F538&lt;&gt;"",RIGHT($N538,6)="tarief"),SUM(O538)*FLOOR(SUM(Q538),0.01),S538&gt;0,IF(F538&lt;&gt;"",FLOOR(SUM(S538),0.01),"")),""),""),"")</f>
        <v/>
      </c>
      <c r="V538" s="317" t="str" cm="1">
        <f t="array" aca="1" ref="V538" ca="1">IFERROR(IF(AA538&lt;&gt;"ja",_xlfn.IFNA(_xlfn.IFS(AND(P538&lt;&gt;"",R538&lt;&gt;"",RIGHT($N538,6)="tarief",F538="Vergoeding"),SUM(P538)*FLOOR(SUM(R538),0.0001),AND(P538&lt;&gt;"",R538&lt;&gt;"",RIGHT($N538,6)="tarief"),P538*FLOOR(R538,0.01),T538&gt;0,FLOOR(SUM(T538),0.01)),""),""),"")</f>
        <v/>
      </c>
      <c r="W538" s="317" t="str" cm="1">
        <f t="array" aca="1" ref="W538" ca="1">IFERROR(_xlfn.IFS(OR(F538="",LEFT(Methode_Keuze,4)="Geen",Methode_Keuze=""),"",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17" t="str" cm="1">
        <f t="array" aca="1" ref="X538" ca="1">IFERROR(_xlfn.IFS(OR(F538="",LEFT(Methode_Keuze,4)="Geen",Methode_Keuze=""),"",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26"/>
      <c r="Z538" s="319"/>
      <c r="AA538" s="32" t="str" cm="1">
        <f t="array" ref="AA538">IFERROR(IF(INDEX(SubsidieTabel!$AD$1:$AG$12,MATCH($F538,SubsidieTabel!$AD$1:$AD$12,0),IFERROR(MATCH(Methode_Keuze,SubsidieTabel!$AD$1:$AG$1,0),2))&lt;&gt;1=TRUE,"ja",""),"")</f>
        <v/>
      </c>
    </row>
    <row r="539" spans="1:27" x14ac:dyDescent="0.25">
      <c r="A539" s="320"/>
      <c r="B539" s="321" t="str">
        <f>IF(A539&lt;&gt;"",_xlfn.MAXIFS($B$1:B538,$A$1:A538,A539)+1,"")</f>
        <v/>
      </c>
      <c r="C539" s="299"/>
      <c r="D539" s="299"/>
      <c r="E539" s="299"/>
      <c r="F539" s="299"/>
      <c r="G539" s="330"/>
      <c r="H539" s="328"/>
      <c r="I539" s="329"/>
      <c r="J539" s="329"/>
      <c r="K539" s="322"/>
      <c r="L539" s="322"/>
      <c r="M539" s="323" t="str">
        <f>IFERROR(VLOOKUP(H539,Lijsten!$H$1:$I$100,2,0),"")</f>
        <v/>
      </c>
      <c r="N539" s="323" t="str">
        <f ca="1">IFERROR(IF(VLOOKUP(F539,Kostentypen!$A$3:$E$21,3,0)=0,"",IF(OR(F539="Arbeidskosten",F539="Vergoeding"),VLOOKUP(G539,Tb_KostenTypen[],2,0),VLOOKUP(F539,Kostentypen!$A$3:$E$20,3,0))),"")</f>
        <v/>
      </c>
      <c r="O539" s="324"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4"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3"/>
      <c r="R539" s="363"/>
      <c r="S539" s="325"/>
      <c r="T539" s="325"/>
      <c r="U539" s="317" t="str" cm="1">
        <f t="array" aca="1" ref="U539" ca="1">IFERROR(IF(AA539&lt;&gt;"ja",_xlfn.IFNA(_xlfn.IFS(AND(O539&lt;&gt;"",F539&lt;&gt;"",RIGHT($N539,6)="tarief",F539="Vergoeding"),SUM(O539)*FLOOR(SUM(Q539),0.0001),AND(O539&lt;&gt;"",F539&lt;&gt;"",RIGHT($N539,6)="tarief"),SUM(O539)*FLOOR(SUM(Q539),0.01),S539&gt;0,IF(F539&lt;&gt;"",FLOOR(SUM(S539),0.01),"")),""),""),"")</f>
        <v/>
      </c>
      <c r="V539" s="317" t="str" cm="1">
        <f t="array" aca="1" ref="V539" ca="1">IFERROR(IF(AA539&lt;&gt;"ja",_xlfn.IFNA(_xlfn.IFS(AND(P539&lt;&gt;"",R539&lt;&gt;"",RIGHT($N539,6)="tarief",F539="Vergoeding"),SUM(P539)*FLOOR(SUM(R539),0.0001),AND(P539&lt;&gt;"",R539&lt;&gt;"",RIGHT($N539,6)="tarief"),P539*FLOOR(R539,0.01),T539&gt;0,FLOOR(SUM(T539),0.01)),""),""),"")</f>
        <v/>
      </c>
      <c r="W539" s="317" t="str" cm="1">
        <f t="array" aca="1" ref="W539" ca="1">IFERROR(_xlfn.IFS(OR(F539="",LEFT(Methode_Keuze,4)="Geen",Methode_Keuze=""),"",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17" t="str" cm="1">
        <f t="array" aca="1" ref="X539" ca="1">IFERROR(_xlfn.IFS(OR(F539="",LEFT(Methode_Keuze,4)="Geen",Methode_Keuze=""),"",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26"/>
      <c r="Z539" s="319"/>
      <c r="AA539" s="32" t="str" cm="1">
        <f t="array" ref="AA539">IFERROR(IF(INDEX(SubsidieTabel!$AD$1:$AG$12,MATCH($F539,SubsidieTabel!$AD$1:$AD$12,0),IFERROR(MATCH(Methode_Keuze,SubsidieTabel!$AD$1:$AG$1,0),2))&lt;&gt;1=TRUE,"ja",""),"")</f>
        <v/>
      </c>
    </row>
    <row r="540" spans="1:27" x14ac:dyDescent="0.25">
      <c r="A540" s="320"/>
      <c r="B540" s="321" t="str">
        <f>IF(A540&lt;&gt;"",_xlfn.MAXIFS($B$1:B539,$A$1:A539,A540)+1,"")</f>
        <v/>
      </c>
      <c r="C540" s="299"/>
      <c r="D540" s="299"/>
      <c r="E540" s="299"/>
      <c r="F540" s="299"/>
      <c r="G540" s="330"/>
      <c r="H540" s="328"/>
      <c r="I540" s="329"/>
      <c r="J540" s="329"/>
      <c r="K540" s="322"/>
      <c r="L540" s="322"/>
      <c r="M540" s="323" t="str">
        <f>IFERROR(VLOOKUP(H540,Lijsten!$H$1:$I$100,2,0),"")</f>
        <v/>
      </c>
      <c r="N540" s="323" t="str">
        <f ca="1">IFERROR(IF(VLOOKUP(F540,Kostentypen!$A$3:$E$21,3,0)=0,"",IF(OR(F540="Arbeidskosten",F540="Vergoeding"),VLOOKUP(G540,Tb_KostenTypen[],2,0),VLOOKUP(F540,Kostentypen!$A$3:$E$20,3,0))),"")</f>
        <v/>
      </c>
      <c r="O540" s="324"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4"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3"/>
      <c r="R540" s="363"/>
      <c r="S540" s="325"/>
      <c r="T540" s="325"/>
      <c r="U540" s="317" t="str" cm="1">
        <f t="array" aca="1" ref="U540" ca="1">IFERROR(IF(AA540&lt;&gt;"ja",_xlfn.IFNA(_xlfn.IFS(AND(O540&lt;&gt;"",F540&lt;&gt;"",RIGHT($N540,6)="tarief",F540="Vergoeding"),SUM(O540)*FLOOR(SUM(Q540),0.0001),AND(O540&lt;&gt;"",F540&lt;&gt;"",RIGHT($N540,6)="tarief"),SUM(O540)*FLOOR(SUM(Q540),0.01),S540&gt;0,IF(F540&lt;&gt;"",FLOOR(SUM(S540),0.01),"")),""),""),"")</f>
        <v/>
      </c>
      <c r="V540" s="317" t="str" cm="1">
        <f t="array" aca="1" ref="V540" ca="1">IFERROR(IF(AA540&lt;&gt;"ja",_xlfn.IFNA(_xlfn.IFS(AND(P540&lt;&gt;"",R540&lt;&gt;"",RIGHT($N540,6)="tarief",F540="Vergoeding"),SUM(P540)*FLOOR(SUM(R540),0.0001),AND(P540&lt;&gt;"",R540&lt;&gt;"",RIGHT($N540,6)="tarief"),P540*FLOOR(R540,0.01),T540&gt;0,FLOOR(SUM(T540),0.01)),""),""),"")</f>
        <v/>
      </c>
      <c r="W540" s="317" t="str" cm="1">
        <f t="array" aca="1" ref="W540" ca="1">IFERROR(_xlfn.IFS(OR(F540="",LEFT(Methode_Keuze,4)="Geen",Methode_Keuze=""),"",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17" t="str" cm="1">
        <f t="array" aca="1" ref="X540" ca="1">IFERROR(_xlfn.IFS(OR(F540="",LEFT(Methode_Keuze,4)="Geen",Methode_Keuze=""),"",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26"/>
      <c r="Z540" s="319"/>
      <c r="AA540" s="32" t="str" cm="1">
        <f t="array" ref="AA540">IFERROR(IF(INDEX(SubsidieTabel!$AD$1:$AG$12,MATCH($F540,SubsidieTabel!$AD$1:$AD$12,0),IFERROR(MATCH(Methode_Keuze,SubsidieTabel!$AD$1:$AG$1,0),2))&lt;&gt;1=TRUE,"ja",""),"")</f>
        <v/>
      </c>
    </row>
    <row r="541" spans="1:27" x14ac:dyDescent="0.25">
      <c r="A541" s="320"/>
      <c r="B541" s="321" t="str">
        <f>IF(A541&lt;&gt;"",_xlfn.MAXIFS($B$1:B540,$A$1:A540,A541)+1,"")</f>
        <v/>
      </c>
      <c r="C541" s="299"/>
      <c r="D541" s="299"/>
      <c r="E541" s="299"/>
      <c r="F541" s="299"/>
      <c r="G541" s="330"/>
      <c r="H541" s="328"/>
      <c r="I541" s="329"/>
      <c r="J541" s="329"/>
      <c r="K541" s="322"/>
      <c r="L541" s="322"/>
      <c r="M541" s="323" t="str">
        <f>IFERROR(VLOOKUP(H541,Lijsten!$H$1:$I$100,2,0),"")</f>
        <v/>
      </c>
      <c r="N541" s="323" t="str">
        <f ca="1">IFERROR(IF(VLOOKUP(F541,Kostentypen!$A$3:$E$21,3,0)=0,"",IF(OR(F541="Arbeidskosten",F541="Vergoeding"),VLOOKUP(G541,Tb_KostenTypen[],2,0),VLOOKUP(F541,Kostentypen!$A$3:$E$20,3,0))),"")</f>
        <v/>
      </c>
      <c r="O541" s="324"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4"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3"/>
      <c r="R541" s="363"/>
      <c r="S541" s="325"/>
      <c r="T541" s="325"/>
      <c r="U541" s="317" t="str" cm="1">
        <f t="array" aca="1" ref="U541" ca="1">IFERROR(IF(AA541&lt;&gt;"ja",_xlfn.IFNA(_xlfn.IFS(AND(O541&lt;&gt;"",F541&lt;&gt;"",RIGHT($N541,6)="tarief",F541="Vergoeding"),SUM(O541)*FLOOR(SUM(Q541),0.0001),AND(O541&lt;&gt;"",F541&lt;&gt;"",RIGHT($N541,6)="tarief"),SUM(O541)*FLOOR(SUM(Q541),0.01),S541&gt;0,IF(F541&lt;&gt;"",FLOOR(SUM(S541),0.01),"")),""),""),"")</f>
        <v/>
      </c>
      <c r="V541" s="317" t="str" cm="1">
        <f t="array" aca="1" ref="V541" ca="1">IFERROR(IF(AA541&lt;&gt;"ja",_xlfn.IFNA(_xlfn.IFS(AND(P541&lt;&gt;"",R541&lt;&gt;"",RIGHT($N541,6)="tarief",F541="Vergoeding"),SUM(P541)*FLOOR(SUM(R541),0.0001),AND(P541&lt;&gt;"",R541&lt;&gt;"",RIGHT($N541,6)="tarief"),P541*FLOOR(R541,0.01),T541&gt;0,FLOOR(SUM(T541),0.01)),""),""),"")</f>
        <v/>
      </c>
      <c r="W541" s="317" t="str" cm="1">
        <f t="array" aca="1" ref="W541" ca="1">IFERROR(_xlfn.IFS(OR(F541="",LEFT(Methode_Keuze,4)="Geen",Methode_Keuze=""),"",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17" t="str" cm="1">
        <f t="array" aca="1" ref="X541" ca="1">IFERROR(_xlfn.IFS(OR(F541="",LEFT(Methode_Keuze,4)="Geen",Methode_Keuze=""),"",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26"/>
      <c r="Z541" s="319"/>
      <c r="AA541" s="32" t="str" cm="1">
        <f t="array" ref="AA541">IFERROR(IF(INDEX(SubsidieTabel!$AD$1:$AG$12,MATCH($F541,SubsidieTabel!$AD$1:$AD$12,0),IFERROR(MATCH(Methode_Keuze,SubsidieTabel!$AD$1:$AG$1,0),2))&lt;&gt;1=TRUE,"ja",""),"")</f>
        <v/>
      </c>
    </row>
    <row r="542" spans="1:27" x14ac:dyDescent="0.25">
      <c r="A542" s="320"/>
      <c r="B542" s="321" t="str">
        <f>IF(A542&lt;&gt;"",_xlfn.MAXIFS($B$1:B541,$A$1:A541,A542)+1,"")</f>
        <v/>
      </c>
      <c r="C542" s="299"/>
      <c r="D542" s="299"/>
      <c r="E542" s="299"/>
      <c r="F542" s="299"/>
      <c r="G542" s="330"/>
      <c r="H542" s="328"/>
      <c r="I542" s="329"/>
      <c r="J542" s="329"/>
      <c r="K542" s="322"/>
      <c r="L542" s="322"/>
      <c r="M542" s="323" t="str">
        <f>IFERROR(VLOOKUP(H542,Lijsten!$H$1:$I$100,2,0),"")</f>
        <v/>
      </c>
      <c r="N542" s="323" t="str">
        <f ca="1">IFERROR(IF(VLOOKUP(F542,Kostentypen!$A$3:$E$21,3,0)=0,"",IF(OR(F542="Arbeidskosten",F542="Vergoeding"),VLOOKUP(G542,Tb_KostenTypen[],2,0),VLOOKUP(F542,Kostentypen!$A$3:$E$20,3,0))),"")</f>
        <v/>
      </c>
      <c r="O542" s="324"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4"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3"/>
      <c r="R542" s="363"/>
      <c r="S542" s="325"/>
      <c r="T542" s="325"/>
      <c r="U542" s="317" t="str" cm="1">
        <f t="array" aca="1" ref="U542" ca="1">IFERROR(IF(AA542&lt;&gt;"ja",_xlfn.IFNA(_xlfn.IFS(AND(O542&lt;&gt;"",F542&lt;&gt;"",RIGHT($N542,6)="tarief",F542="Vergoeding"),SUM(O542)*FLOOR(SUM(Q542),0.0001),AND(O542&lt;&gt;"",F542&lt;&gt;"",RIGHT($N542,6)="tarief"),SUM(O542)*FLOOR(SUM(Q542),0.01),S542&gt;0,IF(F542&lt;&gt;"",FLOOR(SUM(S542),0.01),"")),""),""),"")</f>
        <v/>
      </c>
      <c r="V542" s="317" t="str" cm="1">
        <f t="array" aca="1" ref="V542" ca="1">IFERROR(IF(AA542&lt;&gt;"ja",_xlfn.IFNA(_xlfn.IFS(AND(P542&lt;&gt;"",R542&lt;&gt;"",RIGHT($N542,6)="tarief",F542="Vergoeding"),SUM(P542)*FLOOR(SUM(R542),0.0001),AND(P542&lt;&gt;"",R542&lt;&gt;"",RIGHT($N542,6)="tarief"),P542*FLOOR(R542,0.01),T542&gt;0,FLOOR(SUM(T542),0.01)),""),""),"")</f>
        <v/>
      </c>
      <c r="W542" s="317" t="str" cm="1">
        <f t="array" aca="1" ref="W542" ca="1">IFERROR(_xlfn.IFS(OR(F542="",LEFT(Methode_Keuze,4)="Geen",Methode_Keuze=""),"",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17" t="str" cm="1">
        <f t="array" aca="1" ref="X542" ca="1">IFERROR(_xlfn.IFS(OR(F542="",LEFT(Methode_Keuze,4)="Geen",Methode_Keuze=""),"",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26"/>
      <c r="Z542" s="319"/>
      <c r="AA542" s="32" t="str" cm="1">
        <f t="array" ref="AA542">IFERROR(IF(INDEX(SubsidieTabel!$AD$1:$AG$12,MATCH($F542,SubsidieTabel!$AD$1:$AD$12,0),IFERROR(MATCH(Methode_Keuze,SubsidieTabel!$AD$1:$AG$1,0),2))&lt;&gt;1=TRUE,"ja",""),"")</f>
        <v/>
      </c>
    </row>
    <row r="543" spans="1:27" x14ac:dyDescent="0.25">
      <c r="A543" s="320"/>
      <c r="B543" s="321" t="str">
        <f>IF(A543&lt;&gt;"",_xlfn.MAXIFS($B$1:B542,$A$1:A542,A543)+1,"")</f>
        <v/>
      </c>
      <c r="C543" s="299"/>
      <c r="D543" s="299"/>
      <c r="E543" s="299"/>
      <c r="F543" s="299"/>
      <c r="G543" s="330"/>
      <c r="H543" s="328"/>
      <c r="I543" s="329"/>
      <c r="J543" s="329"/>
      <c r="K543" s="322"/>
      <c r="L543" s="322"/>
      <c r="M543" s="323" t="str">
        <f>IFERROR(VLOOKUP(H543,Lijsten!$H$1:$I$100,2,0),"")</f>
        <v/>
      </c>
      <c r="N543" s="323" t="str">
        <f ca="1">IFERROR(IF(VLOOKUP(F543,Kostentypen!$A$3:$E$21,3,0)=0,"",IF(OR(F543="Arbeidskosten",F543="Vergoeding"),VLOOKUP(G543,Tb_KostenTypen[],2,0),VLOOKUP(F543,Kostentypen!$A$3:$E$20,3,0))),"")</f>
        <v/>
      </c>
      <c r="O543" s="324"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4"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3"/>
      <c r="R543" s="363"/>
      <c r="S543" s="325"/>
      <c r="T543" s="325"/>
      <c r="U543" s="317" t="str" cm="1">
        <f t="array" aca="1" ref="U543" ca="1">IFERROR(IF(AA543&lt;&gt;"ja",_xlfn.IFNA(_xlfn.IFS(AND(O543&lt;&gt;"",F543&lt;&gt;"",RIGHT($N543,6)="tarief",F543="Vergoeding"),SUM(O543)*FLOOR(SUM(Q543),0.0001),AND(O543&lt;&gt;"",F543&lt;&gt;"",RIGHT($N543,6)="tarief"),SUM(O543)*FLOOR(SUM(Q543),0.01),S543&gt;0,IF(F543&lt;&gt;"",FLOOR(SUM(S543),0.01),"")),""),""),"")</f>
        <v/>
      </c>
      <c r="V543" s="317" t="str" cm="1">
        <f t="array" aca="1" ref="V543" ca="1">IFERROR(IF(AA543&lt;&gt;"ja",_xlfn.IFNA(_xlfn.IFS(AND(P543&lt;&gt;"",R543&lt;&gt;"",RIGHT($N543,6)="tarief",F543="Vergoeding"),SUM(P543)*FLOOR(SUM(R543),0.0001),AND(P543&lt;&gt;"",R543&lt;&gt;"",RIGHT($N543,6)="tarief"),P543*FLOOR(R543,0.01),T543&gt;0,FLOOR(SUM(T543),0.01)),""),""),"")</f>
        <v/>
      </c>
      <c r="W543" s="317" t="str" cm="1">
        <f t="array" aca="1" ref="W543" ca="1">IFERROR(_xlfn.IFS(OR(F543="",LEFT(Methode_Keuze,4)="Geen",Methode_Keuze=""),"",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17" t="str" cm="1">
        <f t="array" aca="1" ref="X543" ca="1">IFERROR(_xlfn.IFS(OR(F543="",LEFT(Methode_Keuze,4)="Geen",Methode_Keuze=""),"",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26"/>
      <c r="Z543" s="319"/>
      <c r="AA543" s="32" t="str" cm="1">
        <f t="array" ref="AA543">IFERROR(IF(INDEX(SubsidieTabel!$AD$1:$AG$12,MATCH($F543,SubsidieTabel!$AD$1:$AD$12,0),IFERROR(MATCH(Methode_Keuze,SubsidieTabel!$AD$1:$AG$1,0),2))&lt;&gt;1=TRUE,"ja",""),"")</f>
        <v/>
      </c>
    </row>
    <row r="544" spans="1:27" x14ac:dyDescent="0.25">
      <c r="A544" s="320"/>
      <c r="B544" s="321" t="str">
        <f>IF(A544&lt;&gt;"",_xlfn.MAXIFS($B$1:B543,$A$1:A543,A544)+1,"")</f>
        <v/>
      </c>
      <c r="C544" s="299"/>
      <c r="D544" s="299"/>
      <c r="E544" s="299"/>
      <c r="F544" s="299"/>
      <c r="G544" s="330"/>
      <c r="H544" s="328"/>
      <c r="I544" s="329"/>
      <c r="J544" s="329"/>
      <c r="K544" s="322"/>
      <c r="L544" s="322"/>
      <c r="M544" s="323" t="str">
        <f>IFERROR(VLOOKUP(H544,Lijsten!$H$1:$I$100,2,0),"")</f>
        <v/>
      </c>
      <c r="N544" s="323" t="str">
        <f ca="1">IFERROR(IF(VLOOKUP(F544,Kostentypen!$A$3:$E$21,3,0)=0,"",IF(OR(F544="Arbeidskosten",F544="Vergoeding"),VLOOKUP(G544,Tb_KostenTypen[],2,0),VLOOKUP(F544,Kostentypen!$A$3:$E$20,3,0))),"")</f>
        <v/>
      </c>
      <c r="O544" s="324"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4"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3"/>
      <c r="R544" s="363"/>
      <c r="S544" s="325"/>
      <c r="T544" s="325"/>
      <c r="U544" s="317" t="str" cm="1">
        <f t="array" aca="1" ref="U544" ca="1">IFERROR(IF(AA544&lt;&gt;"ja",_xlfn.IFNA(_xlfn.IFS(AND(O544&lt;&gt;"",F544&lt;&gt;"",RIGHT($N544,6)="tarief",F544="Vergoeding"),SUM(O544)*FLOOR(SUM(Q544),0.0001),AND(O544&lt;&gt;"",F544&lt;&gt;"",RIGHT($N544,6)="tarief"),SUM(O544)*FLOOR(SUM(Q544),0.01),S544&gt;0,IF(F544&lt;&gt;"",FLOOR(SUM(S544),0.01),"")),""),""),"")</f>
        <v/>
      </c>
      <c r="V544" s="317" t="str" cm="1">
        <f t="array" aca="1" ref="V544" ca="1">IFERROR(IF(AA544&lt;&gt;"ja",_xlfn.IFNA(_xlfn.IFS(AND(P544&lt;&gt;"",R544&lt;&gt;"",RIGHT($N544,6)="tarief",F544="Vergoeding"),SUM(P544)*FLOOR(SUM(R544),0.0001),AND(P544&lt;&gt;"",R544&lt;&gt;"",RIGHT($N544,6)="tarief"),P544*FLOOR(R544,0.01),T544&gt;0,FLOOR(SUM(T544),0.01)),""),""),"")</f>
        <v/>
      </c>
      <c r="W544" s="317" t="str" cm="1">
        <f t="array" aca="1" ref="W544" ca="1">IFERROR(_xlfn.IFS(OR(F544="",LEFT(Methode_Keuze,4)="Geen",Methode_Keuze=""),"",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17" t="str" cm="1">
        <f t="array" aca="1" ref="X544" ca="1">IFERROR(_xlfn.IFS(OR(F544="",LEFT(Methode_Keuze,4)="Geen",Methode_Keuze=""),"",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26"/>
      <c r="Z544" s="319"/>
      <c r="AA544" s="32" t="str" cm="1">
        <f t="array" ref="AA544">IFERROR(IF(INDEX(SubsidieTabel!$AD$1:$AG$12,MATCH($F544,SubsidieTabel!$AD$1:$AD$12,0),IFERROR(MATCH(Methode_Keuze,SubsidieTabel!$AD$1:$AG$1,0),2))&lt;&gt;1=TRUE,"ja",""),"")</f>
        <v/>
      </c>
    </row>
    <row r="545" spans="1:27" x14ac:dyDescent="0.25">
      <c r="A545" s="320"/>
      <c r="B545" s="321" t="str">
        <f>IF(A545&lt;&gt;"",_xlfn.MAXIFS($B$1:B544,$A$1:A544,A545)+1,"")</f>
        <v/>
      </c>
      <c r="C545" s="299"/>
      <c r="D545" s="299"/>
      <c r="E545" s="299"/>
      <c r="F545" s="299"/>
      <c r="G545" s="330"/>
      <c r="H545" s="328"/>
      <c r="I545" s="329"/>
      <c r="J545" s="329"/>
      <c r="K545" s="322"/>
      <c r="L545" s="322"/>
      <c r="M545" s="323" t="str">
        <f>IFERROR(VLOOKUP(H545,Lijsten!$H$1:$I$100,2,0),"")</f>
        <v/>
      </c>
      <c r="N545" s="323" t="str">
        <f ca="1">IFERROR(IF(VLOOKUP(F545,Kostentypen!$A$3:$E$21,3,0)=0,"",IF(OR(F545="Arbeidskosten",F545="Vergoeding"),VLOOKUP(G545,Tb_KostenTypen[],2,0),VLOOKUP(F545,Kostentypen!$A$3:$E$20,3,0))),"")</f>
        <v/>
      </c>
      <c r="O545" s="324"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4"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3"/>
      <c r="R545" s="363"/>
      <c r="S545" s="325"/>
      <c r="T545" s="325"/>
      <c r="U545" s="317" t="str" cm="1">
        <f t="array" aca="1" ref="U545" ca="1">IFERROR(IF(AA545&lt;&gt;"ja",_xlfn.IFNA(_xlfn.IFS(AND(O545&lt;&gt;"",F545&lt;&gt;"",RIGHT($N545,6)="tarief",F545="Vergoeding"),SUM(O545)*FLOOR(SUM(Q545),0.0001),AND(O545&lt;&gt;"",F545&lt;&gt;"",RIGHT($N545,6)="tarief"),SUM(O545)*FLOOR(SUM(Q545),0.01),S545&gt;0,IF(F545&lt;&gt;"",FLOOR(SUM(S545),0.01),"")),""),""),"")</f>
        <v/>
      </c>
      <c r="V545" s="317" t="str" cm="1">
        <f t="array" aca="1" ref="V545" ca="1">IFERROR(IF(AA545&lt;&gt;"ja",_xlfn.IFNA(_xlfn.IFS(AND(P545&lt;&gt;"",R545&lt;&gt;"",RIGHT($N545,6)="tarief",F545="Vergoeding"),SUM(P545)*FLOOR(SUM(R545),0.0001),AND(P545&lt;&gt;"",R545&lt;&gt;"",RIGHT($N545,6)="tarief"),P545*FLOOR(R545,0.01),T545&gt;0,FLOOR(SUM(T545),0.01)),""),""),"")</f>
        <v/>
      </c>
      <c r="W545" s="317" t="str" cm="1">
        <f t="array" aca="1" ref="W545" ca="1">IFERROR(_xlfn.IFS(OR(F545="",LEFT(Methode_Keuze,4)="Geen",Methode_Keuze=""),"",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17" t="str" cm="1">
        <f t="array" aca="1" ref="X545" ca="1">IFERROR(_xlfn.IFS(OR(F545="",LEFT(Methode_Keuze,4)="Geen",Methode_Keuze=""),"",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26"/>
      <c r="Z545" s="319"/>
      <c r="AA545" s="32" t="str" cm="1">
        <f t="array" ref="AA545">IFERROR(IF(INDEX(SubsidieTabel!$AD$1:$AG$12,MATCH($F545,SubsidieTabel!$AD$1:$AD$12,0),IFERROR(MATCH(Methode_Keuze,SubsidieTabel!$AD$1:$AG$1,0),2))&lt;&gt;1=TRUE,"ja",""),"")</f>
        <v/>
      </c>
    </row>
    <row r="546" spans="1:27" x14ac:dyDescent="0.25">
      <c r="A546" s="320"/>
      <c r="B546" s="321" t="str">
        <f>IF(A546&lt;&gt;"",_xlfn.MAXIFS($B$1:B545,$A$1:A545,A546)+1,"")</f>
        <v/>
      </c>
      <c r="C546" s="299"/>
      <c r="D546" s="299"/>
      <c r="E546" s="299"/>
      <c r="F546" s="299"/>
      <c r="G546" s="330"/>
      <c r="H546" s="328"/>
      <c r="I546" s="329"/>
      <c r="J546" s="329"/>
      <c r="K546" s="322"/>
      <c r="L546" s="322"/>
      <c r="M546" s="323" t="str">
        <f>IFERROR(VLOOKUP(H546,Lijsten!$H$1:$I$100,2,0),"")</f>
        <v/>
      </c>
      <c r="N546" s="323" t="str">
        <f ca="1">IFERROR(IF(VLOOKUP(F546,Kostentypen!$A$3:$E$21,3,0)=0,"",IF(OR(F546="Arbeidskosten",F546="Vergoeding"),VLOOKUP(G546,Tb_KostenTypen[],2,0),VLOOKUP(F546,Kostentypen!$A$3:$E$20,3,0))),"")</f>
        <v/>
      </c>
      <c r="O546" s="324"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4"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3"/>
      <c r="R546" s="363"/>
      <c r="S546" s="325"/>
      <c r="T546" s="325"/>
      <c r="U546" s="317" t="str" cm="1">
        <f t="array" aca="1" ref="U546" ca="1">IFERROR(IF(AA546&lt;&gt;"ja",_xlfn.IFNA(_xlfn.IFS(AND(O546&lt;&gt;"",F546&lt;&gt;"",RIGHT($N546,6)="tarief",F546="Vergoeding"),SUM(O546)*FLOOR(SUM(Q546),0.0001),AND(O546&lt;&gt;"",F546&lt;&gt;"",RIGHT($N546,6)="tarief"),SUM(O546)*FLOOR(SUM(Q546),0.01),S546&gt;0,IF(F546&lt;&gt;"",FLOOR(SUM(S546),0.01),"")),""),""),"")</f>
        <v/>
      </c>
      <c r="V546" s="317" t="str" cm="1">
        <f t="array" aca="1" ref="V546" ca="1">IFERROR(IF(AA546&lt;&gt;"ja",_xlfn.IFNA(_xlfn.IFS(AND(P546&lt;&gt;"",R546&lt;&gt;"",RIGHT($N546,6)="tarief",F546="Vergoeding"),SUM(P546)*FLOOR(SUM(R546),0.0001),AND(P546&lt;&gt;"",R546&lt;&gt;"",RIGHT($N546,6)="tarief"),P546*FLOOR(R546,0.01),T546&gt;0,FLOOR(SUM(T546),0.01)),""),""),"")</f>
        <v/>
      </c>
      <c r="W546" s="317" t="str" cm="1">
        <f t="array" aca="1" ref="W546" ca="1">IFERROR(_xlfn.IFS(OR(F546="",LEFT(Methode_Keuze,4)="Geen",Methode_Keuze=""),"",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17" t="str" cm="1">
        <f t="array" aca="1" ref="X546" ca="1">IFERROR(_xlfn.IFS(OR(F546="",LEFT(Methode_Keuze,4)="Geen",Methode_Keuze=""),"",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26"/>
      <c r="Z546" s="319"/>
      <c r="AA546" s="32" t="str" cm="1">
        <f t="array" ref="AA546">IFERROR(IF(INDEX(SubsidieTabel!$AD$1:$AG$12,MATCH($F546,SubsidieTabel!$AD$1:$AD$12,0),IFERROR(MATCH(Methode_Keuze,SubsidieTabel!$AD$1:$AG$1,0),2))&lt;&gt;1=TRUE,"ja",""),"")</f>
        <v/>
      </c>
    </row>
    <row r="547" spans="1:27" x14ac:dyDescent="0.25">
      <c r="A547" s="320"/>
      <c r="B547" s="321" t="str">
        <f>IF(A547&lt;&gt;"",_xlfn.MAXIFS($B$1:B546,$A$1:A546,A547)+1,"")</f>
        <v/>
      </c>
      <c r="C547" s="299"/>
      <c r="D547" s="299"/>
      <c r="E547" s="299"/>
      <c r="F547" s="299"/>
      <c r="G547" s="330"/>
      <c r="H547" s="328"/>
      <c r="I547" s="329"/>
      <c r="J547" s="329"/>
      <c r="K547" s="322"/>
      <c r="L547" s="322"/>
      <c r="M547" s="323" t="str">
        <f>IFERROR(VLOOKUP(H547,Lijsten!$H$1:$I$100,2,0),"")</f>
        <v/>
      </c>
      <c r="N547" s="323" t="str">
        <f ca="1">IFERROR(IF(VLOOKUP(F547,Kostentypen!$A$3:$E$21,3,0)=0,"",IF(OR(F547="Arbeidskosten",F547="Vergoeding"),VLOOKUP(G547,Tb_KostenTypen[],2,0),VLOOKUP(F547,Kostentypen!$A$3:$E$20,3,0))),"")</f>
        <v/>
      </c>
      <c r="O547" s="324"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4"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3"/>
      <c r="R547" s="363"/>
      <c r="S547" s="325"/>
      <c r="T547" s="325"/>
      <c r="U547" s="317" t="str" cm="1">
        <f t="array" aca="1" ref="U547" ca="1">IFERROR(IF(AA547&lt;&gt;"ja",_xlfn.IFNA(_xlfn.IFS(AND(O547&lt;&gt;"",F547&lt;&gt;"",RIGHT($N547,6)="tarief",F547="Vergoeding"),SUM(O547)*FLOOR(SUM(Q547),0.0001),AND(O547&lt;&gt;"",F547&lt;&gt;"",RIGHT($N547,6)="tarief"),SUM(O547)*FLOOR(SUM(Q547),0.01),S547&gt;0,IF(F547&lt;&gt;"",FLOOR(SUM(S547),0.01),"")),""),""),"")</f>
        <v/>
      </c>
      <c r="V547" s="317" t="str" cm="1">
        <f t="array" aca="1" ref="V547" ca="1">IFERROR(IF(AA547&lt;&gt;"ja",_xlfn.IFNA(_xlfn.IFS(AND(P547&lt;&gt;"",R547&lt;&gt;"",RIGHT($N547,6)="tarief",F547="Vergoeding"),SUM(P547)*FLOOR(SUM(R547),0.0001),AND(P547&lt;&gt;"",R547&lt;&gt;"",RIGHT($N547,6)="tarief"),P547*FLOOR(R547,0.01),T547&gt;0,FLOOR(SUM(T547),0.01)),""),""),"")</f>
        <v/>
      </c>
      <c r="W547" s="317" t="str" cm="1">
        <f t="array" aca="1" ref="W547" ca="1">IFERROR(_xlfn.IFS(OR(F547="",LEFT(Methode_Keuze,4)="Geen",Methode_Keuze=""),"",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17" t="str" cm="1">
        <f t="array" aca="1" ref="X547" ca="1">IFERROR(_xlfn.IFS(OR(F547="",LEFT(Methode_Keuze,4)="Geen",Methode_Keuze=""),"",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26"/>
      <c r="Z547" s="319"/>
      <c r="AA547" s="32" t="str" cm="1">
        <f t="array" ref="AA547">IFERROR(IF(INDEX(SubsidieTabel!$AD$1:$AG$12,MATCH($F547,SubsidieTabel!$AD$1:$AD$12,0),IFERROR(MATCH(Methode_Keuze,SubsidieTabel!$AD$1:$AG$1,0),2))&lt;&gt;1=TRUE,"ja",""),"")</f>
        <v/>
      </c>
    </row>
    <row r="548" spans="1:27" x14ac:dyDescent="0.25">
      <c r="A548" s="320"/>
      <c r="B548" s="321" t="str">
        <f>IF(A548&lt;&gt;"",_xlfn.MAXIFS($B$1:B547,$A$1:A547,A548)+1,"")</f>
        <v/>
      </c>
      <c r="C548" s="299"/>
      <c r="D548" s="299"/>
      <c r="E548" s="299"/>
      <c r="F548" s="299"/>
      <c r="G548" s="330"/>
      <c r="H548" s="328"/>
      <c r="I548" s="329"/>
      <c r="J548" s="329"/>
      <c r="K548" s="322"/>
      <c r="L548" s="322"/>
      <c r="M548" s="323" t="str">
        <f>IFERROR(VLOOKUP(H548,Lijsten!$H$1:$I$100,2,0),"")</f>
        <v/>
      </c>
      <c r="N548" s="323" t="str">
        <f ca="1">IFERROR(IF(VLOOKUP(F548,Kostentypen!$A$3:$E$21,3,0)=0,"",IF(OR(F548="Arbeidskosten",F548="Vergoeding"),VLOOKUP(G548,Tb_KostenTypen[],2,0),VLOOKUP(F548,Kostentypen!$A$3:$E$20,3,0))),"")</f>
        <v/>
      </c>
      <c r="O548" s="324"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4"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3"/>
      <c r="R548" s="363"/>
      <c r="S548" s="325"/>
      <c r="T548" s="325"/>
      <c r="U548" s="317" t="str" cm="1">
        <f t="array" aca="1" ref="U548" ca="1">IFERROR(IF(AA548&lt;&gt;"ja",_xlfn.IFNA(_xlfn.IFS(AND(O548&lt;&gt;"",F548&lt;&gt;"",RIGHT($N548,6)="tarief",F548="Vergoeding"),SUM(O548)*FLOOR(SUM(Q548),0.0001),AND(O548&lt;&gt;"",F548&lt;&gt;"",RIGHT($N548,6)="tarief"),SUM(O548)*FLOOR(SUM(Q548),0.01),S548&gt;0,IF(F548&lt;&gt;"",FLOOR(SUM(S548),0.01),"")),""),""),"")</f>
        <v/>
      </c>
      <c r="V548" s="317" t="str" cm="1">
        <f t="array" aca="1" ref="V548" ca="1">IFERROR(IF(AA548&lt;&gt;"ja",_xlfn.IFNA(_xlfn.IFS(AND(P548&lt;&gt;"",R548&lt;&gt;"",RIGHT($N548,6)="tarief",F548="Vergoeding"),SUM(P548)*FLOOR(SUM(R548),0.0001),AND(P548&lt;&gt;"",R548&lt;&gt;"",RIGHT($N548,6)="tarief"),P548*FLOOR(R548,0.01),T548&gt;0,FLOOR(SUM(T548),0.01)),""),""),"")</f>
        <v/>
      </c>
      <c r="W548" s="317" t="str" cm="1">
        <f t="array" aca="1" ref="W548" ca="1">IFERROR(_xlfn.IFS(OR(F548="",LEFT(Methode_Keuze,4)="Geen",Methode_Keuze=""),"",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17" t="str" cm="1">
        <f t="array" aca="1" ref="X548" ca="1">IFERROR(_xlfn.IFS(OR(F548="",LEFT(Methode_Keuze,4)="Geen",Methode_Keuze=""),"",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26"/>
      <c r="Z548" s="319"/>
      <c r="AA548" s="32" t="str" cm="1">
        <f t="array" ref="AA548">IFERROR(IF(INDEX(SubsidieTabel!$AD$1:$AG$12,MATCH($F548,SubsidieTabel!$AD$1:$AD$12,0),IFERROR(MATCH(Methode_Keuze,SubsidieTabel!$AD$1:$AG$1,0),2))&lt;&gt;1=TRUE,"ja",""),"")</f>
        <v/>
      </c>
    </row>
    <row r="549" spans="1:27" x14ac:dyDescent="0.25">
      <c r="A549" s="320"/>
      <c r="B549" s="321" t="str">
        <f>IF(A549&lt;&gt;"",_xlfn.MAXIFS($B$1:B548,$A$1:A548,A549)+1,"")</f>
        <v/>
      </c>
      <c r="C549" s="299"/>
      <c r="D549" s="299"/>
      <c r="E549" s="299"/>
      <c r="F549" s="299"/>
      <c r="G549" s="330"/>
      <c r="H549" s="328"/>
      <c r="I549" s="329"/>
      <c r="J549" s="329"/>
      <c r="K549" s="322"/>
      <c r="L549" s="322"/>
      <c r="M549" s="323" t="str">
        <f>IFERROR(VLOOKUP(H549,Lijsten!$H$1:$I$100,2,0),"")</f>
        <v/>
      </c>
      <c r="N549" s="323" t="str">
        <f ca="1">IFERROR(IF(VLOOKUP(F549,Kostentypen!$A$3:$E$21,3,0)=0,"",IF(OR(F549="Arbeidskosten",F549="Vergoeding"),VLOOKUP(G549,Tb_KostenTypen[],2,0),VLOOKUP(F549,Kostentypen!$A$3:$E$20,3,0))),"")</f>
        <v/>
      </c>
      <c r="O549" s="324"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4"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3"/>
      <c r="R549" s="363"/>
      <c r="S549" s="325"/>
      <c r="T549" s="325"/>
      <c r="U549" s="317" t="str" cm="1">
        <f t="array" aca="1" ref="U549" ca="1">IFERROR(IF(AA549&lt;&gt;"ja",_xlfn.IFNA(_xlfn.IFS(AND(O549&lt;&gt;"",F549&lt;&gt;"",RIGHT($N549,6)="tarief",F549="Vergoeding"),SUM(O549)*FLOOR(SUM(Q549),0.0001),AND(O549&lt;&gt;"",F549&lt;&gt;"",RIGHT($N549,6)="tarief"),SUM(O549)*FLOOR(SUM(Q549),0.01),S549&gt;0,IF(F549&lt;&gt;"",FLOOR(SUM(S549),0.01),"")),""),""),"")</f>
        <v/>
      </c>
      <c r="V549" s="317" t="str" cm="1">
        <f t="array" aca="1" ref="V549" ca="1">IFERROR(IF(AA549&lt;&gt;"ja",_xlfn.IFNA(_xlfn.IFS(AND(P549&lt;&gt;"",R549&lt;&gt;"",RIGHT($N549,6)="tarief",F549="Vergoeding"),SUM(P549)*FLOOR(SUM(R549),0.0001),AND(P549&lt;&gt;"",R549&lt;&gt;"",RIGHT($N549,6)="tarief"),P549*FLOOR(R549,0.01),T549&gt;0,FLOOR(SUM(T549),0.01)),""),""),"")</f>
        <v/>
      </c>
      <c r="W549" s="317" t="str" cm="1">
        <f t="array" aca="1" ref="W549" ca="1">IFERROR(_xlfn.IFS(OR(F549="",LEFT(Methode_Keuze,4)="Geen",Methode_Keuze=""),"",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17" t="str" cm="1">
        <f t="array" aca="1" ref="X549" ca="1">IFERROR(_xlfn.IFS(OR(F549="",LEFT(Methode_Keuze,4)="Geen",Methode_Keuze=""),"",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26"/>
      <c r="Z549" s="319"/>
      <c r="AA549" s="32" t="str" cm="1">
        <f t="array" ref="AA549">IFERROR(IF(INDEX(SubsidieTabel!$AD$1:$AG$12,MATCH($F549,SubsidieTabel!$AD$1:$AD$12,0),IFERROR(MATCH(Methode_Keuze,SubsidieTabel!$AD$1:$AG$1,0),2))&lt;&gt;1=TRUE,"ja",""),"")</f>
        <v/>
      </c>
    </row>
    <row r="550" spans="1:27" x14ac:dyDescent="0.25">
      <c r="A550" s="320"/>
      <c r="B550" s="321" t="str">
        <f>IF(A550&lt;&gt;"",_xlfn.MAXIFS($B$1:B549,$A$1:A549,A550)+1,"")</f>
        <v/>
      </c>
      <c r="C550" s="299"/>
      <c r="D550" s="299"/>
      <c r="E550" s="299"/>
      <c r="F550" s="299"/>
      <c r="G550" s="330"/>
      <c r="H550" s="328"/>
      <c r="I550" s="329"/>
      <c r="J550" s="329"/>
      <c r="K550" s="322"/>
      <c r="L550" s="322"/>
      <c r="M550" s="323" t="str">
        <f>IFERROR(VLOOKUP(H550,Lijsten!$H$1:$I$100,2,0),"")</f>
        <v/>
      </c>
      <c r="N550" s="323" t="str">
        <f ca="1">IFERROR(IF(VLOOKUP(F550,Kostentypen!$A$3:$E$21,3,0)=0,"",IF(OR(F550="Arbeidskosten",F550="Vergoeding"),VLOOKUP(G550,Tb_KostenTypen[],2,0),VLOOKUP(F550,Kostentypen!$A$3:$E$20,3,0))),"")</f>
        <v/>
      </c>
      <c r="O550" s="324"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4"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3"/>
      <c r="R550" s="363"/>
      <c r="S550" s="325"/>
      <c r="T550" s="325"/>
      <c r="U550" s="317" t="str" cm="1">
        <f t="array" aca="1" ref="U550" ca="1">IFERROR(IF(AA550&lt;&gt;"ja",_xlfn.IFNA(_xlfn.IFS(AND(O550&lt;&gt;"",F550&lt;&gt;"",RIGHT($N550,6)="tarief",F550="Vergoeding"),SUM(O550)*FLOOR(SUM(Q550),0.0001),AND(O550&lt;&gt;"",F550&lt;&gt;"",RIGHT($N550,6)="tarief"),SUM(O550)*FLOOR(SUM(Q550),0.01),S550&gt;0,IF(F550&lt;&gt;"",FLOOR(SUM(S550),0.01),"")),""),""),"")</f>
        <v/>
      </c>
      <c r="V550" s="317" t="str" cm="1">
        <f t="array" aca="1" ref="V550" ca="1">IFERROR(IF(AA550&lt;&gt;"ja",_xlfn.IFNA(_xlfn.IFS(AND(P550&lt;&gt;"",R550&lt;&gt;"",RIGHT($N550,6)="tarief",F550="Vergoeding"),SUM(P550)*FLOOR(SUM(R550),0.0001),AND(P550&lt;&gt;"",R550&lt;&gt;"",RIGHT($N550,6)="tarief"),P550*FLOOR(R550,0.01),T550&gt;0,FLOOR(SUM(T550),0.01)),""),""),"")</f>
        <v/>
      </c>
      <c r="W550" s="317" t="str" cm="1">
        <f t="array" aca="1" ref="W550" ca="1">IFERROR(_xlfn.IFS(OR(F550="",LEFT(Methode_Keuze,4)="Geen",Methode_Keuze=""),"",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17" t="str" cm="1">
        <f t="array" aca="1" ref="X550" ca="1">IFERROR(_xlfn.IFS(OR(F550="",LEFT(Methode_Keuze,4)="Geen",Methode_Keuze=""),"",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26"/>
      <c r="Z550" s="319"/>
      <c r="AA550" s="32" t="str" cm="1">
        <f t="array" ref="AA550">IFERROR(IF(INDEX(SubsidieTabel!$AD$1:$AG$12,MATCH($F550,SubsidieTabel!$AD$1:$AD$12,0),IFERROR(MATCH(Methode_Keuze,SubsidieTabel!$AD$1:$AG$1,0),2))&lt;&gt;1=TRUE,"ja",""),"")</f>
        <v/>
      </c>
    </row>
    <row r="551" spans="1:27" x14ac:dyDescent="0.25">
      <c r="A551" s="320"/>
      <c r="B551" s="321" t="str">
        <f>IF(A551&lt;&gt;"",_xlfn.MAXIFS($B$1:B550,$A$1:A550,A551)+1,"")</f>
        <v/>
      </c>
      <c r="C551" s="299"/>
      <c r="D551" s="299"/>
      <c r="E551" s="299"/>
      <c r="F551" s="299"/>
      <c r="G551" s="330"/>
      <c r="H551" s="328"/>
      <c r="I551" s="329"/>
      <c r="J551" s="329"/>
      <c r="K551" s="322"/>
      <c r="L551" s="322"/>
      <c r="M551" s="323" t="str">
        <f>IFERROR(VLOOKUP(H551,Lijsten!$H$1:$I$100,2,0),"")</f>
        <v/>
      </c>
      <c r="N551" s="323" t="str">
        <f ca="1">IFERROR(IF(VLOOKUP(F551,Kostentypen!$A$3:$E$21,3,0)=0,"",IF(OR(F551="Arbeidskosten",F551="Vergoeding"),VLOOKUP(G551,Tb_KostenTypen[],2,0),VLOOKUP(F551,Kostentypen!$A$3:$E$20,3,0))),"")</f>
        <v/>
      </c>
      <c r="O551" s="324"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4"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3"/>
      <c r="R551" s="363"/>
      <c r="S551" s="325"/>
      <c r="T551" s="325"/>
      <c r="U551" s="317" t="str" cm="1">
        <f t="array" aca="1" ref="U551" ca="1">IFERROR(IF(AA551&lt;&gt;"ja",_xlfn.IFNA(_xlfn.IFS(AND(O551&lt;&gt;"",F551&lt;&gt;"",RIGHT($N551,6)="tarief",F551="Vergoeding"),SUM(O551)*FLOOR(SUM(Q551),0.0001),AND(O551&lt;&gt;"",F551&lt;&gt;"",RIGHT($N551,6)="tarief"),SUM(O551)*FLOOR(SUM(Q551),0.01),S551&gt;0,IF(F551&lt;&gt;"",FLOOR(SUM(S551),0.01),"")),""),""),"")</f>
        <v/>
      </c>
      <c r="V551" s="317" t="str" cm="1">
        <f t="array" aca="1" ref="V551" ca="1">IFERROR(IF(AA551&lt;&gt;"ja",_xlfn.IFNA(_xlfn.IFS(AND(P551&lt;&gt;"",R551&lt;&gt;"",RIGHT($N551,6)="tarief",F551="Vergoeding"),SUM(P551)*FLOOR(SUM(R551),0.0001),AND(P551&lt;&gt;"",R551&lt;&gt;"",RIGHT($N551,6)="tarief"),P551*FLOOR(R551,0.01),T551&gt;0,FLOOR(SUM(T551),0.01)),""),""),"")</f>
        <v/>
      </c>
      <c r="W551" s="317" t="str" cm="1">
        <f t="array" aca="1" ref="W551" ca="1">IFERROR(_xlfn.IFS(OR(F551="",LEFT(Methode_Keuze,4)="Geen",Methode_Keuze=""),"",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17" t="str" cm="1">
        <f t="array" aca="1" ref="X551" ca="1">IFERROR(_xlfn.IFS(OR(F551="",LEFT(Methode_Keuze,4)="Geen",Methode_Keuze=""),"",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26"/>
      <c r="Z551" s="319"/>
      <c r="AA551" s="32" t="str" cm="1">
        <f t="array" ref="AA551">IFERROR(IF(INDEX(SubsidieTabel!$AD$1:$AG$12,MATCH($F551,SubsidieTabel!$AD$1:$AD$12,0),IFERROR(MATCH(Methode_Keuze,SubsidieTabel!$AD$1:$AG$1,0),2))&lt;&gt;1=TRUE,"ja",""),"")</f>
        <v/>
      </c>
    </row>
    <row r="552" spans="1:27" x14ac:dyDescent="0.25">
      <c r="A552" s="320"/>
      <c r="B552" s="321" t="str">
        <f>IF(A552&lt;&gt;"",_xlfn.MAXIFS($B$1:B551,$A$1:A551,A552)+1,"")</f>
        <v/>
      </c>
      <c r="C552" s="299"/>
      <c r="D552" s="299"/>
      <c r="E552" s="299"/>
      <c r="F552" s="299"/>
      <c r="G552" s="330"/>
      <c r="H552" s="328"/>
      <c r="I552" s="329"/>
      <c r="J552" s="329"/>
      <c r="K552" s="322"/>
      <c r="L552" s="322"/>
      <c r="M552" s="323" t="str">
        <f>IFERROR(VLOOKUP(H552,Lijsten!$H$1:$I$100,2,0),"")</f>
        <v/>
      </c>
      <c r="N552" s="323" t="str">
        <f ca="1">IFERROR(IF(VLOOKUP(F552,Kostentypen!$A$3:$E$21,3,0)=0,"",IF(OR(F552="Arbeidskosten",F552="Vergoeding"),VLOOKUP(G552,Tb_KostenTypen[],2,0),VLOOKUP(F552,Kostentypen!$A$3:$E$20,3,0))),"")</f>
        <v/>
      </c>
      <c r="O552" s="324"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4"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3"/>
      <c r="R552" s="363"/>
      <c r="S552" s="325"/>
      <c r="T552" s="325"/>
      <c r="U552" s="317" t="str" cm="1">
        <f t="array" aca="1" ref="U552" ca="1">IFERROR(IF(AA552&lt;&gt;"ja",_xlfn.IFNA(_xlfn.IFS(AND(O552&lt;&gt;"",F552&lt;&gt;"",RIGHT($N552,6)="tarief",F552="Vergoeding"),SUM(O552)*FLOOR(SUM(Q552),0.0001),AND(O552&lt;&gt;"",F552&lt;&gt;"",RIGHT($N552,6)="tarief"),SUM(O552)*FLOOR(SUM(Q552),0.01),S552&gt;0,IF(F552&lt;&gt;"",FLOOR(SUM(S552),0.01),"")),""),""),"")</f>
        <v/>
      </c>
      <c r="V552" s="317" t="str" cm="1">
        <f t="array" aca="1" ref="V552" ca="1">IFERROR(IF(AA552&lt;&gt;"ja",_xlfn.IFNA(_xlfn.IFS(AND(P552&lt;&gt;"",R552&lt;&gt;"",RIGHT($N552,6)="tarief",F552="Vergoeding"),SUM(P552)*FLOOR(SUM(R552),0.0001),AND(P552&lt;&gt;"",R552&lt;&gt;"",RIGHT($N552,6)="tarief"),P552*FLOOR(R552,0.01),T552&gt;0,FLOOR(SUM(T552),0.01)),""),""),"")</f>
        <v/>
      </c>
      <c r="W552" s="317" t="str" cm="1">
        <f t="array" aca="1" ref="W552" ca="1">IFERROR(_xlfn.IFS(OR(F552="",LEFT(Methode_Keuze,4)="Geen",Methode_Keuze=""),"",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17" t="str" cm="1">
        <f t="array" aca="1" ref="X552" ca="1">IFERROR(_xlfn.IFS(OR(F552="",LEFT(Methode_Keuze,4)="Geen",Methode_Keuze=""),"",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26"/>
      <c r="Z552" s="319"/>
      <c r="AA552" s="32" t="str" cm="1">
        <f t="array" ref="AA552">IFERROR(IF(INDEX(SubsidieTabel!$AD$1:$AG$12,MATCH($F552,SubsidieTabel!$AD$1:$AD$12,0),IFERROR(MATCH(Methode_Keuze,SubsidieTabel!$AD$1:$AG$1,0),2))&lt;&gt;1=TRUE,"ja",""),"")</f>
        <v/>
      </c>
    </row>
    <row r="553" spans="1:27" x14ac:dyDescent="0.25">
      <c r="A553" s="320"/>
      <c r="B553" s="321" t="str">
        <f>IF(A553&lt;&gt;"",_xlfn.MAXIFS($B$1:B552,$A$1:A552,A553)+1,"")</f>
        <v/>
      </c>
      <c r="C553" s="299"/>
      <c r="D553" s="299"/>
      <c r="E553" s="299"/>
      <c r="F553" s="299"/>
      <c r="G553" s="330"/>
      <c r="H553" s="328"/>
      <c r="I553" s="329"/>
      <c r="J553" s="329"/>
      <c r="K553" s="322"/>
      <c r="L553" s="322"/>
      <c r="M553" s="323" t="str">
        <f>IFERROR(VLOOKUP(H553,Lijsten!$H$1:$I$100,2,0),"")</f>
        <v/>
      </c>
      <c r="N553" s="323" t="str">
        <f ca="1">IFERROR(IF(VLOOKUP(F553,Kostentypen!$A$3:$E$21,3,0)=0,"",IF(OR(F553="Arbeidskosten",F553="Vergoeding"),VLOOKUP(G553,Tb_KostenTypen[],2,0),VLOOKUP(F553,Kostentypen!$A$3:$E$20,3,0))),"")</f>
        <v/>
      </c>
      <c r="O553" s="324"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4"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3"/>
      <c r="R553" s="363"/>
      <c r="S553" s="325"/>
      <c r="T553" s="325"/>
      <c r="U553" s="317" t="str" cm="1">
        <f t="array" aca="1" ref="U553" ca="1">IFERROR(IF(AA553&lt;&gt;"ja",_xlfn.IFNA(_xlfn.IFS(AND(O553&lt;&gt;"",F553&lt;&gt;"",RIGHT($N553,6)="tarief",F553="Vergoeding"),SUM(O553)*FLOOR(SUM(Q553),0.0001),AND(O553&lt;&gt;"",F553&lt;&gt;"",RIGHT($N553,6)="tarief"),SUM(O553)*FLOOR(SUM(Q553),0.01),S553&gt;0,IF(F553&lt;&gt;"",FLOOR(SUM(S553),0.01),"")),""),""),"")</f>
        <v/>
      </c>
      <c r="V553" s="317" t="str" cm="1">
        <f t="array" aca="1" ref="V553" ca="1">IFERROR(IF(AA553&lt;&gt;"ja",_xlfn.IFNA(_xlfn.IFS(AND(P553&lt;&gt;"",R553&lt;&gt;"",RIGHT($N553,6)="tarief",F553="Vergoeding"),SUM(P553)*FLOOR(SUM(R553),0.0001),AND(P553&lt;&gt;"",R553&lt;&gt;"",RIGHT($N553,6)="tarief"),P553*FLOOR(R553,0.01),T553&gt;0,FLOOR(SUM(T553),0.01)),""),""),"")</f>
        <v/>
      </c>
      <c r="W553" s="317" t="str" cm="1">
        <f t="array" aca="1" ref="W553" ca="1">IFERROR(_xlfn.IFS(OR(F553="",LEFT(Methode_Keuze,4)="Geen",Methode_Keuze=""),"",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17" t="str" cm="1">
        <f t="array" aca="1" ref="X553" ca="1">IFERROR(_xlfn.IFS(OR(F553="",LEFT(Methode_Keuze,4)="Geen",Methode_Keuze=""),"",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26"/>
      <c r="Z553" s="319"/>
      <c r="AA553" s="32" t="str" cm="1">
        <f t="array" ref="AA553">IFERROR(IF(INDEX(SubsidieTabel!$AD$1:$AG$12,MATCH($F553,SubsidieTabel!$AD$1:$AD$12,0),IFERROR(MATCH(Methode_Keuze,SubsidieTabel!$AD$1:$AG$1,0),2))&lt;&gt;1=TRUE,"ja",""),"")</f>
        <v/>
      </c>
    </row>
    <row r="554" spans="1:27" x14ac:dyDescent="0.25">
      <c r="A554" s="320"/>
      <c r="B554" s="321" t="str">
        <f>IF(A554&lt;&gt;"",_xlfn.MAXIFS($B$1:B553,$A$1:A553,A554)+1,"")</f>
        <v/>
      </c>
      <c r="C554" s="299"/>
      <c r="D554" s="299"/>
      <c r="E554" s="299"/>
      <c r="F554" s="299"/>
      <c r="G554" s="330"/>
      <c r="H554" s="328"/>
      <c r="I554" s="329"/>
      <c r="J554" s="329"/>
      <c r="K554" s="322"/>
      <c r="L554" s="322"/>
      <c r="M554" s="323" t="str">
        <f>IFERROR(VLOOKUP(H554,Lijsten!$H$1:$I$100,2,0),"")</f>
        <v/>
      </c>
      <c r="N554" s="323" t="str">
        <f ca="1">IFERROR(IF(VLOOKUP(F554,Kostentypen!$A$3:$E$21,3,0)=0,"",IF(OR(F554="Arbeidskosten",F554="Vergoeding"),VLOOKUP(G554,Tb_KostenTypen[],2,0),VLOOKUP(F554,Kostentypen!$A$3:$E$20,3,0))),"")</f>
        <v/>
      </c>
      <c r="O554" s="324"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4"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3"/>
      <c r="R554" s="363"/>
      <c r="S554" s="325"/>
      <c r="T554" s="325"/>
      <c r="U554" s="317" t="str" cm="1">
        <f t="array" aca="1" ref="U554" ca="1">IFERROR(IF(AA554&lt;&gt;"ja",_xlfn.IFNA(_xlfn.IFS(AND(O554&lt;&gt;"",F554&lt;&gt;"",RIGHT($N554,6)="tarief",F554="Vergoeding"),SUM(O554)*FLOOR(SUM(Q554),0.0001),AND(O554&lt;&gt;"",F554&lt;&gt;"",RIGHT($N554,6)="tarief"),SUM(O554)*FLOOR(SUM(Q554),0.01),S554&gt;0,IF(F554&lt;&gt;"",FLOOR(SUM(S554),0.01),"")),""),""),"")</f>
        <v/>
      </c>
      <c r="V554" s="317" t="str" cm="1">
        <f t="array" aca="1" ref="V554" ca="1">IFERROR(IF(AA554&lt;&gt;"ja",_xlfn.IFNA(_xlfn.IFS(AND(P554&lt;&gt;"",R554&lt;&gt;"",RIGHT($N554,6)="tarief",F554="Vergoeding"),SUM(P554)*FLOOR(SUM(R554),0.0001),AND(P554&lt;&gt;"",R554&lt;&gt;"",RIGHT($N554,6)="tarief"),P554*FLOOR(R554,0.01),T554&gt;0,FLOOR(SUM(T554),0.01)),""),""),"")</f>
        <v/>
      </c>
      <c r="W554" s="317" t="str" cm="1">
        <f t="array" aca="1" ref="W554" ca="1">IFERROR(_xlfn.IFS(OR(F554="",LEFT(Methode_Keuze,4)="Geen",Methode_Keuze=""),"",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17" t="str" cm="1">
        <f t="array" aca="1" ref="X554" ca="1">IFERROR(_xlfn.IFS(OR(F554="",LEFT(Methode_Keuze,4)="Geen",Methode_Keuze=""),"",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26"/>
      <c r="Z554" s="319"/>
      <c r="AA554" s="32" t="str" cm="1">
        <f t="array" ref="AA554">IFERROR(IF(INDEX(SubsidieTabel!$AD$1:$AG$12,MATCH($F554,SubsidieTabel!$AD$1:$AD$12,0),IFERROR(MATCH(Methode_Keuze,SubsidieTabel!$AD$1:$AG$1,0),2))&lt;&gt;1=TRUE,"ja",""),"")</f>
        <v/>
      </c>
    </row>
    <row r="555" spans="1:27" x14ac:dyDescent="0.25">
      <c r="A555" s="320"/>
      <c r="B555" s="321" t="str">
        <f>IF(A555&lt;&gt;"",_xlfn.MAXIFS($B$1:B554,$A$1:A554,A555)+1,"")</f>
        <v/>
      </c>
      <c r="C555" s="299"/>
      <c r="D555" s="299"/>
      <c r="E555" s="299"/>
      <c r="F555" s="299"/>
      <c r="G555" s="330"/>
      <c r="H555" s="328"/>
      <c r="I555" s="329"/>
      <c r="J555" s="329"/>
      <c r="K555" s="322"/>
      <c r="L555" s="322"/>
      <c r="M555" s="323" t="str">
        <f>IFERROR(VLOOKUP(H555,Lijsten!$H$1:$I$100,2,0),"")</f>
        <v/>
      </c>
      <c r="N555" s="323" t="str">
        <f ca="1">IFERROR(IF(VLOOKUP(F555,Kostentypen!$A$3:$E$21,3,0)=0,"",IF(OR(F555="Arbeidskosten",F555="Vergoeding"),VLOOKUP(G555,Tb_KostenTypen[],2,0),VLOOKUP(F555,Kostentypen!$A$3:$E$20,3,0))),"")</f>
        <v/>
      </c>
      <c r="O555" s="324"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4"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3"/>
      <c r="R555" s="363"/>
      <c r="S555" s="325"/>
      <c r="T555" s="325"/>
      <c r="U555" s="317" t="str" cm="1">
        <f t="array" aca="1" ref="U555" ca="1">IFERROR(IF(AA555&lt;&gt;"ja",_xlfn.IFNA(_xlfn.IFS(AND(O555&lt;&gt;"",F555&lt;&gt;"",RIGHT($N555,6)="tarief",F555="Vergoeding"),SUM(O555)*FLOOR(SUM(Q555),0.0001),AND(O555&lt;&gt;"",F555&lt;&gt;"",RIGHT($N555,6)="tarief"),SUM(O555)*FLOOR(SUM(Q555),0.01),S555&gt;0,IF(F555&lt;&gt;"",FLOOR(SUM(S555),0.01),"")),""),""),"")</f>
        <v/>
      </c>
      <c r="V555" s="317" t="str" cm="1">
        <f t="array" aca="1" ref="V555" ca="1">IFERROR(IF(AA555&lt;&gt;"ja",_xlfn.IFNA(_xlfn.IFS(AND(P555&lt;&gt;"",R555&lt;&gt;"",RIGHT($N555,6)="tarief",F555="Vergoeding"),SUM(P555)*FLOOR(SUM(R555),0.0001),AND(P555&lt;&gt;"",R555&lt;&gt;"",RIGHT($N555,6)="tarief"),P555*FLOOR(R555,0.01),T555&gt;0,FLOOR(SUM(T555),0.01)),""),""),"")</f>
        <v/>
      </c>
      <c r="W555" s="317" t="str" cm="1">
        <f t="array" aca="1" ref="W555" ca="1">IFERROR(_xlfn.IFS(OR(F555="",LEFT(Methode_Keuze,4)="Geen",Methode_Keuze=""),"",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17" t="str" cm="1">
        <f t="array" aca="1" ref="X555" ca="1">IFERROR(_xlfn.IFS(OR(F555="",LEFT(Methode_Keuze,4)="Geen",Methode_Keuze=""),"",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26"/>
      <c r="Z555" s="319"/>
      <c r="AA555" s="32" t="str" cm="1">
        <f t="array" ref="AA555">IFERROR(IF(INDEX(SubsidieTabel!$AD$1:$AG$12,MATCH($F555,SubsidieTabel!$AD$1:$AD$12,0),IFERROR(MATCH(Methode_Keuze,SubsidieTabel!$AD$1:$AG$1,0),2))&lt;&gt;1=TRUE,"ja",""),"")</f>
        <v/>
      </c>
    </row>
    <row r="556" spans="1:27" x14ac:dyDescent="0.25">
      <c r="A556" s="320"/>
      <c r="B556" s="321" t="str">
        <f>IF(A556&lt;&gt;"",_xlfn.MAXIFS($B$1:B555,$A$1:A555,A556)+1,"")</f>
        <v/>
      </c>
      <c r="C556" s="299"/>
      <c r="D556" s="299"/>
      <c r="E556" s="299"/>
      <c r="F556" s="299"/>
      <c r="G556" s="330"/>
      <c r="H556" s="328"/>
      <c r="I556" s="329"/>
      <c r="J556" s="329"/>
      <c r="K556" s="322"/>
      <c r="L556" s="322"/>
      <c r="M556" s="323" t="str">
        <f>IFERROR(VLOOKUP(H556,Lijsten!$H$1:$I$100,2,0),"")</f>
        <v/>
      </c>
      <c r="N556" s="323" t="str">
        <f ca="1">IFERROR(IF(VLOOKUP(F556,Kostentypen!$A$3:$E$21,3,0)=0,"",IF(OR(F556="Arbeidskosten",F556="Vergoeding"),VLOOKUP(G556,Tb_KostenTypen[],2,0),VLOOKUP(F556,Kostentypen!$A$3:$E$20,3,0))),"")</f>
        <v/>
      </c>
      <c r="O556" s="324"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4"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3"/>
      <c r="R556" s="363"/>
      <c r="S556" s="325"/>
      <c r="T556" s="325"/>
      <c r="U556" s="317" t="str" cm="1">
        <f t="array" aca="1" ref="U556" ca="1">IFERROR(IF(AA556&lt;&gt;"ja",_xlfn.IFNA(_xlfn.IFS(AND(O556&lt;&gt;"",F556&lt;&gt;"",RIGHT($N556,6)="tarief",F556="Vergoeding"),SUM(O556)*FLOOR(SUM(Q556),0.0001),AND(O556&lt;&gt;"",F556&lt;&gt;"",RIGHT($N556,6)="tarief"),SUM(O556)*FLOOR(SUM(Q556),0.01),S556&gt;0,IF(F556&lt;&gt;"",FLOOR(SUM(S556),0.01),"")),""),""),"")</f>
        <v/>
      </c>
      <c r="V556" s="317" t="str" cm="1">
        <f t="array" aca="1" ref="V556" ca="1">IFERROR(IF(AA556&lt;&gt;"ja",_xlfn.IFNA(_xlfn.IFS(AND(P556&lt;&gt;"",R556&lt;&gt;"",RIGHT($N556,6)="tarief",F556="Vergoeding"),SUM(P556)*FLOOR(SUM(R556),0.0001),AND(P556&lt;&gt;"",R556&lt;&gt;"",RIGHT($N556,6)="tarief"),P556*FLOOR(R556,0.01),T556&gt;0,FLOOR(SUM(T556),0.01)),""),""),"")</f>
        <v/>
      </c>
      <c r="W556" s="317" t="str" cm="1">
        <f t="array" aca="1" ref="W556" ca="1">IFERROR(_xlfn.IFS(OR(F556="",LEFT(Methode_Keuze,4)="Geen",Methode_Keuze=""),"",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17" t="str" cm="1">
        <f t="array" aca="1" ref="X556" ca="1">IFERROR(_xlfn.IFS(OR(F556="",LEFT(Methode_Keuze,4)="Geen",Methode_Keuze=""),"",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26"/>
      <c r="Z556" s="319"/>
      <c r="AA556" s="32" t="str" cm="1">
        <f t="array" ref="AA556">IFERROR(IF(INDEX(SubsidieTabel!$AD$1:$AG$12,MATCH($F556,SubsidieTabel!$AD$1:$AD$12,0),IFERROR(MATCH(Methode_Keuze,SubsidieTabel!$AD$1:$AG$1,0),2))&lt;&gt;1=TRUE,"ja",""),"")</f>
        <v/>
      </c>
    </row>
    <row r="557" spans="1:27" x14ac:dyDescent="0.25">
      <c r="A557" s="320"/>
      <c r="B557" s="321" t="str">
        <f>IF(A557&lt;&gt;"",_xlfn.MAXIFS($B$1:B556,$A$1:A556,A557)+1,"")</f>
        <v/>
      </c>
      <c r="C557" s="299"/>
      <c r="D557" s="299"/>
      <c r="E557" s="299"/>
      <c r="F557" s="299"/>
      <c r="G557" s="330"/>
      <c r="H557" s="328"/>
      <c r="I557" s="329"/>
      <c r="J557" s="329"/>
      <c r="K557" s="322"/>
      <c r="L557" s="322"/>
      <c r="M557" s="323" t="str">
        <f>IFERROR(VLOOKUP(H557,Lijsten!$H$1:$I$100,2,0),"")</f>
        <v/>
      </c>
      <c r="N557" s="323" t="str">
        <f ca="1">IFERROR(IF(VLOOKUP(F557,Kostentypen!$A$3:$E$21,3,0)=0,"",IF(OR(F557="Arbeidskosten",F557="Vergoeding"),VLOOKUP(G557,Tb_KostenTypen[],2,0),VLOOKUP(F557,Kostentypen!$A$3:$E$20,3,0))),"")</f>
        <v/>
      </c>
      <c r="O557" s="324"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4"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3"/>
      <c r="R557" s="363"/>
      <c r="S557" s="325"/>
      <c r="T557" s="325"/>
      <c r="U557" s="317" t="str" cm="1">
        <f t="array" aca="1" ref="U557" ca="1">IFERROR(IF(AA557&lt;&gt;"ja",_xlfn.IFNA(_xlfn.IFS(AND(O557&lt;&gt;"",F557&lt;&gt;"",RIGHT($N557,6)="tarief",F557="Vergoeding"),SUM(O557)*FLOOR(SUM(Q557),0.0001),AND(O557&lt;&gt;"",F557&lt;&gt;"",RIGHT($N557,6)="tarief"),SUM(O557)*FLOOR(SUM(Q557),0.01),S557&gt;0,IF(F557&lt;&gt;"",FLOOR(SUM(S557),0.01),"")),""),""),"")</f>
        <v/>
      </c>
      <c r="V557" s="317" t="str" cm="1">
        <f t="array" aca="1" ref="V557" ca="1">IFERROR(IF(AA557&lt;&gt;"ja",_xlfn.IFNA(_xlfn.IFS(AND(P557&lt;&gt;"",R557&lt;&gt;"",RIGHT($N557,6)="tarief",F557="Vergoeding"),SUM(P557)*FLOOR(SUM(R557),0.0001),AND(P557&lt;&gt;"",R557&lt;&gt;"",RIGHT($N557,6)="tarief"),P557*FLOOR(R557,0.01),T557&gt;0,FLOOR(SUM(T557),0.01)),""),""),"")</f>
        <v/>
      </c>
      <c r="W557" s="317" t="str" cm="1">
        <f t="array" aca="1" ref="W557" ca="1">IFERROR(_xlfn.IFS(OR(F557="",LEFT(Methode_Keuze,4)="Geen",Methode_Keuze=""),"",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17" t="str" cm="1">
        <f t="array" aca="1" ref="X557" ca="1">IFERROR(_xlfn.IFS(OR(F557="",LEFT(Methode_Keuze,4)="Geen",Methode_Keuze=""),"",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26"/>
      <c r="Z557" s="319"/>
      <c r="AA557" s="32" t="str" cm="1">
        <f t="array" ref="AA557">IFERROR(IF(INDEX(SubsidieTabel!$AD$1:$AG$12,MATCH($F557,SubsidieTabel!$AD$1:$AD$12,0),IFERROR(MATCH(Methode_Keuze,SubsidieTabel!$AD$1:$AG$1,0),2))&lt;&gt;1=TRUE,"ja",""),"")</f>
        <v/>
      </c>
    </row>
    <row r="558" spans="1:27" x14ac:dyDescent="0.25">
      <c r="A558" s="320"/>
      <c r="B558" s="321" t="str">
        <f>IF(A558&lt;&gt;"",_xlfn.MAXIFS($B$1:B557,$A$1:A557,A558)+1,"")</f>
        <v/>
      </c>
      <c r="C558" s="299"/>
      <c r="D558" s="299"/>
      <c r="E558" s="299"/>
      <c r="F558" s="299"/>
      <c r="G558" s="330"/>
      <c r="H558" s="328"/>
      <c r="I558" s="329"/>
      <c r="J558" s="329"/>
      <c r="K558" s="322"/>
      <c r="L558" s="322"/>
      <c r="M558" s="323" t="str">
        <f>IFERROR(VLOOKUP(H558,Lijsten!$H$1:$I$100,2,0),"")</f>
        <v/>
      </c>
      <c r="N558" s="323" t="str">
        <f ca="1">IFERROR(IF(VLOOKUP(F558,Kostentypen!$A$3:$E$21,3,0)=0,"",IF(OR(F558="Arbeidskosten",F558="Vergoeding"),VLOOKUP(G558,Tb_KostenTypen[],2,0),VLOOKUP(F558,Kostentypen!$A$3:$E$20,3,0))),"")</f>
        <v/>
      </c>
      <c r="O558" s="324"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4"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3"/>
      <c r="R558" s="363"/>
      <c r="S558" s="325"/>
      <c r="T558" s="325"/>
      <c r="U558" s="317" t="str" cm="1">
        <f t="array" aca="1" ref="U558" ca="1">IFERROR(IF(AA558&lt;&gt;"ja",_xlfn.IFNA(_xlfn.IFS(AND(O558&lt;&gt;"",F558&lt;&gt;"",RIGHT($N558,6)="tarief",F558="Vergoeding"),SUM(O558)*FLOOR(SUM(Q558),0.0001),AND(O558&lt;&gt;"",F558&lt;&gt;"",RIGHT($N558,6)="tarief"),SUM(O558)*FLOOR(SUM(Q558),0.01),S558&gt;0,IF(F558&lt;&gt;"",FLOOR(SUM(S558),0.01),"")),""),""),"")</f>
        <v/>
      </c>
      <c r="V558" s="317" t="str" cm="1">
        <f t="array" aca="1" ref="V558" ca="1">IFERROR(IF(AA558&lt;&gt;"ja",_xlfn.IFNA(_xlfn.IFS(AND(P558&lt;&gt;"",R558&lt;&gt;"",RIGHT($N558,6)="tarief",F558="Vergoeding"),SUM(P558)*FLOOR(SUM(R558),0.0001),AND(P558&lt;&gt;"",R558&lt;&gt;"",RIGHT($N558,6)="tarief"),P558*FLOOR(R558,0.01),T558&gt;0,FLOOR(SUM(T558),0.01)),""),""),"")</f>
        <v/>
      </c>
      <c r="W558" s="317" t="str" cm="1">
        <f t="array" aca="1" ref="W558" ca="1">IFERROR(_xlfn.IFS(OR(F558="",LEFT(Methode_Keuze,4)="Geen",Methode_Keuze=""),"",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17" t="str" cm="1">
        <f t="array" aca="1" ref="X558" ca="1">IFERROR(_xlfn.IFS(OR(F558="",LEFT(Methode_Keuze,4)="Geen",Methode_Keuze=""),"",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26"/>
      <c r="Z558" s="319"/>
      <c r="AA558" s="32" t="str" cm="1">
        <f t="array" ref="AA558">IFERROR(IF(INDEX(SubsidieTabel!$AD$1:$AG$12,MATCH($F558,SubsidieTabel!$AD$1:$AD$12,0),IFERROR(MATCH(Methode_Keuze,SubsidieTabel!$AD$1:$AG$1,0),2))&lt;&gt;1=TRUE,"ja",""),"")</f>
        <v/>
      </c>
    </row>
    <row r="559" spans="1:27" x14ac:dyDescent="0.25">
      <c r="A559" s="320"/>
      <c r="B559" s="321" t="str">
        <f>IF(A559&lt;&gt;"",_xlfn.MAXIFS($B$1:B558,$A$1:A558,A559)+1,"")</f>
        <v/>
      </c>
      <c r="C559" s="299"/>
      <c r="D559" s="299"/>
      <c r="E559" s="299"/>
      <c r="F559" s="299"/>
      <c r="G559" s="330"/>
      <c r="H559" s="328"/>
      <c r="I559" s="329"/>
      <c r="J559" s="329"/>
      <c r="K559" s="322"/>
      <c r="L559" s="322"/>
      <c r="M559" s="323" t="str">
        <f>IFERROR(VLOOKUP(H559,Lijsten!$H$1:$I$100,2,0),"")</f>
        <v/>
      </c>
      <c r="N559" s="323" t="str">
        <f ca="1">IFERROR(IF(VLOOKUP(F559,Kostentypen!$A$3:$E$21,3,0)=0,"",IF(OR(F559="Arbeidskosten",F559="Vergoeding"),VLOOKUP(G559,Tb_KostenTypen[],2,0),VLOOKUP(F559,Kostentypen!$A$3:$E$20,3,0))),"")</f>
        <v/>
      </c>
      <c r="O559" s="324"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4"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3"/>
      <c r="R559" s="363"/>
      <c r="S559" s="325"/>
      <c r="T559" s="325"/>
      <c r="U559" s="317" t="str" cm="1">
        <f t="array" aca="1" ref="U559" ca="1">IFERROR(IF(AA559&lt;&gt;"ja",_xlfn.IFNA(_xlfn.IFS(AND(O559&lt;&gt;"",F559&lt;&gt;"",RIGHT($N559,6)="tarief",F559="Vergoeding"),SUM(O559)*FLOOR(SUM(Q559),0.0001),AND(O559&lt;&gt;"",F559&lt;&gt;"",RIGHT($N559,6)="tarief"),SUM(O559)*FLOOR(SUM(Q559),0.01),S559&gt;0,IF(F559&lt;&gt;"",FLOOR(SUM(S559),0.01),"")),""),""),"")</f>
        <v/>
      </c>
      <c r="V559" s="317" t="str" cm="1">
        <f t="array" aca="1" ref="V559" ca="1">IFERROR(IF(AA559&lt;&gt;"ja",_xlfn.IFNA(_xlfn.IFS(AND(P559&lt;&gt;"",R559&lt;&gt;"",RIGHT($N559,6)="tarief",F559="Vergoeding"),SUM(P559)*FLOOR(SUM(R559),0.0001),AND(P559&lt;&gt;"",R559&lt;&gt;"",RIGHT($N559,6)="tarief"),P559*FLOOR(R559,0.01),T559&gt;0,FLOOR(SUM(T559),0.01)),""),""),"")</f>
        <v/>
      </c>
      <c r="W559" s="317" t="str" cm="1">
        <f t="array" aca="1" ref="W559" ca="1">IFERROR(_xlfn.IFS(OR(F559="",LEFT(Methode_Keuze,4)="Geen",Methode_Keuze=""),"",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17" t="str" cm="1">
        <f t="array" aca="1" ref="X559" ca="1">IFERROR(_xlfn.IFS(OR(F559="",LEFT(Methode_Keuze,4)="Geen",Methode_Keuze=""),"",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26"/>
      <c r="Z559" s="319"/>
      <c r="AA559" s="32" t="str" cm="1">
        <f t="array" ref="AA559">IFERROR(IF(INDEX(SubsidieTabel!$AD$1:$AG$12,MATCH($F559,SubsidieTabel!$AD$1:$AD$12,0),IFERROR(MATCH(Methode_Keuze,SubsidieTabel!$AD$1:$AG$1,0),2))&lt;&gt;1=TRUE,"ja",""),"")</f>
        <v/>
      </c>
    </row>
    <row r="560" spans="1:27" x14ac:dyDescent="0.25">
      <c r="A560" s="320"/>
      <c r="B560" s="321" t="str">
        <f>IF(A560&lt;&gt;"",_xlfn.MAXIFS($B$1:B559,$A$1:A559,A560)+1,"")</f>
        <v/>
      </c>
      <c r="C560" s="299"/>
      <c r="D560" s="299"/>
      <c r="E560" s="299"/>
      <c r="F560" s="299"/>
      <c r="G560" s="330"/>
      <c r="H560" s="328"/>
      <c r="I560" s="329"/>
      <c r="J560" s="329"/>
      <c r="K560" s="322"/>
      <c r="L560" s="322"/>
      <c r="M560" s="323" t="str">
        <f>IFERROR(VLOOKUP(H560,Lijsten!$H$1:$I$100,2,0),"")</f>
        <v/>
      </c>
      <c r="N560" s="323" t="str">
        <f ca="1">IFERROR(IF(VLOOKUP(F560,Kostentypen!$A$3:$E$21,3,0)=0,"",IF(OR(F560="Arbeidskosten",F560="Vergoeding"),VLOOKUP(G560,Tb_KostenTypen[],2,0),VLOOKUP(F560,Kostentypen!$A$3:$E$20,3,0))),"")</f>
        <v/>
      </c>
      <c r="O560" s="324"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4"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3"/>
      <c r="R560" s="363"/>
      <c r="S560" s="325"/>
      <c r="T560" s="325"/>
      <c r="U560" s="317" t="str" cm="1">
        <f t="array" aca="1" ref="U560" ca="1">IFERROR(IF(AA560&lt;&gt;"ja",_xlfn.IFNA(_xlfn.IFS(AND(O560&lt;&gt;"",F560&lt;&gt;"",RIGHT($N560,6)="tarief",F560="Vergoeding"),SUM(O560)*FLOOR(SUM(Q560),0.0001),AND(O560&lt;&gt;"",F560&lt;&gt;"",RIGHT($N560,6)="tarief"),SUM(O560)*FLOOR(SUM(Q560),0.01),S560&gt;0,IF(F560&lt;&gt;"",FLOOR(SUM(S560),0.01),"")),""),""),"")</f>
        <v/>
      </c>
      <c r="V560" s="317" t="str" cm="1">
        <f t="array" aca="1" ref="V560" ca="1">IFERROR(IF(AA560&lt;&gt;"ja",_xlfn.IFNA(_xlfn.IFS(AND(P560&lt;&gt;"",R560&lt;&gt;"",RIGHT($N560,6)="tarief",F560="Vergoeding"),SUM(P560)*FLOOR(SUM(R560),0.0001),AND(P560&lt;&gt;"",R560&lt;&gt;"",RIGHT($N560,6)="tarief"),P560*FLOOR(R560,0.01),T560&gt;0,FLOOR(SUM(T560),0.01)),""),""),"")</f>
        <v/>
      </c>
      <c r="W560" s="317" t="str" cm="1">
        <f t="array" aca="1" ref="W560" ca="1">IFERROR(_xlfn.IFS(OR(F560="",LEFT(Methode_Keuze,4)="Geen",Methode_Keuze=""),"",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17" t="str" cm="1">
        <f t="array" aca="1" ref="X560" ca="1">IFERROR(_xlfn.IFS(OR(F560="",LEFT(Methode_Keuze,4)="Geen",Methode_Keuze=""),"",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26"/>
      <c r="Z560" s="319"/>
      <c r="AA560" s="32" t="str" cm="1">
        <f t="array" ref="AA560">IFERROR(IF(INDEX(SubsidieTabel!$AD$1:$AG$12,MATCH($F560,SubsidieTabel!$AD$1:$AD$12,0),IFERROR(MATCH(Methode_Keuze,SubsidieTabel!$AD$1:$AG$1,0),2))&lt;&gt;1=TRUE,"ja",""),"")</f>
        <v/>
      </c>
    </row>
    <row r="561" spans="1:27" x14ac:dyDescent="0.25">
      <c r="A561" s="320"/>
      <c r="B561" s="321" t="str">
        <f>IF(A561&lt;&gt;"",_xlfn.MAXIFS($B$1:B560,$A$1:A560,A561)+1,"")</f>
        <v/>
      </c>
      <c r="C561" s="299"/>
      <c r="D561" s="299"/>
      <c r="E561" s="299"/>
      <c r="F561" s="299"/>
      <c r="G561" s="330"/>
      <c r="H561" s="328"/>
      <c r="I561" s="329"/>
      <c r="J561" s="329"/>
      <c r="K561" s="322"/>
      <c r="L561" s="322"/>
      <c r="M561" s="323" t="str">
        <f>IFERROR(VLOOKUP(H561,Lijsten!$H$1:$I$100,2,0),"")</f>
        <v/>
      </c>
      <c r="N561" s="323" t="str">
        <f ca="1">IFERROR(IF(VLOOKUP(F561,Kostentypen!$A$3:$E$21,3,0)=0,"",IF(OR(F561="Arbeidskosten",F561="Vergoeding"),VLOOKUP(G561,Tb_KostenTypen[],2,0),VLOOKUP(F561,Kostentypen!$A$3:$E$20,3,0))),"")</f>
        <v/>
      </c>
      <c r="O561" s="324"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4"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3"/>
      <c r="R561" s="363"/>
      <c r="S561" s="325"/>
      <c r="T561" s="325"/>
      <c r="U561" s="317" t="str" cm="1">
        <f t="array" aca="1" ref="U561" ca="1">IFERROR(IF(AA561&lt;&gt;"ja",_xlfn.IFNA(_xlfn.IFS(AND(O561&lt;&gt;"",F561&lt;&gt;"",RIGHT($N561,6)="tarief",F561="Vergoeding"),SUM(O561)*FLOOR(SUM(Q561),0.0001),AND(O561&lt;&gt;"",F561&lt;&gt;"",RIGHT($N561,6)="tarief"),SUM(O561)*FLOOR(SUM(Q561),0.01),S561&gt;0,IF(F561&lt;&gt;"",FLOOR(SUM(S561),0.01),"")),""),""),"")</f>
        <v/>
      </c>
      <c r="V561" s="317" t="str" cm="1">
        <f t="array" aca="1" ref="V561" ca="1">IFERROR(IF(AA561&lt;&gt;"ja",_xlfn.IFNA(_xlfn.IFS(AND(P561&lt;&gt;"",R561&lt;&gt;"",RIGHT($N561,6)="tarief",F561="Vergoeding"),SUM(P561)*FLOOR(SUM(R561),0.0001),AND(P561&lt;&gt;"",R561&lt;&gt;"",RIGHT($N561,6)="tarief"),P561*FLOOR(R561,0.01),T561&gt;0,FLOOR(SUM(T561),0.01)),""),""),"")</f>
        <v/>
      </c>
      <c r="W561" s="317" t="str" cm="1">
        <f t="array" aca="1" ref="W561" ca="1">IFERROR(_xlfn.IFS(OR(F561="",LEFT(Methode_Keuze,4)="Geen",Methode_Keuze=""),"",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17" t="str" cm="1">
        <f t="array" aca="1" ref="X561" ca="1">IFERROR(_xlfn.IFS(OR(F561="",LEFT(Methode_Keuze,4)="Geen",Methode_Keuze=""),"",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26"/>
      <c r="Z561" s="319"/>
      <c r="AA561" s="32" t="str" cm="1">
        <f t="array" ref="AA561">IFERROR(IF(INDEX(SubsidieTabel!$AD$1:$AG$12,MATCH($F561,SubsidieTabel!$AD$1:$AD$12,0),IFERROR(MATCH(Methode_Keuze,SubsidieTabel!$AD$1:$AG$1,0),2))&lt;&gt;1=TRUE,"ja",""),"")</f>
        <v/>
      </c>
    </row>
    <row r="562" spans="1:27" x14ac:dyDescent="0.25">
      <c r="A562" s="320"/>
      <c r="B562" s="321" t="str">
        <f>IF(A562&lt;&gt;"",_xlfn.MAXIFS($B$1:B561,$A$1:A561,A562)+1,"")</f>
        <v/>
      </c>
      <c r="C562" s="299"/>
      <c r="D562" s="299"/>
      <c r="E562" s="299"/>
      <c r="F562" s="299"/>
      <c r="G562" s="330"/>
      <c r="H562" s="328"/>
      <c r="I562" s="329"/>
      <c r="J562" s="329"/>
      <c r="K562" s="322"/>
      <c r="L562" s="322"/>
      <c r="M562" s="323" t="str">
        <f>IFERROR(VLOOKUP(H562,Lijsten!$H$1:$I$100,2,0),"")</f>
        <v/>
      </c>
      <c r="N562" s="323" t="str">
        <f ca="1">IFERROR(IF(VLOOKUP(F562,Kostentypen!$A$3:$E$21,3,0)=0,"",IF(OR(F562="Arbeidskosten",F562="Vergoeding"),VLOOKUP(G562,Tb_KostenTypen[],2,0),VLOOKUP(F562,Kostentypen!$A$3:$E$20,3,0))),"")</f>
        <v/>
      </c>
      <c r="O562" s="324"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4"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3"/>
      <c r="R562" s="363"/>
      <c r="S562" s="325"/>
      <c r="T562" s="325"/>
      <c r="U562" s="317" t="str" cm="1">
        <f t="array" aca="1" ref="U562" ca="1">IFERROR(IF(AA562&lt;&gt;"ja",_xlfn.IFNA(_xlfn.IFS(AND(O562&lt;&gt;"",F562&lt;&gt;"",RIGHT($N562,6)="tarief",F562="Vergoeding"),SUM(O562)*FLOOR(SUM(Q562),0.0001),AND(O562&lt;&gt;"",F562&lt;&gt;"",RIGHT($N562,6)="tarief"),SUM(O562)*FLOOR(SUM(Q562),0.01),S562&gt;0,IF(F562&lt;&gt;"",FLOOR(SUM(S562),0.01),"")),""),""),"")</f>
        <v/>
      </c>
      <c r="V562" s="317" t="str" cm="1">
        <f t="array" aca="1" ref="V562" ca="1">IFERROR(IF(AA562&lt;&gt;"ja",_xlfn.IFNA(_xlfn.IFS(AND(P562&lt;&gt;"",R562&lt;&gt;"",RIGHT($N562,6)="tarief",F562="Vergoeding"),SUM(P562)*FLOOR(SUM(R562),0.0001),AND(P562&lt;&gt;"",R562&lt;&gt;"",RIGHT($N562,6)="tarief"),P562*FLOOR(R562,0.01),T562&gt;0,FLOOR(SUM(T562),0.01)),""),""),"")</f>
        <v/>
      </c>
      <c r="W562" s="317" t="str" cm="1">
        <f t="array" aca="1" ref="W562" ca="1">IFERROR(_xlfn.IFS(OR(F562="",LEFT(Methode_Keuze,4)="Geen",Methode_Keuze=""),"",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17" t="str" cm="1">
        <f t="array" aca="1" ref="X562" ca="1">IFERROR(_xlfn.IFS(OR(F562="",LEFT(Methode_Keuze,4)="Geen",Methode_Keuze=""),"",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26"/>
      <c r="Z562" s="319"/>
      <c r="AA562" s="32" t="str" cm="1">
        <f t="array" ref="AA562">IFERROR(IF(INDEX(SubsidieTabel!$AD$1:$AG$12,MATCH($F562,SubsidieTabel!$AD$1:$AD$12,0),IFERROR(MATCH(Methode_Keuze,SubsidieTabel!$AD$1:$AG$1,0),2))&lt;&gt;1=TRUE,"ja",""),"")</f>
        <v/>
      </c>
    </row>
    <row r="563" spans="1:27" x14ac:dyDescent="0.25">
      <c r="A563" s="320"/>
      <c r="B563" s="321" t="str">
        <f>IF(A563&lt;&gt;"",_xlfn.MAXIFS($B$1:B562,$A$1:A562,A563)+1,"")</f>
        <v/>
      </c>
      <c r="C563" s="299"/>
      <c r="D563" s="299"/>
      <c r="E563" s="299"/>
      <c r="F563" s="299"/>
      <c r="G563" s="330"/>
      <c r="H563" s="328"/>
      <c r="I563" s="329"/>
      <c r="J563" s="329"/>
      <c r="K563" s="322"/>
      <c r="L563" s="322"/>
      <c r="M563" s="323" t="str">
        <f>IFERROR(VLOOKUP(H563,Lijsten!$H$1:$I$100,2,0),"")</f>
        <v/>
      </c>
      <c r="N563" s="323" t="str">
        <f ca="1">IFERROR(IF(VLOOKUP(F563,Kostentypen!$A$3:$E$21,3,0)=0,"",IF(OR(F563="Arbeidskosten",F563="Vergoeding"),VLOOKUP(G563,Tb_KostenTypen[],2,0),VLOOKUP(F563,Kostentypen!$A$3:$E$20,3,0))),"")</f>
        <v/>
      </c>
      <c r="O563" s="324"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4"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3"/>
      <c r="R563" s="363"/>
      <c r="S563" s="325"/>
      <c r="T563" s="325"/>
      <c r="U563" s="317" t="str" cm="1">
        <f t="array" aca="1" ref="U563" ca="1">IFERROR(IF(AA563&lt;&gt;"ja",_xlfn.IFNA(_xlfn.IFS(AND(O563&lt;&gt;"",F563&lt;&gt;"",RIGHT($N563,6)="tarief",F563="Vergoeding"),SUM(O563)*FLOOR(SUM(Q563),0.0001),AND(O563&lt;&gt;"",F563&lt;&gt;"",RIGHT($N563,6)="tarief"),SUM(O563)*FLOOR(SUM(Q563),0.01),S563&gt;0,IF(F563&lt;&gt;"",FLOOR(SUM(S563),0.01),"")),""),""),"")</f>
        <v/>
      </c>
      <c r="V563" s="317" t="str" cm="1">
        <f t="array" aca="1" ref="V563" ca="1">IFERROR(IF(AA563&lt;&gt;"ja",_xlfn.IFNA(_xlfn.IFS(AND(P563&lt;&gt;"",R563&lt;&gt;"",RIGHT($N563,6)="tarief",F563="Vergoeding"),SUM(P563)*FLOOR(SUM(R563),0.0001),AND(P563&lt;&gt;"",R563&lt;&gt;"",RIGHT($N563,6)="tarief"),P563*FLOOR(R563,0.01),T563&gt;0,FLOOR(SUM(T563),0.01)),""),""),"")</f>
        <v/>
      </c>
      <c r="W563" s="317" t="str" cm="1">
        <f t="array" aca="1" ref="W563" ca="1">IFERROR(_xlfn.IFS(OR(F563="",LEFT(Methode_Keuze,4)="Geen",Methode_Keuze=""),"",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17" t="str" cm="1">
        <f t="array" aca="1" ref="X563" ca="1">IFERROR(_xlfn.IFS(OR(F563="",LEFT(Methode_Keuze,4)="Geen",Methode_Keuze=""),"",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26"/>
      <c r="Z563" s="319"/>
      <c r="AA563" s="32" t="str" cm="1">
        <f t="array" ref="AA563">IFERROR(IF(INDEX(SubsidieTabel!$AD$1:$AG$12,MATCH($F563,SubsidieTabel!$AD$1:$AD$12,0),IFERROR(MATCH(Methode_Keuze,SubsidieTabel!$AD$1:$AG$1,0),2))&lt;&gt;1=TRUE,"ja",""),"")</f>
        <v/>
      </c>
    </row>
    <row r="564" spans="1:27" x14ac:dyDescent="0.25">
      <c r="A564" s="320"/>
      <c r="B564" s="321" t="str">
        <f>IF(A564&lt;&gt;"",_xlfn.MAXIFS($B$1:B563,$A$1:A563,A564)+1,"")</f>
        <v/>
      </c>
      <c r="C564" s="299"/>
      <c r="D564" s="299"/>
      <c r="E564" s="299"/>
      <c r="F564" s="299"/>
      <c r="G564" s="330"/>
      <c r="H564" s="328"/>
      <c r="I564" s="329"/>
      <c r="J564" s="329"/>
      <c r="K564" s="322"/>
      <c r="L564" s="322"/>
      <c r="M564" s="323" t="str">
        <f>IFERROR(VLOOKUP(H564,Lijsten!$H$1:$I$100,2,0),"")</f>
        <v/>
      </c>
      <c r="N564" s="323" t="str">
        <f ca="1">IFERROR(IF(VLOOKUP(F564,Kostentypen!$A$3:$E$21,3,0)=0,"",IF(OR(F564="Arbeidskosten",F564="Vergoeding"),VLOOKUP(G564,Tb_KostenTypen[],2,0),VLOOKUP(F564,Kostentypen!$A$3:$E$20,3,0))),"")</f>
        <v/>
      </c>
      <c r="O564" s="324"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4"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3"/>
      <c r="R564" s="363"/>
      <c r="S564" s="325"/>
      <c r="T564" s="325"/>
      <c r="U564" s="317" t="str" cm="1">
        <f t="array" aca="1" ref="U564" ca="1">IFERROR(IF(AA564&lt;&gt;"ja",_xlfn.IFNA(_xlfn.IFS(AND(O564&lt;&gt;"",F564&lt;&gt;"",RIGHT($N564,6)="tarief",F564="Vergoeding"),SUM(O564)*FLOOR(SUM(Q564),0.0001),AND(O564&lt;&gt;"",F564&lt;&gt;"",RIGHT($N564,6)="tarief"),SUM(O564)*FLOOR(SUM(Q564),0.01),S564&gt;0,IF(F564&lt;&gt;"",FLOOR(SUM(S564),0.01),"")),""),""),"")</f>
        <v/>
      </c>
      <c r="V564" s="317" t="str" cm="1">
        <f t="array" aca="1" ref="V564" ca="1">IFERROR(IF(AA564&lt;&gt;"ja",_xlfn.IFNA(_xlfn.IFS(AND(P564&lt;&gt;"",R564&lt;&gt;"",RIGHT($N564,6)="tarief",F564="Vergoeding"),SUM(P564)*FLOOR(SUM(R564),0.0001),AND(P564&lt;&gt;"",R564&lt;&gt;"",RIGHT($N564,6)="tarief"),P564*FLOOR(R564,0.01),T564&gt;0,FLOOR(SUM(T564),0.01)),""),""),"")</f>
        <v/>
      </c>
      <c r="W564" s="317" t="str" cm="1">
        <f t="array" aca="1" ref="W564" ca="1">IFERROR(_xlfn.IFS(OR(F564="",LEFT(Methode_Keuze,4)="Geen",Methode_Keuze=""),"",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17" t="str" cm="1">
        <f t="array" aca="1" ref="X564" ca="1">IFERROR(_xlfn.IFS(OR(F564="",LEFT(Methode_Keuze,4)="Geen",Methode_Keuze=""),"",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26"/>
      <c r="Z564" s="319"/>
      <c r="AA564" s="32" t="str" cm="1">
        <f t="array" ref="AA564">IFERROR(IF(INDEX(SubsidieTabel!$AD$1:$AG$12,MATCH($F564,SubsidieTabel!$AD$1:$AD$12,0),IFERROR(MATCH(Methode_Keuze,SubsidieTabel!$AD$1:$AG$1,0),2))&lt;&gt;1=TRUE,"ja",""),"")</f>
        <v/>
      </c>
    </row>
    <row r="565" spans="1:27" x14ac:dyDescent="0.25">
      <c r="A565" s="320"/>
      <c r="B565" s="321" t="str">
        <f>IF(A565&lt;&gt;"",_xlfn.MAXIFS($B$1:B564,$A$1:A564,A565)+1,"")</f>
        <v/>
      </c>
      <c r="C565" s="299"/>
      <c r="D565" s="299"/>
      <c r="E565" s="299"/>
      <c r="F565" s="299"/>
      <c r="G565" s="330"/>
      <c r="H565" s="328"/>
      <c r="I565" s="329"/>
      <c r="J565" s="329"/>
      <c r="K565" s="322"/>
      <c r="L565" s="322"/>
      <c r="M565" s="323" t="str">
        <f>IFERROR(VLOOKUP(H565,Lijsten!$H$1:$I$100,2,0),"")</f>
        <v/>
      </c>
      <c r="N565" s="323" t="str">
        <f ca="1">IFERROR(IF(VLOOKUP(F565,Kostentypen!$A$3:$E$21,3,0)=0,"",IF(OR(F565="Arbeidskosten",F565="Vergoeding"),VLOOKUP(G565,Tb_KostenTypen[],2,0),VLOOKUP(F565,Kostentypen!$A$3:$E$20,3,0))),"")</f>
        <v/>
      </c>
      <c r="O565" s="324"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4"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3"/>
      <c r="R565" s="363"/>
      <c r="S565" s="325"/>
      <c r="T565" s="325"/>
      <c r="U565" s="317" t="str" cm="1">
        <f t="array" aca="1" ref="U565" ca="1">IFERROR(IF(AA565&lt;&gt;"ja",_xlfn.IFNA(_xlfn.IFS(AND(O565&lt;&gt;"",F565&lt;&gt;"",RIGHT($N565,6)="tarief",F565="Vergoeding"),SUM(O565)*FLOOR(SUM(Q565),0.0001),AND(O565&lt;&gt;"",F565&lt;&gt;"",RIGHT($N565,6)="tarief"),SUM(O565)*FLOOR(SUM(Q565),0.01),S565&gt;0,IF(F565&lt;&gt;"",FLOOR(SUM(S565),0.01),"")),""),""),"")</f>
        <v/>
      </c>
      <c r="V565" s="317" t="str" cm="1">
        <f t="array" aca="1" ref="V565" ca="1">IFERROR(IF(AA565&lt;&gt;"ja",_xlfn.IFNA(_xlfn.IFS(AND(P565&lt;&gt;"",R565&lt;&gt;"",RIGHT($N565,6)="tarief",F565="Vergoeding"),SUM(P565)*FLOOR(SUM(R565),0.0001),AND(P565&lt;&gt;"",R565&lt;&gt;"",RIGHT($N565,6)="tarief"),P565*FLOOR(R565,0.01),T565&gt;0,FLOOR(SUM(T565),0.01)),""),""),"")</f>
        <v/>
      </c>
      <c r="W565" s="317" t="str" cm="1">
        <f t="array" aca="1" ref="W565" ca="1">IFERROR(_xlfn.IFS(OR(F565="",LEFT(Methode_Keuze,4)="Geen",Methode_Keuze=""),"",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17" t="str" cm="1">
        <f t="array" aca="1" ref="X565" ca="1">IFERROR(_xlfn.IFS(OR(F565="",LEFT(Methode_Keuze,4)="Geen",Methode_Keuze=""),"",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26"/>
      <c r="Z565" s="319"/>
      <c r="AA565" s="32" t="str" cm="1">
        <f t="array" ref="AA565">IFERROR(IF(INDEX(SubsidieTabel!$AD$1:$AG$12,MATCH($F565,SubsidieTabel!$AD$1:$AD$12,0),IFERROR(MATCH(Methode_Keuze,SubsidieTabel!$AD$1:$AG$1,0),2))&lt;&gt;1=TRUE,"ja",""),"")</f>
        <v/>
      </c>
    </row>
    <row r="566" spans="1:27" x14ac:dyDescent="0.25">
      <c r="A566" s="320"/>
      <c r="B566" s="321" t="str">
        <f>IF(A566&lt;&gt;"",_xlfn.MAXIFS($B$1:B565,$A$1:A565,A566)+1,"")</f>
        <v/>
      </c>
      <c r="C566" s="299"/>
      <c r="D566" s="299"/>
      <c r="E566" s="299"/>
      <c r="F566" s="299"/>
      <c r="G566" s="330"/>
      <c r="H566" s="328"/>
      <c r="I566" s="329"/>
      <c r="J566" s="329"/>
      <c r="K566" s="322"/>
      <c r="L566" s="322"/>
      <c r="M566" s="323" t="str">
        <f>IFERROR(VLOOKUP(H566,Lijsten!$H$1:$I$100,2,0),"")</f>
        <v/>
      </c>
      <c r="N566" s="323" t="str">
        <f ca="1">IFERROR(IF(VLOOKUP(F566,Kostentypen!$A$3:$E$21,3,0)=0,"",IF(OR(F566="Arbeidskosten",F566="Vergoeding"),VLOOKUP(G566,Tb_KostenTypen[],2,0),VLOOKUP(F566,Kostentypen!$A$3:$E$20,3,0))),"")</f>
        <v/>
      </c>
      <c r="O566" s="324"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4"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3"/>
      <c r="R566" s="363"/>
      <c r="S566" s="325"/>
      <c r="T566" s="325"/>
      <c r="U566" s="317" t="str" cm="1">
        <f t="array" aca="1" ref="U566" ca="1">IFERROR(IF(AA566&lt;&gt;"ja",_xlfn.IFNA(_xlfn.IFS(AND(O566&lt;&gt;"",F566&lt;&gt;"",RIGHT($N566,6)="tarief",F566="Vergoeding"),SUM(O566)*FLOOR(SUM(Q566),0.0001),AND(O566&lt;&gt;"",F566&lt;&gt;"",RIGHT($N566,6)="tarief"),SUM(O566)*FLOOR(SUM(Q566),0.01),S566&gt;0,IF(F566&lt;&gt;"",FLOOR(SUM(S566),0.01),"")),""),""),"")</f>
        <v/>
      </c>
      <c r="V566" s="317" t="str" cm="1">
        <f t="array" aca="1" ref="V566" ca="1">IFERROR(IF(AA566&lt;&gt;"ja",_xlfn.IFNA(_xlfn.IFS(AND(P566&lt;&gt;"",R566&lt;&gt;"",RIGHT($N566,6)="tarief",F566="Vergoeding"),SUM(P566)*FLOOR(SUM(R566),0.0001),AND(P566&lt;&gt;"",R566&lt;&gt;"",RIGHT($N566,6)="tarief"),P566*FLOOR(R566,0.01),T566&gt;0,FLOOR(SUM(T566),0.01)),""),""),"")</f>
        <v/>
      </c>
      <c r="W566" s="317" t="str" cm="1">
        <f t="array" aca="1" ref="W566" ca="1">IFERROR(_xlfn.IFS(OR(F566="",LEFT(Methode_Keuze,4)="Geen",Methode_Keuze=""),"",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17" t="str" cm="1">
        <f t="array" aca="1" ref="X566" ca="1">IFERROR(_xlfn.IFS(OR(F566="",LEFT(Methode_Keuze,4)="Geen",Methode_Keuze=""),"",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26"/>
      <c r="Z566" s="319"/>
      <c r="AA566" s="32" t="str" cm="1">
        <f t="array" ref="AA566">IFERROR(IF(INDEX(SubsidieTabel!$AD$1:$AG$12,MATCH($F566,SubsidieTabel!$AD$1:$AD$12,0),IFERROR(MATCH(Methode_Keuze,SubsidieTabel!$AD$1:$AG$1,0),2))&lt;&gt;1=TRUE,"ja",""),"")</f>
        <v/>
      </c>
    </row>
    <row r="567" spans="1:27" x14ac:dyDescent="0.25">
      <c r="A567" s="320"/>
      <c r="B567" s="321" t="str">
        <f>IF(A567&lt;&gt;"",_xlfn.MAXIFS($B$1:B566,$A$1:A566,A567)+1,"")</f>
        <v/>
      </c>
      <c r="C567" s="299"/>
      <c r="D567" s="299"/>
      <c r="E567" s="299"/>
      <c r="F567" s="299"/>
      <c r="G567" s="330"/>
      <c r="H567" s="328"/>
      <c r="I567" s="329"/>
      <c r="J567" s="329"/>
      <c r="K567" s="322"/>
      <c r="L567" s="322"/>
      <c r="M567" s="323" t="str">
        <f>IFERROR(VLOOKUP(H567,Lijsten!$H$1:$I$100,2,0),"")</f>
        <v/>
      </c>
      <c r="N567" s="323" t="str">
        <f ca="1">IFERROR(IF(VLOOKUP(F567,Kostentypen!$A$3:$E$21,3,0)=0,"",IF(OR(F567="Arbeidskosten",F567="Vergoeding"),VLOOKUP(G567,Tb_KostenTypen[],2,0),VLOOKUP(F567,Kostentypen!$A$3:$E$20,3,0))),"")</f>
        <v/>
      </c>
      <c r="O567" s="324"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4"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3"/>
      <c r="R567" s="363"/>
      <c r="S567" s="325"/>
      <c r="T567" s="325"/>
      <c r="U567" s="317" t="str" cm="1">
        <f t="array" aca="1" ref="U567" ca="1">IFERROR(IF(AA567&lt;&gt;"ja",_xlfn.IFNA(_xlfn.IFS(AND(O567&lt;&gt;"",F567&lt;&gt;"",RIGHT($N567,6)="tarief",F567="Vergoeding"),SUM(O567)*FLOOR(SUM(Q567),0.0001),AND(O567&lt;&gt;"",F567&lt;&gt;"",RIGHT($N567,6)="tarief"),SUM(O567)*FLOOR(SUM(Q567),0.01),S567&gt;0,IF(F567&lt;&gt;"",FLOOR(SUM(S567),0.01),"")),""),""),"")</f>
        <v/>
      </c>
      <c r="V567" s="317" t="str" cm="1">
        <f t="array" aca="1" ref="V567" ca="1">IFERROR(IF(AA567&lt;&gt;"ja",_xlfn.IFNA(_xlfn.IFS(AND(P567&lt;&gt;"",R567&lt;&gt;"",RIGHT($N567,6)="tarief",F567="Vergoeding"),SUM(P567)*FLOOR(SUM(R567),0.0001),AND(P567&lt;&gt;"",R567&lt;&gt;"",RIGHT($N567,6)="tarief"),P567*FLOOR(R567,0.01),T567&gt;0,FLOOR(SUM(T567),0.01)),""),""),"")</f>
        <v/>
      </c>
      <c r="W567" s="317" t="str" cm="1">
        <f t="array" aca="1" ref="W567" ca="1">IFERROR(_xlfn.IFS(OR(F567="",LEFT(Methode_Keuze,4)="Geen",Methode_Keuze=""),"",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17" t="str" cm="1">
        <f t="array" aca="1" ref="X567" ca="1">IFERROR(_xlfn.IFS(OR(F567="",LEFT(Methode_Keuze,4)="Geen",Methode_Keuze=""),"",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26"/>
      <c r="Z567" s="319"/>
      <c r="AA567" s="32" t="str" cm="1">
        <f t="array" ref="AA567">IFERROR(IF(INDEX(SubsidieTabel!$AD$1:$AG$12,MATCH($F567,SubsidieTabel!$AD$1:$AD$12,0),IFERROR(MATCH(Methode_Keuze,SubsidieTabel!$AD$1:$AG$1,0),2))&lt;&gt;1=TRUE,"ja",""),"")</f>
        <v/>
      </c>
    </row>
    <row r="568" spans="1:27" x14ac:dyDescent="0.25">
      <c r="A568" s="320"/>
      <c r="B568" s="321" t="str">
        <f>IF(A568&lt;&gt;"",_xlfn.MAXIFS($B$1:B567,$A$1:A567,A568)+1,"")</f>
        <v/>
      </c>
      <c r="C568" s="299"/>
      <c r="D568" s="299"/>
      <c r="E568" s="299"/>
      <c r="F568" s="299"/>
      <c r="G568" s="330"/>
      <c r="H568" s="328"/>
      <c r="I568" s="329"/>
      <c r="J568" s="329"/>
      <c r="K568" s="322"/>
      <c r="L568" s="322"/>
      <c r="M568" s="323" t="str">
        <f>IFERROR(VLOOKUP(H568,Lijsten!$H$1:$I$100,2,0),"")</f>
        <v/>
      </c>
      <c r="N568" s="323" t="str">
        <f ca="1">IFERROR(IF(VLOOKUP(F568,Kostentypen!$A$3:$E$21,3,0)=0,"",IF(OR(F568="Arbeidskosten",F568="Vergoeding"),VLOOKUP(G568,Tb_KostenTypen[],2,0),VLOOKUP(F568,Kostentypen!$A$3:$E$20,3,0))),"")</f>
        <v/>
      </c>
      <c r="O568" s="324"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4"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3"/>
      <c r="R568" s="363"/>
      <c r="S568" s="325"/>
      <c r="T568" s="325"/>
      <c r="U568" s="317" t="str" cm="1">
        <f t="array" aca="1" ref="U568" ca="1">IFERROR(IF(AA568&lt;&gt;"ja",_xlfn.IFNA(_xlfn.IFS(AND(O568&lt;&gt;"",F568&lt;&gt;"",RIGHT($N568,6)="tarief",F568="Vergoeding"),SUM(O568)*FLOOR(SUM(Q568),0.0001),AND(O568&lt;&gt;"",F568&lt;&gt;"",RIGHT($N568,6)="tarief"),SUM(O568)*FLOOR(SUM(Q568),0.01),S568&gt;0,IF(F568&lt;&gt;"",FLOOR(SUM(S568),0.01),"")),""),""),"")</f>
        <v/>
      </c>
      <c r="V568" s="317" t="str" cm="1">
        <f t="array" aca="1" ref="V568" ca="1">IFERROR(IF(AA568&lt;&gt;"ja",_xlfn.IFNA(_xlfn.IFS(AND(P568&lt;&gt;"",R568&lt;&gt;"",RIGHT($N568,6)="tarief",F568="Vergoeding"),SUM(P568)*FLOOR(SUM(R568),0.0001),AND(P568&lt;&gt;"",R568&lt;&gt;"",RIGHT($N568,6)="tarief"),P568*FLOOR(R568,0.01),T568&gt;0,FLOOR(SUM(T568),0.01)),""),""),"")</f>
        <v/>
      </c>
      <c r="W568" s="317" t="str" cm="1">
        <f t="array" aca="1" ref="W568" ca="1">IFERROR(_xlfn.IFS(OR(F568="",LEFT(Methode_Keuze,4)="Geen",Methode_Keuze=""),"",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17" t="str" cm="1">
        <f t="array" aca="1" ref="X568" ca="1">IFERROR(_xlfn.IFS(OR(F568="",LEFT(Methode_Keuze,4)="Geen",Methode_Keuze=""),"",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26"/>
      <c r="Z568" s="319"/>
      <c r="AA568" s="32" t="str" cm="1">
        <f t="array" ref="AA568">IFERROR(IF(INDEX(SubsidieTabel!$AD$1:$AG$12,MATCH($F568,SubsidieTabel!$AD$1:$AD$12,0),IFERROR(MATCH(Methode_Keuze,SubsidieTabel!$AD$1:$AG$1,0),2))&lt;&gt;1=TRUE,"ja",""),"")</f>
        <v/>
      </c>
    </row>
    <row r="569" spans="1:27" x14ac:dyDescent="0.25">
      <c r="A569" s="320"/>
      <c r="B569" s="321" t="str">
        <f>IF(A569&lt;&gt;"",_xlfn.MAXIFS($B$1:B568,$A$1:A568,A569)+1,"")</f>
        <v/>
      </c>
      <c r="C569" s="299"/>
      <c r="D569" s="299"/>
      <c r="E569" s="299"/>
      <c r="F569" s="299"/>
      <c r="G569" s="330"/>
      <c r="H569" s="328"/>
      <c r="I569" s="329"/>
      <c r="J569" s="329"/>
      <c r="K569" s="322"/>
      <c r="L569" s="322"/>
      <c r="M569" s="323" t="str">
        <f>IFERROR(VLOOKUP(H569,Lijsten!$H$1:$I$100,2,0),"")</f>
        <v/>
      </c>
      <c r="N569" s="323" t="str">
        <f ca="1">IFERROR(IF(VLOOKUP(F569,Kostentypen!$A$3:$E$21,3,0)=0,"",IF(OR(F569="Arbeidskosten",F569="Vergoeding"),VLOOKUP(G569,Tb_KostenTypen[],2,0),VLOOKUP(F569,Kostentypen!$A$3:$E$20,3,0))),"")</f>
        <v/>
      </c>
      <c r="O569" s="324"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4"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3"/>
      <c r="R569" s="363"/>
      <c r="S569" s="325"/>
      <c r="T569" s="325"/>
      <c r="U569" s="317" t="str" cm="1">
        <f t="array" aca="1" ref="U569" ca="1">IFERROR(IF(AA569&lt;&gt;"ja",_xlfn.IFNA(_xlfn.IFS(AND(O569&lt;&gt;"",F569&lt;&gt;"",RIGHT($N569,6)="tarief",F569="Vergoeding"),SUM(O569)*FLOOR(SUM(Q569),0.0001),AND(O569&lt;&gt;"",F569&lt;&gt;"",RIGHT($N569,6)="tarief"),SUM(O569)*FLOOR(SUM(Q569),0.01),S569&gt;0,IF(F569&lt;&gt;"",FLOOR(SUM(S569),0.01),"")),""),""),"")</f>
        <v/>
      </c>
      <c r="V569" s="317" t="str" cm="1">
        <f t="array" aca="1" ref="V569" ca="1">IFERROR(IF(AA569&lt;&gt;"ja",_xlfn.IFNA(_xlfn.IFS(AND(P569&lt;&gt;"",R569&lt;&gt;"",RIGHT($N569,6)="tarief",F569="Vergoeding"),SUM(P569)*FLOOR(SUM(R569),0.0001),AND(P569&lt;&gt;"",R569&lt;&gt;"",RIGHT($N569,6)="tarief"),P569*FLOOR(R569,0.01),T569&gt;0,FLOOR(SUM(T569),0.01)),""),""),"")</f>
        <v/>
      </c>
      <c r="W569" s="317" t="str" cm="1">
        <f t="array" aca="1" ref="W569" ca="1">IFERROR(_xlfn.IFS(OR(F569="",LEFT(Methode_Keuze,4)="Geen",Methode_Keuze=""),"",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17" t="str" cm="1">
        <f t="array" aca="1" ref="X569" ca="1">IFERROR(_xlfn.IFS(OR(F569="",LEFT(Methode_Keuze,4)="Geen",Methode_Keuze=""),"",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26"/>
      <c r="Z569" s="319"/>
      <c r="AA569" s="32" t="str" cm="1">
        <f t="array" ref="AA569">IFERROR(IF(INDEX(SubsidieTabel!$AD$1:$AG$12,MATCH($F569,SubsidieTabel!$AD$1:$AD$12,0),IFERROR(MATCH(Methode_Keuze,SubsidieTabel!$AD$1:$AG$1,0),2))&lt;&gt;1=TRUE,"ja",""),"")</f>
        <v/>
      </c>
    </row>
    <row r="570" spans="1:27" x14ac:dyDescent="0.25">
      <c r="A570" s="320"/>
      <c r="B570" s="321" t="str">
        <f>IF(A570&lt;&gt;"",_xlfn.MAXIFS($B$1:B569,$A$1:A569,A570)+1,"")</f>
        <v/>
      </c>
      <c r="C570" s="299"/>
      <c r="D570" s="299"/>
      <c r="E570" s="299"/>
      <c r="F570" s="299"/>
      <c r="G570" s="330"/>
      <c r="H570" s="328"/>
      <c r="I570" s="329"/>
      <c r="J570" s="329"/>
      <c r="K570" s="322"/>
      <c r="L570" s="322"/>
      <c r="M570" s="323" t="str">
        <f>IFERROR(VLOOKUP(H570,Lijsten!$H$1:$I$100,2,0),"")</f>
        <v/>
      </c>
      <c r="N570" s="323" t="str">
        <f ca="1">IFERROR(IF(VLOOKUP(F570,Kostentypen!$A$3:$E$21,3,0)=0,"",IF(OR(F570="Arbeidskosten",F570="Vergoeding"),VLOOKUP(G570,Tb_KostenTypen[],2,0),VLOOKUP(F570,Kostentypen!$A$3:$E$20,3,0))),"")</f>
        <v/>
      </c>
      <c r="O570" s="324"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4"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3"/>
      <c r="R570" s="363"/>
      <c r="S570" s="325"/>
      <c r="T570" s="325"/>
      <c r="U570" s="317" t="str" cm="1">
        <f t="array" aca="1" ref="U570" ca="1">IFERROR(IF(AA570&lt;&gt;"ja",_xlfn.IFNA(_xlfn.IFS(AND(O570&lt;&gt;"",F570&lt;&gt;"",RIGHT($N570,6)="tarief",F570="Vergoeding"),SUM(O570)*FLOOR(SUM(Q570),0.0001),AND(O570&lt;&gt;"",F570&lt;&gt;"",RIGHT($N570,6)="tarief"),SUM(O570)*FLOOR(SUM(Q570),0.01),S570&gt;0,IF(F570&lt;&gt;"",FLOOR(SUM(S570),0.01),"")),""),""),"")</f>
        <v/>
      </c>
      <c r="V570" s="317" t="str" cm="1">
        <f t="array" aca="1" ref="V570" ca="1">IFERROR(IF(AA570&lt;&gt;"ja",_xlfn.IFNA(_xlfn.IFS(AND(P570&lt;&gt;"",R570&lt;&gt;"",RIGHT($N570,6)="tarief",F570="Vergoeding"),SUM(P570)*FLOOR(SUM(R570),0.0001),AND(P570&lt;&gt;"",R570&lt;&gt;"",RIGHT($N570,6)="tarief"),P570*FLOOR(R570,0.01),T570&gt;0,FLOOR(SUM(T570),0.01)),""),""),"")</f>
        <v/>
      </c>
      <c r="W570" s="317" t="str" cm="1">
        <f t="array" aca="1" ref="W570" ca="1">IFERROR(_xlfn.IFS(OR(F570="",LEFT(Methode_Keuze,4)="Geen",Methode_Keuze=""),"",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17" t="str" cm="1">
        <f t="array" aca="1" ref="X570" ca="1">IFERROR(_xlfn.IFS(OR(F570="",LEFT(Methode_Keuze,4)="Geen",Methode_Keuze=""),"",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26"/>
      <c r="Z570" s="319"/>
      <c r="AA570" s="32" t="str" cm="1">
        <f t="array" ref="AA570">IFERROR(IF(INDEX(SubsidieTabel!$AD$1:$AG$12,MATCH($F570,SubsidieTabel!$AD$1:$AD$12,0),IFERROR(MATCH(Methode_Keuze,SubsidieTabel!$AD$1:$AG$1,0),2))&lt;&gt;1=TRUE,"ja",""),"")</f>
        <v/>
      </c>
    </row>
    <row r="571" spans="1:27" x14ac:dyDescent="0.25">
      <c r="A571" s="320"/>
      <c r="B571" s="321" t="str">
        <f>IF(A571&lt;&gt;"",_xlfn.MAXIFS($B$1:B570,$A$1:A570,A571)+1,"")</f>
        <v/>
      </c>
      <c r="C571" s="299"/>
      <c r="D571" s="299"/>
      <c r="E571" s="299"/>
      <c r="F571" s="299"/>
      <c r="G571" s="330"/>
      <c r="H571" s="328"/>
      <c r="I571" s="329"/>
      <c r="J571" s="329"/>
      <c r="K571" s="322"/>
      <c r="L571" s="322"/>
      <c r="M571" s="323" t="str">
        <f>IFERROR(VLOOKUP(H571,Lijsten!$H$1:$I$100,2,0),"")</f>
        <v/>
      </c>
      <c r="N571" s="323" t="str">
        <f ca="1">IFERROR(IF(VLOOKUP(F571,Kostentypen!$A$3:$E$21,3,0)=0,"",IF(OR(F571="Arbeidskosten",F571="Vergoeding"),VLOOKUP(G571,Tb_KostenTypen[],2,0),VLOOKUP(F571,Kostentypen!$A$3:$E$20,3,0))),"")</f>
        <v/>
      </c>
      <c r="O571" s="324"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4"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3"/>
      <c r="R571" s="363"/>
      <c r="S571" s="325"/>
      <c r="T571" s="325"/>
      <c r="U571" s="317" t="str" cm="1">
        <f t="array" aca="1" ref="U571" ca="1">IFERROR(IF(AA571&lt;&gt;"ja",_xlfn.IFNA(_xlfn.IFS(AND(O571&lt;&gt;"",F571&lt;&gt;"",RIGHT($N571,6)="tarief",F571="Vergoeding"),SUM(O571)*FLOOR(SUM(Q571),0.0001),AND(O571&lt;&gt;"",F571&lt;&gt;"",RIGHT($N571,6)="tarief"),SUM(O571)*FLOOR(SUM(Q571),0.01),S571&gt;0,IF(F571&lt;&gt;"",FLOOR(SUM(S571),0.01),"")),""),""),"")</f>
        <v/>
      </c>
      <c r="V571" s="317" t="str" cm="1">
        <f t="array" aca="1" ref="V571" ca="1">IFERROR(IF(AA571&lt;&gt;"ja",_xlfn.IFNA(_xlfn.IFS(AND(P571&lt;&gt;"",R571&lt;&gt;"",RIGHT($N571,6)="tarief",F571="Vergoeding"),SUM(P571)*FLOOR(SUM(R571),0.0001),AND(P571&lt;&gt;"",R571&lt;&gt;"",RIGHT($N571,6)="tarief"),P571*FLOOR(R571,0.01),T571&gt;0,FLOOR(SUM(T571),0.01)),""),""),"")</f>
        <v/>
      </c>
      <c r="W571" s="317" t="str" cm="1">
        <f t="array" aca="1" ref="W571" ca="1">IFERROR(_xlfn.IFS(OR(F571="",LEFT(Methode_Keuze,4)="Geen",Methode_Keuze=""),"",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17" t="str" cm="1">
        <f t="array" aca="1" ref="X571" ca="1">IFERROR(_xlfn.IFS(OR(F571="",LEFT(Methode_Keuze,4)="Geen",Methode_Keuze=""),"",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26"/>
      <c r="Z571" s="319"/>
      <c r="AA571" s="32" t="str" cm="1">
        <f t="array" ref="AA571">IFERROR(IF(INDEX(SubsidieTabel!$AD$1:$AG$12,MATCH($F571,SubsidieTabel!$AD$1:$AD$12,0),IFERROR(MATCH(Methode_Keuze,SubsidieTabel!$AD$1:$AG$1,0),2))&lt;&gt;1=TRUE,"ja",""),"")</f>
        <v/>
      </c>
    </row>
    <row r="572" spans="1:27" x14ac:dyDescent="0.25">
      <c r="A572" s="320"/>
      <c r="B572" s="321" t="str">
        <f>IF(A572&lt;&gt;"",_xlfn.MAXIFS($B$1:B571,$A$1:A571,A572)+1,"")</f>
        <v/>
      </c>
      <c r="C572" s="299"/>
      <c r="D572" s="299"/>
      <c r="E572" s="299"/>
      <c r="F572" s="299"/>
      <c r="G572" s="330"/>
      <c r="H572" s="328"/>
      <c r="I572" s="329"/>
      <c r="J572" s="329"/>
      <c r="K572" s="322"/>
      <c r="L572" s="322"/>
      <c r="M572" s="323" t="str">
        <f>IFERROR(VLOOKUP(H572,Lijsten!$H$1:$I$100,2,0),"")</f>
        <v/>
      </c>
      <c r="N572" s="323" t="str">
        <f ca="1">IFERROR(IF(VLOOKUP(F572,Kostentypen!$A$3:$E$21,3,0)=0,"",IF(OR(F572="Arbeidskosten",F572="Vergoeding"),VLOOKUP(G572,Tb_KostenTypen[],2,0),VLOOKUP(F572,Kostentypen!$A$3:$E$20,3,0))),"")</f>
        <v/>
      </c>
      <c r="O572" s="324"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4"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3"/>
      <c r="R572" s="363"/>
      <c r="S572" s="325"/>
      <c r="T572" s="325"/>
      <c r="U572" s="317" t="str" cm="1">
        <f t="array" aca="1" ref="U572" ca="1">IFERROR(IF(AA572&lt;&gt;"ja",_xlfn.IFNA(_xlfn.IFS(AND(O572&lt;&gt;"",F572&lt;&gt;"",RIGHT($N572,6)="tarief",F572="Vergoeding"),SUM(O572)*FLOOR(SUM(Q572),0.0001),AND(O572&lt;&gt;"",F572&lt;&gt;"",RIGHT($N572,6)="tarief"),SUM(O572)*FLOOR(SUM(Q572),0.01),S572&gt;0,IF(F572&lt;&gt;"",FLOOR(SUM(S572),0.01),"")),""),""),"")</f>
        <v/>
      </c>
      <c r="V572" s="317" t="str" cm="1">
        <f t="array" aca="1" ref="V572" ca="1">IFERROR(IF(AA572&lt;&gt;"ja",_xlfn.IFNA(_xlfn.IFS(AND(P572&lt;&gt;"",R572&lt;&gt;"",RIGHT($N572,6)="tarief",F572="Vergoeding"),SUM(P572)*FLOOR(SUM(R572),0.0001),AND(P572&lt;&gt;"",R572&lt;&gt;"",RIGHT($N572,6)="tarief"),P572*FLOOR(R572,0.01),T572&gt;0,FLOOR(SUM(T572),0.01)),""),""),"")</f>
        <v/>
      </c>
      <c r="W572" s="317" t="str" cm="1">
        <f t="array" aca="1" ref="W572" ca="1">IFERROR(_xlfn.IFS(OR(F572="",LEFT(Methode_Keuze,4)="Geen",Methode_Keuze=""),"",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17" t="str" cm="1">
        <f t="array" aca="1" ref="X572" ca="1">IFERROR(_xlfn.IFS(OR(F572="",LEFT(Methode_Keuze,4)="Geen",Methode_Keuze=""),"",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26"/>
      <c r="Z572" s="319"/>
      <c r="AA572" s="32" t="str" cm="1">
        <f t="array" ref="AA572">IFERROR(IF(INDEX(SubsidieTabel!$AD$1:$AG$12,MATCH($F572,SubsidieTabel!$AD$1:$AD$12,0),IFERROR(MATCH(Methode_Keuze,SubsidieTabel!$AD$1:$AG$1,0),2))&lt;&gt;1=TRUE,"ja",""),"")</f>
        <v/>
      </c>
    </row>
    <row r="573" spans="1:27" x14ac:dyDescent="0.25">
      <c r="A573" s="320"/>
      <c r="B573" s="321" t="str">
        <f>IF(A573&lt;&gt;"",_xlfn.MAXIFS($B$1:B572,$A$1:A572,A573)+1,"")</f>
        <v/>
      </c>
      <c r="C573" s="299"/>
      <c r="D573" s="299"/>
      <c r="E573" s="299"/>
      <c r="F573" s="299"/>
      <c r="G573" s="330"/>
      <c r="H573" s="328"/>
      <c r="I573" s="329"/>
      <c r="J573" s="329"/>
      <c r="K573" s="322"/>
      <c r="L573" s="322"/>
      <c r="M573" s="323" t="str">
        <f>IFERROR(VLOOKUP(H573,Lijsten!$H$1:$I$100,2,0),"")</f>
        <v/>
      </c>
      <c r="N573" s="323" t="str">
        <f ca="1">IFERROR(IF(VLOOKUP(F573,Kostentypen!$A$3:$E$21,3,0)=0,"",IF(OR(F573="Arbeidskosten",F573="Vergoeding"),VLOOKUP(G573,Tb_KostenTypen[],2,0),VLOOKUP(F573,Kostentypen!$A$3:$E$20,3,0))),"")</f>
        <v/>
      </c>
      <c r="O573" s="324"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4"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3"/>
      <c r="R573" s="363"/>
      <c r="S573" s="325"/>
      <c r="T573" s="325"/>
      <c r="U573" s="317" t="str" cm="1">
        <f t="array" aca="1" ref="U573" ca="1">IFERROR(IF(AA573&lt;&gt;"ja",_xlfn.IFNA(_xlfn.IFS(AND(O573&lt;&gt;"",F573&lt;&gt;"",RIGHT($N573,6)="tarief",F573="Vergoeding"),SUM(O573)*FLOOR(SUM(Q573),0.0001),AND(O573&lt;&gt;"",F573&lt;&gt;"",RIGHT($N573,6)="tarief"),SUM(O573)*FLOOR(SUM(Q573),0.01),S573&gt;0,IF(F573&lt;&gt;"",FLOOR(SUM(S573),0.01),"")),""),""),"")</f>
        <v/>
      </c>
      <c r="V573" s="317" t="str" cm="1">
        <f t="array" aca="1" ref="V573" ca="1">IFERROR(IF(AA573&lt;&gt;"ja",_xlfn.IFNA(_xlfn.IFS(AND(P573&lt;&gt;"",R573&lt;&gt;"",RIGHT($N573,6)="tarief",F573="Vergoeding"),SUM(P573)*FLOOR(SUM(R573),0.0001),AND(P573&lt;&gt;"",R573&lt;&gt;"",RIGHT($N573,6)="tarief"),P573*FLOOR(R573,0.01),T573&gt;0,FLOOR(SUM(T573),0.01)),""),""),"")</f>
        <v/>
      </c>
      <c r="W573" s="317" t="str" cm="1">
        <f t="array" aca="1" ref="W573" ca="1">IFERROR(_xlfn.IFS(OR(F573="",LEFT(Methode_Keuze,4)="Geen",Methode_Keuze=""),"",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17" t="str" cm="1">
        <f t="array" aca="1" ref="X573" ca="1">IFERROR(_xlfn.IFS(OR(F573="",LEFT(Methode_Keuze,4)="Geen",Methode_Keuze=""),"",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26"/>
      <c r="Z573" s="319"/>
      <c r="AA573" s="32" t="str" cm="1">
        <f t="array" ref="AA573">IFERROR(IF(INDEX(SubsidieTabel!$AD$1:$AG$12,MATCH($F573,SubsidieTabel!$AD$1:$AD$12,0),IFERROR(MATCH(Methode_Keuze,SubsidieTabel!$AD$1:$AG$1,0),2))&lt;&gt;1=TRUE,"ja",""),"")</f>
        <v/>
      </c>
    </row>
    <row r="574" spans="1:27" x14ac:dyDescent="0.25">
      <c r="A574" s="320"/>
      <c r="B574" s="321" t="str">
        <f>IF(A574&lt;&gt;"",_xlfn.MAXIFS($B$1:B573,$A$1:A573,A574)+1,"")</f>
        <v/>
      </c>
      <c r="C574" s="299"/>
      <c r="D574" s="299"/>
      <c r="E574" s="299"/>
      <c r="F574" s="299"/>
      <c r="G574" s="330"/>
      <c r="H574" s="328"/>
      <c r="I574" s="329"/>
      <c r="J574" s="329"/>
      <c r="K574" s="322"/>
      <c r="L574" s="322"/>
      <c r="M574" s="323" t="str">
        <f>IFERROR(VLOOKUP(H574,Lijsten!$H$1:$I$100,2,0),"")</f>
        <v/>
      </c>
      <c r="N574" s="323" t="str">
        <f ca="1">IFERROR(IF(VLOOKUP(F574,Kostentypen!$A$3:$E$21,3,0)=0,"",IF(OR(F574="Arbeidskosten",F574="Vergoeding"),VLOOKUP(G574,Tb_KostenTypen[],2,0),VLOOKUP(F574,Kostentypen!$A$3:$E$20,3,0))),"")</f>
        <v/>
      </c>
      <c r="O574" s="324"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4"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3"/>
      <c r="R574" s="363"/>
      <c r="S574" s="325"/>
      <c r="T574" s="325"/>
      <c r="U574" s="317" t="str" cm="1">
        <f t="array" aca="1" ref="U574" ca="1">IFERROR(IF(AA574&lt;&gt;"ja",_xlfn.IFNA(_xlfn.IFS(AND(O574&lt;&gt;"",F574&lt;&gt;"",RIGHT($N574,6)="tarief",F574="Vergoeding"),SUM(O574)*FLOOR(SUM(Q574),0.0001),AND(O574&lt;&gt;"",F574&lt;&gt;"",RIGHT($N574,6)="tarief"),SUM(O574)*FLOOR(SUM(Q574),0.01),S574&gt;0,IF(F574&lt;&gt;"",FLOOR(SUM(S574),0.01),"")),""),""),"")</f>
        <v/>
      </c>
      <c r="V574" s="317" t="str" cm="1">
        <f t="array" aca="1" ref="V574" ca="1">IFERROR(IF(AA574&lt;&gt;"ja",_xlfn.IFNA(_xlfn.IFS(AND(P574&lt;&gt;"",R574&lt;&gt;"",RIGHT($N574,6)="tarief",F574="Vergoeding"),SUM(P574)*FLOOR(SUM(R574),0.0001),AND(P574&lt;&gt;"",R574&lt;&gt;"",RIGHT($N574,6)="tarief"),P574*FLOOR(R574,0.01),T574&gt;0,FLOOR(SUM(T574),0.01)),""),""),"")</f>
        <v/>
      </c>
      <c r="W574" s="317" t="str" cm="1">
        <f t="array" aca="1" ref="W574" ca="1">IFERROR(_xlfn.IFS(OR(F574="",LEFT(Methode_Keuze,4)="Geen",Methode_Keuze=""),"",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17" t="str" cm="1">
        <f t="array" aca="1" ref="X574" ca="1">IFERROR(_xlfn.IFS(OR(F574="",LEFT(Methode_Keuze,4)="Geen",Methode_Keuze=""),"",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26"/>
      <c r="Z574" s="319"/>
      <c r="AA574" s="32" t="str" cm="1">
        <f t="array" ref="AA574">IFERROR(IF(INDEX(SubsidieTabel!$AD$1:$AG$12,MATCH($F574,SubsidieTabel!$AD$1:$AD$12,0),IFERROR(MATCH(Methode_Keuze,SubsidieTabel!$AD$1:$AG$1,0),2))&lt;&gt;1=TRUE,"ja",""),"")</f>
        <v/>
      </c>
    </row>
    <row r="575" spans="1:27" x14ac:dyDescent="0.25">
      <c r="A575" s="320"/>
      <c r="B575" s="321" t="str">
        <f>IF(A575&lt;&gt;"",_xlfn.MAXIFS($B$1:B574,$A$1:A574,A575)+1,"")</f>
        <v/>
      </c>
      <c r="C575" s="299"/>
      <c r="D575" s="299"/>
      <c r="E575" s="299"/>
      <c r="F575" s="299"/>
      <c r="G575" s="330"/>
      <c r="H575" s="328"/>
      <c r="I575" s="329"/>
      <c r="J575" s="329"/>
      <c r="K575" s="322"/>
      <c r="L575" s="322"/>
      <c r="M575" s="323" t="str">
        <f>IFERROR(VLOOKUP(H575,Lijsten!$H$1:$I$100,2,0),"")</f>
        <v/>
      </c>
      <c r="N575" s="323" t="str">
        <f ca="1">IFERROR(IF(VLOOKUP(F575,Kostentypen!$A$3:$E$21,3,0)=0,"",IF(OR(F575="Arbeidskosten",F575="Vergoeding"),VLOOKUP(G575,Tb_KostenTypen[],2,0),VLOOKUP(F575,Kostentypen!$A$3:$E$20,3,0))),"")</f>
        <v/>
      </c>
      <c r="O575" s="324"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4"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3"/>
      <c r="R575" s="363"/>
      <c r="S575" s="325"/>
      <c r="T575" s="325"/>
      <c r="U575" s="317" t="str" cm="1">
        <f t="array" aca="1" ref="U575" ca="1">IFERROR(IF(AA575&lt;&gt;"ja",_xlfn.IFNA(_xlfn.IFS(AND(O575&lt;&gt;"",F575&lt;&gt;"",RIGHT($N575,6)="tarief",F575="Vergoeding"),SUM(O575)*FLOOR(SUM(Q575),0.0001),AND(O575&lt;&gt;"",F575&lt;&gt;"",RIGHT($N575,6)="tarief"),SUM(O575)*FLOOR(SUM(Q575),0.01),S575&gt;0,IF(F575&lt;&gt;"",FLOOR(SUM(S575),0.01),"")),""),""),"")</f>
        <v/>
      </c>
      <c r="V575" s="317" t="str" cm="1">
        <f t="array" aca="1" ref="V575" ca="1">IFERROR(IF(AA575&lt;&gt;"ja",_xlfn.IFNA(_xlfn.IFS(AND(P575&lt;&gt;"",R575&lt;&gt;"",RIGHT($N575,6)="tarief",F575="Vergoeding"),SUM(P575)*FLOOR(SUM(R575),0.0001),AND(P575&lt;&gt;"",R575&lt;&gt;"",RIGHT($N575,6)="tarief"),P575*FLOOR(R575,0.01),T575&gt;0,FLOOR(SUM(T575),0.01)),""),""),"")</f>
        <v/>
      </c>
      <c r="W575" s="317" t="str" cm="1">
        <f t="array" aca="1" ref="W575" ca="1">IFERROR(_xlfn.IFS(OR(F575="",LEFT(Methode_Keuze,4)="Geen",Methode_Keuze=""),"",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17" t="str" cm="1">
        <f t="array" aca="1" ref="X575" ca="1">IFERROR(_xlfn.IFS(OR(F575="",LEFT(Methode_Keuze,4)="Geen",Methode_Keuze=""),"",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26"/>
      <c r="Z575" s="319"/>
      <c r="AA575" s="32" t="str" cm="1">
        <f t="array" ref="AA575">IFERROR(IF(INDEX(SubsidieTabel!$AD$1:$AG$12,MATCH($F575,SubsidieTabel!$AD$1:$AD$12,0),IFERROR(MATCH(Methode_Keuze,SubsidieTabel!$AD$1:$AG$1,0),2))&lt;&gt;1=TRUE,"ja",""),"")</f>
        <v/>
      </c>
    </row>
    <row r="576" spans="1:27" x14ac:dyDescent="0.25">
      <c r="A576" s="320"/>
      <c r="B576" s="321" t="str">
        <f>IF(A576&lt;&gt;"",_xlfn.MAXIFS($B$1:B575,$A$1:A575,A576)+1,"")</f>
        <v/>
      </c>
      <c r="C576" s="299"/>
      <c r="D576" s="299"/>
      <c r="E576" s="299"/>
      <c r="F576" s="299"/>
      <c r="G576" s="330"/>
      <c r="H576" s="328"/>
      <c r="I576" s="329"/>
      <c r="J576" s="329"/>
      <c r="K576" s="322"/>
      <c r="L576" s="322"/>
      <c r="M576" s="323" t="str">
        <f>IFERROR(VLOOKUP(H576,Lijsten!$H$1:$I$100,2,0),"")</f>
        <v/>
      </c>
      <c r="N576" s="323" t="str">
        <f ca="1">IFERROR(IF(VLOOKUP(F576,Kostentypen!$A$3:$E$21,3,0)=0,"",IF(OR(F576="Arbeidskosten",F576="Vergoeding"),VLOOKUP(G576,Tb_KostenTypen[],2,0),VLOOKUP(F576,Kostentypen!$A$3:$E$20,3,0))),"")</f>
        <v/>
      </c>
      <c r="O576" s="324"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4"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3"/>
      <c r="R576" s="363"/>
      <c r="S576" s="325"/>
      <c r="T576" s="325"/>
      <c r="U576" s="317" t="str" cm="1">
        <f t="array" aca="1" ref="U576" ca="1">IFERROR(IF(AA576&lt;&gt;"ja",_xlfn.IFNA(_xlfn.IFS(AND(O576&lt;&gt;"",F576&lt;&gt;"",RIGHT($N576,6)="tarief",F576="Vergoeding"),SUM(O576)*FLOOR(SUM(Q576),0.0001),AND(O576&lt;&gt;"",F576&lt;&gt;"",RIGHT($N576,6)="tarief"),SUM(O576)*FLOOR(SUM(Q576),0.01),S576&gt;0,IF(F576&lt;&gt;"",FLOOR(SUM(S576),0.01),"")),""),""),"")</f>
        <v/>
      </c>
      <c r="V576" s="317" t="str" cm="1">
        <f t="array" aca="1" ref="V576" ca="1">IFERROR(IF(AA576&lt;&gt;"ja",_xlfn.IFNA(_xlfn.IFS(AND(P576&lt;&gt;"",R576&lt;&gt;"",RIGHT($N576,6)="tarief",F576="Vergoeding"),SUM(P576)*FLOOR(SUM(R576),0.0001),AND(P576&lt;&gt;"",R576&lt;&gt;"",RIGHT($N576,6)="tarief"),P576*FLOOR(R576,0.01),T576&gt;0,FLOOR(SUM(T576),0.01)),""),""),"")</f>
        <v/>
      </c>
      <c r="W576" s="317" t="str" cm="1">
        <f t="array" aca="1" ref="W576" ca="1">IFERROR(_xlfn.IFS(OR(F576="",LEFT(Methode_Keuze,4)="Geen",Methode_Keuze=""),"",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17" t="str" cm="1">
        <f t="array" aca="1" ref="X576" ca="1">IFERROR(_xlfn.IFS(OR(F576="",LEFT(Methode_Keuze,4)="Geen",Methode_Keuze=""),"",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26"/>
      <c r="Z576" s="319"/>
      <c r="AA576" s="32" t="str" cm="1">
        <f t="array" ref="AA576">IFERROR(IF(INDEX(SubsidieTabel!$AD$1:$AG$12,MATCH($F576,SubsidieTabel!$AD$1:$AD$12,0),IFERROR(MATCH(Methode_Keuze,SubsidieTabel!$AD$1:$AG$1,0),2))&lt;&gt;1=TRUE,"ja",""),"")</f>
        <v/>
      </c>
    </row>
    <row r="577" spans="1:27" x14ac:dyDescent="0.25">
      <c r="A577" s="320"/>
      <c r="B577" s="321" t="str">
        <f>IF(A577&lt;&gt;"",_xlfn.MAXIFS($B$1:B576,$A$1:A576,A577)+1,"")</f>
        <v/>
      </c>
      <c r="C577" s="299"/>
      <c r="D577" s="299"/>
      <c r="E577" s="299"/>
      <c r="F577" s="299"/>
      <c r="G577" s="330"/>
      <c r="H577" s="328"/>
      <c r="I577" s="329"/>
      <c r="J577" s="329"/>
      <c r="K577" s="322"/>
      <c r="L577" s="322"/>
      <c r="M577" s="323" t="str">
        <f>IFERROR(VLOOKUP(H577,Lijsten!$H$1:$I$100,2,0),"")</f>
        <v/>
      </c>
      <c r="N577" s="323" t="str">
        <f ca="1">IFERROR(IF(VLOOKUP(F577,Kostentypen!$A$3:$E$21,3,0)=0,"",IF(OR(F577="Arbeidskosten",F577="Vergoeding"),VLOOKUP(G577,Tb_KostenTypen[],2,0),VLOOKUP(F577,Kostentypen!$A$3:$E$20,3,0))),"")</f>
        <v/>
      </c>
      <c r="O577" s="324"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4"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3"/>
      <c r="R577" s="363"/>
      <c r="S577" s="325"/>
      <c r="T577" s="325"/>
      <c r="U577" s="317" t="str" cm="1">
        <f t="array" aca="1" ref="U577" ca="1">IFERROR(IF(AA577&lt;&gt;"ja",_xlfn.IFNA(_xlfn.IFS(AND(O577&lt;&gt;"",F577&lt;&gt;"",RIGHT($N577,6)="tarief",F577="Vergoeding"),SUM(O577)*FLOOR(SUM(Q577),0.0001),AND(O577&lt;&gt;"",F577&lt;&gt;"",RIGHT($N577,6)="tarief"),SUM(O577)*FLOOR(SUM(Q577),0.01),S577&gt;0,IF(F577&lt;&gt;"",FLOOR(SUM(S577),0.01),"")),""),""),"")</f>
        <v/>
      </c>
      <c r="V577" s="317" t="str" cm="1">
        <f t="array" aca="1" ref="V577" ca="1">IFERROR(IF(AA577&lt;&gt;"ja",_xlfn.IFNA(_xlfn.IFS(AND(P577&lt;&gt;"",R577&lt;&gt;"",RIGHT($N577,6)="tarief",F577="Vergoeding"),SUM(P577)*FLOOR(SUM(R577),0.0001),AND(P577&lt;&gt;"",R577&lt;&gt;"",RIGHT($N577,6)="tarief"),P577*FLOOR(R577,0.01),T577&gt;0,FLOOR(SUM(T577),0.01)),""),""),"")</f>
        <v/>
      </c>
      <c r="W577" s="317" t="str" cm="1">
        <f t="array" aca="1" ref="W577" ca="1">IFERROR(_xlfn.IFS(OR(F577="",LEFT(Methode_Keuze,4)="Geen",Methode_Keuze=""),"",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17" t="str" cm="1">
        <f t="array" aca="1" ref="X577" ca="1">IFERROR(_xlfn.IFS(OR(F577="",LEFT(Methode_Keuze,4)="Geen",Methode_Keuze=""),"",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26"/>
      <c r="Z577" s="319"/>
      <c r="AA577" s="32" t="str" cm="1">
        <f t="array" ref="AA577">IFERROR(IF(INDEX(SubsidieTabel!$AD$1:$AG$12,MATCH($F577,SubsidieTabel!$AD$1:$AD$12,0),IFERROR(MATCH(Methode_Keuze,SubsidieTabel!$AD$1:$AG$1,0),2))&lt;&gt;1=TRUE,"ja",""),"")</f>
        <v/>
      </c>
    </row>
    <row r="578" spans="1:27" x14ac:dyDescent="0.25">
      <c r="A578" s="320"/>
      <c r="B578" s="321" t="str">
        <f>IF(A578&lt;&gt;"",_xlfn.MAXIFS($B$1:B577,$A$1:A577,A578)+1,"")</f>
        <v/>
      </c>
      <c r="C578" s="299"/>
      <c r="D578" s="299"/>
      <c r="E578" s="299"/>
      <c r="F578" s="299"/>
      <c r="G578" s="330"/>
      <c r="H578" s="328"/>
      <c r="I578" s="329"/>
      <c r="J578" s="329"/>
      <c r="K578" s="322"/>
      <c r="L578" s="322"/>
      <c r="M578" s="323" t="str">
        <f>IFERROR(VLOOKUP(H578,Lijsten!$H$1:$I$100,2,0),"")</f>
        <v/>
      </c>
      <c r="N578" s="323" t="str">
        <f ca="1">IFERROR(IF(VLOOKUP(F578,Kostentypen!$A$3:$E$21,3,0)=0,"",IF(OR(F578="Arbeidskosten",F578="Vergoeding"),VLOOKUP(G578,Tb_KostenTypen[],2,0),VLOOKUP(F578,Kostentypen!$A$3:$E$20,3,0))),"")</f>
        <v/>
      </c>
      <c r="O578" s="324"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4"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3"/>
      <c r="R578" s="363"/>
      <c r="S578" s="325"/>
      <c r="T578" s="325"/>
      <c r="U578" s="317" t="str" cm="1">
        <f t="array" aca="1" ref="U578" ca="1">IFERROR(IF(AA578&lt;&gt;"ja",_xlfn.IFNA(_xlfn.IFS(AND(O578&lt;&gt;"",F578&lt;&gt;"",RIGHT($N578,6)="tarief",F578="Vergoeding"),SUM(O578)*FLOOR(SUM(Q578),0.0001),AND(O578&lt;&gt;"",F578&lt;&gt;"",RIGHT($N578,6)="tarief"),SUM(O578)*FLOOR(SUM(Q578),0.01),S578&gt;0,IF(F578&lt;&gt;"",FLOOR(SUM(S578),0.01),"")),""),""),"")</f>
        <v/>
      </c>
      <c r="V578" s="317" t="str" cm="1">
        <f t="array" aca="1" ref="V578" ca="1">IFERROR(IF(AA578&lt;&gt;"ja",_xlfn.IFNA(_xlfn.IFS(AND(P578&lt;&gt;"",R578&lt;&gt;"",RIGHT($N578,6)="tarief",F578="Vergoeding"),SUM(P578)*FLOOR(SUM(R578),0.0001),AND(P578&lt;&gt;"",R578&lt;&gt;"",RIGHT($N578,6)="tarief"),P578*FLOOR(R578,0.01),T578&gt;0,FLOOR(SUM(T578),0.01)),""),""),"")</f>
        <v/>
      </c>
      <c r="W578" s="317" t="str" cm="1">
        <f t="array" aca="1" ref="W578" ca="1">IFERROR(_xlfn.IFS(OR(F578="",LEFT(Methode_Keuze,4)="Geen",Methode_Keuze=""),"",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17" t="str" cm="1">
        <f t="array" aca="1" ref="X578" ca="1">IFERROR(_xlfn.IFS(OR(F578="",LEFT(Methode_Keuze,4)="Geen",Methode_Keuze=""),"",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26"/>
      <c r="Z578" s="319"/>
      <c r="AA578" s="32" t="str" cm="1">
        <f t="array" ref="AA578">IFERROR(IF(INDEX(SubsidieTabel!$AD$1:$AG$12,MATCH($F578,SubsidieTabel!$AD$1:$AD$12,0),IFERROR(MATCH(Methode_Keuze,SubsidieTabel!$AD$1:$AG$1,0),2))&lt;&gt;1=TRUE,"ja",""),"")</f>
        <v/>
      </c>
    </row>
    <row r="579" spans="1:27" x14ac:dyDescent="0.25">
      <c r="A579" s="320"/>
      <c r="B579" s="321" t="str">
        <f>IF(A579&lt;&gt;"",_xlfn.MAXIFS($B$1:B578,$A$1:A578,A579)+1,"")</f>
        <v/>
      </c>
      <c r="C579" s="299"/>
      <c r="D579" s="299"/>
      <c r="E579" s="299"/>
      <c r="F579" s="299"/>
      <c r="G579" s="330"/>
      <c r="H579" s="328"/>
      <c r="I579" s="329"/>
      <c r="J579" s="329"/>
      <c r="K579" s="322"/>
      <c r="L579" s="322"/>
      <c r="M579" s="323" t="str">
        <f>IFERROR(VLOOKUP(H579,Lijsten!$H$1:$I$100,2,0),"")</f>
        <v/>
      </c>
      <c r="N579" s="323" t="str">
        <f ca="1">IFERROR(IF(VLOOKUP(F579,Kostentypen!$A$3:$E$21,3,0)=0,"",IF(OR(F579="Arbeidskosten",F579="Vergoeding"),VLOOKUP(G579,Tb_KostenTypen[],2,0),VLOOKUP(F579,Kostentypen!$A$3:$E$20,3,0))),"")</f>
        <v/>
      </c>
      <c r="O579" s="324"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4"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3"/>
      <c r="R579" s="363"/>
      <c r="S579" s="325"/>
      <c r="T579" s="325"/>
      <c r="U579" s="317" t="str" cm="1">
        <f t="array" aca="1" ref="U579" ca="1">IFERROR(IF(AA579&lt;&gt;"ja",_xlfn.IFNA(_xlfn.IFS(AND(O579&lt;&gt;"",F579&lt;&gt;"",RIGHT($N579,6)="tarief",F579="Vergoeding"),SUM(O579)*FLOOR(SUM(Q579),0.0001),AND(O579&lt;&gt;"",F579&lt;&gt;"",RIGHT($N579,6)="tarief"),SUM(O579)*FLOOR(SUM(Q579),0.01),S579&gt;0,IF(F579&lt;&gt;"",FLOOR(SUM(S579),0.01),"")),""),""),"")</f>
        <v/>
      </c>
      <c r="V579" s="317" t="str" cm="1">
        <f t="array" aca="1" ref="V579" ca="1">IFERROR(IF(AA579&lt;&gt;"ja",_xlfn.IFNA(_xlfn.IFS(AND(P579&lt;&gt;"",R579&lt;&gt;"",RIGHT($N579,6)="tarief",F579="Vergoeding"),SUM(P579)*FLOOR(SUM(R579),0.0001),AND(P579&lt;&gt;"",R579&lt;&gt;"",RIGHT($N579,6)="tarief"),P579*FLOOR(R579,0.01),T579&gt;0,FLOOR(SUM(T579),0.01)),""),""),"")</f>
        <v/>
      </c>
      <c r="W579" s="317" t="str" cm="1">
        <f t="array" aca="1" ref="W579" ca="1">IFERROR(_xlfn.IFS(OR(F579="",LEFT(Methode_Keuze,4)="Geen",Methode_Keuze=""),"",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17" t="str" cm="1">
        <f t="array" aca="1" ref="X579" ca="1">IFERROR(_xlfn.IFS(OR(F579="",LEFT(Methode_Keuze,4)="Geen",Methode_Keuze=""),"",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26"/>
      <c r="Z579" s="319"/>
      <c r="AA579" s="32" t="str" cm="1">
        <f t="array" ref="AA579">IFERROR(IF(INDEX(SubsidieTabel!$AD$1:$AG$12,MATCH($F579,SubsidieTabel!$AD$1:$AD$12,0),IFERROR(MATCH(Methode_Keuze,SubsidieTabel!$AD$1:$AG$1,0),2))&lt;&gt;1=TRUE,"ja",""),"")</f>
        <v/>
      </c>
    </row>
    <row r="580" spans="1:27" x14ac:dyDescent="0.25">
      <c r="A580" s="320"/>
      <c r="B580" s="321" t="str">
        <f>IF(A580&lt;&gt;"",_xlfn.MAXIFS($B$1:B579,$A$1:A579,A580)+1,"")</f>
        <v/>
      </c>
      <c r="C580" s="299"/>
      <c r="D580" s="299"/>
      <c r="E580" s="299"/>
      <c r="F580" s="299"/>
      <c r="G580" s="330"/>
      <c r="H580" s="328"/>
      <c r="I580" s="329"/>
      <c r="J580" s="329"/>
      <c r="K580" s="322"/>
      <c r="L580" s="322"/>
      <c r="M580" s="323" t="str">
        <f>IFERROR(VLOOKUP(H580,Lijsten!$H$1:$I$100,2,0),"")</f>
        <v/>
      </c>
      <c r="N580" s="323" t="str">
        <f ca="1">IFERROR(IF(VLOOKUP(F580,Kostentypen!$A$3:$E$21,3,0)=0,"",IF(OR(F580="Arbeidskosten",F580="Vergoeding"),VLOOKUP(G580,Tb_KostenTypen[],2,0),VLOOKUP(F580,Kostentypen!$A$3:$E$20,3,0))),"")</f>
        <v/>
      </c>
      <c r="O580" s="324"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4"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3"/>
      <c r="R580" s="363"/>
      <c r="S580" s="325"/>
      <c r="T580" s="325"/>
      <c r="U580" s="317" t="str" cm="1">
        <f t="array" aca="1" ref="U580" ca="1">IFERROR(IF(AA580&lt;&gt;"ja",_xlfn.IFNA(_xlfn.IFS(AND(O580&lt;&gt;"",F580&lt;&gt;"",RIGHT($N580,6)="tarief",F580="Vergoeding"),SUM(O580)*FLOOR(SUM(Q580),0.0001),AND(O580&lt;&gt;"",F580&lt;&gt;"",RIGHT($N580,6)="tarief"),SUM(O580)*FLOOR(SUM(Q580),0.01),S580&gt;0,IF(F580&lt;&gt;"",FLOOR(SUM(S580),0.01),"")),""),""),"")</f>
        <v/>
      </c>
      <c r="V580" s="317" t="str" cm="1">
        <f t="array" aca="1" ref="V580" ca="1">IFERROR(IF(AA580&lt;&gt;"ja",_xlfn.IFNA(_xlfn.IFS(AND(P580&lt;&gt;"",R580&lt;&gt;"",RIGHT($N580,6)="tarief",F580="Vergoeding"),SUM(P580)*FLOOR(SUM(R580),0.0001),AND(P580&lt;&gt;"",R580&lt;&gt;"",RIGHT($N580,6)="tarief"),P580*FLOOR(R580,0.01),T580&gt;0,FLOOR(SUM(T580),0.01)),""),""),"")</f>
        <v/>
      </c>
      <c r="W580" s="317" t="str" cm="1">
        <f t="array" aca="1" ref="W580" ca="1">IFERROR(_xlfn.IFS(OR(F580="",LEFT(Methode_Keuze,4)="Geen",Methode_Keuze=""),"",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17" t="str" cm="1">
        <f t="array" aca="1" ref="X580" ca="1">IFERROR(_xlfn.IFS(OR(F580="",LEFT(Methode_Keuze,4)="Geen",Methode_Keuze=""),"",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26"/>
      <c r="Z580" s="319"/>
      <c r="AA580" s="32" t="str" cm="1">
        <f t="array" ref="AA580">IFERROR(IF(INDEX(SubsidieTabel!$AD$1:$AG$12,MATCH($F580,SubsidieTabel!$AD$1:$AD$12,0),IFERROR(MATCH(Methode_Keuze,SubsidieTabel!$AD$1:$AG$1,0),2))&lt;&gt;1=TRUE,"ja",""),"")</f>
        <v/>
      </c>
    </row>
    <row r="581" spans="1:27" x14ac:dyDescent="0.25">
      <c r="A581" s="320"/>
      <c r="B581" s="321" t="str">
        <f>IF(A581&lt;&gt;"",_xlfn.MAXIFS($B$1:B580,$A$1:A580,A581)+1,"")</f>
        <v/>
      </c>
      <c r="C581" s="299"/>
      <c r="D581" s="299"/>
      <c r="E581" s="299"/>
      <c r="F581" s="299"/>
      <c r="G581" s="330"/>
      <c r="H581" s="328"/>
      <c r="I581" s="329"/>
      <c r="J581" s="329"/>
      <c r="K581" s="322"/>
      <c r="L581" s="322"/>
      <c r="M581" s="323" t="str">
        <f>IFERROR(VLOOKUP(H581,Lijsten!$H$1:$I$100,2,0),"")</f>
        <v/>
      </c>
      <c r="N581" s="323" t="str">
        <f ca="1">IFERROR(IF(VLOOKUP(F581,Kostentypen!$A$3:$E$21,3,0)=0,"",IF(OR(F581="Arbeidskosten",F581="Vergoeding"),VLOOKUP(G581,Tb_KostenTypen[],2,0),VLOOKUP(F581,Kostentypen!$A$3:$E$20,3,0))),"")</f>
        <v/>
      </c>
      <c r="O581" s="324"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4"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3"/>
      <c r="R581" s="363"/>
      <c r="S581" s="325"/>
      <c r="T581" s="325"/>
      <c r="U581" s="317" t="str" cm="1">
        <f t="array" aca="1" ref="U581" ca="1">IFERROR(IF(AA581&lt;&gt;"ja",_xlfn.IFNA(_xlfn.IFS(AND(O581&lt;&gt;"",F581&lt;&gt;"",RIGHT($N581,6)="tarief",F581="Vergoeding"),SUM(O581)*FLOOR(SUM(Q581),0.0001),AND(O581&lt;&gt;"",F581&lt;&gt;"",RIGHT($N581,6)="tarief"),SUM(O581)*FLOOR(SUM(Q581),0.01),S581&gt;0,IF(F581&lt;&gt;"",FLOOR(SUM(S581),0.01),"")),""),""),"")</f>
        <v/>
      </c>
      <c r="V581" s="317" t="str" cm="1">
        <f t="array" aca="1" ref="V581" ca="1">IFERROR(IF(AA581&lt;&gt;"ja",_xlfn.IFNA(_xlfn.IFS(AND(P581&lt;&gt;"",R581&lt;&gt;"",RIGHT($N581,6)="tarief",F581="Vergoeding"),SUM(P581)*FLOOR(SUM(R581),0.0001),AND(P581&lt;&gt;"",R581&lt;&gt;"",RIGHT($N581,6)="tarief"),P581*FLOOR(R581,0.01),T581&gt;0,FLOOR(SUM(T581),0.01)),""),""),"")</f>
        <v/>
      </c>
      <c r="W581" s="317" t="str" cm="1">
        <f t="array" aca="1" ref="W581" ca="1">IFERROR(_xlfn.IFS(OR(F581="",LEFT(Methode_Keuze,4)="Geen",Methode_Keuze=""),"",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17" t="str" cm="1">
        <f t="array" aca="1" ref="X581" ca="1">IFERROR(_xlfn.IFS(OR(F581="",LEFT(Methode_Keuze,4)="Geen",Methode_Keuze=""),"",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26"/>
      <c r="Z581" s="319"/>
      <c r="AA581" s="32" t="str" cm="1">
        <f t="array" ref="AA581">IFERROR(IF(INDEX(SubsidieTabel!$AD$1:$AG$12,MATCH($F581,SubsidieTabel!$AD$1:$AD$12,0),IFERROR(MATCH(Methode_Keuze,SubsidieTabel!$AD$1:$AG$1,0),2))&lt;&gt;1=TRUE,"ja",""),"")</f>
        <v/>
      </c>
    </row>
    <row r="582" spans="1:27" x14ac:dyDescent="0.25">
      <c r="A582" s="320"/>
      <c r="B582" s="321" t="str">
        <f>IF(A582&lt;&gt;"",_xlfn.MAXIFS($B$1:B581,$A$1:A581,A582)+1,"")</f>
        <v/>
      </c>
      <c r="C582" s="299"/>
      <c r="D582" s="299"/>
      <c r="E582" s="299"/>
      <c r="F582" s="299"/>
      <c r="G582" s="330"/>
      <c r="H582" s="328"/>
      <c r="I582" s="329"/>
      <c r="J582" s="329"/>
      <c r="K582" s="322"/>
      <c r="L582" s="322"/>
      <c r="M582" s="323" t="str">
        <f>IFERROR(VLOOKUP(H582,Lijsten!$H$1:$I$100,2,0),"")</f>
        <v/>
      </c>
      <c r="N582" s="323" t="str">
        <f ca="1">IFERROR(IF(VLOOKUP(F582,Kostentypen!$A$3:$E$21,3,0)=0,"",IF(OR(F582="Arbeidskosten",F582="Vergoeding"),VLOOKUP(G582,Tb_KostenTypen[],2,0),VLOOKUP(F582,Kostentypen!$A$3:$E$20,3,0))),"")</f>
        <v/>
      </c>
      <c r="O582" s="324"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4"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3"/>
      <c r="R582" s="363"/>
      <c r="S582" s="325"/>
      <c r="T582" s="325"/>
      <c r="U582" s="317" t="str" cm="1">
        <f t="array" aca="1" ref="U582" ca="1">IFERROR(IF(AA582&lt;&gt;"ja",_xlfn.IFNA(_xlfn.IFS(AND(O582&lt;&gt;"",F582&lt;&gt;"",RIGHT($N582,6)="tarief",F582="Vergoeding"),SUM(O582)*FLOOR(SUM(Q582),0.0001),AND(O582&lt;&gt;"",F582&lt;&gt;"",RIGHT($N582,6)="tarief"),SUM(O582)*FLOOR(SUM(Q582),0.01),S582&gt;0,IF(F582&lt;&gt;"",FLOOR(SUM(S582),0.01),"")),""),""),"")</f>
        <v/>
      </c>
      <c r="V582" s="317" t="str" cm="1">
        <f t="array" aca="1" ref="V582" ca="1">IFERROR(IF(AA582&lt;&gt;"ja",_xlfn.IFNA(_xlfn.IFS(AND(P582&lt;&gt;"",R582&lt;&gt;"",RIGHT($N582,6)="tarief",F582="Vergoeding"),SUM(P582)*FLOOR(SUM(R582),0.0001),AND(P582&lt;&gt;"",R582&lt;&gt;"",RIGHT($N582,6)="tarief"),P582*FLOOR(R582,0.01),T582&gt;0,FLOOR(SUM(T582),0.01)),""),""),"")</f>
        <v/>
      </c>
      <c r="W582" s="317" t="str" cm="1">
        <f t="array" aca="1" ref="W582" ca="1">IFERROR(_xlfn.IFS(OR(F582="",LEFT(Methode_Keuze,4)="Geen",Methode_Keuze=""),"",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17" t="str" cm="1">
        <f t="array" aca="1" ref="X582" ca="1">IFERROR(_xlfn.IFS(OR(F582="",LEFT(Methode_Keuze,4)="Geen",Methode_Keuze=""),"",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26"/>
      <c r="Z582" s="319"/>
      <c r="AA582" s="32" t="str" cm="1">
        <f t="array" ref="AA582">IFERROR(IF(INDEX(SubsidieTabel!$AD$1:$AG$12,MATCH($F582,SubsidieTabel!$AD$1:$AD$12,0),IFERROR(MATCH(Methode_Keuze,SubsidieTabel!$AD$1:$AG$1,0),2))&lt;&gt;1=TRUE,"ja",""),"")</f>
        <v/>
      </c>
    </row>
    <row r="583" spans="1:27" x14ac:dyDescent="0.25">
      <c r="A583" s="320"/>
      <c r="B583" s="321" t="str">
        <f>IF(A583&lt;&gt;"",_xlfn.MAXIFS($B$1:B582,$A$1:A582,A583)+1,"")</f>
        <v/>
      </c>
      <c r="C583" s="299"/>
      <c r="D583" s="299"/>
      <c r="E583" s="299"/>
      <c r="F583" s="299"/>
      <c r="G583" s="330"/>
      <c r="H583" s="328"/>
      <c r="I583" s="329"/>
      <c r="J583" s="329"/>
      <c r="K583" s="322"/>
      <c r="L583" s="322"/>
      <c r="M583" s="323" t="str">
        <f>IFERROR(VLOOKUP(H583,Lijsten!$H$1:$I$100,2,0),"")</f>
        <v/>
      </c>
      <c r="N583" s="323" t="str">
        <f ca="1">IFERROR(IF(VLOOKUP(F583,Kostentypen!$A$3:$E$21,3,0)=0,"",IF(OR(F583="Arbeidskosten",F583="Vergoeding"),VLOOKUP(G583,Tb_KostenTypen[],2,0),VLOOKUP(F583,Kostentypen!$A$3:$E$20,3,0))),"")</f>
        <v/>
      </c>
      <c r="O583" s="324"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4"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3"/>
      <c r="R583" s="363"/>
      <c r="S583" s="325"/>
      <c r="T583" s="325"/>
      <c r="U583" s="317" t="str" cm="1">
        <f t="array" aca="1" ref="U583" ca="1">IFERROR(IF(AA583&lt;&gt;"ja",_xlfn.IFNA(_xlfn.IFS(AND(O583&lt;&gt;"",F583&lt;&gt;"",RIGHT($N583,6)="tarief",F583="Vergoeding"),SUM(O583)*FLOOR(SUM(Q583),0.0001),AND(O583&lt;&gt;"",F583&lt;&gt;"",RIGHT($N583,6)="tarief"),SUM(O583)*FLOOR(SUM(Q583),0.01),S583&gt;0,IF(F583&lt;&gt;"",FLOOR(SUM(S583),0.01),"")),""),""),"")</f>
        <v/>
      </c>
      <c r="V583" s="317" t="str" cm="1">
        <f t="array" aca="1" ref="V583" ca="1">IFERROR(IF(AA583&lt;&gt;"ja",_xlfn.IFNA(_xlfn.IFS(AND(P583&lt;&gt;"",R583&lt;&gt;"",RIGHT($N583,6)="tarief",F583="Vergoeding"),SUM(P583)*FLOOR(SUM(R583),0.0001),AND(P583&lt;&gt;"",R583&lt;&gt;"",RIGHT($N583,6)="tarief"),P583*FLOOR(R583,0.01),T583&gt;0,FLOOR(SUM(T583),0.01)),""),""),"")</f>
        <v/>
      </c>
      <c r="W583" s="317" t="str" cm="1">
        <f t="array" aca="1" ref="W583" ca="1">IFERROR(_xlfn.IFS(OR(F583="",LEFT(Methode_Keuze,4)="Geen",Methode_Keuze=""),"",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17" t="str" cm="1">
        <f t="array" aca="1" ref="X583" ca="1">IFERROR(_xlfn.IFS(OR(F583="",LEFT(Methode_Keuze,4)="Geen",Methode_Keuze=""),"",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26"/>
      <c r="Z583" s="319"/>
      <c r="AA583" s="32" t="str" cm="1">
        <f t="array" ref="AA583">IFERROR(IF(INDEX(SubsidieTabel!$AD$1:$AG$12,MATCH($F583,SubsidieTabel!$AD$1:$AD$12,0),IFERROR(MATCH(Methode_Keuze,SubsidieTabel!$AD$1:$AG$1,0),2))&lt;&gt;1=TRUE,"ja",""),"")</f>
        <v/>
      </c>
    </row>
    <row r="584" spans="1:27" x14ac:dyDescent="0.25">
      <c r="A584" s="320"/>
      <c r="B584" s="321" t="str">
        <f>IF(A584&lt;&gt;"",_xlfn.MAXIFS($B$1:B583,$A$1:A583,A584)+1,"")</f>
        <v/>
      </c>
      <c r="C584" s="299"/>
      <c r="D584" s="299"/>
      <c r="E584" s="299"/>
      <c r="F584" s="299"/>
      <c r="G584" s="330"/>
      <c r="H584" s="328"/>
      <c r="I584" s="329"/>
      <c r="J584" s="329"/>
      <c r="K584" s="322"/>
      <c r="L584" s="322"/>
      <c r="M584" s="323" t="str">
        <f>IFERROR(VLOOKUP(H584,Lijsten!$H$1:$I$100,2,0),"")</f>
        <v/>
      </c>
      <c r="N584" s="323" t="str">
        <f ca="1">IFERROR(IF(VLOOKUP(F584,Kostentypen!$A$3:$E$21,3,0)=0,"",IF(OR(F584="Arbeidskosten",F584="Vergoeding"),VLOOKUP(G584,Tb_KostenTypen[],2,0),VLOOKUP(F584,Kostentypen!$A$3:$E$20,3,0))),"")</f>
        <v/>
      </c>
      <c r="O584" s="324"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4"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3"/>
      <c r="R584" s="363"/>
      <c r="S584" s="325"/>
      <c r="T584" s="325"/>
      <c r="U584" s="317" t="str" cm="1">
        <f t="array" aca="1" ref="U584" ca="1">IFERROR(IF(AA584&lt;&gt;"ja",_xlfn.IFNA(_xlfn.IFS(AND(O584&lt;&gt;"",F584&lt;&gt;"",RIGHT($N584,6)="tarief",F584="Vergoeding"),SUM(O584)*FLOOR(SUM(Q584),0.0001),AND(O584&lt;&gt;"",F584&lt;&gt;"",RIGHT($N584,6)="tarief"),SUM(O584)*FLOOR(SUM(Q584),0.01),S584&gt;0,IF(F584&lt;&gt;"",FLOOR(SUM(S584),0.01),"")),""),""),"")</f>
        <v/>
      </c>
      <c r="V584" s="317" t="str" cm="1">
        <f t="array" aca="1" ref="V584" ca="1">IFERROR(IF(AA584&lt;&gt;"ja",_xlfn.IFNA(_xlfn.IFS(AND(P584&lt;&gt;"",R584&lt;&gt;"",RIGHT($N584,6)="tarief",F584="Vergoeding"),SUM(P584)*FLOOR(SUM(R584),0.0001),AND(P584&lt;&gt;"",R584&lt;&gt;"",RIGHT($N584,6)="tarief"),P584*FLOOR(R584,0.01),T584&gt;0,FLOOR(SUM(T584),0.01)),""),""),"")</f>
        <v/>
      </c>
      <c r="W584" s="317" t="str" cm="1">
        <f t="array" aca="1" ref="W584" ca="1">IFERROR(_xlfn.IFS(OR(F584="",LEFT(Methode_Keuze,4)="Geen",Methode_Keuze=""),"",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17" t="str" cm="1">
        <f t="array" aca="1" ref="X584" ca="1">IFERROR(_xlfn.IFS(OR(F584="",LEFT(Methode_Keuze,4)="Geen",Methode_Keuze=""),"",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26"/>
      <c r="Z584" s="319"/>
      <c r="AA584" s="32" t="str" cm="1">
        <f t="array" ref="AA584">IFERROR(IF(INDEX(SubsidieTabel!$AD$1:$AG$12,MATCH($F584,SubsidieTabel!$AD$1:$AD$12,0),IFERROR(MATCH(Methode_Keuze,SubsidieTabel!$AD$1:$AG$1,0),2))&lt;&gt;1=TRUE,"ja",""),"")</f>
        <v/>
      </c>
    </row>
    <row r="585" spans="1:27" x14ac:dyDescent="0.25">
      <c r="A585" s="320"/>
      <c r="B585" s="321" t="str">
        <f>IF(A585&lt;&gt;"",_xlfn.MAXIFS($B$1:B584,$A$1:A584,A585)+1,"")</f>
        <v/>
      </c>
      <c r="C585" s="299"/>
      <c r="D585" s="299"/>
      <c r="E585" s="299"/>
      <c r="F585" s="299"/>
      <c r="G585" s="330"/>
      <c r="H585" s="328"/>
      <c r="I585" s="329"/>
      <c r="J585" s="329"/>
      <c r="K585" s="322"/>
      <c r="L585" s="322"/>
      <c r="M585" s="323" t="str">
        <f>IFERROR(VLOOKUP(H585,Lijsten!$H$1:$I$100,2,0),"")</f>
        <v/>
      </c>
      <c r="N585" s="323" t="str">
        <f ca="1">IFERROR(IF(VLOOKUP(F585,Kostentypen!$A$3:$E$21,3,0)=0,"",IF(OR(F585="Arbeidskosten",F585="Vergoeding"),VLOOKUP(G585,Tb_KostenTypen[],2,0),VLOOKUP(F585,Kostentypen!$A$3:$E$20,3,0))),"")</f>
        <v/>
      </c>
      <c r="O585" s="324"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4"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3"/>
      <c r="R585" s="363"/>
      <c r="S585" s="325"/>
      <c r="T585" s="325"/>
      <c r="U585" s="317" t="str" cm="1">
        <f t="array" aca="1" ref="U585" ca="1">IFERROR(IF(AA585&lt;&gt;"ja",_xlfn.IFNA(_xlfn.IFS(AND(O585&lt;&gt;"",F585&lt;&gt;"",RIGHT($N585,6)="tarief",F585="Vergoeding"),SUM(O585)*FLOOR(SUM(Q585),0.0001),AND(O585&lt;&gt;"",F585&lt;&gt;"",RIGHT($N585,6)="tarief"),SUM(O585)*FLOOR(SUM(Q585),0.01),S585&gt;0,IF(F585&lt;&gt;"",FLOOR(SUM(S585),0.01),"")),""),""),"")</f>
        <v/>
      </c>
      <c r="V585" s="317" t="str" cm="1">
        <f t="array" aca="1" ref="V585" ca="1">IFERROR(IF(AA585&lt;&gt;"ja",_xlfn.IFNA(_xlfn.IFS(AND(P585&lt;&gt;"",R585&lt;&gt;"",RIGHT($N585,6)="tarief",F585="Vergoeding"),SUM(P585)*FLOOR(SUM(R585),0.0001),AND(P585&lt;&gt;"",R585&lt;&gt;"",RIGHT($N585,6)="tarief"),P585*FLOOR(R585,0.01),T585&gt;0,FLOOR(SUM(T585),0.01)),""),""),"")</f>
        <v/>
      </c>
      <c r="W585" s="317" t="str" cm="1">
        <f t="array" aca="1" ref="W585" ca="1">IFERROR(_xlfn.IFS(OR(F585="",LEFT(Methode_Keuze,4)="Geen",Methode_Keuze=""),"",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17" t="str" cm="1">
        <f t="array" aca="1" ref="X585" ca="1">IFERROR(_xlfn.IFS(OR(F585="",LEFT(Methode_Keuze,4)="Geen",Methode_Keuze=""),"",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26"/>
      <c r="Z585" s="319"/>
      <c r="AA585" s="32" t="str" cm="1">
        <f t="array" ref="AA585">IFERROR(IF(INDEX(SubsidieTabel!$AD$1:$AG$12,MATCH($F585,SubsidieTabel!$AD$1:$AD$12,0),IFERROR(MATCH(Methode_Keuze,SubsidieTabel!$AD$1:$AG$1,0),2))&lt;&gt;1=TRUE,"ja",""),"")</f>
        <v/>
      </c>
    </row>
    <row r="586" spans="1:27" x14ac:dyDescent="0.25">
      <c r="A586" s="320"/>
      <c r="B586" s="321" t="str">
        <f>IF(A586&lt;&gt;"",_xlfn.MAXIFS($B$1:B585,$A$1:A585,A586)+1,"")</f>
        <v/>
      </c>
      <c r="C586" s="299"/>
      <c r="D586" s="299"/>
      <c r="E586" s="299"/>
      <c r="F586" s="299"/>
      <c r="G586" s="330"/>
      <c r="H586" s="328"/>
      <c r="I586" s="329"/>
      <c r="J586" s="329"/>
      <c r="K586" s="322"/>
      <c r="L586" s="322"/>
      <c r="M586" s="323" t="str">
        <f>IFERROR(VLOOKUP(H586,Lijsten!$H$1:$I$100,2,0),"")</f>
        <v/>
      </c>
      <c r="N586" s="323" t="str">
        <f ca="1">IFERROR(IF(VLOOKUP(F586,Kostentypen!$A$3:$E$21,3,0)=0,"",IF(OR(F586="Arbeidskosten",F586="Vergoeding"),VLOOKUP(G586,Tb_KostenTypen[],2,0),VLOOKUP(F586,Kostentypen!$A$3:$E$20,3,0))),"")</f>
        <v/>
      </c>
      <c r="O586" s="324"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4"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3"/>
      <c r="R586" s="363"/>
      <c r="S586" s="325"/>
      <c r="T586" s="325"/>
      <c r="U586" s="317" t="str" cm="1">
        <f t="array" aca="1" ref="U586" ca="1">IFERROR(IF(AA586&lt;&gt;"ja",_xlfn.IFNA(_xlfn.IFS(AND(O586&lt;&gt;"",F586&lt;&gt;"",RIGHT($N586,6)="tarief",F586="Vergoeding"),SUM(O586)*FLOOR(SUM(Q586),0.0001),AND(O586&lt;&gt;"",F586&lt;&gt;"",RIGHT($N586,6)="tarief"),SUM(O586)*FLOOR(SUM(Q586),0.01),S586&gt;0,IF(F586&lt;&gt;"",FLOOR(SUM(S586),0.01),"")),""),""),"")</f>
        <v/>
      </c>
      <c r="V586" s="317" t="str" cm="1">
        <f t="array" aca="1" ref="V586" ca="1">IFERROR(IF(AA586&lt;&gt;"ja",_xlfn.IFNA(_xlfn.IFS(AND(P586&lt;&gt;"",R586&lt;&gt;"",RIGHT($N586,6)="tarief",F586="Vergoeding"),SUM(P586)*FLOOR(SUM(R586),0.0001),AND(P586&lt;&gt;"",R586&lt;&gt;"",RIGHT($N586,6)="tarief"),P586*FLOOR(R586,0.01),T586&gt;0,FLOOR(SUM(T586),0.01)),""),""),"")</f>
        <v/>
      </c>
      <c r="W586" s="317" t="str" cm="1">
        <f t="array" aca="1" ref="W586" ca="1">IFERROR(_xlfn.IFS(OR(F586="",LEFT(Methode_Keuze,4)="Geen",Methode_Keuze=""),"",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17" t="str" cm="1">
        <f t="array" aca="1" ref="X586" ca="1">IFERROR(_xlfn.IFS(OR(F586="",LEFT(Methode_Keuze,4)="Geen",Methode_Keuze=""),"",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26"/>
      <c r="Z586" s="319"/>
      <c r="AA586" s="32" t="str" cm="1">
        <f t="array" ref="AA586">IFERROR(IF(INDEX(SubsidieTabel!$AD$1:$AG$12,MATCH($F586,SubsidieTabel!$AD$1:$AD$12,0),IFERROR(MATCH(Methode_Keuze,SubsidieTabel!$AD$1:$AG$1,0),2))&lt;&gt;1=TRUE,"ja",""),"")</f>
        <v/>
      </c>
    </row>
    <row r="587" spans="1:27" x14ac:dyDescent="0.25">
      <c r="A587" s="320"/>
      <c r="B587" s="321" t="str">
        <f>IF(A587&lt;&gt;"",_xlfn.MAXIFS($B$1:B586,$A$1:A586,A587)+1,"")</f>
        <v/>
      </c>
      <c r="C587" s="299"/>
      <c r="D587" s="299"/>
      <c r="E587" s="299"/>
      <c r="F587" s="299"/>
      <c r="G587" s="330"/>
      <c r="H587" s="328"/>
      <c r="I587" s="329"/>
      <c r="J587" s="329"/>
      <c r="K587" s="322"/>
      <c r="L587" s="322"/>
      <c r="M587" s="323" t="str">
        <f>IFERROR(VLOOKUP(H587,Lijsten!$H$1:$I$100,2,0),"")</f>
        <v/>
      </c>
      <c r="N587" s="323" t="str">
        <f ca="1">IFERROR(IF(VLOOKUP(F587,Kostentypen!$A$3:$E$21,3,0)=0,"",IF(OR(F587="Arbeidskosten",F587="Vergoeding"),VLOOKUP(G587,Tb_KostenTypen[],2,0),VLOOKUP(F587,Kostentypen!$A$3:$E$20,3,0))),"")</f>
        <v/>
      </c>
      <c r="O587" s="324"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4"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3"/>
      <c r="R587" s="363"/>
      <c r="S587" s="325"/>
      <c r="T587" s="325"/>
      <c r="U587" s="317" t="str" cm="1">
        <f t="array" aca="1" ref="U587" ca="1">IFERROR(IF(AA587&lt;&gt;"ja",_xlfn.IFNA(_xlfn.IFS(AND(O587&lt;&gt;"",F587&lt;&gt;"",RIGHT($N587,6)="tarief",F587="Vergoeding"),SUM(O587)*FLOOR(SUM(Q587),0.0001),AND(O587&lt;&gt;"",F587&lt;&gt;"",RIGHT($N587,6)="tarief"),SUM(O587)*FLOOR(SUM(Q587),0.01),S587&gt;0,IF(F587&lt;&gt;"",FLOOR(SUM(S587),0.01),"")),""),""),"")</f>
        <v/>
      </c>
      <c r="V587" s="317" t="str" cm="1">
        <f t="array" aca="1" ref="V587" ca="1">IFERROR(IF(AA587&lt;&gt;"ja",_xlfn.IFNA(_xlfn.IFS(AND(P587&lt;&gt;"",R587&lt;&gt;"",RIGHT($N587,6)="tarief",F587="Vergoeding"),SUM(P587)*FLOOR(SUM(R587),0.0001),AND(P587&lt;&gt;"",R587&lt;&gt;"",RIGHT($N587,6)="tarief"),P587*FLOOR(R587,0.01),T587&gt;0,FLOOR(SUM(T587),0.01)),""),""),"")</f>
        <v/>
      </c>
      <c r="W587" s="317" t="str" cm="1">
        <f t="array" aca="1" ref="W587" ca="1">IFERROR(_xlfn.IFS(OR(F587="",LEFT(Methode_Keuze,4)="Geen",Methode_Keuze=""),"",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17" t="str" cm="1">
        <f t="array" aca="1" ref="X587" ca="1">IFERROR(_xlfn.IFS(OR(F587="",LEFT(Methode_Keuze,4)="Geen",Methode_Keuze=""),"",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26"/>
      <c r="Z587" s="319"/>
      <c r="AA587" s="32" t="str" cm="1">
        <f t="array" ref="AA587">IFERROR(IF(INDEX(SubsidieTabel!$AD$1:$AG$12,MATCH($F587,SubsidieTabel!$AD$1:$AD$12,0),IFERROR(MATCH(Methode_Keuze,SubsidieTabel!$AD$1:$AG$1,0),2))&lt;&gt;1=TRUE,"ja",""),"")</f>
        <v/>
      </c>
    </row>
    <row r="588" spans="1:27" x14ac:dyDescent="0.25">
      <c r="A588" s="320"/>
      <c r="B588" s="321" t="str">
        <f>IF(A588&lt;&gt;"",_xlfn.MAXIFS($B$1:B587,$A$1:A587,A588)+1,"")</f>
        <v/>
      </c>
      <c r="C588" s="299"/>
      <c r="D588" s="299"/>
      <c r="E588" s="299"/>
      <c r="F588" s="299"/>
      <c r="G588" s="330"/>
      <c r="H588" s="328"/>
      <c r="I588" s="329"/>
      <c r="J588" s="329"/>
      <c r="K588" s="322"/>
      <c r="L588" s="322"/>
      <c r="M588" s="323" t="str">
        <f>IFERROR(VLOOKUP(H588,Lijsten!$H$1:$I$100,2,0),"")</f>
        <v/>
      </c>
      <c r="N588" s="323" t="str">
        <f ca="1">IFERROR(IF(VLOOKUP(F588,Kostentypen!$A$3:$E$21,3,0)=0,"",IF(OR(F588="Arbeidskosten",F588="Vergoeding"),VLOOKUP(G588,Tb_KostenTypen[],2,0),VLOOKUP(F588,Kostentypen!$A$3:$E$20,3,0))),"")</f>
        <v/>
      </c>
      <c r="O588" s="324"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4"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3"/>
      <c r="R588" s="363"/>
      <c r="S588" s="325"/>
      <c r="T588" s="325"/>
      <c r="U588" s="317" t="str" cm="1">
        <f t="array" aca="1" ref="U588" ca="1">IFERROR(IF(AA588&lt;&gt;"ja",_xlfn.IFNA(_xlfn.IFS(AND(O588&lt;&gt;"",F588&lt;&gt;"",RIGHT($N588,6)="tarief",F588="Vergoeding"),SUM(O588)*FLOOR(SUM(Q588),0.0001),AND(O588&lt;&gt;"",F588&lt;&gt;"",RIGHT($N588,6)="tarief"),SUM(O588)*FLOOR(SUM(Q588),0.01),S588&gt;0,IF(F588&lt;&gt;"",FLOOR(SUM(S588),0.01),"")),""),""),"")</f>
        <v/>
      </c>
      <c r="V588" s="317" t="str" cm="1">
        <f t="array" aca="1" ref="V588" ca="1">IFERROR(IF(AA588&lt;&gt;"ja",_xlfn.IFNA(_xlfn.IFS(AND(P588&lt;&gt;"",R588&lt;&gt;"",RIGHT($N588,6)="tarief",F588="Vergoeding"),SUM(P588)*FLOOR(SUM(R588),0.0001),AND(P588&lt;&gt;"",R588&lt;&gt;"",RIGHT($N588,6)="tarief"),P588*FLOOR(R588,0.01),T588&gt;0,FLOOR(SUM(T588),0.01)),""),""),"")</f>
        <v/>
      </c>
      <c r="W588" s="317" t="str" cm="1">
        <f t="array" aca="1" ref="W588" ca="1">IFERROR(_xlfn.IFS(OR(F588="",LEFT(Methode_Keuze,4)="Geen",Methode_Keuze=""),"",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17" t="str" cm="1">
        <f t="array" aca="1" ref="X588" ca="1">IFERROR(_xlfn.IFS(OR(F588="",LEFT(Methode_Keuze,4)="Geen",Methode_Keuze=""),"",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26"/>
      <c r="Z588" s="319"/>
      <c r="AA588" s="32" t="str" cm="1">
        <f t="array" ref="AA588">IFERROR(IF(INDEX(SubsidieTabel!$AD$1:$AG$12,MATCH($F588,SubsidieTabel!$AD$1:$AD$12,0),IFERROR(MATCH(Methode_Keuze,SubsidieTabel!$AD$1:$AG$1,0),2))&lt;&gt;1=TRUE,"ja",""),"")</f>
        <v/>
      </c>
    </row>
    <row r="589" spans="1:27" x14ac:dyDescent="0.25">
      <c r="A589" s="320"/>
      <c r="B589" s="321" t="str">
        <f>IF(A589&lt;&gt;"",_xlfn.MAXIFS($B$1:B588,$A$1:A588,A589)+1,"")</f>
        <v/>
      </c>
      <c r="C589" s="299"/>
      <c r="D589" s="299"/>
      <c r="E589" s="299"/>
      <c r="F589" s="299"/>
      <c r="G589" s="330"/>
      <c r="H589" s="328"/>
      <c r="I589" s="329"/>
      <c r="J589" s="329"/>
      <c r="K589" s="322"/>
      <c r="L589" s="322"/>
      <c r="M589" s="323" t="str">
        <f>IFERROR(VLOOKUP(H589,Lijsten!$H$1:$I$100,2,0),"")</f>
        <v/>
      </c>
      <c r="N589" s="323" t="str">
        <f ca="1">IFERROR(IF(VLOOKUP(F589,Kostentypen!$A$3:$E$21,3,0)=0,"",IF(OR(F589="Arbeidskosten",F589="Vergoeding"),VLOOKUP(G589,Tb_KostenTypen[],2,0),VLOOKUP(F589,Kostentypen!$A$3:$E$20,3,0))),"")</f>
        <v/>
      </c>
      <c r="O589" s="324"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4"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3"/>
      <c r="R589" s="363"/>
      <c r="S589" s="325"/>
      <c r="T589" s="325"/>
      <c r="U589" s="317" t="str" cm="1">
        <f t="array" aca="1" ref="U589" ca="1">IFERROR(IF(AA589&lt;&gt;"ja",_xlfn.IFNA(_xlfn.IFS(AND(O589&lt;&gt;"",F589&lt;&gt;"",RIGHT($N589,6)="tarief",F589="Vergoeding"),SUM(O589)*FLOOR(SUM(Q589),0.0001),AND(O589&lt;&gt;"",F589&lt;&gt;"",RIGHT($N589,6)="tarief"),SUM(O589)*FLOOR(SUM(Q589),0.01),S589&gt;0,IF(F589&lt;&gt;"",FLOOR(SUM(S589),0.01),"")),""),""),"")</f>
        <v/>
      </c>
      <c r="V589" s="317" t="str" cm="1">
        <f t="array" aca="1" ref="V589" ca="1">IFERROR(IF(AA589&lt;&gt;"ja",_xlfn.IFNA(_xlfn.IFS(AND(P589&lt;&gt;"",R589&lt;&gt;"",RIGHT($N589,6)="tarief",F589="Vergoeding"),SUM(P589)*FLOOR(SUM(R589),0.0001),AND(P589&lt;&gt;"",R589&lt;&gt;"",RIGHT($N589,6)="tarief"),P589*FLOOR(R589,0.01),T589&gt;0,FLOOR(SUM(T589),0.01)),""),""),"")</f>
        <v/>
      </c>
      <c r="W589" s="317" t="str" cm="1">
        <f t="array" aca="1" ref="W589" ca="1">IFERROR(_xlfn.IFS(OR(F589="",LEFT(Methode_Keuze,4)="Geen",Methode_Keuze=""),"",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17" t="str" cm="1">
        <f t="array" aca="1" ref="X589" ca="1">IFERROR(_xlfn.IFS(OR(F589="",LEFT(Methode_Keuze,4)="Geen",Methode_Keuze=""),"",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26"/>
      <c r="Z589" s="319"/>
      <c r="AA589" s="32" t="str" cm="1">
        <f t="array" ref="AA589">IFERROR(IF(INDEX(SubsidieTabel!$AD$1:$AG$12,MATCH($F589,SubsidieTabel!$AD$1:$AD$12,0),IFERROR(MATCH(Methode_Keuze,SubsidieTabel!$AD$1:$AG$1,0),2))&lt;&gt;1=TRUE,"ja",""),"")</f>
        <v/>
      </c>
    </row>
    <row r="590" spans="1:27" x14ac:dyDescent="0.25">
      <c r="A590" s="320"/>
      <c r="B590" s="321" t="str">
        <f>IF(A590&lt;&gt;"",_xlfn.MAXIFS($B$1:B589,$A$1:A589,A590)+1,"")</f>
        <v/>
      </c>
      <c r="C590" s="299"/>
      <c r="D590" s="299"/>
      <c r="E590" s="299"/>
      <c r="F590" s="299"/>
      <c r="G590" s="330"/>
      <c r="H590" s="328"/>
      <c r="I590" s="329"/>
      <c r="J590" s="329"/>
      <c r="K590" s="322"/>
      <c r="L590" s="322"/>
      <c r="M590" s="323" t="str">
        <f>IFERROR(VLOOKUP(H590,Lijsten!$H$1:$I$100,2,0),"")</f>
        <v/>
      </c>
      <c r="N590" s="323" t="str">
        <f ca="1">IFERROR(IF(VLOOKUP(F590,Kostentypen!$A$3:$E$21,3,0)=0,"",IF(OR(F590="Arbeidskosten",F590="Vergoeding"),VLOOKUP(G590,Tb_KostenTypen[],2,0),VLOOKUP(F590,Kostentypen!$A$3:$E$20,3,0))),"")</f>
        <v/>
      </c>
      <c r="O590" s="324"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4"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3"/>
      <c r="R590" s="363"/>
      <c r="S590" s="325"/>
      <c r="T590" s="325"/>
      <c r="U590" s="317" t="str" cm="1">
        <f t="array" aca="1" ref="U590" ca="1">IFERROR(IF(AA590&lt;&gt;"ja",_xlfn.IFNA(_xlfn.IFS(AND(O590&lt;&gt;"",F590&lt;&gt;"",RIGHT($N590,6)="tarief",F590="Vergoeding"),SUM(O590)*FLOOR(SUM(Q590),0.0001),AND(O590&lt;&gt;"",F590&lt;&gt;"",RIGHT($N590,6)="tarief"),SUM(O590)*FLOOR(SUM(Q590),0.01),S590&gt;0,IF(F590&lt;&gt;"",FLOOR(SUM(S590),0.01),"")),""),""),"")</f>
        <v/>
      </c>
      <c r="V590" s="317" t="str" cm="1">
        <f t="array" aca="1" ref="V590" ca="1">IFERROR(IF(AA590&lt;&gt;"ja",_xlfn.IFNA(_xlfn.IFS(AND(P590&lt;&gt;"",R590&lt;&gt;"",RIGHT($N590,6)="tarief",F590="Vergoeding"),SUM(P590)*FLOOR(SUM(R590),0.0001),AND(P590&lt;&gt;"",R590&lt;&gt;"",RIGHT($N590,6)="tarief"),P590*FLOOR(R590,0.01),T590&gt;0,FLOOR(SUM(T590),0.01)),""),""),"")</f>
        <v/>
      </c>
      <c r="W590" s="317" t="str" cm="1">
        <f t="array" aca="1" ref="W590" ca="1">IFERROR(_xlfn.IFS(OR(F590="",LEFT(Methode_Keuze,4)="Geen",Methode_Keuze=""),"",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17" t="str" cm="1">
        <f t="array" aca="1" ref="X590" ca="1">IFERROR(_xlfn.IFS(OR(F590="",LEFT(Methode_Keuze,4)="Geen",Methode_Keuze=""),"",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26"/>
      <c r="Z590" s="319"/>
      <c r="AA590" s="32" t="str" cm="1">
        <f t="array" ref="AA590">IFERROR(IF(INDEX(SubsidieTabel!$AD$1:$AG$12,MATCH($F590,SubsidieTabel!$AD$1:$AD$12,0),IFERROR(MATCH(Methode_Keuze,SubsidieTabel!$AD$1:$AG$1,0),2))&lt;&gt;1=TRUE,"ja",""),"")</f>
        <v/>
      </c>
    </row>
    <row r="591" spans="1:27" x14ac:dyDescent="0.25">
      <c r="A591" s="320"/>
      <c r="B591" s="321" t="str">
        <f>IF(A591&lt;&gt;"",_xlfn.MAXIFS($B$1:B590,$A$1:A590,A591)+1,"")</f>
        <v/>
      </c>
      <c r="C591" s="299"/>
      <c r="D591" s="299"/>
      <c r="E591" s="299"/>
      <c r="F591" s="299"/>
      <c r="G591" s="330"/>
      <c r="H591" s="328"/>
      <c r="I591" s="329"/>
      <c r="J591" s="329"/>
      <c r="K591" s="322"/>
      <c r="L591" s="322"/>
      <c r="M591" s="323" t="str">
        <f>IFERROR(VLOOKUP(H591,Lijsten!$H$1:$I$100,2,0),"")</f>
        <v/>
      </c>
      <c r="N591" s="323" t="str">
        <f ca="1">IFERROR(IF(VLOOKUP(F591,Kostentypen!$A$3:$E$21,3,0)=0,"",IF(OR(F591="Arbeidskosten",F591="Vergoeding"),VLOOKUP(G591,Tb_KostenTypen[],2,0),VLOOKUP(F591,Kostentypen!$A$3:$E$20,3,0))),"")</f>
        <v/>
      </c>
      <c r="O591" s="324"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4"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3"/>
      <c r="R591" s="363"/>
      <c r="S591" s="325"/>
      <c r="T591" s="325"/>
      <c r="U591" s="317" t="str" cm="1">
        <f t="array" aca="1" ref="U591" ca="1">IFERROR(IF(AA591&lt;&gt;"ja",_xlfn.IFNA(_xlfn.IFS(AND(O591&lt;&gt;"",F591&lt;&gt;"",RIGHT($N591,6)="tarief",F591="Vergoeding"),SUM(O591)*FLOOR(SUM(Q591),0.0001),AND(O591&lt;&gt;"",F591&lt;&gt;"",RIGHT($N591,6)="tarief"),SUM(O591)*FLOOR(SUM(Q591),0.01),S591&gt;0,IF(F591&lt;&gt;"",FLOOR(SUM(S591),0.01),"")),""),""),"")</f>
        <v/>
      </c>
      <c r="V591" s="317" t="str" cm="1">
        <f t="array" aca="1" ref="V591" ca="1">IFERROR(IF(AA591&lt;&gt;"ja",_xlfn.IFNA(_xlfn.IFS(AND(P591&lt;&gt;"",R591&lt;&gt;"",RIGHT($N591,6)="tarief",F591="Vergoeding"),SUM(P591)*FLOOR(SUM(R591),0.0001),AND(P591&lt;&gt;"",R591&lt;&gt;"",RIGHT($N591,6)="tarief"),P591*FLOOR(R591,0.01),T591&gt;0,FLOOR(SUM(T591),0.01)),""),""),"")</f>
        <v/>
      </c>
      <c r="W591" s="317" t="str" cm="1">
        <f t="array" aca="1" ref="W591" ca="1">IFERROR(_xlfn.IFS(OR(F591="",LEFT(Methode_Keuze,4)="Geen",Methode_Keuze=""),"",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17" t="str" cm="1">
        <f t="array" aca="1" ref="X591" ca="1">IFERROR(_xlfn.IFS(OR(F591="",LEFT(Methode_Keuze,4)="Geen",Methode_Keuze=""),"",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26"/>
      <c r="Z591" s="319"/>
      <c r="AA591" s="32" t="str" cm="1">
        <f t="array" ref="AA591">IFERROR(IF(INDEX(SubsidieTabel!$AD$1:$AG$12,MATCH($F591,SubsidieTabel!$AD$1:$AD$12,0),IFERROR(MATCH(Methode_Keuze,SubsidieTabel!$AD$1:$AG$1,0),2))&lt;&gt;1=TRUE,"ja",""),"")</f>
        <v/>
      </c>
    </row>
    <row r="592" spans="1:27" x14ac:dyDescent="0.25">
      <c r="A592" s="320"/>
      <c r="B592" s="321" t="str">
        <f>IF(A592&lt;&gt;"",_xlfn.MAXIFS($B$1:B591,$A$1:A591,A592)+1,"")</f>
        <v/>
      </c>
      <c r="C592" s="299"/>
      <c r="D592" s="299"/>
      <c r="E592" s="299"/>
      <c r="F592" s="299"/>
      <c r="G592" s="330"/>
      <c r="H592" s="328"/>
      <c r="I592" s="329"/>
      <c r="J592" s="329"/>
      <c r="K592" s="322"/>
      <c r="L592" s="322"/>
      <c r="M592" s="323" t="str">
        <f>IFERROR(VLOOKUP(H592,Lijsten!$H$1:$I$100,2,0),"")</f>
        <v/>
      </c>
      <c r="N592" s="323" t="str">
        <f ca="1">IFERROR(IF(VLOOKUP(F592,Kostentypen!$A$3:$E$21,3,0)=0,"",IF(OR(F592="Arbeidskosten",F592="Vergoeding"),VLOOKUP(G592,Tb_KostenTypen[],2,0),VLOOKUP(F592,Kostentypen!$A$3:$E$20,3,0))),"")</f>
        <v/>
      </c>
      <c r="O592" s="324"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4"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3"/>
      <c r="R592" s="363"/>
      <c r="S592" s="325"/>
      <c r="T592" s="325"/>
      <c r="U592" s="317" t="str" cm="1">
        <f t="array" aca="1" ref="U592" ca="1">IFERROR(IF(AA592&lt;&gt;"ja",_xlfn.IFNA(_xlfn.IFS(AND(O592&lt;&gt;"",F592&lt;&gt;"",RIGHT($N592,6)="tarief",F592="Vergoeding"),SUM(O592)*FLOOR(SUM(Q592),0.0001),AND(O592&lt;&gt;"",F592&lt;&gt;"",RIGHT($N592,6)="tarief"),SUM(O592)*FLOOR(SUM(Q592),0.01),S592&gt;0,IF(F592&lt;&gt;"",FLOOR(SUM(S592),0.01),"")),""),""),"")</f>
        <v/>
      </c>
      <c r="V592" s="317" t="str" cm="1">
        <f t="array" aca="1" ref="V592" ca="1">IFERROR(IF(AA592&lt;&gt;"ja",_xlfn.IFNA(_xlfn.IFS(AND(P592&lt;&gt;"",R592&lt;&gt;"",RIGHT($N592,6)="tarief",F592="Vergoeding"),SUM(P592)*FLOOR(SUM(R592),0.0001),AND(P592&lt;&gt;"",R592&lt;&gt;"",RIGHT($N592,6)="tarief"),P592*FLOOR(R592,0.01),T592&gt;0,FLOOR(SUM(T592),0.01)),""),""),"")</f>
        <v/>
      </c>
      <c r="W592" s="317" t="str" cm="1">
        <f t="array" aca="1" ref="W592" ca="1">IFERROR(_xlfn.IFS(OR(F592="",LEFT(Methode_Keuze,4)="Geen",Methode_Keuze=""),"",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17" t="str" cm="1">
        <f t="array" aca="1" ref="X592" ca="1">IFERROR(_xlfn.IFS(OR(F592="",LEFT(Methode_Keuze,4)="Geen",Methode_Keuze=""),"",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26"/>
      <c r="Z592" s="319"/>
      <c r="AA592" s="32" t="str" cm="1">
        <f t="array" ref="AA592">IFERROR(IF(INDEX(SubsidieTabel!$AD$1:$AG$12,MATCH($F592,SubsidieTabel!$AD$1:$AD$12,0),IFERROR(MATCH(Methode_Keuze,SubsidieTabel!$AD$1:$AG$1,0),2))&lt;&gt;1=TRUE,"ja",""),"")</f>
        <v/>
      </c>
    </row>
    <row r="593" spans="1:27" x14ac:dyDescent="0.25">
      <c r="A593" s="320"/>
      <c r="B593" s="321" t="str">
        <f>IF(A593&lt;&gt;"",_xlfn.MAXIFS($B$1:B592,$A$1:A592,A593)+1,"")</f>
        <v/>
      </c>
      <c r="C593" s="299"/>
      <c r="D593" s="299"/>
      <c r="E593" s="299"/>
      <c r="F593" s="299"/>
      <c r="G593" s="330"/>
      <c r="H593" s="328"/>
      <c r="I593" s="329"/>
      <c r="J593" s="329"/>
      <c r="K593" s="322"/>
      <c r="L593" s="322"/>
      <c r="M593" s="323" t="str">
        <f>IFERROR(VLOOKUP(H593,Lijsten!$H$1:$I$100,2,0),"")</f>
        <v/>
      </c>
      <c r="N593" s="323" t="str">
        <f ca="1">IFERROR(IF(VLOOKUP(F593,Kostentypen!$A$3:$E$21,3,0)=0,"",IF(OR(F593="Arbeidskosten",F593="Vergoeding"),VLOOKUP(G593,Tb_KostenTypen[],2,0),VLOOKUP(F593,Kostentypen!$A$3:$E$20,3,0))),"")</f>
        <v/>
      </c>
      <c r="O593" s="324"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4"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3"/>
      <c r="R593" s="363"/>
      <c r="S593" s="325"/>
      <c r="T593" s="325"/>
      <c r="U593" s="317" t="str" cm="1">
        <f t="array" aca="1" ref="U593" ca="1">IFERROR(IF(AA593&lt;&gt;"ja",_xlfn.IFNA(_xlfn.IFS(AND(O593&lt;&gt;"",F593&lt;&gt;"",RIGHT($N593,6)="tarief",F593="Vergoeding"),SUM(O593)*FLOOR(SUM(Q593),0.0001),AND(O593&lt;&gt;"",F593&lt;&gt;"",RIGHT($N593,6)="tarief"),SUM(O593)*FLOOR(SUM(Q593),0.01),S593&gt;0,IF(F593&lt;&gt;"",FLOOR(SUM(S593),0.01),"")),""),""),"")</f>
        <v/>
      </c>
      <c r="V593" s="317" t="str" cm="1">
        <f t="array" aca="1" ref="V593" ca="1">IFERROR(IF(AA593&lt;&gt;"ja",_xlfn.IFNA(_xlfn.IFS(AND(P593&lt;&gt;"",R593&lt;&gt;"",RIGHT($N593,6)="tarief",F593="Vergoeding"),SUM(P593)*FLOOR(SUM(R593),0.0001),AND(P593&lt;&gt;"",R593&lt;&gt;"",RIGHT($N593,6)="tarief"),P593*FLOOR(R593,0.01),T593&gt;0,FLOOR(SUM(T593),0.01)),""),""),"")</f>
        <v/>
      </c>
      <c r="W593" s="317" t="str" cm="1">
        <f t="array" aca="1" ref="W593" ca="1">IFERROR(_xlfn.IFS(OR(F593="",LEFT(Methode_Keuze,4)="Geen",Methode_Keuze=""),"",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17" t="str" cm="1">
        <f t="array" aca="1" ref="X593" ca="1">IFERROR(_xlfn.IFS(OR(F593="",LEFT(Methode_Keuze,4)="Geen",Methode_Keuze=""),"",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26"/>
      <c r="Z593" s="319"/>
      <c r="AA593" s="32" t="str" cm="1">
        <f t="array" ref="AA593">IFERROR(IF(INDEX(SubsidieTabel!$AD$1:$AG$12,MATCH($F593,SubsidieTabel!$AD$1:$AD$12,0),IFERROR(MATCH(Methode_Keuze,SubsidieTabel!$AD$1:$AG$1,0),2))&lt;&gt;1=TRUE,"ja",""),"")</f>
        <v/>
      </c>
    </row>
    <row r="594" spans="1:27" x14ac:dyDescent="0.25">
      <c r="A594" s="320"/>
      <c r="B594" s="321" t="str">
        <f>IF(A594&lt;&gt;"",_xlfn.MAXIFS($B$1:B593,$A$1:A593,A594)+1,"")</f>
        <v/>
      </c>
      <c r="C594" s="299"/>
      <c r="D594" s="299"/>
      <c r="E594" s="299"/>
      <c r="F594" s="299"/>
      <c r="G594" s="330"/>
      <c r="H594" s="328"/>
      <c r="I594" s="329"/>
      <c r="J594" s="329"/>
      <c r="K594" s="322"/>
      <c r="L594" s="322"/>
      <c r="M594" s="323" t="str">
        <f>IFERROR(VLOOKUP(H594,Lijsten!$H$1:$I$100,2,0),"")</f>
        <v/>
      </c>
      <c r="N594" s="323" t="str">
        <f ca="1">IFERROR(IF(VLOOKUP(F594,Kostentypen!$A$3:$E$21,3,0)=0,"",IF(OR(F594="Arbeidskosten",F594="Vergoeding"),VLOOKUP(G594,Tb_KostenTypen[],2,0),VLOOKUP(F594,Kostentypen!$A$3:$E$20,3,0))),"")</f>
        <v/>
      </c>
      <c r="O594" s="324"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4"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3"/>
      <c r="R594" s="363"/>
      <c r="S594" s="325"/>
      <c r="T594" s="325"/>
      <c r="U594" s="317" t="str" cm="1">
        <f t="array" aca="1" ref="U594" ca="1">IFERROR(IF(AA594&lt;&gt;"ja",_xlfn.IFNA(_xlfn.IFS(AND(O594&lt;&gt;"",F594&lt;&gt;"",RIGHT($N594,6)="tarief",F594="Vergoeding"),SUM(O594)*FLOOR(SUM(Q594),0.0001),AND(O594&lt;&gt;"",F594&lt;&gt;"",RIGHT($N594,6)="tarief"),SUM(O594)*FLOOR(SUM(Q594),0.01),S594&gt;0,IF(F594&lt;&gt;"",FLOOR(SUM(S594),0.01),"")),""),""),"")</f>
        <v/>
      </c>
      <c r="V594" s="317" t="str" cm="1">
        <f t="array" aca="1" ref="V594" ca="1">IFERROR(IF(AA594&lt;&gt;"ja",_xlfn.IFNA(_xlfn.IFS(AND(P594&lt;&gt;"",R594&lt;&gt;"",RIGHT($N594,6)="tarief",F594="Vergoeding"),SUM(P594)*FLOOR(SUM(R594),0.0001),AND(P594&lt;&gt;"",R594&lt;&gt;"",RIGHT($N594,6)="tarief"),P594*FLOOR(R594,0.01),T594&gt;0,FLOOR(SUM(T594),0.01)),""),""),"")</f>
        <v/>
      </c>
      <c r="W594" s="317" t="str" cm="1">
        <f t="array" aca="1" ref="W594" ca="1">IFERROR(_xlfn.IFS(OR(F594="",LEFT(Methode_Keuze,4)="Geen",Methode_Keuze=""),"",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17" t="str" cm="1">
        <f t="array" aca="1" ref="X594" ca="1">IFERROR(_xlfn.IFS(OR(F594="",LEFT(Methode_Keuze,4)="Geen",Methode_Keuze=""),"",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26"/>
      <c r="Z594" s="319"/>
      <c r="AA594" s="32" t="str" cm="1">
        <f t="array" ref="AA594">IFERROR(IF(INDEX(SubsidieTabel!$AD$1:$AG$12,MATCH($F594,SubsidieTabel!$AD$1:$AD$12,0),IFERROR(MATCH(Methode_Keuze,SubsidieTabel!$AD$1:$AG$1,0),2))&lt;&gt;1=TRUE,"ja",""),"")</f>
        <v/>
      </c>
    </row>
    <row r="595" spans="1:27" x14ac:dyDescent="0.25">
      <c r="A595" s="320"/>
      <c r="B595" s="321" t="str">
        <f>IF(A595&lt;&gt;"",_xlfn.MAXIFS($B$1:B594,$A$1:A594,A595)+1,"")</f>
        <v/>
      </c>
      <c r="C595" s="299"/>
      <c r="D595" s="299"/>
      <c r="E595" s="299"/>
      <c r="F595" s="299"/>
      <c r="G595" s="330"/>
      <c r="H595" s="328"/>
      <c r="I595" s="329"/>
      <c r="J595" s="329"/>
      <c r="K595" s="322"/>
      <c r="L595" s="322"/>
      <c r="M595" s="323" t="str">
        <f>IFERROR(VLOOKUP(H595,Lijsten!$H$1:$I$100,2,0),"")</f>
        <v/>
      </c>
      <c r="N595" s="323" t="str">
        <f ca="1">IFERROR(IF(VLOOKUP(F595,Kostentypen!$A$3:$E$21,3,0)=0,"",IF(OR(F595="Arbeidskosten",F595="Vergoeding"),VLOOKUP(G595,Tb_KostenTypen[],2,0),VLOOKUP(F595,Kostentypen!$A$3:$E$20,3,0))),"")</f>
        <v/>
      </c>
      <c r="O595" s="324"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4"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3"/>
      <c r="R595" s="363"/>
      <c r="S595" s="325"/>
      <c r="T595" s="325"/>
      <c r="U595" s="317" t="str" cm="1">
        <f t="array" aca="1" ref="U595" ca="1">IFERROR(IF(AA595&lt;&gt;"ja",_xlfn.IFNA(_xlfn.IFS(AND(O595&lt;&gt;"",F595&lt;&gt;"",RIGHT($N595,6)="tarief",F595="Vergoeding"),SUM(O595)*FLOOR(SUM(Q595),0.0001),AND(O595&lt;&gt;"",F595&lt;&gt;"",RIGHT($N595,6)="tarief"),SUM(O595)*FLOOR(SUM(Q595),0.01),S595&gt;0,IF(F595&lt;&gt;"",FLOOR(SUM(S595),0.01),"")),""),""),"")</f>
        <v/>
      </c>
      <c r="V595" s="317" t="str" cm="1">
        <f t="array" aca="1" ref="V595" ca="1">IFERROR(IF(AA595&lt;&gt;"ja",_xlfn.IFNA(_xlfn.IFS(AND(P595&lt;&gt;"",R595&lt;&gt;"",RIGHT($N595,6)="tarief",F595="Vergoeding"),SUM(P595)*FLOOR(SUM(R595),0.0001),AND(P595&lt;&gt;"",R595&lt;&gt;"",RIGHT($N595,6)="tarief"),P595*FLOOR(R595,0.01),T595&gt;0,FLOOR(SUM(T595),0.01)),""),""),"")</f>
        <v/>
      </c>
      <c r="W595" s="317" t="str" cm="1">
        <f t="array" aca="1" ref="W595" ca="1">IFERROR(_xlfn.IFS(OR(F595="",LEFT(Methode_Keuze,4)="Geen",Methode_Keuze=""),"",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17" t="str" cm="1">
        <f t="array" aca="1" ref="X595" ca="1">IFERROR(_xlfn.IFS(OR(F595="",LEFT(Methode_Keuze,4)="Geen",Methode_Keuze=""),"",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26"/>
      <c r="Z595" s="319"/>
      <c r="AA595" s="32" t="str" cm="1">
        <f t="array" ref="AA595">IFERROR(IF(INDEX(SubsidieTabel!$AD$1:$AG$12,MATCH($F595,SubsidieTabel!$AD$1:$AD$12,0),IFERROR(MATCH(Methode_Keuze,SubsidieTabel!$AD$1:$AG$1,0),2))&lt;&gt;1=TRUE,"ja",""),"")</f>
        <v/>
      </c>
    </row>
    <row r="596" spans="1:27" x14ac:dyDescent="0.25">
      <c r="A596" s="320"/>
      <c r="B596" s="321" t="str">
        <f>IF(A596&lt;&gt;"",_xlfn.MAXIFS($B$1:B595,$A$1:A595,A596)+1,"")</f>
        <v/>
      </c>
      <c r="C596" s="299"/>
      <c r="D596" s="299"/>
      <c r="E596" s="299"/>
      <c r="F596" s="299"/>
      <c r="G596" s="330"/>
      <c r="H596" s="328"/>
      <c r="I596" s="329"/>
      <c r="J596" s="329"/>
      <c r="K596" s="322"/>
      <c r="L596" s="322"/>
      <c r="M596" s="323" t="str">
        <f>IFERROR(VLOOKUP(H596,Lijsten!$H$1:$I$100,2,0),"")</f>
        <v/>
      </c>
      <c r="N596" s="323" t="str">
        <f ca="1">IFERROR(IF(VLOOKUP(F596,Kostentypen!$A$3:$E$21,3,0)=0,"",IF(OR(F596="Arbeidskosten",F596="Vergoeding"),VLOOKUP(G596,Tb_KostenTypen[],2,0),VLOOKUP(F596,Kostentypen!$A$3:$E$20,3,0))),"")</f>
        <v/>
      </c>
      <c r="O596" s="324"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4"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3"/>
      <c r="R596" s="363"/>
      <c r="S596" s="325"/>
      <c r="T596" s="325"/>
      <c r="U596" s="317" t="str" cm="1">
        <f t="array" aca="1" ref="U596" ca="1">IFERROR(IF(AA596&lt;&gt;"ja",_xlfn.IFNA(_xlfn.IFS(AND(O596&lt;&gt;"",F596&lt;&gt;"",RIGHT($N596,6)="tarief",F596="Vergoeding"),SUM(O596)*FLOOR(SUM(Q596),0.0001),AND(O596&lt;&gt;"",F596&lt;&gt;"",RIGHT($N596,6)="tarief"),SUM(O596)*FLOOR(SUM(Q596),0.01),S596&gt;0,IF(F596&lt;&gt;"",FLOOR(SUM(S596),0.01),"")),""),""),"")</f>
        <v/>
      </c>
      <c r="V596" s="317" t="str" cm="1">
        <f t="array" aca="1" ref="V596" ca="1">IFERROR(IF(AA596&lt;&gt;"ja",_xlfn.IFNA(_xlfn.IFS(AND(P596&lt;&gt;"",R596&lt;&gt;"",RIGHT($N596,6)="tarief",F596="Vergoeding"),SUM(P596)*FLOOR(SUM(R596),0.0001),AND(P596&lt;&gt;"",R596&lt;&gt;"",RIGHT($N596,6)="tarief"),P596*FLOOR(R596,0.01),T596&gt;0,FLOOR(SUM(T596),0.01)),""),""),"")</f>
        <v/>
      </c>
      <c r="W596" s="317" t="str" cm="1">
        <f t="array" aca="1" ref="W596" ca="1">IFERROR(_xlfn.IFS(OR(F596="",LEFT(Methode_Keuze,4)="Geen",Methode_Keuze=""),"",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17" t="str" cm="1">
        <f t="array" aca="1" ref="X596" ca="1">IFERROR(_xlfn.IFS(OR(F596="",LEFT(Methode_Keuze,4)="Geen",Methode_Keuze=""),"",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26"/>
      <c r="Z596" s="319"/>
      <c r="AA596" s="32" t="str" cm="1">
        <f t="array" ref="AA596">IFERROR(IF(INDEX(SubsidieTabel!$AD$1:$AG$12,MATCH($F596,SubsidieTabel!$AD$1:$AD$12,0),IFERROR(MATCH(Methode_Keuze,SubsidieTabel!$AD$1:$AG$1,0),2))&lt;&gt;1=TRUE,"ja",""),"")</f>
        <v/>
      </c>
    </row>
    <row r="597" spans="1:27" x14ac:dyDescent="0.25">
      <c r="A597" s="320"/>
      <c r="B597" s="321" t="str">
        <f>IF(A597&lt;&gt;"",_xlfn.MAXIFS($B$1:B596,$A$1:A596,A597)+1,"")</f>
        <v/>
      </c>
      <c r="C597" s="299"/>
      <c r="D597" s="299"/>
      <c r="E597" s="299"/>
      <c r="F597" s="299"/>
      <c r="G597" s="330"/>
      <c r="H597" s="328"/>
      <c r="I597" s="329"/>
      <c r="J597" s="329"/>
      <c r="K597" s="322"/>
      <c r="L597" s="322"/>
      <c r="M597" s="323" t="str">
        <f>IFERROR(VLOOKUP(H597,Lijsten!$H$1:$I$100,2,0),"")</f>
        <v/>
      </c>
      <c r="N597" s="323" t="str">
        <f ca="1">IFERROR(IF(VLOOKUP(F597,Kostentypen!$A$3:$E$21,3,0)=0,"",IF(OR(F597="Arbeidskosten",F597="Vergoeding"),VLOOKUP(G597,Tb_KostenTypen[],2,0),VLOOKUP(F597,Kostentypen!$A$3:$E$20,3,0))),"")</f>
        <v/>
      </c>
      <c r="O597" s="324"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4"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3"/>
      <c r="R597" s="363"/>
      <c r="S597" s="325"/>
      <c r="T597" s="325"/>
      <c r="U597" s="317" t="str" cm="1">
        <f t="array" aca="1" ref="U597" ca="1">IFERROR(IF(AA597&lt;&gt;"ja",_xlfn.IFNA(_xlfn.IFS(AND(O597&lt;&gt;"",F597&lt;&gt;"",RIGHT($N597,6)="tarief",F597="Vergoeding"),SUM(O597)*FLOOR(SUM(Q597),0.0001),AND(O597&lt;&gt;"",F597&lt;&gt;"",RIGHT($N597,6)="tarief"),SUM(O597)*FLOOR(SUM(Q597),0.01),S597&gt;0,IF(F597&lt;&gt;"",FLOOR(SUM(S597),0.01),"")),""),""),"")</f>
        <v/>
      </c>
      <c r="V597" s="317" t="str" cm="1">
        <f t="array" aca="1" ref="V597" ca="1">IFERROR(IF(AA597&lt;&gt;"ja",_xlfn.IFNA(_xlfn.IFS(AND(P597&lt;&gt;"",R597&lt;&gt;"",RIGHT($N597,6)="tarief",F597="Vergoeding"),SUM(P597)*FLOOR(SUM(R597),0.0001),AND(P597&lt;&gt;"",R597&lt;&gt;"",RIGHT($N597,6)="tarief"),P597*FLOOR(R597,0.01),T597&gt;0,FLOOR(SUM(T597),0.01)),""),""),"")</f>
        <v/>
      </c>
      <c r="W597" s="317" t="str" cm="1">
        <f t="array" aca="1" ref="W597" ca="1">IFERROR(_xlfn.IFS(OR(F597="",LEFT(Methode_Keuze,4)="Geen",Methode_Keuze=""),"",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17" t="str" cm="1">
        <f t="array" aca="1" ref="X597" ca="1">IFERROR(_xlfn.IFS(OR(F597="",LEFT(Methode_Keuze,4)="Geen",Methode_Keuze=""),"",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26"/>
      <c r="Z597" s="319"/>
      <c r="AA597" s="32" t="str" cm="1">
        <f t="array" ref="AA597">IFERROR(IF(INDEX(SubsidieTabel!$AD$1:$AG$12,MATCH($F597,SubsidieTabel!$AD$1:$AD$12,0),IFERROR(MATCH(Methode_Keuze,SubsidieTabel!$AD$1:$AG$1,0),2))&lt;&gt;1=TRUE,"ja",""),"")</f>
        <v/>
      </c>
    </row>
    <row r="598" spans="1:27" x14ac:dyDescent="0.25">
      <c r="A598" s="320"/>
      <c r="B598" s="321" t="str">
        <f>IF(A598&lt;&gt;"",_xlfn.MAXIFS($B$1:B597,$A$1:A597,A598)+1,"")</f>
        <v/>
      </c>
      <c r="C598" s="299"/>
      <c r="D598" s="299"/>
      <c r="E598" s="299"/>
      <c r="F598" s="299"/>
      <c r="G598" s="330"/>
      <c r="H598" s="328"/>
      <c r="I598" s="329"/>
      <c r="J598" s="329"/>
      <c r="K598" s="322"/>
      <c r="L598" s="322"/>
      <c r="M598" s="323" t="str">
        <f>IFERROR(VLOOKUP(H598,Lijsten!$H$1:$I$100,2,0),"")</f>
        <v/>
      </c>
      <c r="N598" s="323" t="str">
        <f ca="1">IFERROR(IF(VLOOKUP(F598,Kostentypen!$A$3:$E$21,3,0)=0,"",IF(OR(F598="Arbeidskosten",F598="Vergoeding"),VLOOKUP(G598,Tb_KostenTypen[],2,0),VLOOKUP(F598,Kostentypen!$A$3:$E$20,3,0))),"")</f>
        <v/>
      </c>
      <c r="O598" s="324"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4"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3"/>
      <c r="R598" s="363"/>
      <c r="S598" s="325"/>
      <c r="T598" s="325"/>
      <c r="U598" s="317" t="str" cm="1">
        <f t="array" aca="1" ref="U598" ca="1">IFERROR(IF(AA598&lt;&gt;"ja",_xlfn.IFNA(_xlfn.IFS(AND(O598&lt;&gt;"",F598&lt;&gt;"",RIGHT($N598,6)="tarief",F598="Vergoeding"),SUM(O598)*FLOOR(SUM(Q598),0.0001),AND(O598&lt;&gt;"",F598&lt;&gt;"",RIGHT($N598,6)="tarief"),SUM(O598)*FLOOR(SUM(Q598),0.01),S598&gt;0,IF(F598&lt;&gt;"",FLOOR(SUM(S598),0.01),"")),""),""),"")</f>
        <v/>
      </c>
      <c r="V598" s="317" t="str" cm="1">
        <f t="array" aca="1" ref="V598" ca="1">IFERROR(IF(AA598&lt;&gt;"ja",_xlfn.IFNA(_xlfn.IFS(AND(P598&lt;&gt;"",R598&lt;&gt;"",RIGHT($N598,6)="tarief",F598="Vergoeding"),SUM(P598)*FLOOR(SUM(R598),0.0001),AND(P598&lt;&gt;"",R598&lt;&gt;"",RIGHT($N598,6)="tarief"),P598*FLOOR(R598,0.01),T598&gt;0,FLOOR(SUM(T598),0.01)),""),""),"")</f>
        <v/>
      </c>
      <c r="W598" s="317" t="str" cm="1">
        <f t="array" aca="1" ref="W598" ca="1">IFERROR(_xlfn.IFS(OR(F598="",LEFT(Methode_Keuze,4)="Geen",Methode_Keuze=""),"",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17" t="str" cm="1">
        <f t="array" aca="1" ref="X598" ca="1">IFERROR(_xlfn.IFS(OR(F598="",LEFT(Methode_Keuze,4)="Geen",Methode_Keuze=""),"",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26"/>
      <c r="Z598" s="319"/>
      <c r="AA598" s="32" t="str" cm="1">
        <f t="array" ref="AA598">IFERROR(IF(INDEX(SubsidieTabel!$AD$1:$AG$12,MATCH($F598,SubsidieTabel!$AD$1:$AD$12,0),IFERROR(MATCH(Methode_Keuze,SubsidieTabel!$AD$1:$AG$1,0),2))&lt;&gt;1=TRUE,"ja",""),"")</f>
        <v/>
      </c>
    </row>
    <row r="599" spans="1:27" x14ac:dyDescent="0.25">
      <c r="A599" s="320"/>
      <c r="B599" s="321" t="str">
        <f>IF(A599&lt;&gt;"",_xlfn.MAXIFS($B$1:B598,$A$1:A598,A599)+1,"")</f>
        <v/>
      </c>
      <c r="C599" s="299"/>
      <c r="D599" s="299"/>
      <c r="E599" s="299"/>
      <c r="F599" s="299"/>
      <c r="G599" s="330"/>
      <c r="H599" s="328"/>
      <c r="I599" s="329"/>
      <c r="J599" s="329"/>
      <c r="K599" s="322"/>
      <c r="L599" s="322"/>
      <c r="M599" s="323" t="str">
        <f>IFERROR(VLOOKUP(H599,Lijsten!$H$1:$I$100,2,0),"")</f>
        <v/>
      </c>
      <c r="N599" s="323" t="str">
        <f ca="1">IFERROR(IF(VLOOKUP(F599,Kostentypen!$A$3:$E$21,3,0)=0,"",IF(OR(F599="Arbeidskosten",F599="Vergoeding"),VLOOKUP(G599,Tb_KostenTypen[],2,0),VLOOKUP(F599,Kostentypen!$A$3:$E$20,3,0))),"")</f>
        <v/>
      </c>
      <c r="O599" s="324"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4"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3"/>
      <c r="R599" s="363"/>
      <c r="S599" s="325"/>
      <c r="T599" s="325"/>
      <c r="U599" s="317" t="str" cm="1">
        <f t="array" aca="1" ref="U599" ca="1">IFERROR(IF(AA599&lt;&gt;"ja",_xlfn.IFNA(_xlfn.IFS(AND(O599&lt;&gt;"",F599&lt;&gt;"",RIGHT($N599,6)="tarief",F599="Vergoeding"),SUM(O599)*FLOOR(SUM(Q599),0.0001),AND(O599&lt;&gt;"",F599&lt;&gt;"",RIGHT($N599,6)="tarief"),SUM(O599)*FLOOR(SUM(Q599),0.01),S599&gt;0,IF(F599&lt;&gt;"",FLOOR(SUM(S599),0.01),"")),""),""),"")</f>
        <v/>
      </c>
      <c r="V599" s="317" t="str" cm="1">
        <f t="array" aca="1" ref="V599" ca="1">IFERROR(IF(AA599&lt;&gt;"ja",_xlfn.IFNA(_xlfn.IFS(AND(P599&lt;&gt;"",R599&lt;&gt;"",RIGHT($N599,6)="tarief",F599="Vergoeding"),SUM(P599)*FLOOR(SUM(R599),0.0001),AND(P599&lt;&gt;"",R599&lt;&gt;"",RIGHT($N599,6)="tarief"),P599*FLOOR(R599,0.01),T599&gt;0,FLOOR(SUM(T599),0.01)),""),""),"")</f>
        <v/>
      </c>
      <c r="W599" s="317" t="str" cm="1">
        <f t="array" aca="1" ref="W599" ca="1">IFERROR(_xlfn.IFS(OR(F599="",LEFT(Methode_Keuze,4)="Geen",Methode_Keuze=""),"",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17" t="str" cm="1">
        <f t="array" aca="1" ref="X599" ca="1">IFERROR(_xlfn.IFS(OR(F599="",LEFT(Methode_Keuze,4)="Geen",Methode_Keuze=""),"",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26"/>
      <c r="Z599" s="319"/>
      <c r="AA599" s="32" t="str" cm="1">
        <f t="array" ref="AA599">IFERROR(IF(INDEX(SubsidieTabel!$AD$1:$AG$12,MATCH($F599,SubsidieTabel!$AD$1:$AD$12,0),IFERROR(MATCH(Methode_Keuze,SubsidieTabel!$AD$1:$AG$1,0),2))&lt;&gt;1=TRUE,"ja",""),"")</f>
        <v/>
      </c>
    </row>
    <row r="600" spans="1:27" x14ac:dyDescent="0.25">
      <c r="A600" s="320"/>
      <c r="B600" s="321" t="str">
        <f>IF(A600&lt;&gt;"",_xlfn.MAXIFS($B$1:B599,$A$1:A599,A600)+1,"")</f>
        <v/>
      </c>
      <c r="C600" s="299"/>
      <c r="D600" s="299"/>
      <c r="E600" s="299"/>
      <c r="F600" s="299"/>
      <c r="G600" s="330"/>
      <c r="H600" s="328"/>
      <c r="I600" s="329"/>
      <c r="J600" s="329"/>
      <c r="K600" s="322"/>
      <c r="L600" s="322"/>
      <c r="M600" s="323" t="str">
        <f>IFERROR(VLOOKUP(H600,Lijsten!$H$1:$I$100,2,0),"")</f>
        <v/>
      </c>
      <c r="N600" s="323" t="str">
        <f ca="1">IFERROR(IF(VLOOKUP(F600,Kostentypen!$A$3:$E$21,3,0)=0,"",IF(OR(F600="Arbeidskosten",F600="Vergoeding"),VLOOKUP(G600,Tb_KostenTypen[],2,0),VLOOKUP(F600,Kostentypen!$A$3:$E$20,3,0))),"")</f>
        <v/>
      </c>
      <c r="O600" s="324"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4"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3"/>
      <c r="R600" s="363"/>
      <c r="S600" s="325"/>
      <c r="T600" s="325"/>
      <c r="U600" s="317" t="str" cm="1">
        <f t="array" aca="1" ref="U600" ca="1">IFERROR(IF(AA600&lt;&gt;"ja",_xlfn.IFNA(_xlfn.IFS(AND(O600&lt;&gt;"",F600&lt;&gt;"",RIGHT($N600,6)="tarief",F600="Vergoeding"),SUM(O600)*FLOOR(SUM(Q600),0.0001),AND(O600&lt;&gt;"",F600&lt;&gt;"",RIGHT($N600,6)="tarief"),SUM(O600)*FLOOR(SUM(Q600),0.01),S600&gt;0,IF(F600&lt;&gt;"",FLOOR(SUM(S600),0.01),"")),""),""),"")</f>
        <v/>
      </c>
      <c r="V600" s="317" t="str" cm="1">
        <f t="array" aca="1" ref="V600" ca="1">IFERROR(IF(AA600&lt;&gt;"ja",_xlfn.IFNA(_xlfn.IFS(AND(P600&lt;&gt;"",R600&lt;&gt;"",RIGHT($N600,6)="tarief",F600="Vergoeding"),SUM(P600)*FLOOR(SUM(R600),0.0001),AND(P600&lt;&gt;"",R600&lt;&gt;"",RIGHT($N600,6)="tarief"),P600*FLOOR(R600,0.01),T600&gt;0,FLOOR(SUM(T600),0.01)),""),""),"")</f>
        <v/>
      </c>
      <c r="W600" s="317" t="str" cm="1">
        <f t="array" aca="1" ref="W600" ca="1">IFERROR(_xlfn.IFS(OR(F600="",LEFT(Methode_Keuze,4)="Geen",Methode_Keuze=""),"",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17" t="str" cm="1">
        <f t="array" aca="1" ref="X600" ca="1">IFERROR(_xlfn.IFS(OR(F600="",LEFT(Methode_Keuze,4)="Geen",Methode_Keuze=""),"",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26"/>
      <c r="Z600" s="319"/>
      <c r="AA600" s="32" t="str" cm="1">
        <f t="array" ref="AA600">IFERROR(IF(INDEX(SubsidieTabel!$AD$1:$AG$12,MATCH($F600,SubsidieTabel!$AD$1:$AD$12,0),IFERROR(MATCH(Methode_Keuze,SubsidieTabel!$AD$1:$AG$1,0),2))&lt;&gt;1=TRUE,"ja",""),"")</f>
        <v/>
      </c>
    </row>
    <row r="601" spans="1:27" x14ac:dyDescent="0.25">
      <c r="A601" s="320"/>
      <c r="B601" s="321" t="str">
        <f>IF(A601&lt;&gt;"",_xlfn.MAXIFS($B$1:B600,$A$1:A600,A601)+1,"")</f>
        <v/>
      </c>
      <c r="C601" s="299"/>
      <c r="D601" s="299"/>
      <c r="E601" s="299"/>
      <c r="F601" s="299"/>
      <c r="G601" s="330"/>
      <c r="H601" s="328"/>
      <c r="I601" s="329"/>
      <c r="J601" s="329"/>
      <c r="K601" s="322"/>
      <c r="L601" s="322"/>
      <c r="M601" s="323" t="str">
        <f>IFERROR(VLOOKUP(H601,Lijsten!$H$1:$I$100,2,0),"")</f>
        <v/>
      </c>
      <c r="N601" s="323" t="str">
        <f ca="1">IFERROR(IF(VLOOKUP(F601,Kostentypen!$A$3:$E$21,3,0)=0,"",IF(OR(F601="Arbeidskosten",F601="Vergoeding"),VLOOKUP(G601,Tb_KostenTypen[],2,0),VLOOKUP(F601,Kostentypen!$A$3:$E$20,3,0))),"")</f>
        <v/>
      </c>
      <c r="O601" s="324"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4"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3"/>
      <c r="R601" s="363"/>
      <c r="S601" s="325"/>
      <c r="T601" s="325"/>
      <c r="U601" s="317" t="str" cm="1">
        <f t="array" aca="1" ref="U601" ca="1">IFERROR(IF(AA601&lt;&gt;"ja",_xlfn.IFNA(_xlfn.IFS(AND(O601&lt;&gt;"",F601&lt;&gt;"",RIGHT($N601,6)="tarief",F601="Vergoeding"),SUM(O601)*FLOOR(SUM(Q601),0.0001),AND(O601&lt;&gt;"",F601&lt;&gt;"",RIGHT($N601,6)="tarief"),SUM(O601)*FLOOR(SUM(Q601),0.01),S601&gt;0,IF(F601&lt;&gt;"",FLOOR(SUM(S601),0.01),"")),""),""),"")</f>
        <v/>
      </c>
      <c r="V601" s="317" t="str" cm="1">
        <f t="array" aca="1" ref="V601" ca="1">IFERROR(IF(AA601&lt;&gt;"ja",_xlfn.IFNA(_xlfn.IFS(AND(P601&lt;&gt;"",R601&lt;&gt;"",RIGHT($N601,6)="tarief",F601="Vergoeding"),SUM(P601)*FLOOR(SUM(R601),0.0001),AND(P601&lt;&gt;"",R601&lt;&gt;"",RIGHT($N601,6)="tarief"),P601*FLOOR(R601,0.01),T601&gt;0,FLOOR(SUM(T601),0.01)),""),""),"")</f>
        <v/>
      </c>
      <c r="W601" s="317" t="str" cm="1">
        <f t="array" aca="1" ref="W601" ca="1">IFERROR(_xlfn.IFS(OR(F601="",LEFT(Methode_Keuze,4)="Geen",Methode_Keuze=""),"",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17" t="str" cm="1">
        <f t="array" aca="1" ref="X601" ca="1">IFERROR(_xlfn.IFS(OR(F601="",LEFT(Methode_Keuze,4)="Geen",Methode_Keuze=""),"",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26"/>
      <c r="Z601" s="319"/>
      <c r="AA601" s="32" t="str" cm="1">
        <f t="array" ref="AA601">IFERROR(IF(INDEX(SubsidieTabel!$AD$1:$AG$12,MATCH($F601,SubsidieTabel!$AD$1:$AD$12,0),IFERROR(MATCH(Methode_Keuze,SubsidieTabel!$AD$1:$AG$1,0),2))&lt;&gt;1=TRUE,"ja",""),"")</f>
        <v/>
      </c>
    </row>
    <row r="602" spans="1:27" x14ac:dyDescent="0.25">
      <c r="A602" s="320"/>
      <c r="B602" s="321" t="str">
        <f>IF(A602&lt;&gt;"",_xlfn.MAXIFS($B$1:B601,$A$1:A601,A602)+1,"")</f>
        <v/>
      </c>
      <c r="C602" s="299"/>
      <c r="D602" s="299"/>
      <c r="E602" s="299"/>
      <c r="F602" s="299"/>
      <c r="G602" s="330"/>
      <c r="H602" s="328"/>
      <c r="I602" s="329"/>
      <c r="J602" s="329"/>
      <c r="K602" s="322"/>
      <c r="L602" s="322"/>
      <c r="M602" s="323" t="str">
        <f>IFERROR(VLOOKUP(H602,Lijsten!$H$1:$I$100,2,0),"")</f>
        <v/>
      </c>
      <c r="N602" s="323" t="str">
        <f ca="1">IFERROR(IF(VLOOKUP(F602,Kostentypen!$A$3:$E$21,3,0)=0,"",IF(OR(F602="Arbeidskosten",F602="Vergoeding"),VLOOKUP(G602,Tb_KostenTypen[],2,0),VLOOKUP(F602,Kostentypen!$A$3:$E$20,3,0))),"")</f>
        <v/>
      </c>
      <c r="O602" s="324"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4"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3"/>
      <c r="R602" s="363"/>
      <c r="S602" s="325"/>
      <c r="T602" s="325"/>
      <c r="U602" s="317" t="str" cm="1">
        <f t="array" aca="1" ref="U602" ca="1">IFERROR(IF(AA602&lt;&gt;"ja",_xlfn.IFNA(_xlfn.IFS(AND(O602&lt;&gt;"",F602&lt;&gt;"",RIGHT($N602,6)="tarief",F602="Vergoeding"),SUM(O602)*FLOOR(SUM(Q602),0.0001),AND(O602&lt;&gt;"",F602&lt;&gt;"",RIGHT($N602,6)="tarief"),SUM(O602)*FLOOR(SUM(Q602),0.01),S602&gt;0,IF(F602&lt;&gt;"",FLOOR(SUM(S602),0.01),"")),""),""),"")</f>
        <v/>
      </c>
      <c r="V602" s="317" t="str" cm="1">
        <f t="array" aca="1" ref="V602" ca="1">IFERROR(IF(AA602&lt;&gt;"ja",_xlfn.IFNA(_xlfn.IFS(AND(P602&lt;&gt;"",R602&lt;&gt;"",RIGHT($N602,6)="tarief",F602="Vergoeding"),SUM(P602)*FLOOR(SUM(R602),0.0001),AND(P602&lt;&gt;"",R602&lt;&gt;"",RIGHT($N602,6)="tarief"),P602*FLOOR(R602,0.01),T602&gt;0,FLOOR(SUM(T602),0.01)),""),""),"")</f>
        <v/>
      </c>
      <c r="W602" s="317" t="str" cm="1">
        <f t="array" aca="1" ref="W602" ca="1">IFERROR(_xlfn.IFS(OR(F602="",LEFT(Methode_Keuze,4)="Geen",Methode_Keuze=""),"",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17" t="str" cm="1">
        <f t="array" aca="1" ref="X602" ca="1">IFERROR(_xlfn.IFS(OR(F602="",LEFT(Methode_Keuze,4)="Geen",Methode_Keuze=""),"",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26"/>
      <c r="Z602" s="319"/>
      <c r="AA602" s="32" t="str" cm="1">
        <f t="array" ref="AA602">IFERROR(IF(INDEX(SubsidieTabel!$AD$1:$AG$12,MATCH($F602,SubsidieTabel!$AD$1:$AD$12,0),IFERROR(MATCH(Methode_Keuze,SubsidieTabel!$AD$1:$AG$1,0),2))&lt;&gt;1=TRUE,"ja",""),"")</f>
        <v/>
      </c>
    </row>
    <row r="603" spans="1:27" x14ac:dyDescent="0.25">
      <c r="A603" s="320"/>
      <c r="B603" s="321" t="str">
        <f>IF(A603&lt;&gt;"",_xlfn.MAXIFS($B$1:B602,$A$1:A602,A603)+1,"")</f>
        <v/>
      </c>
      <c r="C603" s="299"/>
      <c r="D603" s="299"/>
      <c r="E603" s="299"/>
      <c r="F603" s="299"/>
      <c r="G603" s="330"/>
      <c r="H603" s="328"/>
      <c r="I603" s="329"/>
      <c r="J603" s="329"/>
      <c r="K603" s="322"/>
      <c r="L603" s="322"/>
      <c r="M603" s="323" t="str">
        <f>IFERROR(VLOOKUP(H603,Lijsten!$H$1:$I$100,2,0),"")</f>
        <v/>
      </c>
      <c r="N603" s="323" t="str">
        <f ca="1">IFERROR(IF(VLOOKUP(F603,Kostentypen!$A$3:$E$21,3,0)=0,"",IF(OR(F603="Arbeidskosten",F603="Vergoeding"),VLOOKUP(G603,Tb_KostenTypen[],2,0),VLOOKUP(F603,Kostentypen!$A$3:$E$20,3,0))),"")</f>
        <v/>
      </c>
      <c r="O603" s="324"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4"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3"/>
      <c r="R603" s="363"/>
      <c r="S603" s="325"/>
      <c r="T603" s="325"/>
      <c r="U603" s="317" t="str" cm="1">
        <f t="array" aca="1" ref="U603" ca="1">IFERROR(IF(AA603&lt;&gt;"ja",_xlfn.IFNA(_xlfn.IFS(AND(O603&lt;&gt;"",F603&lt;&gt;"",RIGHT($N603,6)="tarief",F603="Vergoeding"),SUM(O603)*FLOOR(SUM(Q603),0.0001),AND(O603&lt;&gt;"",F603&lt;&gt;"",RIGHT($N603,6)="tarief"),SUM(O603)*FLOOR(SUM(Q603),0.01),S603&gt;0,IF(F603&lt;&gt;"",FLOOR(SUM(S603),0.01),"")),""),""),"")</f>
        <v/>
      </c>
      <c r="V603" s="317" t="str" cm="1">
        <f t="array" aca="1" ref="V603" ca="1">IFERROR(IF(AA603&lt;&gt;"ja",_xlfn.IFNA(_xlfn.IFS(AND(P603&lt;&gt;"",R603&lt;&gt;"",RIGHT($N603,6)="tarief",F603="Vergoeding"),SUM(P603)*FLOOR(SUM(R603),0.0001),AND(P603&lt;&gt;"",R603&lt;&gt;"",RIGHT($N603,6)="tarief"),P603*FLOOR(R603,0.01),T603&gt;0,FLOOR(SUM(T603),0.01)),""),""),"")</f>
        <v/>
      </c>
      <c r="W603" s="317" t="str" cm="1">
        <f t="array" aca="1" ref="W603" ca="1">IFERROR(_xlfn.IFS(OR(F603="",LEFT(Methode_Keuze,4)="Geen",Methode_Keuze=""),"",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17" t="str" cm="1">
        <f t="array" aca="1" ref="X603" ca="1">IFERROR(_xlfn.IFS(OR(F603="",LEFT(Methode_Keuze,4)="Geen",Methode_Keuze=""),"",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26"/>
      <c r="Z603" s="319"/>
      <c r="AA603" s="32" t="str" cm="1">
        <f t="array" ref="AA603">IFERROR(IF(INDEX(SubsidieTabel!$AD$1:$AG$12,MATCH($F603,SubsidieTabel!$AD$1:$AD$12,0),IFERROR(MATCH(Methode_Keuze,SubsidieTabel!$AD$1:$AG$1,0),2))&lt;&gt;1=TRUE,"ja",""),"")</f>
        <v/>
      </c>
    </row>
    <row r="604" spans="1:27" x14ac:dyDescent="0.25">
      <c r="A604" s="320"/>
      <c r="B604" s="321" t="str">
        <f>IF(A604&lt;&gt;"",_xlfn.MAXIFS($B$1:B603,$A$1:A603,A604)+1,"")</f>
        <v/>
      </c>
      <c r="C604" s="299"/>
      <c r="D604" s="299"/>
      <c r="E604" s="299"/>
      <c r="F604" s="299"/>
      <c r="G604" s="330"/>
      <c r="H604" s="328"/>
      <c r="I604" s="329"/>
      <c r="J604" s="329"/>
      <c r="K604" s="322"/>
      <c r="L604" s="322"/>
      <c r="M604" s="323" t="str">
        <f>IFERROR(VLOOKUP(H604,Lijsten!$H$1:$I$100,2,0),"")</f>
        <v/>
      </c>
      <c r="N604" s="323" t="str">
        <f ca="1">IFERROR(IF(VLOOKUP(F604,Kostentypen!$A$3:$E$21,3,0)=0,"",IF(OR(F604="Arbeidskosten",F604="Vergoeding"),VLOOKUP(G604,Tb_KostenTypen[],2,0),VLOOKUP(F604,Kostentypen!$A$3:$E$20,3,0))),"")</f>
        <v/>
      </c>
      <c r="O604" s="324"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4"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3"/>
      <c r="R604" s="363"/>
      <c r="S604" s="325"/>
      <c r="T604" s="325"/>
      <c r="U604" s="317" t="str" cm="1">
        <f t="array" aca="1" ref="U604" ca="1">IFERROR(IF(AA604&lt;&gt;"ja",_xlfn.IFNA(_xlfn.IFS(AND(O604&lt;&gt;"",F604&lt;&gt;"",RIGHT($N604,6)="tarief",F604="Vergoeding"),SUM(O604)*FLOOR(SUM(Q604),0.0001),AND(O604&lt;&gt;"",F604&lt;&gt;"",RIGHT($N604,6)="tarief"),SUM(O604)*FLOOR(SUM(Q604),0.01),S604&gt;0,IF(F604&lt;&gt;"",FLOOR(SUM(S604),0.01),"")),""),""),"")</f>
        <v/>
      </c>
      <c r="V604" s="317" t="str" cm="1">
        <f t="array" aca="1" ref="V604" ca="1">IFERROR(IF(AA604&lt;&gt;"ja",_xlfn.IFNA(_xlfn.IFS(AND(P604&lt;&gt;"",R604&lt;&gt;"",RIGHT($N604,6)="tarief",F604="Vergoeding"),SUM(P604)*FLOOR(SUM(R604),0.0001),AND(P604&lt;&gt;"",R604&lt;&gt;"",RIGHT($N604,6)="tarief"),P604*FLOOR(R604,0.01),T604&gt;0,FLOOR(SUM(T604),0.01)),""),""),"")</f>
        <v/>
      </c>
      <c r="W604" s="317" t="str" cm="1">
        <f t="array" aca="1" ref="W604" ca="1">IFERROR(_xlfn.IFS(OR(F604="",LEFT(Methode_Keuze,4)="Geen",Methode_Keuze=""),"",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17" t="str" cm="1">
        <f t="array" aca="1" ref="X604" ca="1">IFERROR(_xlfn.IFS(OR(F604="",LEFT(Methode_Keuze,4)="Geen",Methode_Keuze=""),"",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26"/>
      <c r="Z604" s="319"/>
      <c r="AA604" s="32" t="str" cm="1">
        <f t="array" ref="AA604">IFERROR(IF(INDEX(SubsidieTabel!$AD$1:$AG$12,MATCH($F604,SubsidieTabel!$AD$1:$AD$12,0),IFERROR(MATCH(Methode_Keuze,SubsidieTabel!$AD$1:$AG$1,0),2))&lt;&gt;1=TRUE,"ja",""),"")</f>
        <v/>
      </c>
    </row>
    <row r="605" spans="1:27" x14ac:dyDescent="0.25">
      <c r="A605" s="320"/>
      <c r="B605" s="321" t="str">
        <f>IF(A605&lt;&gt;"",_xlfn.MAXIFS($B$1:B604,$A$1:A604,A605)+1,"")</f>
        <v/>
      </c>
      <c r="C605" s="299"/>
      <c r="D605" s="299"/>
      <c r="E605" s="299"/>
      <c r="F605" s="299"/>
      <c r="G605" s="330"/>
      <c r="H605" s="328"/>
      <c r="I605" s="329"/>
      <c r="J605" s="329"/>
      <c r="K605" s="322"/>
      <c r="L605" s="322"/>
      <c r="M605" s="323" t="str">
        <f>IFERROR(VLOOKUP(H605,Lijsten!$H$1:$I$100,2,0),"")</f>
        <v/>
      </c>
      <c r="N605" s="323" t="str">
        <f ca="1">IFERROR(IF(VLOOKUP(F605,Kostentypen!$A$3:$E$21,3,0)=0,"",IF(OR(F605="Arbeidskosten",F605="Vergoeding"),VLOOKUP(G605,Tb_KostenTypen[],2,0),VLOOKUP(F605,Kostentypen!$A$3:$E$20,3,0))),"")</f>
        <v/>
      </c>
      <c r="O605" s="324"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4"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3"/>
      <c r="R605" s="363"/>
      <c r="S605" s="325"/>
      <c r="T605" s="325"/>
      <c r="U605" s="317" t="str" cm="1">
        <f t="array" aca="1" ref="U605" ca="1">IFERROR(IF(AA605&lt;&gt;"ja",_xlfn.IFNA(_xlfn.IFS(AND(O605&lt;&gt;"",F605&lt;&gt;"",RIGHT($N605,6)="tarief",F605="Vergoeding"),SUM(O605)*FLOOR(SUM(Q605),0.0001),AND(O605&lt;&gt;"",F605&lt;&gt;"",RIGHT($N605,6)="tarief"),SUM(O605)*FLOOR(SUM(Q605),0.01),S605&gt;0,IF(F605&lt;&gt;"",FLOOR(SUM(S605),0.01),"")),""),""),"")</f>
        <v/>
      </c>
      <c r="V605" s="317" t="str" cm="1">
        <f t="array" aca="1" ref="V605" ca="1">IFERROR(IF(AA605&lt;&gt;"ja",_xlfn.IFNA(_xlfn.IFS(AND(P605&lt;&gt;"",R605&lt;&gt;"",RIGHT($N605,6)="tarief",F605="Vergoeding"),SUM(P605)*FLOOR(SUM(R605),0.0001),AND(P605&lt;&gt;"",R605&lt;&gt;"",RIGHT($N605,6)="tarief"),P605*FLOOR(R605,0.01),T605&gt;0,FLOOR(SUM(T605),0.01)),""),""),"")</f>
        <v/>
      </c>
      <c r="W605" s="317" t="str" cm="1">
        <f t="array" aca="1" ref="W605" ca="1">IFERROR(_xlfn.IFS(OR(F605="",LEFT(Methode_Keuze,4)="Geen",Methode_Keuze=""),"",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17" t="str" cm="1">
        <f t="array" aca="1" ref="X605" ca="1">IFERROR(_xlfn.IFS(OR(F605="",LEFT(Methode_Keuze,4)="Geen",Methode_Keuze=""),"",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26"/>
      <c r="Z605" s="319"/>
      <c r="AA605" s="32" t="str" cm="1">
        <f t="array" ref="AA605">IFERROR(IF(INDEX(SubsidieTabel!$AD$1:$AG$12,MATCH($F605,SubsidieTabel!$AD$1:$AD$12,0),IFERROR(MATCH(Methode_Keuze,SubsidieTabel!$AD$1:$AG$1,0),2))&lt;&gt;1=TRUE,"ja",""),"")</f>
        <v/>
      </c>
    </row>
    <row r="606" spans="1:27" x14ac:dyDescent="0.25">
      <c r="A606" s="320"/>
      <c r="B606" s="321" t="str">
        <f>IF(A606&lt;&gt;"",_xlfn.MAXIFS($B$1:B605,$A$1:A605,A606)+1,"")</f>
        <v/>
      </c>
      <c r="C606" s="299"/>
      <c r="D606" s="299"/>
      <c r="E606" s="299"/>
      <c r="F606" s="299"/>
      <c r="G606" s="330"/>
      <c r="H606" s="328"/>
      <c r="I606" s="329"/>
      <c r="J606" s="329"/>
      <c r="K606" s="322"/>
      <c r="L606" s="322"/>
      <c r="M606" s="323" t="str">
        <f>IFERROR(VLOOKUP(H606,Lijsten!$H$1:$I$100,2,0),"")</f>
        <v/>
      </c>
      <c r="N606" s="323" t="str">
        <f ca="1">IFERROR(IF(VLOOKUP(F606,Kostentypen!$A$3:$E$21,3,0)=0,"",IF(OR(F606="Arbeidskosten",F606="Vergoeding"),VLOOKUP(G606,Tb_KostenTypen[],2,0),VLOOKUP(F606,Kostentypen!$A$3:$E$20,3,0))),"")</f>
        <v/>
      </c>
      <c r="O606" s="324"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4"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3"/>
      <c r="R606" s="363"/>
      <c r="S606" s="325"/>
      <c r="T606" s="325"/>
      <c r="U606" s="317" t="str" cm="1">
        <f t="array" aca="1" ref="U606" ca="1">IFERROR(IF(AA606&lt;&gt;"ja",_xlfn.IFNA(_xlfn.IFS(AND(O606&lt;&gt;"",F606&lt;&gt;"",RIGHT($N606,6)="tarief",F606="Vergoeding"),SUM(O606)*FLOOR(SUM(Q606),0.0001),AND(O606&lt;&gt;"",F606&lt;&gt;"",RIGHT($N606,6)="tarief"),SUM(O606)*FLOOR(SUM(Q606),0.01),S606&gt;0,IF(F606&lt;&gt;"",FLOOR(SUM(S606),0.01),"")),""),""),"")</f>
        <v/>
      </c>
      <c r="V606" s="317" t="str" cm="1">
        <f t="array" aca="1" ref="V606" ca="1">IFERROR(IF(AA606&lt;&gt;"ja",_xlfn.IFNA(_xlfn.IFS(AND(P606&lt;&gt;"",R606&lt;&gt;"",RIGHT($N606,6)="tarief",F606="Vergoeding"),SUM(P606)*FLOOR(SUM(R606),0.0001),AND(P606&lt;&gt;"",R606&lt;&gt;"",RIGHT($N606,6)="tarief"),P606*FLOOR(R606,0.01),T606&gt;0,FLOOR(SUM(T606),0.01)),""),""),"")</f>
        <v/>
      </c>
      <c r="W606" s="317" t="str" cm="1">
        <f t="array" aca="1" ref="W606" ca="1">IFERROR(_xlfn.IFS(OR(F606="",LEFT(Methode_Keuze,4)="Geen",Methode_Keuze=""),"",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17" t="str" cm="1">
        <f t="array" aca="1" ref="X606" ca="1">IFERROR(_xlfn.IFS(OR(F606="",LEFT(Methode_Keuze,4)="Geen",Methode_Keuze=""),"",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26"/>
      <c r="Z606" s="319"/>
      <c r="AA606" s="32" t="str" cm="1">
        <f t="array" ref="AA606">IFERROR(IF(INDEX(SubsidieTabel!$AD$1:$AG$12,MATCH($F606,SubsidieTabel!$AD$1:$AD$12,0),IFERROR(MATCH(Methode_Keuze,SubsidieTabel!$AD$1:$AG$1,0),2))&lt;&gt;1=TRUE,"ja",""),"")</f>
        <v/>
      </c>
    </row>
    <row r="607" spans="1:27" x14ac:dyDescent="0.25">
      <c r="A607" s="320"/>
      <c r="B607" s="321" t="str">
        <f>IF(A607&lt;&gt;"",_xlfn.MAXIFS($B$1:B606,$A$1:A606,A607)+1,"")</f>
        <v/>
      </c>
      <c r="C607" s="299"/>
      <c r="D607" s="299"/>
      <c r="E607" s="299"/>
      <c r="F607" s="299"/>
      <c r="G607" s="330"/>
      <c r="H607" s="328"/>
      <c r="I607" s="329"/>
      <c r="J607" s="329"/>
      <c r="K607" s="322"/>
      <c r="L607" s="322"/>
      <c r="M607" s="323" t="str">
        <f>IFERROR(VLOOKUP(H607,Lijsten!$H$1:$I$100,2,0),"")</f>
        <v/>
      </c>
      <c r="N607" s="323" t="str">
        <f ca="1">IFERROR(IF(VLOOKUP(F607,Kostentypen!$A$3:$E$21,3,0)=0,"",IF(OR(F607="Arbeidskosten",F607="Vergoeding"),VLOOKUP(G607,Tb_KostenTypen[],2,0),VLOOKUP(F607,Kostentypen!$A$3:$E$20,3,0))),"")</f>
        <v/>
      </c>
      <c r="O607" s="324"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4"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3"/>
      <c r="R607" s="363"/>
      <c r="S607" s="325"/>
      <c r="T607" s="325"/>
      <c r="U607" s="317" t="str" cm="1">
        <f t="array" aca="1" ref="U607" ca="1">IFERROR(IF(AA607&lt;&gt;"ja",_xlfn.IFNA(_xlfn.IFS(AND(O607&lt;&gt;"",F607&lt;&gt;"",RIGHT($N607,6)="tarief",F607="Vergoeding"),SUM(O607)*FLOOR(SUM(Q607),0.0001),AND(O607&lt;&gt;"",F607&lt;&gt;"",RIGHT($N607,6)="tarief"),SUM(O607)*FLOOR(SUM(Q607),0.01),S607&gt;0,IF(F607&lt;&gt;"",FLOOR(SUM(S607),0.01),"")),""),""),"")</f>
        <v/>
      </c>
      <c r="V607" s="317" t="str" cm="1">
        <f t="array" aca="1" ref="V607" ca="1">IFERROR(IF(AA607&lt;&gt;"ja",_xlfn.IFNA(_xlfn.IFS(AND(P607&lt;&gt;"",R607&lt;&gt;"",RIGHT($N607,6)="tarief",F607="Vergoeding"),SUM(P607)*FLOOR(SUM(R607),0.0001),AND(P607&lt;&gt;"",R607&lt;&gt;"",RIGHT($N607,6)="tarief"),P607*FLOOR(R607,0.01),T607&gt;0,FLOOR(SUM(T607),0.01)),""),""),"")</f>
        <v/>
      </c>
      <c r="W607" s="317" t="str" cm="1">
        <f t="array" aca="1" ref="W607" ca="1">IFERROR(_xlfn.IFS(OR(F607="",LEFT(Methode_Keuze,4)="Geen",Methode_Keuze=""),"",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17" t="str" cm="1">
        <f t="array" aca="1" ref="X607" ca="1">IFERROR(_xlfn.IFS(OR(F607="",LEFT(Methode_Keuze,4)="Geen",Methode_Keuze=""),"",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26"/>
      <c r="Z607" s="319"/>
      <c r="AA607" s="32" t="str" cm="1">
        <f t="array" ref="AA607">IFERROR(IF(INDEX(SubsidieTabel!$AD$1:$AG$12,MATCH($F607,SubsidieTabel!$AD$1:$AD$12,0),IFERROR(MATCH(Methode_Keuze,SubsidieTabel!$AD$1:$AG$1,0),2))&lt;&gt;1=TRUE,"ja",""),"")</f>
        <v/>
      </c>
    </row>
    <row r="608" spans="1:27" x14ac:dyDescent="0.25">
      <c r="A608" s="320"/>
      <c r="B608" s="321" t="str">
        <f>IF(A608&lt;&gt;"",_xlfn.MAXIFS($B$1:B607,$A$1:A607,A608)+1,"")</f>
        <v/>
      </c>
      <c r="C608" s="299"/>
      <c r="D608" s="299"/>
      <c r="E608" s="299"/>
      <c r="F608" s="299"/>
      <c r="G608" s="330"/>
      <c r="H608" s="328"/>
      <c r="I608" s="329"/>
      <c r="J608" s="329"/>
      <c r="K608" s="322"/>
      <c r="L608" s="322"/>
      <c r="M608" s="323" t="str">
        <f>IFERROR(VLOOKUP(H608,Lijsten!$H$1:$I$100,2,0),"")</f>
        <v/>
      </c>
      <c r="N608" s="323" t="str">
        <f ca="1">IFERROR(IF(VLOOKUP(F608,Kostentypen!$A$3:$E$21,3,0)=0,"",IF(OR(F608="Arbeidskosten",F608="Vergoeding"),VLOOKUP(G608,Tb_KostenTypen[],2,0),VLOOKUP(F608,Kostentypen!$A$3:$E$20,3,0))),"")</f>
        <v/>
      </c>
      <c r="O608" s="324"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4"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3"/>
      <c r="R608" s="363"/>
      <c r="S608" s="325"/>
      <c r="T608" s="325"/>
      <c r="U608" s="317" t="str" cm="1">
        <f t="array" aca="1" ref="U608" ca="1">IFERROR(IF(AA608&lt;&gt;"ja",_xlfn.IFNA(_xlfn.IFS(AND(O608&lt;&gt;"",F608&lt;&gt;"",RIGHT($N608,6)="tarief",F608="Vergoeding"),SUM(O608)*FLOOR(SUM(Q608),0.0001),AND(O608&lt;&gt;"",F608&lt;&gt;"",RIGHT($N608,6)="tarief"),SUM(O608)*FLOOR(SUM(Q608),0.01),S608&gt;0,IF(F608&lt;&gt;"",FLOOR(SUM(S608),0.01),"")),""),""),"")</f>
        <v/>
      </c>
      <c r="V608" s="317" t="str" cm="1">
        <f t="array" aca="1" ref="V608" ca="1">IFERROR(IF(AA608&lt;&gt;"ja",_xlfn.IFNA(_xlfn.IFS(AND(P608&lt;&gt;"",R608&lt;&gt;"",RIGHT($N608,6)="tarief",F608="Vergoeding"),SUM(P608)*FLOOR(SUM(R608),0.0001),AND(P608&lt;&gt;"",R608&lt;&gt;"",RIGHT($N608,6)="tarief"),P608*FLOOR(R608,0.01),T608&gt;0,FLOOR(SUM(T608),0.01)),""),""),"")</f>
        <v/>
      </c>
      <c r="W608" s="317" t="str" cm="1">
        <f t="array" aca="1" ref="W608" ca="1">IFERROR(_xlfn.IFS(OR(F608="",LEFT(Methode_Keuze,4)="Geen",Methode_Keuze=""),"",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17" t="str" cm="1">
        <f t="array" aca="1" ref="X608" ca="1">IFERROR(_xlfn.IFS(OR(F608="",LEFT(Methode_Keuze,4)="Geen",Methode_Keuze=""),"",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26"/>
      <c r="Z608" s="319"/>
      <c r="AA608" s="32" t="str" cm="1">
        <f t="array" ref="AA608">IFERROR(IF(INDEX(SubsidieTabel!$AD$1:$AG$12,MATCH($F608,SubsidieTabel!$AD$1:$AD$12,0),IFERROR(MATCH(Methode_Keuze,SubsidieTabel!$AD$1:$AG$1,0),2))&lt;&gt;1=TRUE,"ja",""),"")</f>
        <v/>
      </c>
    </row>
    <row r="609" spans="1:27" x14ac:dyDescent="0.25">
      <c r="A609" s="320"/>
      <c r="B609" s="321" t="str">
        <f>IF(A609&lt;&gt;"",_xlfn.MAXIFS($B$1:B608,$A$1:A608,A609)+1,"")</f>
        <v/>
      </c>
      <c r="C609" s="299"/>
      <c r="D609" s="299"/>
      <c r="E609" s="299"/>
      <c r="F609" s="299"/>
      <c r="G609" s="330"/>
      <c r="H609" s="328"/>
      <c r="I609" s="329"/>
      <c r="J609" s="329"/>
      <c r="K609" s="322"/>
      <c r="L609" s="322"/>
      <c r="M609" s="323" t="str">
        <f>IFERROR(VLOOKUP(H609,Lijsten!$H$1:$I$100,2,0),"")</f>
        <v/>
      </c>
      <c r="N609" s="323" t="str">
        <f ca="1">IFERROR(IF(VLOOKUP(F609,Kostentypen!$A$3:$E$21,3,0)=0,"",IF(OR(F609="Arbeidskosten",F609="Vergoeding"),VLOOKUP(G609,Tb_KostenTypen[],2,0),VLOOKUP(F609,Kostentypen!$A$3:$E$20,3,0))),"")</f>
        <v/>
      </c>
      <c r="O609" s="324"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4"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3"/>
      <c r="R609" s="363"/>
      <c r="S609" s="325"/>
      <c r="T609" s="325"/>
      <c r="U609" s="317" t="str" cm="1">
        <f t="array" aca="1" ref="U609" ca="1">IFERROR(IF(AA609&lt;&gt;"ja",_xlfn.IFNA(_xlfn.IFS(AND(O609&lt;&gt;"",F609&lt;&gt;"",RIGHT($N609,6)="tarief",F609="Vergoeding"),SUM(O609)*FLOOR(SUM(Q609),0.0001),AND(O609&lt;&gt;"",F609&lt;&gt;"",RIGHT($N609,6)="tarief"),SUM(O609)*FLOOR(SUM(Q609),0.01),S609&gt;0,IF(F609&lt;&gt;"",FLOOR(SUM(S609),0.01),"")),""),""),"")</f>
        <v/>
      </c>
      <c r="V609" s="317" t="str" cm="1">
        <f t="array" aca="1" ref="V609" ca="1">IFERROR(IF(AA609&lt;&gt;"ja",_xlfn.IFNA(_xlfn.IFS(AND(P609&lt;&gt;"",R609&lt;&gt;"",RIGHT($N609,6)="tarief",F609="Vergoeding"),SUM(P609)*FLOOR(SUM(R609),0.0001),AND(P609&lt;&gt;"",R609&lt;&gt;"",RIGHT($N609,6)="tarief"),P609*FLOOR(R609,0.01),T609&gt;0,FLOOR(SUM(T609),0.01)),""),""),"")</f>
        <v/>
      </c>
      <c r="W609" s="317" t="str" cm="1">
        <f t="array" aca="1" ref="W609" ca="1">IFERROR(_xlfn.IFS(OR(F609="",LEFT(Methode_Keuze,4)="Geen",Methode_Keuze=""),"",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17" t="str" cm="1">
        <f t="array" aca="1" ref="X609" ca="1">IFERROR(_xlfn.IFS(OR(F609="",LEFT(Methode_Keuze,4)="Geen",Methode_Keuze=""),"",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26"/>
      <c r="Z609" s="319"/>
      <c r="AA609" s="32" t="str" cm="1">
        <f t="array" ref="AA609">IFERROR(IF(INDEX(SubsidieTabel!$AD$1:$AG$12,MATCH($F609,SubsidieTabel!$AD$1:$AD$12,0),IFERROR(MATCH(Methode_Keuze,SubsidieTabel!$AD$1:$AG$1,0),2))&lt;&gt;1=TRUE,"ja",""),"")</f>
        <v/>
      </c>
    </row>
    <row r="610" spans="1:27" x14ac:dyDescent="0.25">
      <c r="A610" s="320"/>
      <c r="B610" s="321" t="str">
        <f>IF(A610&lt;&gt;"",_xlfn.MAXIFS($B$1:B609,$A$1:A609,A610)+1,"")</f>
        <v/>
      </c>
      <c r="C610" s="299"/>
      <c r="D610" s="299"/>
      <c r="E610" s="299"/>
      <c r="F610" s="299"/>
      <c r="G610" s="330"/>
      <c r="H610" s="328"/>
      <c r="I610" s="329"/>
      <c r="J610" s="329"/>
      <c r="K610" s="322"/>
      <c r="L610" s="322"/>
      <c r="M610" s="323" t="str">
        <f>IFERROR(VLOOKUP(H610,Lijsten!$H$1:$I$100,2,0),"")</f>
        <v/>
      </c>
      <c r="N610" s="323" t="str">
        <f ca="1">IFERROR(IF(VLOOKUP(F610,Kostentypen!$A$3:$E$21,3,0)=0,"",IF(OR(F610="Arbeidskosten",F610="Vergoeding"),VLOOKUP(G610,Tb_KostenTypen[],2,0),VLOOKUP(F610,Kostentypen!$A$3:$E$20,3,0))),"")</f>
        <v/>
      </c>
      <c r="O610" s="324"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4"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3"/>
      <c r="R610" s="363"/>
      <c r="S610" s="325"/>
      <c r="T610" s="325"/>
      <c r="U610" s="317" t="str" cm="1">
        <f t="array" aca="1" ref="U610" ca="1">IFERROR(IF(AA610&lt;&gt;"ja",_xlfn.IFNA(_xlfn.IFS(AND(O610&lt;&gt;"",F610&lt;&gt;"",RIGHT($N610,6)="tarief",F610="Vergoeding"),SUM(O610)*FLOOR(SUM(Q610),0.0001),AND(O610&lt;&gt;"",F610&lt;&gt;"",RIGHT($N610,6)="tarief"),SUM(O610)*FLOOR(SUM(Q610),0.01),S610&gt;0,IF(F610&lt;&gt;"",FLOOR(SUM(S610),0.01),"")),""),""),"")</f>
        <v/>
      </c>
      <c r="V610" s="317" t="str" cm="1">
        <f t="array" aca="1" ref="V610" ca="1">IFERROR(IF(AA610&lt;&gt;"ja",_xlfn.IFNA(_xlfn.IFS(AND(P610&lt;&gt;"",R610&lt;&gt;"",RIGHT($N610,6)="tarief",F610="Vergoeding"),SUM(P610)*FLOOR(SUM(R610),0.0001),AND(P610&lt;&gt;"",R610&lt;&gt;"",RIGHT($N610,6)="tarief"),P610*FLOOR(R610,0.01),T610&gt;0,FLOOR(SUM(T610),0.01)),""),""),"")</f>
        <v/>
      </c>
      <c r="W610" s="317" t="str" cm="1">
        <f t="array" aca="1" ref="W610" ca="1">IFERROR(_xlfn.IFS(OR(F610="",LEFT(Methode_Keuze,4)="Geen",Methode_Keuze=""),"",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17" t="str" cm="1">
        <f t="array" aca="1" ref="X610" ca="1">IFERROR(_xlfn.IFS(OR(F610="",LEFT(Methode_Keuze,4)="Geen",Methode_Keuze=""),"",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26"/>
      <c r="Z610" s="319"/>
      <c r="AA610" s="32" t="str" cm="1">
        <f t="array" ref="AA610">IFERROR(IF(INDEX(SubsidieTabel!$AD$1:$AG$12,MATCH($F610,SubsidieTabel!$AD$1:$AD$12,0),IFERROR(MATCH(Methode_Keuze,SubsidieTabel!$AD$1:$AG$1,0),2))&lt;&gt;1=TRUE,"ja",""),"")</f>
        <v/>
      </c>
    </row>
    <row r="611" spans="1:27" x14ac:dyDescent="0.25">
      <c r="A611" s="320"/>
      <c r="B611" s="321" t="str">
        <f>IF(A611&lt;&gt;"",_xlfn.MAXIFS($B$1:B610,$A$1:A610,A611)+1,"")</f>
        <v/>
      </c>
      <c r="C611" s="299"/>
      <c r="D611" s="299"/>
      <c r="E611" s="299"/>
      <c r="F611" s="299"/>
      <c r="G611" s="330"/>
      <c r="H611" s="328"/>
      <c r="I611" s="329"/>
      <c r="J611" s="329"/>
      <c r="K611" s="322"/>
      <c r="L611" s="322"/>
      <c r="M611" s="323" t="str">
        <f>IFERROR(VLOOKUP(H611,Lijsten!$H$1:$I$100,2,0),"")</f>
        <v/>
      </c>
      <c r="N611" s="323" t="str">
        <f ca="1">IFERROR(IF(VLOOKUP(F611,Kostentypen!$A$3:$E$21,3,0)=0,"",IF(OR(F611="Arbeidskosten",F611="Vergoeding"),VLOOKUP(G611,Tb_KostenTypen[],2,0),VLOOKUP(F611,Kostentypen!$A$3:$E$20,3,0))),"")</f>
        <v/>
      </c>
      <c r="O611" s="324"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4"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3"/>
      <c r="R611" s="363"/>
      <c r="S611" s="325"/>
      <c r="T611" s="325"/>
      <c r="U611" s="317" t="str" cm="1">
        <f t="array" aca="1" ref="U611" ca="1">IFERROR(IF(AA611&lt;&gt;"ja",_xlfn.IFNA(_xlfn.IFS(AND(O611&lt;&gt;"",F611&lt;&gt;"",RIGHT($N611,6)="tarief",F611="Vergoeding"),SUM(O611)*FLOOR(SUM(Q611),0.0001),AND(O611&lt;&gt;"",F611&lt;&gt;"",RIGHT($N611,6)="tarief"),SUM(O611)*FLOOR(SUM(Q611),0.01),S611&gt;0,IF(F611&lt;&gt;"",FLOOR(SUM(S611),0.01),"")),""),""),"")</f>
        <v/>
      </c>
      <c r="V611" s="317" t="str" cm="1">
        <f t="array" aca="1" ref="V611" ca="1">IFERROR(IF(AA611&lt;&gt;"ja",_xlfn.IFNA(_xlfn.IFS(AND(P611&lt;&gt;"",R611&lt;&gt;"",RIGHT($N611,6)="tarief",F611="Vergoeding"),SUM(P611)*FLOOR(SUM(R611),0.0001),AND(P611&lt;&gt;"",R611&lt;&gt;"",RIGHT($N611,6)="tarief"),P611*FLOOR(R611,0.01),T611&gt;0,FLOOR(SUM(T611),0.01)),""),""),"")</f>
        <v/>
      </c>
      <c r="W611" s="317" t="str" cm="1">
        <f t="array" aca="1" ref="W611" ca="1">IFERROR(_xlfn.IFS(OR(F611="",LEFT(Methode_Keuze,4)="Geen",Methode_Keuze=""),"",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17" t="str" cm="1">
        <f t="array" aca="1" ref="X611" ca="1">IFERROR(_xlfn.IFS(OR(F611="",LEFT(Methode_Keuze,4)="Geen",Methode_Keuze=""),"",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26"/>
      <c r="Z611" s="319"/>
      <c r="AA611" s="32" t="str" cm="1">
        <f t="array" ref="AA611">IFERROR(IF(INDEX(SubsidieTabel!$AD$1:$AG$12,MATCH($F611,SubsidieTabel!$AD$1:$AD$12,0),IFERROR(MATCH(Methode_Keuze,SubsidieTabel!$AD$1:$AG$1,0),2))&lt;&gt;1=TRUE,"ja",""),"")</f>
        <v/>
      </c>
    </row>
    <row r="612" spans="1:27" x14ac:dyDescent="0.25">
      <c r="A612" s="320"/>
      <c r="B612" s="321" t="str">
        <f>IF(A612&lt;&gt;"",_xlfn.MAXIFS($B$1:B611,$A$1:A611,A612)+1,"")</f>
        <v/>
      </c>
      <c r="C612" s="299"/>
      <c r="D612" s="299"/>
      <c r="E612" s="299"/>
      <c r="F612" s="299"/>
      <c r="G612" s="330"/>
      <c r="H612" s="328"/>
      <c r="I612" s="329"/>
      <c r="J612" s="329"/>
      <c r="K612" s="322"/>
      <c r="L612" s="322"/>
      <c r="M612" s="323" t="str">
        <f>IFERROR(VLOOKUP(H612,Lijsten!$H$1:$I$100,2,0),"")</f>
        <v/>
      </c>
      <c r="N612" s="323" t="str">
        <f ca="1">IFERROR(IF(VLOOKUP(F612,Kostentypen!$A$3:$E$21,3,0)=0,"",IF(OR(F612="Arbeidskosten",F612="Vergoeding"),VLOOKUP(G612,Tb_KostenTypen[],2,0),VLOOKUP(F612,Kostentypen!$A$3:$E$20,3,0))),"")</f>
        <v/>
      </c>
      <c r="O612" s="324"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4"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3"/>
      <c r="R612" s="363"/>
      <c r="S612" s="325"/>
      <c r="T612" s="325"/>
      <c r="U612" s="317" t="str" cm="1">
        <f t="array" aca="1" ref="U612" ca="1">IFERROR(IF(AA612&lt;&gt;"ja",_xlfn.IFNA(_xlfn.IFS(AND(O612&lt;&gt;"",F612&lt;&gt;"",RIGHT($N612,6)="tarief",F612="Vergoeding"),SUM(O612)*FLOOR(SUM(Q612),0.0001),AND(O612&lt;&gt;"",F612&lt;&gt;"",RIGHT($N612,6)="tarief"),SUM(O612)*FLOOR(SUM(Q612),0.01),S612&gt;0,IF(F612&lt;&gt;"",FLOOR(SUM(S612),0.01),"")),""),""),"")</f>
        <v/>
      </c>
      <c r="V612" s="317" t="str" cm="1">
        <f t="array" aca="1" ref="V612" ca="1">IFERROR(IF(AA612&lt;&gt;"ja",_xlfn.IFNA(_xlfn.IFS(AND(P612&lt;&gt;"",R612&lt;&gt;"",RIGHT($N612,6)="tarief",F612="Vergoeding"),SUM(P612)*FLOOR(SUM(R612),0.0001),AND(P612&lt;&gt;"",R612&lt;&gt;"",RIGHT($N612,6)="tarief"),P612*FLOOR(R612,0.01),T612&gt;0,FLOOR(SUM(T612),0.01)),""),""),"")</f>
        <v/>
      </c>
      <c r="W612" s="317" t="str" cm="1">
        <f t="array" aca="1" ref="W612" ca="1">IFERROR(_xlfn.IFS(OR(F612="",LEFT(Methode_Keuze,4)="Geen",Methode_Keuze=""),"",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17" t="str" cm="1">
        <f t="array" aca="1" ref="X612" ca="1">IFERROR(_xlfn.IFS(OR(F612="",LEFT(Methode_Keuze,4)="Geen",Methode_Keuze=""),"",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26"/>
      <c r="Z612" s="319"/>
      <c r="AA612" s="32" t="str" cm="1">
        <f t="array" ref="AA612">IFERROR(IF(INDEX(SubsidieTabel!$AD$1:$AG$12,MATCH($F612,SubsidieTabel!$AD$1:$AD$12,0),IFERROR(MATCH(Methode_Keuze,SubsidieTabel!$AD$1:$AG$1,0),2))&lt;&gt;1=TRUE,"ja",""),"")</f>
        <v/>
      </c>
    </row>
    <row r="613" spans="1:27" x14ac:dyDescent="0.25">
      <c r="A613" s="320"/>
      <c r="B613" s="321" t="str">
        <f>IF(A613&lt;&gt;"",_xlfn.MAXIFS($B$1:B612,$A$1:A612,A613)+1,"")</f>
        <v/>
      </c>
      <c r="C613" s="299"/>
      <c r="D613" s="299"/>
      <c r="E613" s="299"/>
      <c r="F613" s="299"/>
      <c r="G613" s="330"/>
      <c r="H613" s="328"/>
      <c r="I613" s="329"/>
      <c r="J613" s="329"/>
      <c r="K613" s="322"/>
      <c r="L613" s="322"/>
      <c r="M613" s="323" t="str">
        <f>IFERROR(VLOOKUP(H613,Lijsten!$H$1:$I$100,2,0),"")</f>
        <v/>
      </c>
      <c r="N613" s="323" t="str">
        <f ca="1">IFERROR(IF(VLOOKUP(F613,Kostentypen!$A$3:$E$21,3,0)=0,"",IF(OR(F613="Arbeidskosten",F613="Vergoeding"),VLOOKUP(G613,Tb_KostenTypen[],2,0),VLOOKUP(F613,Kostentypen!$A$3:$E$20,3,0))),"")</f>
        <v/>
      </c>
      <c r="O613" s="324"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4"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3"/>
      <c r="R613" s="363"/>
      <c r="S613" s="325"/>
      <c r="T613" s="325"/>
      <c r="U613" s="317" t="str" cm="1">
        <f t="array" aca="1" ref="U613" ca="1">IFERROR(IF(AA613&lt;&gt;"ja",_xlfn.IFNA(_xlfn.IFS(AND(O613&lt;&gt;"",F613&lt;&gt;"",RIGHT($N613,6)="tarief",F613="Vergoeding"),SUM(O613)*FLOOR(SUM(Q613),0.0001),AND(O613&lt;&gt;"",F613&lt;&gt;"",RIGHT($N613,6)="tarief"),SUM(O613)*FLOOR(SUM(Q613),0.01),S613&gt;0,IF(F613&lt;&gt;"",FLOOR(SUM(S613),0.01),"")),""),""),"")</f>
        <v/>
      </c>
      <c r="V613" s="317" t="str" cm="1">
        <f t="array" aca="1" ref="V613" ca="1">IFERROR(IF(AA613&lt;&gt;"ja",_xlfn.IFNA(_xlfn.IFS(AND(P613&lt;&gt;"",R613&lt;&gt;"",RIGHT($N613,6)="tarief",F613="Vergoeding"),SUM(P613)*FLOOR(SUM(R613),0.0001),AND(P613&lt;&gt;"",R613&lt;&gt;"",RIGHT($N613,6)="tarief"),P613*FLOOR(R613,0.01),T613&gt;0,FLOOR(SUM(T613),0.01)),""),""),"")</f>
        <v/>
      </c>
      <c r="W613" s="317" t="str" cm="1">
        <f t="array" aca="1" ref="W613" ca="1">IFERROR(_xlfn.IFS(OR(F613="",LEFT(Methode_Keuze,4)="Geen",Methode_Keuze=""),"",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17" t="str" cm="1">
        <f t="array" aca="1" ref="X613" ca="1">IFERROR(_xlfn.IFS(OR(F613="",LEFT(Methode_Keuze,4)="Geen",Methode_Keuze=""),"",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26"/>
      <c r="Z613" s="319"/>
      <c r="AA613" s="32" t="str" cm="1">
        <f t="array" ref="AA613">IFERROR(IF(INDEX(SubsidieTabel!$AD$1:$AG$12,MATCH($F613,SubsidieTabel!$AD$1:$AD$12,0),IFERROR(MATCH(Methode_Keuze,SubsidieTabel!$AD$1:$AG$1,0),2))&lt;&gt;1=TRUE,"ja",""),"")</f>
        <v/>
      </c>
    </row>
    <row r="614" spans="1:27" x14ac:dyDescent="0.25">
      <c r="A614" s="320"/>
      <c r="B614" s="321" t="str">
        <f>IF(A614&lt;&gt;"",_xlfn.MAXIFS($B$1:B613,$A$1:A613,A614)+1,"")</f>
        <v/>
      </c>
      <c r="C614" s="299"/>
      <c r="D614" s="299"/>
      <c r="E614" s="299"/>
      <c r="F614" s="299"/>
      <c r="G614" s="330"/>
      <c r="H614" s="328"/>
      <c r="I614" s="329"/>
      <c r="J614" s="329"/>
      <c r="K614" s="322"/>
      <c r="L614" s="322"/>
      <c r="M614" s="323" t="str">
        <f>IFERROR(VLOOKUP(H614,Lijsten!$H$1:$I$100,2,0),"")</f>
        <v/>
      </c>
      <c r="N614" s="323" t="str">
        <f ca="1">IFERROR(IF(VLOOKUP(F614,Kostentypen!$A$3:$E$21,3,0)=0,"",IF(OR(F614="Arbeidskosten",F614="Vergoeding"),VLOOKUP(G614,Tb_KostenTypen[],2,0),VLOOKUP(F614,Kostentypen!$A$3:$E$20,3,0))),"")</f>
        <v/>
      </c>
      <c r="O614" s="324"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4"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3"/>
      <c r="R614" s="363"/>
      <c r="S614" s="325"/>
      <c r="T614" s="325"/>
      <c r="U614" s="317" t="str" cm="1">
        <f t="array" aca="1" ref="U614" ca="1">IFERROR(IF(AA614&lt;&gt;"ja",_xlfn.IFNA(_xlfn.IFS(AND(O614&lt;&gt;"",F614&lt;&gt;"",RIGHT($N614,6)="tarief",F614="Vergoeding"),SUM(O614)*FLOOR(SUM(Q614),0.0001),AND(O614&lt;&gt;"",F614&lt;&gt;"",RIGHT($N614,6)="tarief"),SUM(O614)*FLOOR(SUM(Q614),0.01),S614&gt;0,IF(F614&lt;&gt;"",FLOOR(SUM(S614),0.01),"")),""),""),"")</f>
        <v/>
      </c>
      <c r="V614" s="317" t="str" cm="1">
        <f t="array" aca="1" ref="V614" ca="1">IFERROR(IF(AA614&lt;&gt;"ja",_xlfn.IFNA(_xlfn.IFS(AND(P614&lt;&gt;"",R614&lt;&gt;"",RIGHT($N614,6)="tarief",F614="Vergoeding"),SUM(P614)*FLOOR(SUM(R614),0.0001),AND(P614&lt;&gt;"",R614&lt;&gt;"",RIGHT($N614,6)="tarief"),P614*FLOOR(R614,0.01),T614&gt;0,FLOOR(SUM(T614),0.01)),""),""),"")</f>
        <v/>
      </c>
      <c r="W614" s="317" t="str" cm="1">
        <f t="array" aca="1" ref="W614" ca="1">IFERROR(_xlfn.IFS(OR(F614="",LEFT(Methode_Keuze,4)="Geen",Methode_Keuze=""),"",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17" t="str" cm="1">
        <f t="array" aca="1" ref="X614" ca="1">IFERROR(_xlfn.IFS(OR(F614="",LEFT(Methode_Keuze,4)="Geen",Methode_Keuze=""),"",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26"/>
      <c r="Z614" s="319"/>
      <c r="AA614" s="32" t="str" cm="1">
        <f t="array" ref="AA614">IFERROR(IF(INDEX(SubsidieTabel!$AD$1:$AG$12,MATCH($F614,SubsidieTabel!$AD$1:$AD$12,0),IFERROR(MATCH(Methode_Keuze,SubsidieTabel!$AD$1:$AG$1,0),2))&lt;&gt;1=TRUE,"ja",""),"")</f>
        <v/>
      </c>
    </row>
    <row r="615" spans="1:27" x14ac:dyDescent="0.25">
      <c r="A615" s="320"/>
      <c r="B615" s="321" t="str">
        <f>IF(A615&lt;&gt;"",_xlfn.MAXIFS($B$1:B614,$A$1:A614,A615)+1,"")</f>
        <v/>
      </c>
      <c r="C615" s="299"/>
      <c r="D615" s="299"/>
      <c r="E615" s="299"/>
      <c r="F615" s="299"/>
      <c r="G615" s="330"/>
      <c r="H615" s="328"/>
      <c r="I615" s="329"/>
      <c r="J615" s="329"/>
      <c r="K615" s="322"/>
      <c r="L615" s="322"/>
      <c r="M615" s="323" t="str">
        <f>IFERROR(VLOOKUP(H615,Lijsten!$H$1:$I$100,2,0),"")</f>
        <v/>
      </c>
      <c r="N615" s="323" t="str">
        <f ca="1">IFERROR(IF(VLOOKUP(F615,Kostentypen!$A$3:$E$21,3,0)=0,"",IF(OR(F615="Arbeidskosten",F615="Vergoeding"),VLOOKUP(G615,Tb_KostenTypen[],2,0),VLOOKUP(F615,Kostentypen!$A$3:$E$20,3,0))),"")</f>
        <v/>
      </c>
      <c r="O615" s="324"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4"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3"/>
      <c r="R615" s="363"/>
      <c r="S615" s="325"/>
      <c r="T615" s="325"/>
      <c r="U615" s="317" t="str" cm="1">
        <f t="array" aca="1" ref="U615" ca="1">IFERROR(IF(AA615&lt;&gt;"ja",_xlfn.IFNA(_xlfn.IFS(AND(O615&lt;&gt;"",F615&lt;&gt;"",RIGHT($N615,6)="tarief",F615="Vergoeding"),SUM(O615)*FLOOR(SUM(Q615),0.0001),AND(O615&lt;&gt;"",F615&lt;&gt;"",RIGHT($N615,6)="tarief"),SUM(O615)*FLOOR(SUM(Q615),0.01),S615&gt;0,IF(F615&lt;&gt;"",FLOOR(SUM(S615),0.01),"")),""),""),"")</f>
        <v/>
      </c>
      <c r="V615" s="317" t="str" cm="1">
        <f t="array" aca="1" ref="V615" ca="1">IFERROR(IF(AA615&lt;&gt;"ja",_xlfn.IFNA(_xlfn.IFS(AND(P615&lt;&gt;"",R615&lt;&gt;"",RIGHT($N615,6)="tarief",F615="Vergoeding"),SUM(P615)*FLOOR(SUM(R615),0.0001),AND(P615&lt;&gt;"",R615&lt;&gt;"",RIGHT($N615,6)="tarief"),P615*FLOOR(R615,0.01),T615&gt;0,FLOOR(SUM(T615),0.01)),""),""),"")</f>
        <v/>
      </c>
      <c r="W615" s="317" t="str" cm="1">
        <f t="array" aca="1" ref="W615" ca="1">IFERROR(_xlfn.IFS(OR(F615="",LEFT(Methode_Keuze,4)="Geen",Methode_Keuze=""),"",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17" t="str" cm="1">
        <f t="array" aca="1" ref="X615" ca="1">IFERROR(_xlfn.IFS(OR(F615="",LEFT(Methode_Keuze,4)="Geen",Methode_Keuze=""),"",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26"/>
      <c r="Z615" s="319"/>
      <c r="AA615" s="32" t="str" cm="1">
        <f t="array" ref="AA615">IFERROR(IF(INDEX(SubsidieTabel!$AD$1:$AG$12,MATCH($F615,SubsidieTabel!$AD$1:$AD$12,0),IFERROR(MATCH(Methode_Keuze,SubsidieTabel!$AD$1:$AG$1,0),2))&lt;&gt;1=TRUE,"ja",""),"")</f>
        <v/>
      </c>
    </row>
    <row r="616" spans="1:27" x14ac:dyDescent="0.25">
      <c r="A616" s="320"/>
      <c r="B616" s="321" t="str">
        <f>IF(A616&lt;&gt;"",_xlfn.MAXIFS($B$1:B615,$A$1:A615,A616)+1,"")</f>
        <v/>
      </c>
      <c r="C616" s="299"/>
      <c r="D616" s="299"/>
      <c r="E616" s="299"/>
      <c r="F616" s="299"/>
      <c r="G616" s="330"/>
      <c r="H616" s="328"/>
      <c r="I616" s="329"/>
      <c r="J616" s="329"/>
      <c r="K616" s="322"/>
      <c r="L616" s="322"/>
      <c r="M616" s="323" t="str">
        <f>IFERROR(VLOOKUP(H616,Lijsten!$H$1:$I$100,2,0),"")</f>
        <v/>
      </c>
      <c r="N616" s="323" t="str">
        <f ca="1">IFERROR(IF(VLOOKUP(F616,Kostentypen!$A$3:$E$21,3,0)=0,"",IF(OR(F616="Arbeidskosten",F616="Vergoeding"),VLOOKUP(G616,Tb_KostenTypen[],2,0),VLOOKUP(F616,Kostentypen!$A$3:$E$20,3,0))),"")</f>
        <v/>
      </c>
      <c r="O616" s="324"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4"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3"/>
      <c r="R616" s="363"/>
      <c r="S616" s="325"/>
      <c r="T616" s="325"/>
      <c r="U616" s="317" t="str" cm="1">
        <f t="array" aca="1" ref="U616" ca="1">IFERROR(IF(AA616&lt;&gt;"ja",_xlfn.IFNA(_xlfn.IFS(AND(O616&lt;&gt;"",F616&lt;&gt;"",RIGHT($N616,6)="tarief",F616="Vergoeding"),SUM(O616)*FLOOR(SUM(Q616),0.0001),AND(O616&lt;&gt;"",F616&lt;&gt;"",RIGHT($N616,6)="tarief"),SUM(O616)*FLOOR(SUM(Q616),0.01),S616&gt;0,IF(F616&lt;&gt;"",FLOOR(SUM(S616),0.01),"")),""),""),"")</f>
        <v/>
      </c>
      <c r="V616" s="317" t="str" cm="1">
        <f t="array" aca="1" ref="V616" ca="1">IFERROR(IF(AA616&lt;&gt;"ja",_xlfn.IFNA(_xlfn.IFS(AND(P616&lt;&gt;"",R616&lt;&gt;"",RIGHT($N616,6)="tarief",F616="Vergoeding"),SUM(P616)*FLOOR(SUM(R616),0.0001),AND(P616&lt;&gt;"",R616&lt;&gt;"",RIGHT($N616,6)="tarief"),P616*FLOOR(R616,0.01),T616&gt;0,FLOOR(SUM(T616),0.01)),""),""),"")</f>
        <v/>
      </c>
      <c r="W616" s="317" t="str" cm="1">
        <f t="array" aca="1" ref="W616" ca="1">IFERROR(_xlfn.IFS(OR(F616="",LEFT(Methode_Keuze,4)="Geen",Methode_Keuze=""),"",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17" t="str" cm="1">
        <f t="array" aca="1" ref="X616" ca="1">IFERROR(_xlfn.IFS(OR(F616="",LEFT(Methode_Keuze,4)="Geen",Methode_Keuze=""),"",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26"/>
      <c r="Z616" s="319"/>
      <c r="AA616" s="32" t="str" cm="1">
        <f t="array" ref="AA616">IFERROR(IF(INDEX(SubsidieTabel!$AD$1:$AG$12,MATCH($F616,SubsidieTabel!$AD$1:$AD$12,0),IFERROR(MATCH(Methode_Keuze,SubsidieTabel!$AD$1:$AG$1,0),2))&lt;&gt;1=TRUE,"ja",""),"")</f>
        <v/>
      </c>
    </row>
    <row r="617" spans="1:27" x14ac:dyDescent="0.25">
      <c r="A617" s="320"/>
      <c r="B617" s="321" t="str">
        <f>IF(A617&lt;&gt;"",_xlfn.MAXIFS($B$1:B616,$A$1:A616,A617)+1,"")</f>
        <v/>
      </c>
      <c r="C617" s="299"/>
      <c r="D617" s="299"/>
      <c r="E617" s="299"/>
      <c r="F617" s="299"/>
      <c r="G617" s="330"/>
      <c r="H617" s="328"/>
      <c r="I617" s="329"/>
      <c r="J617" s="329"/>
      <c r="K617" s="322"/>
      <c r="L617" s="322"/>
      <c r="M617" s="323" t="str">
        <f>IFERROR(VLOOKUP(H617,Lijsten!$H$1:$I$100,2,0),"")</f>
        <v/>
      </c>
      <c r="N617" s="323" t="str">
        <f ca="1">IFERROR(IF(VLOOKUP(F617,Kostentypen!$A$3:$E$21,3,0)=0,"",IF(OR(F617="Arbeidskosten",F617="Vergoeding"),VLOOKUP(G617,Tb_KostenTypen[],2,0),VLOOKUP(F617,Kostentypen!$A$3:$E$20,3,0))),"")</f>
        <v/>
      </c>
      <c r="O617" s="324"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4"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3"/>
      <c r="R617" s="363"/>
      <c r="S617" s="325"/>
      <c r="T617" s="325"/>
      <c r="U617" s="317" t="str" cm="1">
        <f t="array" aca="1" ref="U617" ca="1">IFERROR(IF(AA617&lt;&gt;"ja",_xlfn.IFNA(_xlfn.IFS(AND(O617&lt;&gt;"",F617&lt;&gt;"",RIGHT($N617,6)="tarief",F617="Vergoeding"),SUM(O617)*FLOOR(SUM(Q617),0.0001),AND(O617&lt;&gt;"",F617&lt;&gt;"",RIGHT($N617,6)="tarief"),SUM(O617)*FLOOR(SUM(Q617),0.01),S617&gt;0,IF(F617&lt;&gt;"",FLOOR(SUM(S617),0.01),"")),""),""),"")</f>
        <v/>
      </c>
      <c r="V617" s="317" t="str" cm="1">
        <f t="array" aca="1" ref="V617" ca="1">IFERROR(IF(AA617&lt;&gt;"ja",_xlfn.IFNA(_xlfn.IFS(AND(P617&lt;&gt;"",R617&lt;&gt;"",RIGHT($N617,6)="tarief",F617="Vergoeding"),SUM(P617)*FLOOR(SUM(R617),0.0001),AND(P617&lt;&gt;"",R617&lt;&gt;"",RIGHT($N617,6)="tarief"),P617*FLOOR(R617,0.01),T617&gt;0,FLOOR(SUM(T617),0.01)),""),""),"")</f>
        <v/>
      </c>
      <c r="W617" s="317" t="str" cm="1">
        <f t="array" aca="1" ref="W617" ca="1">IFERROR(_xlfn.IFS(OR(F617="",LEFT(Methode_Keuze,4)="Geen",Methode_Keuze=""),"",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17" t="str" cm="1">
        <f t="array" aca="1" ref="X617" ca="1">IFERROR(_xlfn.IFS(OR(F617="",LEFT(Methode_Keuze,4)="Geen",Methode_Keuze=""),"",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26"/>
      <c r="Z617" s="319"/>
      <c r="AA617" s="32" t="str" cm="1">
        <f t="array" ref="AA617">IFERROR(IF(INDEX(SubsidieTabel!$AD$1:$AG$12,MATCH($F617,SubsidieTabel!$AD$1:$AD$12,0),IFERROR(MATCH(Methode_Keuze,SubsidieTabel!$AD$1:$AG$1,0),2))&lt;&gt;1=TRUE,"ja",""),"")</f>
        <v/>
      </c>
    </row>
    <row r="618" spans="1:27" x14ac:dyDescent="0.25">
      <c r="A618" s="320"/>
      <c r="B618" s="321" t="str">
        <f>IF(A618&lt;&gt;"",_xlfn.MAXIFS($B$1:B617,$A$1:A617,A618)+1,"")</f>
        <v/>
      </c>
      <c r="C618" s="299"/>
      <c r="D618" s="299"/>
      <c r="E618" s="299"/>
      <c r="F618" s="299"/>
      <c r="G618" s="330"/>
      <c r="H618" s="328"/>
      <c r="I618" s="329"/>
      <c r="J618" s="329"/>
      <c r="K618" s="322"/>
      <c r="L618" s="322"/>
      <c r="M618" s="323" t="str">
        <f>IFERROR(VLOOKUP(H618,Lijsten!$H$1:$I$100,2,0),"")</f>
        <v/>
      </c>
      <c r="N618" s="323" t="str">
        <f ca="1">IFERROR(IF(VLOOKUP(F618,Kostentypen!$A$3:$E$21,3,0)=0,"",IF(OR(F618="Arbeidskosten",F618="Vergoeding"),VLOOKUP(G618,Tb_KostenTypen[],2,0),VLOOKUP(F618,Kostentypen!$A$3:$E$20,3,0))),"")</f>
        <v/>
      </c>
      <c r="O618" s="324"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4"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3"/>
      <c r="R618" s="363"/>
      <c r="S618" s="325"/>
      <c r="T618" s="325"/>
      <c r="U618" s="317" t="str" cm="1">
        <f t="array" aca="1" ref="U618" ca="1">IFERROR(IF(AA618&lt;&gt;"ja",_xlfn.IFNA(_xlfn.IFS(AND(O618&lt;&gt;"",F618&lt;&gt;"",RIGHT($N618,6)="tarief",F618="Vergoeding"),SUM(O618)*FLOOR(SUM(Q618),0.0001),AND(O618&lt;&gt;"",F618&lt;&gt;"",RIGHT($N618,6)="tarief"),SUM(O618)*FLOOR(SUM(Q618),0.01),S618&gt;0,IF(F618&lt;&gt;"",FLOOR(SUM(S618),0.01),"")),""),""),"")</f>
        <v/>
      </c>
      <c r="V618" s="317" t="str" cm="1">
        <f t="array" aca="1" ref="V618" ca="1">IFERROR(IF(AA618&lt;&gt;"ja",_xlfn.IFNA(_xlfn.IFS(AND(P618&lt;&gt;"",R618&lt;&gt;"",RIGHT($N618,6)="tarief",F618="Vergoeding"),SUM(P618)*FLOOR(SUM(R618),0.0001),AND(P618&lt;&gt;"",R618&lt;&gt;"",RIGHT($N618,6)="tarief"),P618*FLOOR(R618,0.01),T618&gt;0,FLOOR(SUM(T618),0.01)),""),""),"")</f>
        <v/>
      </c>
      <c r="W618" s="317" t="str" cm="1">
        <f t="array" aca="1" ref="W618" ca="1">IFERROR(_xlfn.IFS(OR(F618="",LEFT(Methode_Keuze,4)="Geen",Methode_Keuze=""),"",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17" t="str" cm="1">
        <f t="array" aca="1" ref="X618" ca="1">IFERROR(_xlfn.IFS(OR(F618="",LEFT(Methode_Keuze,4)="Geen",Methode_Keuze=""),"",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26"/>
      <c r="Z618" s="319"/>
      <c r="AA618" s="32" t="str" cm="1">
        <f t="array" ref="AA618">IFERROR(IF(INDEX(SubsidieTabel!$AD$1:$AG$12,MATCH($F618,SubsidieTabel!$AD$1:$AD$12,0),IFERROR(MATCH(Methode_Keuze,SubsidieTabel!$AD$1:$AG$1,0),2))&lt;&gt;1=TRUE,"ja",""),"")</f>
        <v/>
      </c>
    </row>
    <row r="619" spans="1:27" x14ac:dyDescent="0.25">
      <c r="A619" s="320"/>
      <c r="B619" s="321" t="str">
        <f>IF(A619&lt;&gt;"",_xlfn.MAXIFS($B$1:B618,$A$1:A618,A619)+1,"")</f>
        <v/>
      </c>
      <c r="C619" s="299"/>
      <c r="D619" s="299"/>
      <c r="E619" s="299"/>
      <c r="F619" s="299"/>
      <c r="G619" s="330"/>
      <c r="H619" s="328"/>
      <c r="I619" s="329"/>
      <c r="J619" s="329"/>
      <c r="K619" s="322"/>
      <c r="L619" s="322"/>
      <c r="M619" s="323" t="str">
        <f>IFERROR(VLOOKUP(H619,Lijsten!$H$1:$I$100,2,0),"")</f>
        <v/>
      </c>
      <c r="N619" s="323" t="str">
        <f ca="1">IFERROR(IF(VLOOKUP(F619,Kostentypen!$A$3:$E$21,3,0)=0,"",IF(OR(F619="Arbeidskosten",F619="Vergoeding"),VLOOKUP(G619,Tb_KostenTypen[],2,0),VLOOKUP(F619,Kostentypen!$A$3:$E$20,3,0))),"")</f>
        <v/>
      </c>
      <c r="O619" s="324"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4"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3"/>
      <c r="R619" s="363"/>
      <c r="S619" s="325"/>
      <c r="T619" s="325"/>
      <c r="U619" s="317" t="str" cm="1">
        <f t="array" aca="1" ref="U619" ca="1">IFERROR(IF(AA619&lt;&gt;"ja",_xlfn.IFNA(_xlfn.IFS(AND(O619&lt;&gt;"",F619&lt;&gt;"",RIGHT($N619,6)="tarief",F619="Vergoeding"),SUM(O619)*FLOOR(SUM(Q619),0.0001),AND(O619&lt;&gt;"",F619&lt;&gt;"",RIGHT($N619,6)="tarief"),SUM(O619)*FLOOR(SUM(Q619),0.01),S619&gt;0,IF(F619&lt;&gt;"",FLOOR(SUM(S619),0.01),"")),""),""),"")</f>
        <v/>
      </c>
      <c r="V619" s="317" t="str" cm="1">
        <f t="array" aca="1" ref="V619" ca="1">IFERROR(IF(AA619&lt;&gt;"ja",_xlfn.IFNA(_xlfn.IFS(AND(P619&lt;&gt;"",R619&lt;&gt;"",RIGHT($N619,6)="tarief",F619="Vergoeding"),SUM(P619)*FLOOR(SUM(R619),0.0001),AND(P619&lt;&gt;"",R619&lt;&gt;"",RIGHT($N619,6)="tarief"),P619*FLOOR(R619,0.01),T619&gt;0,FLOOR(SUM(T619),0.01)),""),""),"")</f>
        <v/>
      </c>
      <c r="W619" s="317" t="str" cm="1">
        <f t="array" aca="1" ref="W619" ca="1">IFERROR(_xlfn.IFS(OR(F619="",LEFT(Methode_Keuze,4)="Geen",Methode_Keuze=""),"",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17" t="str" cm="1">
        <f t="array" aca="1" ref="X619" ca="1">IFERROR(_xlfn.IFS(OR(F619="",LEFT(Methode_Keuze,4)="Geen",Methode_Keuze=""),"",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26"/>
      <c r="Z619" s="319"/>
      <c r="AA619" s="32" t="str" cm="1">
        <f t="array" ref="AA619">IFERROR(IF(INDEX(SubsidieTabel!$AD$1:$AG$12,MATCH($F619,SubsidieTabel!$AD$1:$AD$12,0),IFERROR(MATCH(Methode_Keuze,SubsidieTabel!$AD$1:$AG$1,0),2))&lt;&gt;1=TRUE,"ja",""),"")</f>
        <v/>
      </c>
    </row>
    <row r="620" spans="1:27" x14ac:dyDescent="0.25">
      <c r="A620" s="320"/>
      <c r="B620" s="321" t="str">
        <f>IF(A620&lt;&gt;"",_xlfn.MAXIFS($B$1:B619,$A$1:A619,A620)+1,"")</f>
        <v/>
      </c>
      <c r="C620" s="299"/>
      <c r="D620" s="299"/>
      <c r="E620" s="299"/>
      <c r="F620" s="299"/>
      <c r="G620" s="330"/>
      <c r="H620" s="328"/>
      <c r="I620" s="329"/>
      <c r="J620" s="329"/>
      <c r="K620" s="322"/>
      <c r="L620" s="322"/>
      <c r="M620" s="323" t="str">
        <f>IFERROR(VLOOKUP(H620,Lijsten!$H$1:$I$100,2,0),"")</f>
        <v/>
      </c>
      <c r="N620" s="323" t="str">
        <f ca="1">IFERROR(IF(VLOOKUP(F620,Kostentypen!$A$3:$E$21,3,0)=0,"",IF(OR(F620="Arbeidskosten",F620="Vergoeding"),VLOOKUP(G620,Tb_KostenTypen[],2,0),VLOOKUP(F620,Kostentypen!$A$3:$E$20,3,0))),"")</f>
        <v/>
      </c>
      <c r="O620" s="324"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4"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3"/>
      <c r="R620" s="363"/>
      <c r="S620" s="325"/>
      <c r="T620" s="325"/>
      <c r="U620" s="317" t="str" cm="1">
        <f t="array" aca="1" ref="U620" ca="1">IFERROR(IF(AA620&lt;&gt;"ja",_xlfn.IFNA(_xlfn.IFS(AND(O620&lt;&gt;"",F620&lt;&gt;"",RIGHT($N620,6)="tarief",F620="Vergoeding"),SUM(O620)*FLOOR(SUM(Q620),0.0001),AND(O620&lt;&gt;"",F620&lt;&gt;"",RIGHT($N620,6)="tarief"),SUM(O620)*FLOOR(SUM(Q620),0.01),S620&gt;0,IF(F620&lt;&gt;"",FLOOR(SUM(S620),0.01),"")),""),""),"")</f>
        <v/>
      </c>
      <c r="V620" s="317" t="str" cm="1">
        <f t="array" aca="1" ref="V620" ca="1">IFERROR(IF(AA620&lt;&gt;"ja",_xlfn.IFNA(_xlfn.IFS(AND(P620&lt;&gt;"",R620&lt;&gt;"",RIGHT($N620,6)="tarief",F620="Vergoeding"),SUM(P620)*FLOOR(SUM(R620),0.0001),AND(P620&lt;&gt;"",R620&lt;&gt;"",RIGHT($N620,6)="tarief"),P620*FLOOR(R620,0.01),T620&gt;0,FLOOR(SUM(T620),0.01)),""),""),"")</f>
        <v/>
      </c>
      <c r="W620" s="317" t="str" cm="1">
        <f t="array" aca="1" ref="W620" ca="1">IFERROR(_xlfn.IFS(OR(F620="",LEFT(Methode_Keuze,4)="Geen",Methode_Keuze=""),"",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17" t="str" cm="1">
        <f t="array" aca="1" ref="X620" ca="1">IFERROR(_xlfn.IFS(OR(F620="",LEFT(Methode_Keuze,4)="Geen",Methode_Keuze=""),"",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26"/>
      <c r="Z620" s="319"/>
      <c r="AA620" s="32" t="str" cm="1">
        <f t="array" ref="AA620">IFERROR(IF(INDEX(SubsidieTabel!$AD$1:$AG$12,MATCH($F620,SubsidieTabel!$AD$1:$AD$12,0),IFERROR(MATCH(Methode_Keuze,SubsidieTabel!$AD$1:$AG$1,0),2))&lt;&gt;1=TRUE,"ja",""),"")</f>
        <v/>
      </c>
    </row>
    <row r="621" spans="1:27" x14ac:dyDescent="0.25">
      <c r="A621" s="320"/>
      <c r="B621" s="321" t="str">
        <f>IF(A621&lt;&gt;"",_xlfn.MAXIFS($B$1:B620,$A$1:A620,A621)+1,"")</f>
        <v/>
      </c>
      <c r="C621" s="299"/>
      <c r="D621" s="299"/>
      <c r="E621" s="299"/>
      <c r="F621" s="299"/>
      <c r="G621" s="330"/>
      <c r="H621" s="328"/>
      <c r="I621" s="329"/>
      <c r="J621" s="329"/>
      <c r="K621" s="322"/>
      <c r="L621" s="322"/>
      <c r="M621" s="323" t="str">
        <f>IFERROR(VLOOKUP(H621,Lijsten!$H$1:$I$100,2,0),"")</f>
        <v/>
      </c>
      <c r="N621" s="323" t="str">
        <f ca="1">IFERROR(IF(VLOOKUP(F621,Kostentypen!$A$3:$E$21,3,0)=0,"",IF(OR(F621="Arbeidskosten",F621="Vergoeding"),VLOOKUP(G621,Tb_KostenTypen[],2,0),VLOOKUP(F621,Kostentypen!$A$3:$E$20,3,0))),"")</f>
        <v/>
      </c>
      <c r="O621" s="324"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4"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3"/>
      <c r="R621" s="363"/>
      <c r="S621" s="325"/>
      <c r="T621" s="325"/>
      <c r="U621" s="317" t="str" cm="1">
        <f t="array" aca="1" ref="U621" ca="1">IFERROR(IF(AA621&lt;&gt;"ja",_xlfn.IFNA(_xlfn.IFS(AND(O621&lt;&gt;"",F621&lt;&gt;"",RIGHT($N621,6)="tarief",F621="Vergoeding"),SUM(O621)*FLOOR(SUM(Q621),0.0001),AND(O621&lt;&gt;"",F621&lt;&gt;"",RIGHT($N621,6)="tarief"),SUM(O621)*FLOOR(SUM(Q621),0.01),S621&gt;0,IF(F621&lt;&gt;"",FLOOR(SUM(S621),0.01),"")),""),""),"")</f>
        <v/>
      </c>
      <c r="V621" s="317" t="str" cm="1">
        <f t="array" aca="1" ref="V621" ca="1">IFERROR(IF(AA621&lt;&gt;"ja",_xlfn.IFNA(_xlfn.IFS(AND(P621&lt;&gt;"",R621&lt;&gt;"",RIGHT($N621,6)="tarief",F621="Vergoeding"),SUM(P621)*FLOOR(SUM(R621),0.0001),AND(P621&lt;&gt;"",R621&lt;&gt;"",RIGHT($N621,6)="tarief"),P621*FLOOR(R621,0.01),T621&gt;0,FLOOR(SUM(T621),0.01)),""),""),"")</f>
        <v/>
      </c>
      <c r="W621" s="317" t="str" cm="1">
        <f t="array" aca="1" ref="W621" ca="1">IFERROR(_xlfn.IFS(OR(F621="",LEFT(Methode_Keuze,4)="Geen",Methode_Keuze=""),"",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17" t="str" cm="1">
        <f t="array" aca="1" ref="X621" ca="1">IFERROR(_xlfn.IFS(OR(F621="",LEFT(Methode_Keuze,4)="Geen",Methode_Keuze=""),"",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26"/>
      <c r="Z621" s="319"/>
      <c r="AA621" s="32" t="str" cm="1">
        <f t="array" ref="AA621">IFERROR(IF(INDEX(SubsidieTabel!$AD$1:$AG$12,MATCH($F621,SubsidieTabel!$AD$1:$AD$12,0),IFERROR(MATCH(Methode_Keuze,SubsidieTabel!$AD$1:$AG$1,0),2))&lt;&gt;1=TRUE,"ja",""),"")</f>
        <v/>
      </c>
    </row>
    <row r="622" spans="1:27" x14ac:dyDescent="0.25">
      <c r="A622" s="320"/>
      <c r="B622" s="321" t="str">
        <f>IF(A622&lt;&gt;"",_xlfn.MAXIFS($B$1:B621,$A$1:A621,A622)+1,"")</f>
        <v/>
      </c>
      <c r="C622" s="299"/>
      <c r="D622" s="299"/>
      <c r="E622" s="299"/>
      <c r="F622" s="299"/>
      <c r="G622" s="330"/>
      <c r="H622" s="328"/>
      <c r="I622" s="329"/>
      <c r="J622" s="329"/>
      <c r="K622" s="322"/>
      <c r="L622" s="322"/>
      <c r="M622" s="323" t="str">
        <f>IFERROR(VLOOKUP(H622,Lijsten!$H$1:$I$100,2,0),"")</f>
        <v/>
      </c>
      <c r="N622" s="323" t="str">
        <f ca="1">IFERROR(IF(VLOOKUP(F622,Kostentypen!$A$3:$E$21,3,0)=0,"",IF(OR(F622="Arbeidskosten",F622="Vergoeding"),VLOOKUP(G622,Tb_KostenTypen[],2,0),VLOOKUP(F622,Kostentypen!$A$3:$E$20,3,0))),"")</f>
        <v/>
      </c>
      <c r="O622" s="324"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4"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3"/>
      <c r="R622" s="363"/>
      <c r="S622" s="325"/>
      <c r="T622" s="325"/>
      <c r="U622" s="317" t="str" cm="1">
        <f t="array" aca="1" ref="U622" ca="1">IFERROR(IF(AA622&lt;&gt;"ja",_xlfn.IFNA(_xlfn.IFS(AND(O622&lt;&gt;"",F622&lt;&gt;"",RIGHT($N622,6)="tarief",F622="Vergoeding"),SUM(O622)*FLOOR(SUM(Q622),0.0001),AND(O622&lt;&gt;"",F622&lt;&gt;"",RIGHT($N622,6)="tarief"),SUM(O622)*FLOOR(SUM(Q622),0.01),S622&gt;0,IF(F622&lt;&gt;"",FLOOR(SUM(S622),0.01),"")),""),""),"")</f>
        <v/>
      </c>
      <c r="V622" s="317" t="str" cm="1">
        <f t="array" aca="1" ref="V622" ca="1">IFERROR(IF(AA622&lt;&gt;"ja",_xlfn.IFNA(_xlfn.IFS(AND(P622&lt;&gt;"",R622&lt;&gt;"",RIGHT($N622,6)="tarief",F622="Vergoeding"),SUM(P622)*FLOOR(SUM(R622),0.0001),AND(P622&lt;&gt;"",R622&lt;&gt;"",RIGHT($N622,6)="tarief"),P622*FLOOR(R622,0.01),T622&gt;0,FLOOR(SUM(T622),0.01)),""),""),"")</f>
        <v/>
      </c>
      <c r="W622" s="317" t="str" cm="1">
        <f t="array" aca="1" ref="W622" ca="1">IFERROR(_xlfn.IFS(OR(F622="",LEFT(Methode_Keuze,4)="Geen",Methode_Keuze=""),"",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17" t="str" cm="1">
        <f t="array" aca="1" ref="X622" ca="1">IFERROR(_xlfn.IFS(OR(F622="",LEFT(Methode_Keuze,4)="Geen",Methode_Keuze=""),"",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26"/>
      <c r="Z622" s="319"/>
      <c r="AA622" s="32" t="str" cm="1">
        <f t="array" ref="AA622">IFERROR(IF(INDEX(SubsidieTabel!$AD$1:$AG$12,MATCH($F622,SubsidieTabel!$AD$1:$AD$12,0),IFERROR(MATCH(Methode_Keuze,SubsidieTabel!$AD$1:$AG$1,0),2))&lt;&gt;1=TRUE,"ja",""),"")</f>
        <v/>
      </c>
    </row>
    <row r="623" spans="1:27" x14ac:dyDescent="0.25">
      <c r="A623" s="320"/>
      <c r="B623" s="321" t="str">
        <f>IF(A623&lt;&gt;"",_xlfn.MAXIFS($B$1:B622,$A$1:A622,A623)+1,"")</f>
        <v/>
      </c>
      <c r="C623" s="299"/>
      <c r="D623" s="299"/>
      <c r="E623" s="299"/>
      <c r="F623" s="299"/>
      <c r="G623" s="330"/>
      <c r="H623" s="328"/>
      <c r="I623" s="329"/>
      <c r="J623" s="329"/>
      <c r="K623" s="322"/>
      <c r="L623" s="322"/>
      <c r="M623" s="323" t="str">
        <f>IFERROR(VLOOKUP(H623,Lijsten!$H$1:$I$100,2,0),"")</f>
        <v/>
      </c>
      <c r="N623" s="323" t="str">
        <f ca="1">IFERROR(IF(VLOOKUP(F623,Kostentypen!$A$3:$E$21,3,0)=0,"",IF(OR(F623="Arbeidskosten",F623="Vergoeding"),VLOOKUP(G623,Tb_KostenTypen[],2,0),VLOOKUP(F623,Kostentypen!$A$3:$E$20,3,0))),"")</f>
        <v/>
      </c>
      <c r="O623" s="324"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4"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3"/>
      <c r="R623" s="363"/>
      <c r="S623" s="325"/>
      <c r="T623" s="325"/>
      <c r="U623" s="317" t="str" cm="1">
        <f t="array" aca="1" ref="U623" ca="1">IFERROR(IF(AA623&lt;&gt;"ja",_xlfn.IFNA(_xlfn.IFS(AND(O623&lt;&gt;"",F623&lt;&gt;"",RIGHT($N623,6)="tarief",F623="Vergoeding"),SUM(O623)*FLOOR(SUM(Q623),0.0001),AND(O623&lt;&gt;"",F623&lt;&gt;"",RIGHT($N623,6)="tarief"),SUM(O623)*FLOOR(SUM(Q623),0.01),S623&gt;0,IF(F623&lt;&gt;"",FLOOR(SUM(S623),0.01),"")),""),""),"")</f>
        <v/>
      </c>
      <c r="V623" s="317" t="str" cm="1">
        <f t="array" aca="1" ref="V623" ca="1">IFERROR(IF(AA623&lt;&gt;"ja",_xlfn.IFNA(_xlfn.IFS(AND(P623&lt;&gt;"",R623&lt;&gt;"",RIGHT($N623,6)="tarief",F623="Vergoeding"),SUM(P623)*FLOOR(SUM(R623),0.0001),AND(P623&lt;&gt;"",R623&lt;&gt;"",RIGHT($N623,6)="tarief"),P623*FLOOR(R623,0.01),T623&gt;0,FLOOR(SUM(T623),0.01)),""),""),"")</f>
        <v/>
      </c>
      <c r="W623" s="317" t="str" cm="1">
        <f t="array" aca="1" ref="W623" ca="1">IFERROR(_xlfn.IFS(OR(F623="",LEFT(Methode_Keuze,4)="Geen",Methode_Keuze=""),"",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17" t="str" cm="1">
        <f t="array" aca="1" ref="X623" ca="1">IFERROR(_xlfn.IFS(OR(F623="",LEFT(Methode_Keuze,4)="Geen",Methode_Keuze=""),"",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26"/>
      <c r="Z623" s="319"/>
      <c r="AA623" s="32" t="str" cm="1">
        <f t="array" ref="AA623">IFERROR(IF(INDEX(SubsidieTabel!$AD$1:$AG$12,MATCH($F623,SubsidieTabel!$AD$1:$AD$12,0),IFERROR(MATCH(Methode_Keuze,SubsidieTabel!$AD$1:$AG$1,0),2))&lt;&gt;1=TRUE,"ja",""),"")</f>
        <v/>
      </c>
    </row>
    <row r="624" spans="1:27" x14ac:dyDescent="0.25">
      <c r="A624" s="320"/>
      <c r="B624" s="321" t="str">
        <f>IF(A624&lt;&gt;"",_xlfn.MAXIFS($B$1:B623,$A$1:A623,A624)+1,"")</f>
        <v/>
      </c>
      <c r="C624" s="299"/>
      <c r="D624" s="299"/>
      <c r="E624" s="299"/>
      <c r="F624" s="299"/>
      <c r="G624" s="330"/>
      <c r="H624" s="328"/>
      <c r="I624" s="329"/>
      <c r="J624" s="329"/>
      <c r="K624" s="322"/>
      <c r="L624" s="322"/>
      <c r="M624" s="323" t="str">
        <f>IFERROR(VLOOKUP(H624,Lijsten!$H$1:$I$100,2,0),"")</f>
        <v/>
      </c>
      <c r="N624" s="323" t="str">
        <f ca="1">IFERROR(IF(VLOOKUP(F624,Kostentypen!$A$3:$E$21,3,0)=0,"",IF(OR(F624="Arbeidskosten",F624="Vergoeding"),VLOOKUP(G624,Tb_KostenTypen[],2,0),VLOOKUP(F624,Kostentypen!$A$3:$E$20,3,0))),"")</f>
        <v/>
      </c>
      <c r="O624" s="324"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4"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3"/>
      <c r="R624" s="363"/>
      <c r="S624" s="325"/>
      <c r="T624" s="325"/>
      <c r="U624" s="317" t="str" cm="1">
        <f t="array" aca="1" ref="U624" ca="1">IFERROR(IF(AA624&lt;&gt;"ja",_xlfn.IFNA(_xlfn.IFS(AND(O624&lt;&gt;"",F624&lt;&gt;"",RIGHT($N624,6)="tarief",F624="Vergoeding"),SUM(O624)*FLOOR(SUM(Q624),0.0001),AND(O624&lt;&gt;"",F624&lt;&gt;"",RIGHT($N624,6)="tarief"),SUM(O624)*FLOOR(SUM(Q624),0.01),S624&gt;0,IF(F624&lt;&gt;"",FLOOR(SUM(S624),0.01),"")),""),""),"")</f>
        <v/>
      </c>
      <c r="V624" s="317" t="str" cm="1">
        <f t="array" aca="1" ref="V624" ca="1">IFERROR(IF(AA624&lt;&gt;"ja",_xlfn.IFNA(_xlfn.IFS(AND(P624&lt;&gt;"",R624&lt;&gt;"",RIGHT($N624,6)="tarief",F624="Vergoeding"),SUM(P624)*FLOOR(SUM(R624),0.0001),AND(P624&lt;&gt;"",R624&lt;&gt;"",RIGHT($N624,6)="tarief"),P624*FLOOR(R624,0.01),T624&gt;0,FLOOR(SUM(T624),0.01)),""),""),"")</f>
        <v/>
      </c>
      <c r="W624" s="317" t="str" cm="1">
        <f t="array" aca="1" ref="W624" ca="1">IFERROR(_xlfn.IFS(OR(F624="",LEFT(Methode_Keuze,4)="Geen",Methode_Keuze=""),"",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17" t="str" cm="1">
        <f t="array" aca="1" ref="X624" ca="1">IFERROR(_xlfn.IFS(OR(F624="",LEFT(Methode_Keuze,4)="Geen",Methode_Keuze=""),"",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26"/>
      <c r="Z624" s="319"/>
      <c r="AA624" s="32" t="str" cm="1">
        <f t="array" ref="AA624">IFERROR(IF(INDEX(SubsidieTabel!$AD$1:$AG$12,MATCH($F624,SubsidieTabel!$AD$1:$AD$12,0),IFERROR(MATCH(Methode_Keuze,SubsidieTabel!$AD$1:$AG$1,0),2))&lt;&gt;1=TRUE,"ja",""),"")</f>
        <v/>
      </c>
    </row>
    <row r="625" spans="1:27" x14ac:dyDescent="0.25">
      <c r="A625" s="320"/>
      <c r="B625" s="321" t="str">
        <f>IF(A625&lt;&gt;"",_xlfn.MAXIFS($B$1:B624,$A$1:A624,A625)+1,"")</f>
        <v/>
      </c>
      <c r="C625" s="299"/>
      <c r="D625" s="299"/>
      <c r="E625" s="299"/>
      <c r="F625" s="299"/>
      <c r="G625" s="330"/>
      <c r="H625" s="328"/>
      <c r="I625" s="329"/>
      <c r="J625" s="329"/>
      <c r="K625" s="322"/>
      <c r="L625" s="322"/>
      <c r="M625" s="323" t="str">
        <f>IFERROR(VLOOKUP(H625,Lijsten!$H$1:$I$100,2,0),"")</f>
        <v/>
      </c>
      <c r="N625" s="323" t="str">
        <f ca="1">IFERROR(IF(VLOOKUP(F625,Kostentypen!$A$3:$E$21,3,0)=0,"",IF(OR(F625="Arbeidskosten",F625="Vergoeding"),VLOOKUP(G625,Tb_KostenTypen[],2,0),VLOOKUP(F625,Kostentypen!$A$3:$E$20,3,0))),"")</f>
        <v/>
      </c>
      <c r="O625" s="324"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4"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3"/>
      <c r="R625" s="363"/>
      <c r="S625" s="325"/>
      <c r="T625" s="325"/>
      <c r="U625" s="317" t="str" cm="1">
        <f t="array" aca="1" ref="U625" ca="1">IFERROR(IF(AA625&lt;&gt;"ja",_xlfn.IFNA(_xlfn.IFS(AND(O625&lt;&gt;"",F625&lt;&gt;"",RIGHT($N625,6)="tarief",F625="Vergoeding"),SUM(O625)*FLOOR(SUM(Q625),0.0001),AND(O625&lt;&gt;"",F625&lt;&gt;"",RIGHT($N625,6)="tarief"),SUM(O625)*FLOOR(SUM(Q625),0.01),S625&gt;0,IF(F625&lt;&gt;"",FLOOR(SUM(S625),0.01),"")),""),""),"")</f>
        <v/>
      </c>
      <c r="V625" s="317" t="str" cm="1">
        <f t="array" aca="1" ref="V625" ca="1">IFERROR(IF(AA625&lt;&gt;"ja",_xlfn.IFNA(_xlfn.IFS(AND(P625&lt;&gt;"",R625&lt;&gt;"",RIGHT($N625,6)="tarief",F625="Vergoeding"),SUM(P625)*FLOOR(SUM(R625),0.0001),AND(P625&lt;&gt;"",R625&lt;&gt;"",RIGHT($N625,6)="tarief"),P625*FLOOR(R625,0.01),T625&gt;0,FLOOR(SUM(T625),0.01)),""),""),"")</f>
        <v/>
      </c>
      <c r="W625" s="317" t="str" cm="1">
        <f t="array" aca="1" ref="W625" ca="1">IFERROR(_xlfn.IFS(OR(F625="",LEFT(Methode_Keuze,4)="Geen",Methode_Keuze=""),"",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17" t="str" cm="1">
        <f t="array" aca="1" ref="X625" ca="1">IFERROR(_xlfn.IFS(OR(F625="",LEFT(Methode_Keuze,4)="Geen",Methode_Keuze=""),"",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26"/>
      <c r="Z625" s="319"/>
      <c r="AA625" s="32" t="str" cm="1">
        <f t="array" ref="AA625">IFERROR(IF(INDEX(SubsidieTabel!$AD$1:$AG$12,MATCH($F625,SubsidieTabel!$AD$1:$AD$12,0),IFERROR(MATCH(Methode_Keuze,SubsidieTabel!$AD$1:$AG$1,0),2))&lt;&gt;1=TRUE,"ja",""),"")</f>
        <v/>
      </c>
    </row>
    <row r="626" spans="1:27" x14ac:dyDescent="0.25">
      <c r="A626" s="320"/>
      <c r="B626" s="321" t="str">
        <f>IF(A626&lt;&gt;"",_xlfn.MAXIFS($B$1:B625,$A$1:A625,A626)+1,"")</f>
        <v/>
      </c>
      <c r="C626" s="299"/>
      <c r="D626" s="299"/>
      <c r="E626" s="299"/>
      <c r="F626" s="299"/>
      <c r="G626" s="330"/>
      <c r="H626" s="328"/>
      <c r="I626" s="329"/>
      <c r="J626" s="329"/>
      <c r="K626" s="322"/>
      <c r="L626" s="322"/>
      <c r="M626" s="323" t="str">
        <f>IFERROR(VLOOKUP(H626,Lijsten!$H$1:$I$100,2,0),"")</f>
        <v/>
      </c>
      <c r="N626" s="323" t="str">
        <f ca="1">IFERROR(IF(VLOOKUP(F626,Kostentypen!$A$3:$E$21,3,0)=0,"",IF(OR(F626="Arbeidskosten",F626="Vergoeding"),VLOOKUP(G626,Tb_KostenTypen[],2,0),VLOOKUP(F626,Kostentypen!$A$3:$E$20,3,0))),"")</f>
        <v/>
      </c>
      <c r="O626" s="324"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4"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3"/>
      <c r="R626" s="363"/>
      <c r="S626" s="325"/>
      <c r="T626" s="325"/>
      <c r="U626" s="317" t="str" cm="1">
        <f t="array" aca="1" ref="U626" ca="1">IFERROR(IF(AA626&lt;&gt;"ja",_xlfn.IFNA(_xlfn.IFS(AND(O626&lt;&gt;"",F626&lt;&gt;"",RIGHT($N626,6)="tarief",F626="Vergoeding"),SUM(O626)*FLOOR(SUM(Q626),0.0001),AND(O626&lt;&gt;"",F626&lt;&gt;"",RIGHT($N626,6)="tarief"),SUM(O626)*FLOOR(SUM(Q626),0.01),S626&gt;0,IF(F626&lt;&gt;"",FLOOR(SUM(S626),0.01),"")),""),""),"")</f>
        <v/>
      </c>
      <c r="V626" s="317" t="str" cm="1">
        <f t="array" aca="1" ref="V626" ca="1">IFERROR(IF(AA626&lt;&gt;"ja",_xlfn.IFNA(_xlfn.IFS(AND(P626&lt;&gt;"",R626&lt;&gt;"",RIGHT($N626,6)="tarief",F626="Vergoeding"),SUM(P626)*FLOOR(SUM(R626),0.0001),AND(P626&lt;&gt;"",R626&lt;&gt;"",RIGHT($N626,6)="tarief"),P626*FLOOR(R626,0.01),T626&gt;0,FLOOR(SUM(T626),0.01)),""),""),"")</f>
        <v/>
      </c>
      <c r="W626" s="317" t="str" cm="1">
        <f t="array" aca="1" ref="W626" ca="1">IFERROR(_xlfn.IFS(OR(F626="",LEFT(Methode_Keuze,4)="Geen",Methode_Keuze=""),"",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17" t="str" cm="1">
        <f t="array" aca="1" ref="X626" ca="1">IFERROR(_xlfn.IFS(OR(F626="",LEFT(Methode_Keuze,4)="Geen",Methode_Keuze=""),"",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26"/>
      <c r="Z626" s="319"/>
      <c r="AA626" s="32" t="str" cm="1">
        <f t="array" ref="AA626">IFERROR(IF(INDEX(SubsidieTabel!$AD$1:$AG$12,MATCH($F626,SubsidieTabel!$AD$1:$AD$12,0),IFERROR(MATCH(Methode_Keuze,SubsidieTabel!$AD$1:$AG$1,0),2))&lt;&gt;1=TRUE,"ja",""),"")</f>
        <v/>
      </c>
    </row>
    <row r="627" spans="1:27" x14ac:dyDescent="0.25">
      <c r="A627" s="320"/>
      <c r="B627" s="321" t="str">
        <f>IF(A627&lt;&gt;"",_xlfn.MAXIFS($B$1:B626,$A$1:A626,A627)+1,"")</f>
        <v/>
      </c>
      <c r="C627" s="299"/>
      <c r="D627" s="299"/>
      <c r="E627" s="299"/>
      <c r="F627" s="299"/>
      <c r="G627" s="330"/>
      <c r="H627" s="328"/>
      <c r="I627" s="329"/>
      <c r="J627" s="329"/>
      <c r="K627" s="322"/>
      <c r="L627" s="322"/>
      <c r="M627" s="323" t="str">
        <f>IFERROR(VLOOKUP(H627,Lijsten!$H$1:$I$100,2,0),"")</f>
        <v/>
      </c>
      <c r="N627" s="323" t="str">
        <f ca="1">IFERROR(IF(VLOOKUP(F627,Kostentypen!$A$3:$E$21,3,0)=0,"",IF(OR(F627="Arbeidskosten",F627="Vergoeding"),VLOOKUP(G627,Tb_KostenTypen[],2,0),VLOOKUP(F627,Kostentypen!$A$3:$E$20,3,0))),"")</f>
        <v/>
      </c>
      <c r="O627" s="324"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4"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3"/>
      <c r="R627" s="363"/>
      <c r="S627" s="325"/>
      <c r="T627" s="325"/>
      <c r="U627" s="317" t="str" cm="1">
        <f t="array" aca="1" ref="U627" ca="1">IFERROR(IF(AA627&lt;&gt;"ja",_xlfn.IFNA(_xlfn.IFS(AND(O627&lt;&gt;"",F627&lt;&gt;"",RIGHT($N627,6)="tarief",F627="Vergoeding"),SUM(O627)*FLOOR(SUM(Q627),0.0001),AND(O627&lt;&gt;"",F627&lt;&gt;"",RIGHT($N627,6)="tarief"),SUM(O627)*FLOOR(SUM(Q627),0.01),S627&gt;0,IF(F627&lt;&gt;"",FLOOR(SUM(S627),0.01),"")),""),""),"")</f>
        <v/>
      </c>
      <c r="V627" s="317" t="str" cm="1">
        <f t="array" aca="1" ref="V627" ca="1">IFERROR(IF(AA627&lt;&gt;"ja",_xlfn.IFNA(_xlfn.IFS(AND(P627&lt;&gt;"",R627&lt;&gt;"",RIGHT($N627,6)="tarief",F627="Vergoeding"),SUM(P627)*FLOOR(SUM(R627),0.0001),AND(P627&lt;&gt;"",R627&lt;&gt;"",RIGHT($N627,6)="tarief"),P627*FLOOR(R627,0.01),T627&gt;0,FLOOR(SUM(T627),0.01)),""),""),"")</f>
        <v/>
      </c>
      <c r="W627" s="317" t="str" cm="1">
        <f t="array" aca="1" ref="W627" ca="1">IFERROR(_xlfn.IFS(OR(F627="",LEFT(Methode_Keuze,4)="Geen",Methode_Keuze=""),"",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17" t="str" cm="1">
        <f t="array" aca="1" ref="X627" ca="1">IFERROR(_xlfn.IFS(OR(F627="",LEFT(Methode_Keuze,4)="Geen",Methode_Keuze=""),"",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26"/>
      <c r="Z627" s="319"/>
      <c r="AA627" s="32" t="str" cm="1">
        <f t="array" ref="AA627">IFERROR(IF(INDEX(SubsidieTabel!$AD$1:$AG$12,MATCH($F627,SubsidieTabel!$AD$1:$AD$12,0),IFERROR(MATCH(Methode_Keuze,SubsidieTabel!$AD$1:$AG$1,0),2))&lt;&gt;1=TRUE,"ja",""),"")</f>
        <v/>
      </c>
    </row>
    <row r="628" spans="1:27" x14ac:dyDescent="0.25">
      <c r="A628" s="320"/>
      <c r="B628" s="321" t="str">
        <f>IF(A628&lt;&gt;"",_xlfn.MAXIFS($B$1:B627,$A$1:A627,A628)+1,"")</f>
        <v/>
      </c>
      <c r="C628" s="299"/>
      <c r="D628" s="299"/>
      <c r="E628" s="299"/>
      <c r="F628" s="299"/>
      <c r="G628" s="330"/>
      <c r="H628" s="328"/>
      <c r="I628" s="329"/>
      <c r="J628" s="329"/>
      <c r="K628" s="322"/>
      <c r="L628" s="322"/>
      <c r="M628" s="323" t="str">
        <f>IFERROR(VLOOKUP(H628,Lijsten!$H$1:$I$100,2,0),"")</f>
        <v/>
      </c>
      <c r="N628" s="323" t="str">
        <f ca="1">IFERROR(IF(VLOOKUP(F628,Kostentypen!$A$3:$E$21,3,0)=0,"",IF(OR(F628="Arbeidskosten",F628="Vergoeding"),VLOOKUP(G628,Tb_KostenTypen[],2,0),VLOOKUP(F628,Kostentypen!$A$3:$E$20,3,0))),"")</f>
        <v/>
      </c>
      <c r="O628" s="324"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4"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3"/>
      <c r="R628" s="363"/>
      <c r="S628" s="325"/>
      <c r="T628" s="325"/>
      <c r="U628" s="317" t="str" cm="1">
        <f t="array" aca="1" ref="U628" ca="1">IFERROR(IF(AA628&lt;&gt;"ja",_xlfn.IFNA(_xlfn.IFS(AND(O628&lt;&gt;"",F628&lt;&gt;"",RIGHT($N628,6)="tarief",F628="Vergoeding"),SUM(O628)*FLOOR(SUM(Q628),0.0001),AND(O628&lt;&gt;"",F628&lt;&gt;"",RIGHT($N628,6)="tarief"),SUM(O628)*FLOOR(SUM(Q628),0.01),S628&gt;0,IF(F628&lt;&gt;"",FLOOR(SUM(S628),0.01),"")),""),""),"")</f>
        <v/>
      </c>
      <c r="V628" s="317" t="str" cm="1">
        <f t="array" aca="1" ref="V628" ca="1">IFERROR(IF(AA628&lt;&gt;"ja",_xlfn.IFNA(_xlfn.IFS(AND(P628&lt;&gt;"",R628&lt;&gt;"",RIGHT($N628,6)="tarief",F628="Vergoeding"),SUM(P628)*FLOOR(SUM(R628),0.0001),AND(P628&lt;&gt;"",R628&lt;&gt;"",RIGHT($N628,6)="tarief"),P628*FLOOR(R628,0.01),T628&gt;0,FLOOR(SUM(T628),0.01)),""),""),"")</f>
        <v/>
      </c>
      <c r="W628" s="317" t="str" cm="1">
        <f t="array" aca="1" ref="W628" ca="1">IFERROR(_xlfn.IFS(OR(F628="",LEFT(Methode_Keuze,4)="Geen",Methode_Keuze=""),"",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17" t="str" cm="1">
        <f t="array" aca="1" ref="X628" ca="1">IFERROR(_xlfn.IFS(OR(F628="",LEFT(Methode_Keuze,4)="Geen",Methode_Keuze=""),"",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26"/>
      <c r="Z628" s="319"/>
      <c r="AA628" s="32" t="str" cm="1">
        <f t="array" ref="AA628">IFERROR(IF(INDEX(SubsidieTabel!$AD$1:$AG$12,MATCH($F628,SubsidieTabel!$AD$1:$AD$12,0),IFERROR(MATCH(Methode_Keuze,SubsidieTabel!$AD$1:$AG$1,0),2))&lt;&gt;1=TRUE,"ja",""),"")</f>
        <v/>
      </c>
    </row>
    <row r="629" spans="1:27" x14ac:dyDescent="0.25">
      <c r="A629" s="320"/>
      <c r="B629" s="321" t="str">
        <f>IF(A629&lt;&gt;"",_xlfn.MAXIFS($B$1:B628,$A$1:A628,A629)+1,"")</f>
        <v/>
      </c>
      <c r="C629" s="299"/>
      <c r="D629" s="299"/>
      <c r="E629" s="299"/>
      <c r="F629" s="299"/>
      <c r="G629" s="330"/>
      <c r="H629" s="328"/>
      <c r="I629" s="329"/>
      <c r="J629" s="329"/>
      <c r="K629" s="322"/>
      <c r="L629" s="322"/>
      <c r="M629" s="323" t="str">
        <f>IFERROR(VLOOKUP(H629,Lijsten!$H$1:$I$100,2,0),"")</f>
        <v/>
      </c>
      <c r="N629" s="323" t="str">
        <f ca="1">IFERROR(IF(VLOOKUP(F629,Kostentypen!$A$3:$E$21,3,0)=0,"",IF(OR(F629="Arbeidskosten",F629="Vergoeding"),VLOOKUP(G629,Tb_KostenTypen[],2,0),VLOOKUP(F629,Kostentypen!$A$3:$E$20,3,0))),"")</f>
        <v/>
      </c>
      <c r="O629" s="324"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4"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3"/>
      <c r="R629" s="363"/>
      <c r="S629" s="325"/>
      <c r="T629" s="325"/>
      <c r="U629" s="317" t="str" cm="1">
        <f t="array" aca="1" ref="U629" ca="1">IFERROR(IF(AA629&lt;&gt;"ja",_xlfn.IFNA(_xlfn.IFS(AND(O629&lt;&gt;"",F629&lt;&gt;"",RIGHT($N629,6)="tarief",F629="Vergoeding"),SUM(O629)*FLOOR(SUM(Q629),0.0001),AND(O629&lt;&gt;"",F629&lt;&gt;"",RIGHT($N629,6)="tarief"),SUM(O629)*FLOOR(SUM(Q629),0.01),S629&gt;0,IF(F629&lt;&gt;"",FLOOR(SUM(S629),0.01),"")),""),""),"")</f>
        <v/>
      </c>
      <c r="V629" s="317" t="str" cm="1">
        <f t="array" aca="1" ref="V629" ca="1">IFERROR(IF(AA629&lt;&gt;"ja",_xlfn.IFNA(_xlfn.IFS(AND(P629&lt;&gt;"",R629&lt;&gt;"",RIGHT($N629,6)="tarief",F629="Vergoeding"),SUM(P629)*FLOOR(SUM(R629),0.0001),AND(P629&lt;&gt;"",R629&lt;&gt;"",RIGHT($N629,6)="tarief"),P629*FLOOR(R629,0.01),T629&gt;0,FLOOR(SUM(T629),0.01)),""),""),"")</f>
        <v/>
      </c>
      <c r="W629" s="317" t="str" cm="1">
        <f t="array" aca="1" ref="W629" ca="1">IFERROR(_xlfn.IFS(OR(F629="",LEFT(Methode_Keuze,4)="Geen",Methode_Keuze=""),"",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17" t="str" cm="1">
        <f t="array" aca="1" ref="X629" ca="1">IFERROR(_xlfn.IFS(OR(F629="",LEFT(Methode_Keuze,4)="Geen",Methode_Keuze=""),"",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26"/>
      <c r="Z629" s="319"/>
      <c r="AA629" s="32" t="str" cm="1">
        <f t="array" ref="AA629">IFERROR(IF(INDEX(SubsidieTabel!$AD$1:$AG$12,MATCH($F629,SubsidieTabel!$AD$1:$AD$12,0),IFERROR(MATCH(Methode_Keuze,SubsidieTabel!$AD$1:$AG$1,0),2))&lt;&gt;1=TRUE,"ja",""),"")</f>
        <v/>
      </c>
    </row>
    <row r="630" spans="1:27" x14ac:dyDescent="0.25">
      <c r="A630" s="320"/>
      <c r="B630" s="321" t="str">
        <f>IF(A630&lt;&gt;"",_xlfn.MAXIFS($B$1:B629,$A$1:A629,A630)+1,"")</f>
        <v/>
      </c>
      <c r="C630" s="299"/>
      <c r="D630" s="299"/>
      <c r="E630" s="299"/>
      <c r="F630" s="299"/>
      <c r="G630" s="330"/>
      <c r="H630" s="328"/>
      <c r="I630" s="329"/>
      <c r="J630" s="329"/>
      <c r="K630" s="322"/>
      <c r="L630" s="322"/>
      <c r="M630" s="323" t="str">
        <f>IFERROR(VLOOKUP(H630,Lijsten!$H$1:$I$100,2,0),"")</f>
        <v/>
      </c>
      <c r="N630" s="323" t="str">
        <f ca="1">IFERROR(IF(VLOOKUP(F630,Kostentypen!$A$3:$E$21,3,0)=0,"",IF(OR(F630="Arbeidskosten",F630="Vergoeding"),VLOOKUP(G630,Tb_KostenTypen[],2,0),VLOOKUP(F630,Kostentypen!$A$3:$E$20,3,0))),"")</f>
        <v/>
      </c>
      <c r="O630" s="324"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4"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3"/>
      <c r="R630" s="363"/>
      <c r="S630" s="325"/>
      <c r="T630" s="325"/>
      <c r="U630" s="317" t="str" cm="1">
        <f t="array" aca="1" ref="U630" ca="1">IFERROR(IF(AA630&lt;&gt;"ja",_xlfn.IFNA(_xlfn.IFS(AND(O630&lt;&gt;"",F630&lt;&gt;"",RIGHT($N630,6)="tarief",F630="Vergoeding"),SUM(O630)*FLOOR(SUM(Q630),0.0001),AND(O630&lt;&gt;"",F630&lt;&gt;"",RIGHT($N630,6)="tarief"),SUM(O630)*FLOOR(SUM(Q630),0.01),S630&gt;0,IF(F630&lt;&gt;"",FLOOR(SUM(S630),0.01),"")),""),""),"")</f>
        <v/>
      </c>
      <c r="V630" s="317" t="str" cm="1">
        <f t="array" aca="1" ref="V630" ca="1">IFERROR(IF(AA630&lt;&gt;"ja",_xlfn.IFNA(_xlfn.IFS(AND(P630&lt;&gt;"",R630&lt;&gt;"",RIGHT($N630,6)="tarief",F630="Vergoeding"),SUM(P630)*FLOOR(SUM(R630),0.0001),AND(P630&lt;&gt;"",R630&lt;&gt;"",RIGHT($N630,6)="tarief"),P630*FLOOR(R630,0.01),T630&gt;0,FLOOR(SUM(T630),0.01)),""),""),"")</f>
        <v/>
      </c>
      <c r="W630" s="317" t="str" cm="1">
        <f t="array" aca="1" ref="W630" ca="1">IFERROR(_xlfn.IFS(OR(F630="",LEFT(Methode_Keuze,4)="Geen",Methode_Keuze=""),"",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17" t="str" cm="1">
        <f t="array" aca="1" ref="X630" ca="1">IFERROR(_xlfn.IFS(OR(F630="",LEFT(Methode_Keuze,4)="Geen",Methode_Keuze=""),"",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26"/>
      <c r="Z630" s="319"/>
      <c r="AA630" s="32" t="str" cm="1">
        <f t="array" ref="AA630">IFERROR(IF(INDEX(SubsidieTabel!$AD$1:$AG$12,MATCH($F630,SubsidieTabel!$AD$1:$AD$12,0),IFERROR(MATCH(Methode_Keuze,SubsidieTabel!$AD$1:$AG$1,0),2))&lt;&gt;1=TRUE,"ja",""),"")</f>
        <v/>
      </c>
    </row>
    <row r="631" spans="1:27" x14ac:dyDescent="0.25">
      <c r="A631" s="320"/>
      <c r="B631" s="321" t="str">
        <f>IF(A631&lt;&gt;"",_xlfn.MAXIFS($B$1:B630,$A$1:A630,A631)+1,"")</f>
        <v/>
      </c>
      <c r="C631" s="299"/>
      <c r="D631" s="299"/>
      <c r="E631" s="299"/>
      <c r="F631" s="299"/>
      <c r="G631" s="330"/>
      <c r="H631" s="328"/>
      <c r="I631" s="329"/>
      <c r="J631" s="329"/>
      <c r="K631" s="322"/>
      <c r="L631" s="322"/>
      <c r="M631" s="323" t="str">
        <f>IFERROR(VLOOKUP(H631,Lijsten!$H$1:$I$100,2,0),"")</f>
        <v/>
      </c>
      <c r="N631" s="323" t="str">
        <f ca="1">IFERROR(IF(VLOOKUP(F631,Kostentypen!$A$3:$E$21,3,0)=0,"",IF(OR(F631="Arbeidskosten",F631="Vergoeding"),VLOOKUP(G631,Tb_KostenTypen[],2,0),VLOOKUP(F631,Kostentypen!$A$3:$E$20,3,0))),"")</f>
        <v/>
      </c>
      <c r="O631" s="324"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4"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3"/>
      <c r="R631" s="363"/>
      <c r="S631" s="325"/>
      <c r="T631" s="325"/>
      <c r="U631" s="317" t="str" cm="1">
        <f t="array" aca="1" ref="U631" ca="1">IFERROR(IF(AA631&lt;&gt;"ja",_xlfn.IFNA(_xlfn.IFS(AND(O631&lt;&gt;"",F631&lt;&gt;"",RIGHT($N631,6)="tarief",F631="Vergoeding"),SUM(O631)*FLOOR(SUM(Q631),0.0001),AND(O631&lt;&gt;"",F631&lt;&gt;"",RIGHT($N631,6)="tarief"),SUM(O631)*FLOOR(SUM(Q631),0.01),S631&gt;0,IF(F631&lt;&gt;"",FLOOR(SUM(S631),0.01),"")),""),""),"")</f>
        <v/>
      </c>
      <c r="V631" s="317" t="str" cm="1">
        <f t="array" aca="1" ref="V631" ca="1">IFERROR(IF(AA631&lt;&gt;"ja",_xlfn.IFNA(_xlfn.IFS(AND(P631&lt;&gt;"",R631&lt;&gt;"",RIGHT($N631,6)="tarief",F631="Vergoeding"),SUM(P631)*FLOOR(SUM(R631),0.0001),AND(P631&lt;&gt;"",R631&lt;&gt;"",RIGHT($N631,6)="tarief"),P631*FLOOR(R631,0.01),T631&gt;0,FLOOR(SUM(T631),0.01)),""),""),"")</f>
        <v/>
      </c>
      <c r="W631" s="317" t="str" cm="1">
        <f t="array" aca="1" ref="W631" ca="1">IFERROR(_xlfn.IFS(OR(F631="",LEFT(Methode_Keuze,4)="Geen",Methode_Keuze=""),"",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17" t="str" cm="1">
        <f t="array" aca="1" ref="X631" ca="1">IFERROR(_xlfn.IFS(OR(F631="",LEFT(Methode_Keuze,4)="Geen",Methode_Keuze=""),"",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26"/>
      <c r="Z631" s="319"/>
      <c r="AA631" s="32" t="str" cm="1">
        <f t="array" ref="AA631">IFERROR(IF(INDEX(SubsidieTabel!$AD$1:$AG$12,MATCH($F631,SubsidieTabel!$AD$1:$AD$12,0),IFERROR(MATCH(Methode_Keuze,SubsidieTabel!$AD$1:$AG$1,0),2))&lt;&gt;1=TRUE,"ja",""),"")</f>
        <v/>
      </c>
    </row>
    <row r="632" spans="1:27" x14ac:dyDescent="0.25">
      <c r="A632" s="320"/>
      <c r="B632" s="321" t="str">
        <f>IF(A632&lt;&gt;"",_xlfn.MAXIFS($B$1:B631,$A$1:A631,A632)+1,"")</f>
        <v/>
      </c>
      <c r="C632" s="299"/>
      <c r="D632" s="299"/>
      <c r="E632" s="299"/>
      <c r="F632" s="299"/>
      <c r="G632" s="330"/>
      <c r="H632" s="328"/>
      <c r="I632" s="329"/>
      <c r="J632" s="329"/>
      <c r="K632" s="322"/>
      <c r="L632" s="322"/>
      <c r="M632" s="323" t="str">
        <f>IFERROR(VLOOKUP(H632,Lijsten!$H$1:$I$100,2,0),"")</f>
        <v/>
      </c>
      <c r="N632" s="323" t="str">
        <f ca="1">IFERROR(IF(VLOOKUP(F632,Kostentypen!$A$3:$E$21,3,0)=0,"",IF(OR(F632="Arbeidskosten",F632="Vergoeding"),VLOOKUP(G632,Tb_KostenTypen[],2,0),VLOOKUP(F632,Kostentypen!$A$3:$E$20,3,0))),"")</f>
        <v/>
      </c>
      <c r="O632" s="324"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4"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3"/>
      <c r="R632" s="363"/>
      <c r="S632" s="325"/>
      <c r="T632" s="325"/>
      <c r="U632" s="317" t="str" cm="1">
        <f t="array" aca="1" ref="U632" ca="1">IFERROR(IF(AA632&lt;&gt;"ja",_xlfn.IFNA(_xlfn.IFS(AND(O632&lt;&gt;"",F632&lt;&gt;"",RIGHT($N632,6)="tarief",F632="Vergoeding"),SUM(O632)*FLOOR(SUM(Q632),0.0001),AND(O632&lt;&gt;"",F632&lt;&gt;"",RIGHT($N632,6)="tarief"),SUM(O632)*FLOOR(SUM(Q632),0.01),S632&gt;0,IF(F632&lt;&gt;"",FLOOR(SUM(S632),0.01),"")),""),""),"")</f>
        <v/>
      </c>
      <c r="V632" s="317" t="str" cm="1">
        <f t="array" aca="1" ref="V632" ca="1">IFERROR(IF(AA632&lt;&gt;"ja",_xlfn.IFNA(_xlfn.IFS(AND(P632&lt;&gt;"",R632&lt;&gt;"",RIGHT($N632,6)="tarief",F632="Vergoeding"),SUM(P632)*FLOOR(SUM(R632),0.0001),AND(P632&lt;&gt;"",R632&lt;&gt;"",RIGHT($N632,6)="tarief"),P632*FLOOR(R632,0.01),T632&gt;0,FLOOR(SUM(T632),0.01)),""),""),"")</f>
        <v/>
      </c>
      <c r="W632" s="317" t="str" cm="1">
        <f t="array" aca="1" ref="W632" ca="1">IFERROR(_xlfn.IFS(OR(F632="",LEFT(Methode_Keuze,4)="Geen",Methode_Keuze=""),"",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17" t="str" cm="1">
        <f t="array" aca="1" ref="X632" ca="1">IFERROR(_xlfn.IFS(OR(F632="",LEFT(Methode_Keuze,4)="Geen",Methode_Keuze=""),"",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26"/>
      <c r="Z632" s="319"/>
      <c r="AA632" s="32" t="str" cm="1">
        <f t="array" ref="AA632">IFERROR(IF(INDEX(SubsidieTabel!$AD$1:$AG$12,MATCH($F632,SubsidieTabel!$AD$1:$AD$12,0),IFERROR(MATCH(Methode_Keuze,SubsidieTabel!$AD$1:$AG$1,0),2))&lt;&gt;1=TRUE,"ja",""),"")</f>
        <v/>
      </c>
    </row>
    <row r="633" spans="1:27" x14ac:dyDescent="0.25">
      <c r="A633" s="320"/>
      <c r="B633" s="321" t="str">
        <f>IF(A633&lt;&gt;"",_xlfn.MAXIFS($B$1:B632,$A$1:A632,A633)+1,"")</f>
        <v/>
      </c>
      <c r="C633" s="299"/>
      <c r="D633" s="299"/>
      <c r="E633" s="299"/>
      <c r="F633" s="299"/>
      <c r="G633" s="330"/>
      <c r="H633" s="328"/>
      <c r="I633" s="329"/>
      <c r="J633" s="329"/>
      <c r="K633" s="322"/>
      <c r="L633" s="322"/>
      <c r="M633" s="323" t="str">
        <f>IFERROR(VLOOKUP(H633,Lijsten!$H$1:$I$100,2,0),"")</f>
        <v/>
      </c>
      <c r="N633" s="323" t="str">
        <f ca="1">IFERROR(IF(VLOOKUP(F633,Kostentypen!$A$3:$E$21,3,0)=0,"",IF(OR(F633="Arbeidskosten",F633="Vergoeding"),VLOOKUP(G633,Tb_KostenTypen[],2,0),VLOOKUP(F633,Kostentypen!$A$3:$E$20,3,0))),"")</f>
        <v/>
      </c>
      <c r="O633" s="324"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4"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3"/>
      <c r="R633" s="363"/>
      <c r="S633" s="325"/>
      <c r="T633" s="325"/>
      <c r="U633" s="317" t="str" cm="1">
        <f t="array" aca="1" ref="U633" ca="1">IFERROR(IF(AA633&lt;&gt;"ja",_xlfn.IFNA(_xlfn.IFS(AND(O633&lt;&gt;"",F633&lt;&gt;"",RIGHT($N633,6)="tarief",F633="Vergoeding"),SUM(O633)*FLOOR(SUM(Q633),0.0001),AND(O633&lt;&gt;"",F633&lt;&gt;"",RIGHT($N633,6)="tarief"),SUM(O633)*FLOOR(SUM(Q633),0.01),S633&gt;0,IF(F633&lt;&gt;"",FLOOR(SUM(S633),0.01),"")),""),""),"")</f>
        <v/>
      </c>
      <c r="V633" s="317" t="str" cm="1">
        <f t="array" aca="1" ref="V633" ca="1">IFERROR(IF(AA633&lt;&gt;"ja",_xlfn.IFNA(_xlfn.IFS(AND(P633&lt;&gt;"",R633&lt;&gt;"",RIGHT($N633,6)="tarief",F633="Vergoeding"),SUM(P633)*FLOOR(SUM(R633),0.0001),AND(P633&lt;&gt;"",R633&lt;&gt;"",RIGHT($N633,6)="tarief"),P633*FLOOR(R633,0.01),T633&gt;0,FLOOR(SUM(T633),0.01)),""),""),"")</f>
        <v/>
      </c>
      <c r="W633" s="317" t="str" cm="1">
        <f t="array" aca="1" ref="W633" ca="1">IFERROR(_xlfn.IFS(OR(F633="",LEFT(Methode_Keuze,4)="Geen",Methode_Keuze=""),"",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17" t="str" cm="1">
        <f t="array" aca="1" ref="X633" ca="1">IFERROR(_xlfn.IFS(OR(F633="",LEFT(Methode_Keuze,4)="Geen",Methode_Keuze=""),"",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26"/>
      <c r="Z633" s="319"/>
      <c r="AA633" s="32" t="str" cm="1">
        <f t="array" ref="AA633">IFERROR(IF(INDEX(SubsidieTabel!$AD$1:$AG$12,MATCH($F633,SubsidieTabel!$AD$1:$AD$12,0),IFERROR(MATCH(Methode_Keuze,SubsidieTabel!$AD$1:$AG$1,0),2))&lt;&gt;1=TRUE,"ja",""),"")</f>
        <v/>
      </c>
    </row>
    <row r="634" spans="1:27" x14ac:dyDescent="0.25">
      <c r="A634" s="320"/>
      <c r="B634" s="321" t="str">
        <f>IF(A634&lt;&gt;"",_xlfn.MAXIFS($B$1:B633,$A$1:A633,A634)+1,"")</f>
        <v/>
      </c>
      <c r="C634" s="299"/>
      <c r="D634" s="299"/>
      <c r="E634" s="299"/>
      <c r="F634" s="299"/>
      <c r="G634" s="330"/>
      <c r="H634" s="328"/>
      <c r="I634" s="329"/>
      <c r="J634" s="329"/>
      <c r="K634" s="322"/>
      <c r="L634" s="322"/>
      <c r="M634" s="323" t="str">
        <f>IFERROR(VLOOKUP(H634,Lijsten!$H$1:$I$100,2,0),"")</f>
        <v/>
      </c>
      <c r="N634" s="323" t="str">
        <f ca="1">IFERROR(IF(VLOOKUP(F634,Kostentypen!$A$3:$E$21,3,0)=0,"",IF(OR(F634="Arbeidskosten",F634="Vergoeding"),VLOOKUP(G634,Tb_KostenTypen[],2,0),VLOOKUP(F634,Kostentypen!$A$3:$E$20,3,0))),"")</f>
        <v/>
      </c>
      <c r="O634" s="324"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4"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3"/>
      <c r="R634" s="363"/>
      <c r="S634" s="325"/>
      <c r="T634" s="325"/>
      <c r="U634" s="317" t="str" cm="1">
        <f t="array" aca="1" ref="U634" ca="1">IFERROR(IF(AA634&lt;&gt;"ja",_xlfn.IFNA(_xlfn.IFS(AND(O634&lt;&gt;"",F634&lt;&gt;"",RIGHT($N634,6)="tarief",F634="Vergoeding"),SUM(O634)*FLOOR(SUM(Q634),0.0001),AND(O634&lt;&gt;"",F634&lt;&gt;"",RIGHT($N634,6)="tarief"),SUM(O634)*FLOOR(SUM(Q634),0.01),S634&gt;0,IF(F634&lt;&gt;"",FLOOR(SUM(S634),0.01),"")),""),""),"")</f>
        <v/>
      </c>
      <c r="V634" s="317" t="str" cm="1">
        <f t="array" aca="1" ref="V634" ca="1">IFERROR(IF(AA634&lt;&gt;"ja",_xlfn.IFNA(_xlfn.IFS(AND(P634&lt;&gt;"",R634&lt;&gt;"",RIGHT($N634,6)="tarief",F634="Vergoeding"),SUM(P634)*FLOOR(SUM(R634),0.0001),AND(P634&lt;&gt;"",R634&lt;&gt;"",RIGHT($N634,6)="tarief"),P634*FLOOR(R634,0.01),T634&gt;0,FLOOR(SUM(T634),0.01)),""),""),"")</f>
        <v/>
      </c>
      <c r="W634" s="317" t="str" cm="1">
        <f t="array" aca="1" ref="W634" ca="1">IFERROR(_xlfn.IFS(OR(F634="",LEFT(Methode_Keuze,4)="Geen",Methode_Keuze=""),"",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17" t="str" cm="1">
        <f t="array" aca="1" ref="X634" ca="1">IFERROR(_xlfn.IFS(OR(F634="",LEFT(Methode_Keuze,4)="Geen",Methode_Keuze=""),"",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26"/>
      <c r="Z634" s="319"/>
      <c r="AA634" s="32" t="str" cm="1">
        <f t="array" ref="AA634">IFERROR(IF(INDEX(SubsidieTabel!$AD$1:$AG$12,MATCH($F634,SubsidieTabel!$AD$1:$AD$12,0),IFERROR(MATCH(Methode_Keuze,SubsidieTabel!$AD$1:$AG$1,0),2))&lt;&gt;1=TRUE,"ja",""),"")</f>
        <v/>
      </c>
    </row>
    <row r="635" spans="1:27" x14ac:dyDescent="0.25">
      <c r="A635" s="320"/>
      <c r="B635" s="321" t="str">
        <f>IF(A635&lt;&gt;"",_xlfn.MAXIFS($B$1:B634,$A$1:A634,A635)+1,"")</f>
        <v/>
      </c>
      <c r="C635" s="299"/>
      <c r="D635" s="299"/>
      <c r="E635" s="299"/>
      <c r="F635" s="299"/>
      <c r="G635" s="330"/>
      <c r="H635" s="328"/>
      <c r="I635" s="329"/>
      <c r="J635" s="329"/>
      <c r="K635" s="322"/>
      <c r="L635" s="322"/>
      <c r="M635" s="323" t="str">
        <f>IFERROR(VLOOKUP(H635,Lijsten!$H$1:$I$100,2,0),"")</f>
        <v/>
      </c>
      <c r="N635" s="323" t="str">
        <f ca="1">IFERROR(IF(VLOOKUP(F635,Kostentypen!$A$3:$E$21,3,0)=0,"",IF(OR(F635="Arbeidskosten",F635="Vergoeding"),VLOOKUP(G635,Tb_KostenTypen[],2,0),VLOOKUP(F635,Kostentypen!$A$3:$E$20,3,0))),"")</f>
        <v/>
      </c>
      <c r="O635" s="324"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4"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3"/>
      <c r="R635" s="363"/>
      <c r="S635" s="325"/>
      <c r="T635" s="325"/>
      <c r="U635" s="317" t="str" cm="1">
        <f t="array" aca="1" ref="U635" ca="1">IFERROR(IF(AA635&lt;&gt;"ja",_xlfn.IFNA(_xlfn.IFS(AND(O635&lt;&gt;"",F635&lt;&gt;"",RIGHT($N635,6)="tarief",F635="Vergoeding"),SUM(O635)*FLOOR(SUM(Q635),0.0001),AND(O635&lt;&gt;"",F635&lt;&gt;"",RIGHT($N635,6)="tarief"),SUM(O635)*FLOOR(SUM(Q635),0.01),S635&gt;0,IF(F635&lt;&gt;"",FLOOR(SUM(S635),0.01),"")),""),""),"")</f>
        <v/>
      </c>
      <c r="V635" s="317" t="str" cm="1">
        <f t="array" aca="1" ref="V635" ca="1">IFERROR(IF(AA635&lt;&gt;"ja",_xlfn.IFNA(_xlfn.IFS(AND(P635&lt;&gt;"",R635&lt;&gt;"",RIGHT($N635,6)="tarief",F635="Vergoeding"),SUM(P635)*FLOOR(SUM(R635),0.0001),AND(P635&lt;&gt;"",R635&lt;&gt;"",RIGHT($N635,6)="tarief"),P635*FLOOR(R635,0.01),T635&gt;0,FLOOR(SUM(T635),0.01)),""),""),"")</f>
        <v/>
      </c>
      <c r="W635" s="317" t="str" cm="1">
        <f t="array" aca="1" ref="W635" ca="1">IFERROR(_xlfn.IFS(OR(F635="",LEFT(Methode_Keuze,4)="Geen",Methode_Keuze=""),"",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17" t="str" cm="1">
        <f t="array" aca="1" ref="X635" ca="1">IFERROR(_xlfn.IFS(OR(F635="",LEFT(Methode_Keuze,4)="Geen",Methode_Keuze=""),"",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26"/>
      <c r="Z635" s="319"/>
      <c r="AA635" s="32" t="str" cm="1">
        <f t="array" ref="AA635">IFERROR(IF(INDEX(SubsidieTabel!$AD$1:$AG$12,MATCH($F635,SubsidieTabel!$AD$1:$AD$12,0),IFERROR(MATCH(Methode_Keuze,SubsidieTabel!$AD$1:$AG$1,0),2))&lt;&gt;1=TRUE,"ja",""),"")</f>
        <v/>
      </c>
    </row>
    <row r="636" spans="1:27" x14ac:dyDescent="0.25">
      <c r="A636" s="320"/>
      <c r="B636" s="321" t="str">
        <f>IF(A636&lt;&gt;"",_xlfn.MAXIFS($B$1:B635,$A$1:A635,A636)+1,"")</f>
        <v/>
      </c>
      <c r="C636" s="299"/>
      <c r="D636" s="299"/>
      <c r="E636" s="299"/>
      <c r="F636" s="299"/>
      <c r="G636" s="330"/>
      <c r="H636" s="328"/>
      <c r="I636" s="329"/>
      <c r="J636" s="329"/>
      <c r="K636" s="322"/>
      <c r="L636" s="322"/>
      <c r="M636" s="323" t="str">
        <f>IFERROR(VLOOKUP(H636,Lijsten!$H$1:$I$100,2,0),"")</f>
        <v/>
      </c>
      <c r="N636" s="323" t="str">
        <f ca="1">IFERROR(IF(VLOOKUP(F636,Kostentypen!$A$3:$E$21,3,0)=0,"",IF(OR(F636="Arbeidskosten",F636="Vergoeding"),VLOOKUP(G636,Tb_KostenTypen[],2,0),VLOOKUP(F636,Kostentypen!$A$3:$E$20,3,0))),"")</f>
        <v/>
      </c>
      <c r="O636" s="324"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4"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3"/>
      <c r="R636" s="363"/>
      <c r="S636" s="325"/>
      <c r="T636" s="325"/>
      <c r="U636" s="317" t="str" cm="1">
        <f t="array" aca="1" ref="U636" ca="1">IFERROR(IF(AA636&lt;&gt;"ja",_xlfn.IFNA(_xlfn.IFS(AND(O636&lt;&gt;"",F636&lt;&gt;"",RIGHT($N636,6)="tarief",F636="Vergoeding"),SUM(O636)*FLOOR(SUM(Q636),0.0001),AND(O636&lt;&gt;"",F636&lt;&gt;"",RIGHT($N636,6)="tarief"),SUM(O636)*FLOOR(SUM(Q636),0.01),S636&gt;0,IF(F636&lt;&gt;"",FLOOR(SUM(S636),0.01),"")),""),""),"")</f>
        <v/>
      </c>
      <c r="V636" s="317" t="str" cm="1">
        <f t="array" aca="1" ref="V636" ca="1">IFERROR(IF(AA636&lt;&gt;"ja",_xlfn.IFNA(_xlfn.IFS(AND(P636&lt;&gt;"",R636&lt;&gt;"",RIGHT($N636,6)="tarief",F636="Vergoeding"),SUM(P636)*FLOOR(SUM(R636),0.0001),AND(P636&lt;&gt;"",R636&lt;&gt;"",RIGHT($N636,6)="tarief"),P636*FLOOR(R636,0.01),T636&gt;0,FLOOR(SUM(T636),0.01)),""),""),"")</f>
        <v/>
      </c>
      <c r="W636" s="317" t="str" cm="1">
        <f t="array" aca="1" ref="W636" ca="1">IFERROR(_xlfn.IFS(OR(F636="",LEFT(Methode_Keuze,4)="Geen",Methode_Keuze=""),"",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17" t="str" cm="1">
        <f t="array" aca="1" ref="X636" ca="1">IFERROR(_xlfn.IFS(OR(F636="",LEFT(Methode_Keuze,4)="Geen",Methode_Keuze=""),"",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26"/>
      <c r="Z636" s="319"/>
      <c r="AA636" s="32" t="str" cm="1">
        <f t="array" ref="AA636">IFERROR(IF(INDEX(SubsidieTabel!$AD$1:$AG$12,MATCH($F636,SubsidieTabel!$AD$1:$AD$12,0),IFERROR(MATCH(Methode_Keuze,SubsidieTabel!$AD$1:$AG$1,0),2))&lt;&gt;1=TRUE,"ja",""),"")</f>
        <v/>
      </c>
    </row>
    <row r="637" spans="1:27" x14ac:dyDescent="0.25">
      <c r="A637" s="320"/>
      <c r="B637" s="321" t="str">
        <f>IF(A637&lt;&gt;"",_xlfn.MAXIFS($B$1:B636,$A$1:A636,A637)+1,"")</f>
        <v/>
      </c>
      <c r="C637" s="299"/>
      <c r="D637" s="299"/>
      <c r="E637" s="299"/>
      <c r="F637" s="299"/>
      <c r="G637" s="330"/>
      <c r="H637" s="328"/>
      <c r="I637" s="329"/>
      <c r="J637" s="329"/>
      <c r="K637" s="322"/>
      <c r="L637" s="322"/>
      <c r="M637" s="323" t="str">
        <f>IFERROR(VLOOKUP(H637,Lijsten!$H$1:$I$100,2,0),"")</f>
        <v/>
      </c>
      <c r="N637" s="323" t="str">
        <f ca="1">IFERROR(IF(VLOOKUP(F637,Kostentypen!$A$3:$E$21,3,0)=0,"",IF(OR(F637="Arbeidskosten",F637="Vergoeding"),VLOOKUP(G637,Tb_KostenTypen[],2,0),VLOOKUP(F637,Kostentypen!$A$3:$E$20,3,0))),"")</f>
        <v/>
      </c>
      <c r="O637" s="324"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4"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3"/>
      <c r="R637" s="363"/>
      <c r="S637" s="325"/>
      <c r="T637" s="325"/>
      <c r="U637" s="317" t="str" cm="1">
        <f t="array" aca="1" ref="U637" ca="1">IFERROR(IF(AA637&lt;&gt;"ja",_xlfn.IFNA(_xlfn.IFS(AND(O637&lt;&gt;"",F637&lt;&gt;"",RIGHT($N637,6)="tarief",F637="Vergoeding"),SUM(O637)*FLOOR(SUM(Q637),0.0001),AND(O637&lt;&gt;"",F637&lt;&gt;"",RIGHT($N637,6)="tarief"),SUM(O637)*FLOOR(SUM(Q637),0.01),S637&gt;0,IF(F637&lt;&gt;"",FLOOR(SUM(S637),0.01),"")),""),""),"")</f>
        <v/>
      </c>
      <c r="V637" s="317" t="str" cm="1">
        <f t="array" aca="1" ref="V637" ca="1">IFERROR(IF(AA637&lt;&gt;"ja",_xlfn.IFNA(_xlfn.IFS(AND(P637&lt;&gt;"",R637&lt;&gt;"",RIGHT($N637,6)="tarief",F637="Vergoeding"),SUM(P637)*FLOOR(SUM(R637),0.0001),AND(P637&lt;&gt;"",R637&lt;&gt;"",RIGHT($N637,6)="tarief"),P637*FLOOR(R637,0.01),T637&gt;0,FLOOR(SUM(T637),0.01)),""),""),"")</f>
        <v/>
      </c>
      <c r="W637" s="317" t="str" cm="1">
        <f t="array" aca="1" ref="W637" ca="1">IFERROR(_xlfn.IFS(OR(F637="",LEFT(Methode_Keuze,4)="Geen",Methode_Keuze=""),"",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17" t="str" cm="1">
        <f t="array" aca="1" ref="X637" ca="1">IFERROR(_xlfn.IFS(OR(F637="",LEFT(Methode_Keuze,4)="Geen",Methode_Keuze=""),"",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26"/>
      <c r="Z637" s="319"/>
      <c r="AA637" s="32" t="str" cm="1">
        <f t="array" ref="AA637">IFERROR(IF(INDEX(SubsidieTabel!$AD$1:$AG$12,MATCH($F637,SubsidieTabel!$AD$1:$AD$12,0),IFERROR(MATCH(Methode_Keuze,SubsidieTabel!$AD$1:$AG$1,0),2))&lt;&gt;1=TRUE,"ja",""),"")</f>
        <v/>
      </c>
    </row>
    <row r="638" spans="1:27" x14ac:dyDescent="0.25">
      <c r="A638" s="320"/>
      <c r="B638" s="321" t="str">
        <f>IF(A638&lt;&gt;"",_xlfn.MAXIFS($B$1:B637,$A$1:A637,A638)+1,"")</f>
        <v/>
      </c>
      <c r="C638" s="299"/>
      <c r="D638" s="299"/>
      <c r="E638" s="299"/>
      <c r="F638" s="299"/>
      <c r="G638" s="330"/>
      <c r="H638" s="328"/>
      <c r="I638" s="329"/>
      <c r="J638" s="329"/>
      <c r="K638" s="322"/>
      <c r="L638" s="322"/>
      <c r="M638" s="323" t="str">
        <f>IFERROR(VLOOKUP(H638,Lijsten!$H$1:$I$100,2,0),"")</f>
        <v/>
      </c>
      <c r="N638" s="323" t="str">
        <f ca="1">IFERROR(IF(VLOOKUP(F638,Kostentypen!$A$3:$E$21,3,0)=0,"",IF(OR(F638="Arbeidskosten",F638="Vergoeding"),VLOOKUP(G638,Tb_KostenTypen[],2,0),VLOOKUP(F638,Kostentypen!$A$3:$E$20,3,0))),"")</f>
        <v/>
      </c>
      <c r="O638" s="324"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4"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3"/>
      <c r="R638" s="363"/>
      <c r="S638" s="325"/>
      <c r="T638" s="325"/>
      <c r="U638" s="317" t="str" cm="1">
        <f t="array" aca="1" ref="U638" ca="1">IFERROR(IF(AA638&lt;&gt;"ja",_xlfn.IFNA(_xlfn.IFS(AND(O638&lt;&gt;"",F638&lt;&gt;"",RIGHT($N638,6)="tarief",F638="Vergoeding"),SUM(O638)*FLOOR(SUM(Q638),0.0001),AND(O638&lt;&gt;"",F638&lt;&gt;"",RIGHT($N638,6)="tarief"),SUM(O638)*FLOOR(SUM(Q638),0.01),S638&gt;0,IF(F638&lt;&gt;"",FLOOR(SUM(S638),0.01),"")),""),""),"")</f>
        <v/>
      </c>
      <c r="V638" s="317" t="str" cm="1">
        <f t="array" aca="1" ref="V638" ca="1">IFERROR(IF(AA638&lt;&gt;"ja",_xlfn.IFNA(_xlfn.IFS(AND(P638&lt;&gt;"",R638&lt;&gt;"",RIGHT($N638,6)="tarief",F638="Vergoeding"),SUM(P638)*FLOOR(SUM(R638),0.0001),AND(P638&lt;&gt;"",R638&lt;&gt;"",RIGHT($N638,6)="tarief"),P638*FLOOR(R638,0.01),T638&gt;0,FLOOR(SUM(T638),0.01)),""),""),"")</f>
        <v/>
      </c>
      <c r="W638" s="317" t="str" cm="1">
        <f t="array" aca="1" ref="W638" ca="1">IFERROR(_xlfn.IFS(OR(F638="",LEFT(Methode_Keuze,4)="Geen",Methode_Keuze=""),"",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17" t="str" cm="1">
        <f t="array" aca="1" ref="X638" ca="1">IFERROR(_xlfn.IFS(OR(F638="",LEFT(Methode_Keuze,4)="Geen",Methode_Keuze=""),"",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26"/>
      <c r="Z638" s="319"/>
      <c r="AA638" s="32" t="str" cm="1">
        <f t="array" ref="AA638">IFERROR(IF(INDEX(SubsidieTabel!$AD$1:$AG$12,MATCH($F638,SubsidieTabel!$AD$1:$AD$12,0),IFERROR(MATCH(Methode_Keuze,SubsidieTabel!$AD$1:$AG$1,0),2))&lt;&gt;1=TRUE,"ja",""),"")</f>
        <v/>
      </c>
    </row>
    <row r="639" spans="1:27" x14ac:dyDescent="0.25">
      <c r="A639" s="320"/>
      <c r="B639" s="321" t="str">
        <f>IF(A639&lt;&gt;"",_xlfn.MAXIFS($B$1:B638,$A$1:A638,A639)+1,"")</f>
        <v/>
      </c>
      <c r="C639" s="299"/>
      <c r="D639" s="299"/>
      <c r="E639" s="299"/>
      <c r="F639" s="299"/>
      <c r="G639" s="330"/>
      <c r="H639" s="328"/>
      <c r="I639" s="329"/>
      <c r="J639" s="329"/>
      <c r="K639" s="322"/>
      <c r="L639" s="322"/>
      <c r="M639" s="323" t="str">
        <f>IFERROR(VLOOKUP(H639,Lijsten!$H$1:$I$100,2,0),"")</f>
        <v/>
      </c>
      <c r="N639" s="323" t="str">
        <f ca="1">IFERROR(IF(VLOOKUP(F639,Kostentypen!$A$3:$E$21,3,0)=0,"",IF(OR(F639="Arbeidskosten",F639="Vergoeding"),VLOOKUP(G639,Tb_KostenTypen[],2,0),VLOOKUP(F639,Kostentypen!$A$3:$E$20,3,0))),"")</f>
        <v/>
      </c>
      <c r="O639" s="324"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4"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3"/>
      <c r="R639" s="363"/>
      <c r="S639" s="325"/>
      <c r="T639" s="325"/>
      <c r="U639" s="317" t="str" cm="1">
        <f t="array" aca="1" ref="U639" ca="1">IFERROR(IF(AA639&lt;&gt;"ja",_xlfn.IFNA(_xlfn.IFS(AND(O639&lt;&gt;"",F639&lt;&gt;"",RIGHT($N639,6)="tarief",F639="Vergoeding"),SUM(O639)*FLOOR(SUM(Q639),0.0001),AND(O639&lt;&gt;"",F639&lt;&gt;"",RIGHT($N639,6)="tarief"),SUM(O639)*FLOOR(SUM(Q639),0.01),S639&gt;0,IF(F639&lt;&gt;"",FLOOR(SUM(S639),0.01),"")),""),""),"")</f>
        <v/>
      </c>
      <c r="V639" s="317" t="str" cm="1">
        <f t="array" aca="1" ref="V639" ca="1">IFERROR(IF(AA639&lt;&gt;"ja",_xlfn.IFNA(_xlfn.IFS(AND(P639&lt;&gt;"",R639&lt;&gt;"",RIGHT($N639,6)="tarief",F639="Vergoeding"),SUM(P639)*FLOOR(SUM(R639),0.0001),AND(P639&lt;&gt;"",R639&lt;&gt;"",RIGHT($N639,6)="tarief"),P639*FLOOR(R639,0.01),T639&gt;0,FLOOR(SUM(T639),0.01)),""),""),"")</f>
        <v/>
      </c>
      <c r="W639" s="317" t="str" cm="1">
        <f t="array" aca="1" ref="W639" ca="1">IFERROR(_xlfn.IFS(OR(F639="",LEFT(Methode_Keuze,4)="Geen",Methode_Keuze=""),"",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17" t="str" cm="1">
        <f t="array" aca="1" ref="X639" ca="1">IFERROR(_xlfn.IFS(OR(F639="",LEFT(Methode_Keuze,4)="Geen",Methode_Keuze=""),"",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26"/>
      <c r="Z639" s="319"/>
      <c r="AA639" s="32" t="str" cm="1">
        <f t="array" ref="AA639">IFERROR(IF(INDEX(SubsidieTabel!$AD$1:$AG$12,MATCH($F639,SubsidieTabel!$AD$1:$AD$12,0),IFERROR(MATCH(Methode_Keuze,SubsidieTabel!$AD$1:$AG$1,0),2))&lt;&gt;1=TRUE,"ja",""),"")</f>
        <v/>
      </c>
    </row>
    <row r="640" spans="1:27" x14ac:dyDescent="0.25">
      <c r="A640" s="320"/>
      <c r="B640" s="321" t="str">
        <f>IF(A640&lt;&gt;"",_xlfn.MAXIFS($B$1:B639,$A$1:A639,A640)+1,"")</f>
        <v/>
      </c>
      <c r="C640" s="299"/>
      <c r="D640" s="299"/>
      <c r="E640" s="299"/>
      <c r="F640" s="299"/>
      <c r="G640" s="330"/>
      <c r="H640" s="328"/>
      <c r="I640" s="329"/>
      <c r="J640" s="329"/>
      <c r="K640" s="322"/>
      <c r="L640" s="322"/>
      <c r="M640" s="323" t="str">
        <f>IFERROR(VLOOKUP(H640,Lijsten!$H$1:$I$100,2,0),"")</f>
        <v/>
      </c>
      <c r="N640" s="323" t="str">
        <f ca="1">IFERROR(IF(VLOOKUP(F640,Kostentypen!$A$3:$E$21,3,0)=0,"",IF(OR(F640="Arbeidskosten",F640="Vergoeding"),VLOOKUP(G640,Tb_KostenTypen[],2,0),VLOOKUP(F640,Kostentypen!$A$3:$E$20,3,0))),"")</f>
        <v/>
      </c>
      <c r="O640" s="324"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4"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3"/>
      <c r="R640" s="363"/>
      <c r="S640" s="325"/>
      <c r="T640" s="325"/>
      <c r="U640" s="317" t="str" cm="1">
        <f t="array" aca="1" ref="U640" ca="1">IFERROR(IF(AA640&lt;&gt;"ja",_xlfn.IFNA(_xlfn.IFS(AND(O640&lt;&gt;"",F640&lt;&gt;"",RIGHT($N640,6)="tarief",F640="Vergoeding"),SUM(O640)*FLOOR(SUM(Q640),0.0001),AND(O640&lt;&gt;"",F640&lt;&gt;"",RIGHT($N640,6)="tarief"),SUM(O640)*FLOOR(SUM(Q640),0.01),S640&gt;0,IF(F640&lt;&gt;"",FLOOR(SUM(S640),0.01),"")),""),""),"")</f>
        <v/>
      </c>
      <c r="V640" s="317" t="str" cm="1">
        <f t="array" aca="1" ref="V640" ca="1">IFERROR(IF(AA640&lt;&gt;"ja",_xlfn.IFNA(_xlfn.IFS(AND(P640&lt;&gt;"",R640&lt;&gt;"",RIGHT($N640,6)="tarief",F640="Vergoeding"),SUM(P640)*FLOOR(SUM(R640),0.0001),AND(P640&lt;&gt;"",R640&lt;&gt;"",RIGHT($N640,6)="tarief"),P640*FLOOR(R640,0.01),T640&gt;0,FLOOR(SUM(T640),0.01)),""),""),"")</f>
        <v/>
      </c>
      <c r="W640" s="317" t="str" cm="1">
        <f t="array" aca="1" ref="W640" ca="1">IFERROR(_xlfn.IFS(OR(F640="",LEFT(Methode_Keuze,4)="Geen",Methode_Keuze=""),"",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17" t="str" cm="1">
        <f t="array" aca="1" ref="X640" ca="1">IFERROR(_xlfn.IFS(OR(F640="",LEFT(Methode_Keuze,4)="Geen",Methode_Keuze=""),"",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26"/>
      <c r="Z640" s="319"/>
      <c r="AA640" s="32" t="str" cm="1">
        <f t="array" ref="AA640">IFERROR(IF(INDEX(SubsidieTabel!$AD$1:$AG$12,MATCH($F640,SubsidieTabel!$AD$1:$AD$12,0),IFERROR(MATCH(Methode_Keuze,SubsidieTabel!$AD$1:$AG$1,0),2))&lt;&gt;1=TRUE,"ja",""),"")</f>
        <v/>
      </c>
    </row>
    <row r="641" spans="1:27" x14ac:dyDescent="0.25">
      <c r="A641" s="320"/>
      <c r="B641" s="321" t="str">
        <f>IF(A641&lt;&gt;"",_xlfn.MAXIFS($B$1:B640,$A$1:A640,A641)+1,"")</f>
        <v/>
      </c>
      <c r="C641" s="299"/>
      <c r="D641" s="299"/>
      <c r="E641" s="299"/>
      <c r="F641" s="299"/>
      <c r="G641" s="330"/>
      <c r="H641" s="328"/>
      <c r="I641" s="329"/>
      <c r="J641" s="329"/>
      <c r="K641" s="322"/>
      <c r="L641" s="322"/>
      <c r="M641" s="323" t="str">
        <f>IFERROR(VLOOKUP(H641,Lijsten!$H$1:$I$100,2,0),"")</f>
        <v/>
      </c>
      <c r="N641" s="323" t="str">
        <f ca="1">IFERROR(IF(VLOOKUP(F641,Kostentypen!$A$3:$E$21,3,0)=0,"",IF(OR(F641="Arbeidskosten",F641="Vergoeding"),VLOOKUP(G641,Tb_KostenTypen[],2,0),VLOOKUP(F641,Kostentypen!$A$3:$E$20,3,0))),"")</f>
        <v/>
      </c>
      <c r="O641" s="324"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4"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3"/>
      <c r="R641" s="363"/>
      <c r="S641" s="325"/>
      <c r="T641" s="325"/>
      <c r="U641" s="317" t="str" cm="1">
        <f t="array" aca="1" ref="U641" ca="1">IFERROR(IF(AA641&lt;&gt;"ja",_xlfn.IFNA(_xlfn.IFS(AND(O641&lt;&gt;"",F641&lt;&gt;"",RIGHT($N641,6)="tarief",F641="Vergoeding"),SUM(O641)*FLOOR(SUM(Q641),0.0001),AND(O641&lt;&gt;"",F641&lt;&gt;"",RIGHT($N641,6)="tarief"),SUM(O641)*FLOOR(SUM(Q641),0.01),S641&gt;0,IF(F641&lt;&gt;"",FLOOR(SUM(S641),0.01),"")),""),""),"")</f>
        <v/>
      </c>
      <c r="V641" s="317" t="str" cm="1">
        <f t="array" aca="1" ref="V641" ca="1">IFERROR(IF(AA641&lt;&gt;"ja",_xlfn.IFNA(_xlfn.IFS(AND(P641&lt;&gt;"",R641&lt;&gt;"",RIGHT($N641,6)="tarief",F641="Vergoeding"),SUM(P641)*FLOOR(SUM(R641),0.0001),AND(P641&lt;&gt;"",R641&lt;&gt;"",RIGHT($N641,6)="tarief"),P641*FLOOR(R641,0.01),T641&gt;0,FLOOR(SUM(T641),0.01)),""),""),"")</f>
        <v/>
      </c>
      <c r="W641" s="317" t="str" cm="1">
        <f t="array" aca="1" ref="W641" ca="1">IFERROR(_xlfn.IFS(OR(F641="",LEFT(Methode_Keuze,4)="Geen",Methode_Keuze=""),"",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17" t="str" cm="1">
        <f t="array" aca="1" ref="X641" ca="1">IFERROR(_xlfn.IFS(OR(F641="",LEFT(Methode_Keuze,4)="Geen",Methode_Keuze=""),"",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26"/>
      <c r="Z641" s="319"/>
      <c r="AA641" s="32" t="str" cm="1">
        <f t="array" ref="AA641">IFERROR(IF(INDEX(SubsidieTabel!$AD$1:$AG$12,MATCH($F641,SubsidieTabel!$AD$1:$AD$12,0),IFERROR(MATCH(Methode_Keuze,SubsidieTabel!$AD$1:$AG$1,0),2))&lt;&gt;1=TRUE,"ja",""),"")</f>
        <v/>
      </c>
    </row>
    <row r="642" spans="1:27" x14ac:dyDescent="0.25">
      <c r="A642" s="320"/>
      <c r="B642" s="321" t="str">
        <f>IF(A642&lt;&gt;"",_xlfn.MAXIFS($B$1:B641,$A$1:A641,A642)+1,"")</f>
        <v/>
      </c>
      <c r="C642" s="299"/>
      <c r="D642" s="299"/>
      <c r="E642" s="299"/>
      <c r="F642" s="299"/>
      <c r="G642" s="330"/>
      <c r="H642" s="328"/>
      <c r="I642" s="329"/>
      <c r="J642" s="329"/>
      <c r="K642" s="322"/>
      <c r="L642" s="322"/>
      <c r="M642" s="323" t="str">
        <f>IFERROR(VLOOKUP(H642,Lijsten!$H$1:$I$100,2,0),"")</f>
        <v/>
      </c>
      <c r="N642" s="323" t="str">
        <f ca="1">IFERROR(IF(VLOOKUP(F642,Kostentypen!$A$3:$E$21,3,0)=0,"",IF(OR(F642="Arbeidskosten",F642="Vergoeding"),VLOOKUP(G642,Tb_KostenTypen[],2,0),VLOOKUP(F642,Kostentypen!$A$3:$E$20,3,0))),"")</f>
        <v/>
      </c>
      <c r="O642" s="324"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4"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3"/>
      <c r="R642" s="363"/>
      <c r="S642" s="325"/>
      <c r="T642" s="325"/>
      <c r="U642" s="317" t="str" cm="1">
        <f t="array" aca="1" ref="U642" ca="1">IFERROR(IF(AA642&lt;&gt;"ja",_xlfn.IFNA(_xlfn.IFS(AND(O642&lt;&gt;"",F642&lt;&gt;"",RIGHT($N642,6)="tarief",F642="Vergoeding"),SUM(O642)*FLOOR(SUM(Q642),0.0001),AND(O642&lt;&gt;"",F642&lt;&gt;"",RIGHT($N642,6)="tarief"),SUM(O642)*FLOOR(SUM(Q642),0.01),S642&gt;0,IF(F642&lt;&gt;"",FLOOR(SUM(S642),0.01),"")),""),""),"")</f>
        <v/>
      </c>
      <c r="V642" s="317" t="str" cm="1">
        <f t="array" aca="1" ref="V642" ca="1">IFERROR(IF(AA642&lt;&gt;"ja",_xlfn.IFNA(_xlfn.IFS(AND(P642&lt;&gt;"",R642&lt;&gt;"",RIGHT($N642,6)="tarief",F642="Vergoeding"),SUM(P642)*FLOOR(SUM(R642),0.0001),AND(P642&lt;&gt;"",R642&lt;&gt;"",RIGHT($N642,6)="tarief"),P642*FLOOR(R642,0.01),T642&gt;0,FLOOR(SUM(T642),0.01)),""),""),"")</f>
        <v/>
      </c>
      <c r="W642" s="317" t="str" cm="1">
        <f t="array" aca="1" ref="W642" ca="1">IFERROR(_xlfn.IFS(OR(F642="",LEFT(Methode_Keuze,4)="Geen",Methode_Keuze=""),"",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17" t="str" cm="1">
        <f t="array" aca="1" ref="X642" ca="1">IFERROR(_xlfn.IFS(OR(F642="",LEFT(Methode_Keuze,4)="Geen",Methode_Keuze=""),"",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26"/>
      <c r="Z642" s="319"/>
      <c r="AA642" s="32" t="str" cm="1">
        <f t="array" ref="AA642">IFERROR(IF(INDEX(SubsidieTabel!$AD$1:$AG$12,MATCH($F642,SubsidieTabel!$AD$1:$AD$12,0),IFERROR(MATCH(Methode_Keuze,SubsidieTabel!$AD$1:$AG$1,0),2))&lt;&gt;1=TRUE,"ja",""),"")</f>
        <v/>
      </c>
    </row>
    <row r="643" spans="1:27" x14ac:dyDescent="0.25">
      <c r="A643" s="320"/>
      <c r="B643" s="321" t="str">
        <f>IF(A643&lt;&gt;"",_xlfn.MAXIFS($B$1:B642,$A$1:A642,A643)+1,"")</f>
        <v/>
      </c>
      <c r="C643" s="299"/>
      <c r="D643" s="299"/>
      <c r="E643" s="299"/>
      <c r="F643" s="299"/>
      <c r="G643" s="330"/>
      <c r="H643" s="328"/>
      <c r="I643" s="329"/>
      <c r="J643" s="329"/>
      <c r="K643" s="322"/>
      <c r="L643" s="322"/>
      <c r="M643" s="323" t="str">
        <f>IFERROR(VLOOKUP(H643,Lijsten!$H$1:$I$100,2,0),"")</f>
        <v/>
      </c>
      <c r="N643" s="323" t="str">
        <f ca="1">IFERROR(IF(VLOOKUP(F643,Kostentypen!$A$3:$E$21,3,0)=0,"",IF(OR(F643="Arbeidskosten",F643="Vergoeding"),VLOOKUP(G643,Tb_KostenTypen[],2,0),VLOOKUP(F643,Kostentypen!$A$3:$E$20,3,0))),"")</f>
        <v/>
      </c>
      <c r="O643" s="324"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4"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3"/>
      <c r="R643" s="363"/>
      <c r="S643" s="325"/>
      <c r="T643" s="325"/>
      <c r="U643" s="317" t="str" cm="1">
        <f t="array" aca="1" ref="U643" ca="1">IFERROR(IF(AA643&lt;&gt;"ja",_xlfn.IFNA(_xlfn.IFS(AND(O643&lt;&gt;"",F643&lt;&gt;"",RIGHT($N643,6)="tarief",F643="Vergoeding"),SUM(O643)*FLOOR(SUM(Q643),0.0001),AND(O643&lt;&gt;"",F643&lt;&gt;"",RIGHT($N643,6)="tarief"),SUM(O643)*FLOOR(SUM(Q643),0.01),S643&gt;0,IF(F643&lt;&gt;"",FLOOR(SUM(S643),0.01),"")),""),""),"")</f>
        <v/>
      </c>
      <c r="V643" s="317" t="str" cm="1">
        <f t="array" aca="1" ref="V643" ca="1">IFERROR(IF(AA643&lt;&gt;"ja",_xlfn.IFNA(_xlfn.IFS(AND(P643&lt;&gt;"",R643&lt;&gt;"",RIGHT($N643,6)="tarief",F643="Vergoeding"),SUM(P643)*FLOOR(SUM(R643),0.0001),AND(P643&lt;&gt;"",R643&lt;&gt;"",RIGHT($N643,6)="tarief"),P643*FLOOR(R643,0.01),T643&gt;0,FLOOR(SUM(T643),0.01)),""),""),"")</f>
        <v/>
      </c>
      <c r="W643" s="317" t="str" cm="1">
        <f t="array" aca="1" ref="W643" ca="1">IFERROR(_xlfn.IFS(OR(F643="",LEFT(Methode_Keuze,4)="Geen",Methode_Keuze=""),"",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17" t="str" cm="1">
        <f t="array" aca="1" ref="X643" ca="1">IFERROR(_xlfn.IFS(OR(F643="",LEFT(Methode_Keuze,4)="Geen",Methode_Keuze=""),"",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26"/>
      <c r="Z643" s="319"/>
      <c r="AA643" s="32" t="str" cm="1">
        <f t="array" ref="AA643">IFERROR(IF(INDEX(SubsidieTabel!$AD$1:$AG$12,MATCH($F643,SubsidieTabel!$AD$1:$AD$12,0),IFERROR(MATCH(Methode_Keuze,SubsidieTabel!$AD$1:$AG$1,0),2))&lt;&gt;1=TRUE,"ja",""),"")</f>
        <v/>
      </c>
    </row>
    <row r="644" spans="1:27" x14ac:dyDescent="0.25">
      <c r="A644" s="320"/>
      <c r="B644" s="321" t="str">
        <f>IF(A644&lt;&gt;"",_xlfn.MAXIFS($B$1:B643,$A$1:A643,A644)+1,"")</f>
        <v/>
      </c>
      <c r="C644" s="299"/>
      <c r="D644" s="299"/>
      <c r="E644" s="299"/>
      <c r="F644" s="299"/>
      <c r="G644" s="330"/>
      <c r="H644" s="328"/>
      <c r="I644" s="329"/>
      <c r="J644" s="329"/>
      <c r="K644" s="322"/>
      <c r="L644" s="322"/>
      <c r="M644" s="323" t="str">
        <f>IFERROR(VLOOKUP(H644,Lijsten!$H$1:$I$100,2,0),"")</f>
        <v/>
      </c>
      <c r="N644" s="323" t="str">
        <f ca="1">IFERROR(IF(VLOOKUP(F644,Kostentypen!$A$3:$E$21,3,0)=0,"",IF(OR(F644="Arbeidskosten",F644="Vergoeding"),VLOOKUP(G644,Tb_KostenTypen[],2,0),VLOOKUP(F644,Kostentypen!$A$3:$E$20,3,0))),"")</f>
        <v/>
      </c>
      <c r="O644" s="324"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4"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3"/>
      <c r="R644" s="363"/>
      <c r="S644" s="325"/>
      <c r="T644" s="325"/>
      <c r="U644" s="317" t="str" cm="1">
        <f t="array" aca="1" ref="U644" ca="1">IFERROR(IF(AA644&lt;&gt;"ja",_xlfn.IFNA(_xlfn.IFS(AND(O644&lt;&gt;"",F644&lt;&gt;"",RIGHT($N644,6)="tarief",F644="Vergoeding"),SUM(O644)*FLOOR(SUM(Q644),0.0001),AND(O644&lt;&gt;"",F644&lt;&gt;"",RIGHT($N644,6)="tarief"),SUM(O644)*FLOOR(SUM(Q644),0.01),S644&gt;0,IF(F644&lt;&gt;"",FLOOR(SUM(S644),0.01),"")),""),""),"")</f>
        <v/>
      </c>
      <c r="V644" s="317" t="str" cm="1">
        <f t="array" aca="1" ref="V644" ca="1">IFERROR(IF(AA644&lt;&gt;"ja",_xlfn.IFNA(_xlfn.IFS(AND(P644&lt;&gt;"",R644&lt;&gt;"",RIGHT($N644,6)="tarief",F644="Vergoeding"),SUM(P644)*FLOOR(SUM(R644),0.0001),AND(P644&lt;&gt;"",R644&lt;&gt;"",RIGHT($N644,6)="tarief"),P644*FLOOR(R644,0.01),T644&gt;0,FLOOR(SUM(T644),0.01)),""),""),"")</f>
        <v/>
      </c>
      <c r="W644" s="317" t="str" cm="1">
        <f t="array" aca="1" ref="W644" ca="1">IFERROR(_xlfn.IFS(OR(F644="",LEFT(Methode_Keuze,4)="Geen",Methode_Keuze=""),"",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17" t="str" cm="1">
        <f t="array" aca="1" ref="X644" ca="1">IFERROR(_xlfn.IFS(OR(F644="",LEFT(Methode_Keuze,4)="Geen",Methode_Keuze=""),"",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26"/>
      <c r="Z644" s="319"/>
      <c r="AA644" s="32" t="str" cm="1">
        <f t="array" ref="AA644">IFERROR(IF(INDEX(SubsidieTabel!$AD$1:$AG$12,MATCH($F644,SubsidieTabel!$AD$1:$AD$12,0),IFERROR(MATCH(Methode_Keuze,SubsidieTabel!$AD$1:$AG$1,0),2))&lt;&gt;1=TRUE,"ja",""),"")</f>
        <v/>
      </c>
    </row>
    <row r="645" spans="1:27" x14ac:dyDescent="0.25">
      <c r="A645" s="320"/>
      <c r="B645" s="321" t="str">
        <f>IF(A645&lt;&gt;"",_xlfn.MAXIFS($B$1:B644,$A$1:A644,A645)+1,"")</f>
        <v/>
      </c>
      <c r="C645" s="299"/>
      <c r="D645" s="299"/>
      <c r="E645" s="299"/>
      <c r="F645" s="299"/>
      <c r="G645" s="330"/>
      <c r="H645" s="328"/>
      <c r="I645" s="329"/>
      <c r="J645" s="329"/>
      <c r="K645" s="322"/>
      <c r="L645" s="322"/>
      <c r="M645" s="323" t="str">
        <f>IFERROR(VLOOKUP(H645,Lijsten!$H$1:$I$100,2,0),"")</f>
        <v/>
      </c>
      <c r="N645" s="323" t="str">
        <f ca="1">IFERROR(IF(VLOOKUP(F645,Kostentypen!$A$3:$E$21,3,0)=0,"",IF(OR(F645="Arbeidskosten",F645="Vergoeding"),VLOOKUP(G645,Tb_KostenTypen[],2,0),VLOOKUP(F645,Kostentypen!$A$3:$E$20,3,0))),"")</f>
        <v/>
      </c>
      <c r="O645" s="324"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4"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3"/>
      <c r="R645" s="363"/>
      <c r="S645" s="325"/>
      <c r="T645" s="325"/>
      <c r="U645" s="317" t="str" cm="1">
        <f t="array" aca="1" ref="U645" ca="1">IFERROR(IF(AA645&lt;&gt;"ja",_xlfn.IFNA(_xlfn.IFS(AND(O645&lt;&gt;"",F645&lt;&gt;"",RIGHT($N645,6)="tarief",F645="Vergoeding"),SUM(O645)*FLOOR(SUM(Q645),0.0001),AND(O645&lt;&gt;"",F645&lt;&gt;"",RIGHT($N645,6)="tarief"),SUM(O645)*FLOOR(SUM(Q645),0.01),S645&gt;0,IF(F645&lt;&gt;"",FLOOR(SUM(S645),0.01),"")),""),""),"")</f>
        <v/>
      </c>
      <c r="V645" s="317" t="str" cm="1">
        <f t="array" aca="1" ref="V645" ca="1">IFERROR(IF(AA645&lt;&gt;"ja",_xlfn.IFNA(_xlfn.IFS(AND(P645&lt;&gt;"",R645&lt;&gt;"",RIGHT($N645,6)="tarief",F645="Vergoeding"),SUM(P645)*FLOOR(SUM(R645),0.0001),AND(P645&lt;&gt;"",R645&lt;&gt;"",RIGHT($N645,6)="tarief"),P645*FLOOR(R645,0.01),T645&gt;0,FLOOR(SUM(T645),0.01)),""),""),"")</f>
        <v/>
      </c>
      <c r="W645" s="317" t="str" cm="1">
        <f t="array" aca="1" ref="W645" ca="1">IFERROR(_xlfn.IFS(OR(F645="",LEFT(Methode_Keuze,4)="Geen",Methode_Keuze=""),"",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17" t="str" cm="1">
        <f t="array" aca="1" ref="X645" ca="1">IFERROR(_xlfn.IFS(OR(F645="",LEFT(Methode_Keuze,4)="Geen",Methode_Keuze=""),"",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26"/>
      <c r="Z645" s="319"/>
      <c r="AA645" s="32" t="str" cm="1">
        <f t="array" ref="AA645">IFERROR(IF(INDEX(SubsidieTabel!$AD$1:$AG$12,MATCH($F645,SubsidieTabel!$AD$1:$AD$12,0),IFERROR(MATCH(Methode_Keuze,SubsidieTabel!$AD$1:$AG$1,0),2))&lt;&gt;1=TRUE,"ja",""),"")</f>
        <v/>
      </c>
    </row>
    <row r="646" spans="1:27" x14ac:dyDescent="0.25">
      <c r="A646" s="320"/>
      <c r="B646" s="321" t="str">
        <f>IF(A646&lt;&gt;"",_xlfn.MAXIFS($B$1:B645,$A$1:A645,A646)+1,"")</f>
        <v/>
      </c>
      <c r="C646" s="299"/>
      <c r="D646" s="299"/>
      <c r="E646" s="299"/>
      <c r="F646" s="299"/>
      <c r="G646" s="330"/>
      <c r="H646" s="328"/>
      <c r="I646" s="329"/>
      <c r="J646" s="329"/>
      <c r="K646" s="322"/>
      <c r="L646" s="322"/>
      <c r="M646" s="323" t="str">
        <f>IFERROR(VLOOKUP(H646,Lijsten!$H$1:$I$100,2,0),"")</f>
        <v/>
      </c>
      <c r="N646" s="323" t="str">
        <f ca="1">IFERROR(IF(VLOOKUP(F646,Kostentypen!$A$3:$E$21,3,0)=0,"",IF(OR(F646="Arbeidskosten",F646="Vergoeding"),VLOOKUP(G646,Tb_KostenTypen[],2,0),VLOOKUP(F646,Kostentypen!$A$3:$E$20,3,0))),"")</f>
        <v/>
      </c>
      <c r="O646" s="324"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4"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3"/>
      <c r="R646" s="363"/>
      <c r="S646" s="325"/>
      <c r="T646" s="325"/>
      <c r="U646" s="317" t="str" cm="1">
        <f t="array" aca="1" ref="U646" ca="1">IFERROR(IF(AA646&lt;&gt;"ja",_xlfn.IFNA(_xlfn.IFS(AND(O646&lt;&gt;"",F646&lt;&gt;"",RIGHT($N646,6)="tarief",F646="Vergoeding"),SUM(O646)*FLOOR(SUM(Q646),0.0001),AND(O646&lt;&gt;"",F646&lt;&gt;"",RIGHT($N646,6)="tarief"),SUM(O646)*FLOOR(SUM(Q646),0.01),S646&gt;0,IF(F646&lt;&gt;"",FLOOR(SUM(S646),0.01),"")),""),""),"")</f>
        <v/>
      </c>
      <c r="V646" s="317" t="str" cm="1">
        <f t="array" aca="1" ref="V646" ca="1">IFERROR(IF(AA646&lt;&gt;"ja",_xlfn.IFNA(_xlfn.IFS(AND(P646&lt;&gt;"",R646&lt;&gt;"",RIGHT($N646,6)="tarief",F646="Vergoeding"),SUM(P646)*FLOOR(SUM(R646),0.0001),AND(P646&lt;&gt;"",R646&lt;&gt;"",RIGHT($N646,6)="tarief"),P646*FLOOR(R646,0.01),T646&gt;0,FLOOR(SUM(T646),0.01)),""),""),"")</f>
        <v/>
      </c>
      <c r="W646" s="317" t="str" cm="1">
        <f t="array" aca="1" ref="W646" ca="1">IFERROR(_xlfn.IFS(OR(F646="",LEFT(Methode_Keuze,4)="Geen",Methode_Keuze=""),"",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17" t="str" cm="1">
        <f t="array" aca="1" ref="X646" ca="1">IFERROR(_xlfn.IFS(OR(F646="",LEFT(Methode_Keuze,4)="Geen",Methode_Keuze=""),"",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26"/>
      <c r="Z646" s="319"/>
      <c r="AA646" s="32" t="str" cm="1">
        <f t="array" ref="AA646">IFERROR(IF(INDEX(SubsidieTabel!$AD$1:$AG$12,MATCH($F646,SubsidieTabel!$AD$1:$AD$12,0),IFERROR(MATCH(Methode_Keuze,SubsidieTabel!$AD$1:$AG$1,0),2))&lt;&gt;1=TRUE,"ja",""),"")</f>
        <v/>
      </c>
    </row>
    <row r="647" spans="1:27" x14ac:dyDescent="0.25">
      <c r="A647" s="320"/>
      <c r="B647" s="321" t="str">
        <f>IF(A647&lt;&gt;"",_xlfn.MAXIFS($B$1:B646,$A$1:A646,A647)+1,"")</f>
        <v/>
      </c>
      <c r="C647" s="299"/>
      <c r="D647" s="299"/>
      <c r="E647" s="299"/>
      <c r="F647" s="299"/>
      <c r="G647" s="330"/>
      <c r="H647" s="328"/>
      <c r="I647" s="329"/>
      <c r="J647" s="329"/>
      <c r="K647" s="322"/>
      <c r="L647" s="322"/>
      <c r="M647" s="323" t="str">
        <f>IFERROR(VLOOKUP(H647,Lijsten!$H$1:$I$100,2,0),"")</f>
        <v/>
      </c>
      <c r="N647" s="323" t="str">
        <f ca="1">IFERROR(IF(VLOOKUP(F647,Kostentypen!$A$3:$E$21,3,0)=0,"",IF(OR(F647="Arbeidskosten",F647="Vergoeding"),VLOOKUP(G647,Tb_KostenTypen[],2,0),VLOOKUP(F647,Kostentypen!$A$3:$E$20,3,0))),"")</f>
        <v/>
      </c>
      <c r="O647" s="324"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4"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3"/>
      <c r="R647" s="363"/>
      <c r="S647" s="325"/>
      <c r="T647" s="325"/>
      <c r="U647" s="317" t="str" cm="1">
        <f t="array" aca="1" ref="U647" ca="1">IFERROR(IF(AA647&lt;&gt;"ja",_xlfn.IFNA(_xlfn.IFS(AND(O647&lt;&gt;"",F647&lt;&gt;"",RIGHT($N647,6)="tarief",F647="Vergoeding"),SUM(O647)*FLOOR(SUM(Q647),0.0001),AND(O647&lt;&gt;"",F647&lt;&gt;"",RIGHT($N647,6)="tarief"),SUM(O647)*FLOOR(SUM(Q647),0.01),S647&gt;0,IF(F647&lt;&gt;"",FLOOR(SUM(S647),0.01),"")),""),""),"")</f>
        <v/>
      </c>
      <c r="V647" s="317" t="str" cm="1">
        <f t="array" aca="1" ref="V647" ca="1">IFERROR(IF(AA647&lt;&gt;"ja",_xlfn.IFNA(_xlfn.IFS(AND(P647&lt;&gt;"",R647&lt;&gt;"",RIGHT($N647,6)="tarief",F647="Vergoeding"),SUM(P647)*FLOOR(SUM(R647),0.0001),AND(P647&lt;&gt;"",R647&lt;&gt;"",RIGHT($N647,6)="tarief"),P647*FLOOR(R647,0.01),T647&gt;0,FLOOR(SUM(T647),0.01)),""),""),"")</f>
        <v/>
      </c>
      <c r="W647" s="317" t="str" cm="1">
        <f t="array" aca="1" ref="W647" ca="1">IFERROR(_xlfn.IFS(OR(F647="",LEFT(Methode_Keuze,4)="Geen",Methode_Keuze=""),"",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17" t="str" cm="1">
        <f t="array" aca="1" ref="X647" ca="1">IFERROR(_xlfn.IFS(OR(F647="",LEFT(Methode_Keuze,4)="Geen",Methode_Keuze=""),"",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26"/>
      <c r="Z647" s="319"/>
      <c r="AA647" s="32" t="str" cm="1">
        <f t="array" ref="AA647">IFERROR(IF(INDEX(SubsidieTabel!$AD$1:$AG$12,MATCH($F647,SubsidieTabel!$AD$1:$AD$12,0),IFERROR(MATCH(Methode_Keuze,SubsidieTabel!$AD$1:$AG$1,0),2))&lt;&gt;1=TRUE,"ja",""),"")</f>
        <v/>
      </c>
    </row>
    <row r="648" spans="1:27" x14ac:dyDescent="0.25">
      <c r="A648" s="320"/>
      <c r="B648" s="321" t="str">
        <f>IF(A648&lt;&gt;"",_xlfn.MAXIFS($B$1:B647,$A$1:A647,A648)+1,"")</f>
        <v/>
      </c>
      <c r="C648" s="299"/>
      <c r="D648" s="299"/>
      <c r="E648" s="299"/>
      <c r="F648" s="299"/>
      <c r="G648" s="330"/>
      <c r="H648" s="328"/>
      <c r="I648" s="329"/>
      <c r="J648" s="329"/>
      <c r="K648" s="322"/>
      <c r="L648" s="322"/>
      <c r="M648" s="323" t="str">
        <f>IFERROR(VLOOKUP(H648,Lijsten!$H$1:$I$100,2,0),"")</f>
        <v/>
      </c>
      <c r="N648" s="323" t="str">
        <f ca="1">IFERROR(IF(VLOOKUP(F648,Kostentypen!$A$3:$E$21,3,0)=0,"",IF(OR(F648="Arbeidskosten",F648="Vergoeding"),VLOOKUP(G648,Tb_KostenTypen[],2,0),VLOOKUP(F648,Kostentypen!$A$3:$E$20,3,0))),"")</f>
        <v/>
      </c>
      <c r="O648" s="324"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4"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3"/>
      <c r="R648" s="363"/>
      <c r="S648" s="325"/>
      <c r="T648" s="325"/>
      <c r="U648" s="317" t="str" cm="1">
        <f t="array" aca="1" ref="U648" ca="1">IFERROR(IF(AA648&lt;&gt;"ja",_xlfn.IFNA(_xlfn.IFS(AND(O648&lt;&gt;"",F648&lt;&gt;"",RIGHT($N648,6)="tarief",F648="Vergoeding"),SUM(O648)*FLOOR(SUM(Q648),0.0001),AND(O648&lt;&gt;"",F648&lt;&gt;"",RIGHT($N648,6)="tarief"),SUM(O648)*FLOOR(SUM(Q648),0.01),S648&gt;0,IF(F648&lt;&gt;"",FLOOR(SUM(S648),0.01),"")),""),""),"")</f>
        <v/>
      </c>
      <c r="V648" s="317" t="str" cm="1">
        <f t="array" aca="1" ref="V648" ca="1">IFERROR(IF(AA648&lt;&gt;"ja",_xlfn.IFNA(_xlfn.IFS(AND(P648&lt;&gt;"",R648&lt;&gt;"",RIGHT($N648,6)="tarief",F648="Vergoeding"),SUM(P648)*FLOOR(SUM(R648),0.0001),AND(P648&lt;&gt;"",R648&lt;&gt;"",RIGHT($N648,6)="tarief"),P648*FLOOR(R648,0.01),T648&gt;0,FLOOR(SUM(T648),0.01)),""),""),"")</f>
        <v/>
      </c>
      <c r="W648" s="317" t="str" cm="1">
        <f t="array" aca="1" ref="W648" ca="1">IFERROR(_xlfn.IFS(OR(F648="",LEFT(Methode_Keuze,4)="Geen",Methode_Keuze=""),"",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17" t="str" cm="1">
        <f t="array" aca="1" ref="X648" ca="1">IFERROR(_xlfn.IFS(OR(F648="",LEFT(Methode_Keuze,4)="Geen",Methode_Keuze=""),"",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26"/>
      <c r="Z648" s="319"/>
      <c r="AA648" s="32" t="str" cm="1">
        <f t="array" ref="AA648">IFERROR(IF(INDEX(SubsidieTabel!$AD$1:$AG$12,MATCH($F648,SubsidieTabel!$AD$1:$AD$12,0),IFERROR(MATCH(Methode_Keuze,SubsidieTabel!$AD$1:$AG$1,0),2))&lt;&gt;1=TRUE,"ja",""),"")</f>
        <v/>
      </c>
    </row>
    <row r="649" spans="1:27" x14ac:dyDescent="0.25">
      <c r="A649" s="320"/>
      <c r="B649" s="321" t="str">
        <f>IF(A649&lt;&gt;"",_xlfn.MAXIFS($B$1:B648,$A$1:A648,A649)+1,"")</f>
        <v/>
      </c>
      <c r="C649" s="299"/>
      <c r="D649" s="299"/>
      <c r="E649" s="299"/>
      <c r="F649" s="299"/>
      <c r="G649" s="330"/>
      <c r="H649" s="328"/>
      <c r="I649" s="329"/>
      <c r="J649" s="329"/>
      <c r="K649" s="322"/>
      <c r="L649" s="322"/>
      <c r="M649" s="323" t="str">
        <f>IFERROR(VLOOKUP(H649,Lijsten!$H$1:$I$100,2,0),"")</f>
        <v/>
      </c>
      <c r="N649" s="323" t="str">
        <f ca="1">IFERROR(IF(VLOOKUP(F649,Kostentypen!$A$3:$E$21,3,0)=0,"",IF(OR(F649="Arbeidskosten",F649="Vergoeding"),VLOOKUP(G649,Tb_KostenTypen[],2,0),VLOOKUP(F649,Kostentypen!$A$3:$E$20,3,0))),"")</f>
        <v/>
      </c>
      <c r="O649" s="324"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4"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3"/>
      <c r="R649" s="363"/>
      <c r="S649" s="325"/>
      <c r="T649" s="325"/>
      <c r="U649" s="317" t="str" cm="1">
        <f t="array" aca="1" ref="U649" ca="1">IFERROR(IF(AA649&lt;&gt;"ja",_xlfn.IFNA(_xlfn.IFS(AND(O649&lt;&gt;"",F649&lt;&gt;"",RIGHT($N649,6)="tarief",F649="Vergoeding"),SUM(O649)*FLOOR(SUM(Q649),0.0001),AND(O649&lt;&gt;"",F649&lt;&gt;"",RIGHT($N649,6)="tarief"),SUM(O649)*FLOOR(SUM(Q649),0.01),S649&gt;0,IF(F649&lt;&gt;"",FLOOR(SUM(S649),0.01),"")),""),""),"")</f>
        <v/>
      </c>
      <c r="V649" s="317" t="str" cm="1">
        <f t="array" aca="1" ref="V649" ca="1">IFERROR(IF(AA649&lt;&gt;"ja",_xlfn.IFNA(_xlfn.IFS(AND(P649&lt;&gt;"",R649&lt;&gt;"",RIGHT($N649,6)="tarief",F649="Vergoeding"),SUM(P649)*FLOOR(SUM(R649),0.0001),AND(P649&lt;&gt;"",R649&lt;&gt;"",RIGHT($N649,6)="tarief"),P649*FLOOR(R649,0.01),T649&gt;0,FLOOR(SUM(T649),0.01)),""),""),"")</f>
        <v/>
      </c>
      <c r="W649" s="317" t="str" cm="1">
        <f t="array" aca="1" ref="W649" ca="1">IFERROR(_xlfn.IFS(OR(F649="",LEFT(Methode_Keuze,4)="Geen",Methode_Keuze=""),"",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17" t="str" cm="1">
        <f t="array" aca="1" ref="X649" ca="1">IFERROR(_xlfn.IFS(OR(F649="",LEFT(Methode_Keuze,4)="Geen",Methode_Keuze=""),"",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26"/>
      <c r="Z649" s="319"/>
      <c r="AA649" s="32" t="str" cm="1">
        <f t="array" ref="AA649">IFERROR(IF(INDEX(SubsidieTabel!$AD$1:$AG$12,MATCH($F649,SubsidieTabel!$AD$1:$AD$12,0),IFERROR(MATCH(Methode_Keuze,SubsidieTabel!$AD$1:$AG$1,0),2))&lt;&gt;1=TRUE,"ja",""),"")</f>
        <v/>
      </c>
    </row>
    <row r="650" spans="1:27" x14ac:dyDescent="0.25">
      <c r="A650" s="320"/>
      <c r="B650" s="321" t="str">
        <f>IF(A650&lt;&gt;"",_xlfn.MAXIFS($B$1:B649,$A$1:A649,A650)+1,"")</f>
        <v/>
      </c>
      <c r="C650" s="299"/>
      <c r="D650" s="299"/>
      <c r="E650" s="299"/>
      <c r="F650" s="299"/>
      <c r="G650" s="330"/>
      <c r="H650" s="328"/>
      <c r="I650" s="329"/>
      <c r="J650" s="329"/>
      <c r="K650" s="322"/>
      <c r="L650" s="322"/>
      <c r="M650" s="323" t="str">
        <f>IFERROR(VLOOKUP(H650,Lijsten!$H$1:$I$100,2,0),"")</f>
        <v/>
      </c>
      <c r="N650" s="323" t="str">
        <f ca="1">IFERROR(IF(VLOOKUP(F650,Kostentypen!$A$3:$E$21,3,0)=0,"",IF(OR(F650="Arbeidskosten",F650="Vergoeding"),VLOOKUP(G650,Tb_KostenTypen[],2,0),VLOOKUP(F650,Kostentypen!$A$3:$E$20,3,0))),"")</f>
        <v/>
      </c>
      <c r="O650" s="324"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4"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3"/>
      <c r="R650" s="363"/>
      <c r="S650" s="325"/>
      <c r="T650" s="325"/>
      <c r="U650" s="317" t="str" cm="1">
        <f t="array" aca="1" ref="U650" ca="1">IFERROR(IF(AA650&lt;&gt;"ja",_xlfn.IFNA(_xlfn.IFS(AND(O650&lt;&gt;"",F650&lt;&gt;"",RIGHT($N650,6)="tarief",F650="Vergoeding"),SUM(O650)*FLOOR(SUM(Q650),0.0001),AND(O650&lt;&gt;"",F650&lt;&gt;"",RIGHT($N650,6)="tarief"),SUM(O650)*FLOOR(SUM(Q650),0.01),S650&gt;0,IF(F650&lt;&gt;"",FLOOR(SUM(S650),0.01),"")),""),""),"")</f>
        <v/>
      </c>
      <c r="V650" s="317" t="str" cm="1">
        <f t="array" aca="1" ref="V650" ca="1">IFERROR(IF(AA650&lt;&gt;"ja",_xlfn.IFNA(_xlfn.IFS(AND(P650&lt;&gt;"",R650&lt;&gt;"",RIGHT($N650,6)="tarief",F650="Vergoeding"),SUM(P650)*FLOOR(SUM(R650),0.0001),AND(P650&lt;&gt;"",R650&lt;&gt;"",RIGHT($N650,6)="tarief"),P650*FLOOR(R650,0.01),T650&gt;0,FLOOR(SUM(T650),0.01)),""),""),"")</f>
        <v/>
      </c>
      <c r="W650" s="317" t="str" cm="1">
        <f t="array" aca="1" ref="W650" ca="1">IFERROR(_xlfn.IFS(OR(F650="",LEFT(Methode_Keuze,4)="Geen",Methode_Keuze=""),"",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17" t="str" cm="1">
        <f t="array" aca="1" ref="X650" ca="1">IFERROR(_xlfn.IFS(OR(F650="",LEFT(Methode_Keuze,4)="Geen",Methode_Keuze=""),"",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26"/>
      <c r="Z650" s="319"/>
      <c r="AA650" s="32" t="str" cm="1">
        <f t="array" ref="AA650">IFERROR(IF(INDEX(SubsidieTabel!$AD$1:$AG$12,MATCH($F650,SubsidieTabel!$AD$1:$AD$12,0),IFERROR(MATCH(Methode_Keuze,SubsidieTabel!$AD$1:$AG$1,0),2))&lt;&gt;1=TRUE,"ja",""),"")</f>
        <v/>
      </c>
    </row>
    <row r="651" spans="1:27" x14ac:dyDescent="0.25">
      <c r="A651" s="320"/>
      <c r="B651" s="321" t="str">
        <f>IF(A651&lt;&gt;"",_xlfn.MAXIFS($B$1:B650,$A$1:A650,A651)+1,"")</f>
        <v/>
      </c>
      <c r="C651" s="299"/>
      <c r="D651" s="299"/>
      <c r="E651" s="299"/>
      <c r="F651" s="299"/>
      <c r="G651" s="330"/>
      <c r="H651" s="328"/>
      <c r="I651" s="329"/>
      <c r="J651" s="329"/>
      <c r="K651" s="322"/>
      <c r="L651" s="322"/>
      <c r="M651" s="323" t="str">
        <f>IFERROR(VLOOKUP(H651,Lijsten!$H$1:$I$100,2,0),"")</f>
        <v/>
      </c>
      <c r="N651" s="323" t="str">
        <f ca="1">IFERROR(IF(VLOOKUP(F651,Kostentypen!$A$3:$E$21,3,0)=0,"",IF(OR(F651="Arbeidskosten",F651="Vergoeding"),VLOOKUP(G651,Tb_KostenTypen[],2,0),VLOOKUP(F651,Kostentypen!$A$3:$E$20,3,0))),"")</f>
        <v/>
      </c>
      <c r="O651" s="324"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4"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3"/>
      <c r="R651" s="363"/>
      <c r="S651" s="325"/>
      <c r="T651" s="325"/>
      <c r="U651" s="317" t="str" cm="1">
        <f t="array" aca="1" ref="U651" ca="1">IFERROR(IF(AA651&lt;&gt;"ja",_xlfn.IFNA(_xlfn.IFS(AND(O651&lt;&gt;"",F651&lt;&gt;"",RIGHT($N651,6)="tarief",F651="Vergoeding"),SUM(O651)*FLOOR(SUM(Q651),0.0001),AND(O651&lt;&gt;"",F651&lt;&gt;"",RIGHT($N651,6)="tarief"),SUM(O651)*FLOOR(SUM(Q651),0.01),S651&gt;0,IF(F651&lt;&gt;"",FLOOR(SUM(S651),0.01),"")),""),""),"")</f>
        <v/>
      </c>
      <c r="V651" s="317" t="str" cm="1">
        <f t="array" aca="1" ref="V651" ca="1">IFERROR(IF(AA651&lt;&gt;"ja",_xlfn.IFNA(_xlfn.IFS(AND(P651&lt;&gt;"",R651&lt;&gt;"",RIGHT($N651,6)="tarief",F651="Vergoeding"),SUM(P651)*FLOOR(SUM(R651),0.0001),AND(P651&lt;&gt;"",R651&lt;&gt;"",RIGHT($N651,6)="tarief"),P651*FLOOR(R651,0.01),T651&gt;0,FLOOR(SUM(T651),0.01)),""),""),"")</f>
        <v/>
      </c>
      <c r="W651" s="317" t="str" cm="1">
        <f t="array" aca="1" ref="W651" ca="1">IFERROR(_xlfn.IFS(OR(F651="",LEFT(Methode_Keuze,4)="Geen",Methode_Keuze=""),"",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17" t="str" cm="1">
        <f t="array" aca="1" ref="X651" ca="1">IFERROR(_xlfn.IFS(OR(F651="",LEFT(Methode_Keuze,4)="Geen",Methode_Keuze=""),"",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26"/>
      <c r="Z651" s="319"/>
      <c r="AA651" s="32" t="str" cm="1">
        <f t="array" ref="AA651">IFERROR(IF(INDEX(SubsidieTabel!$AD$1:$AG$12,MATCH($F651,SubsidieTabel!$AD$1:$AD$12,0),IFERROR(MATCH(Methode_Keuze,SubsidieTabel!$AD$1:$AG$1,0),2))&lt;&gt;1=TRUE,"ja",""),"")</f>
        <v/>
      </c>
    </row>
    <row r="652" spans="1:27" x14ac:dyDescent="0.25">
      <c r="A652" s="320"/>
      <c r="B652" s="321" t="str">
        <f>IF(A652&lt;&gt;"",_xlfn.MAXIFS($B$1:B651,$A$1:A651,A652)+1,"")</f>
        <v/>
      </c>
      <c r="C652" s="299"/>
      <c r="D652" s="299"/>
      <c r="E652" s="299"/>
      <c r="F652" s="299"/>
      <c r="G652" s="330"/>
      <c r="H652" s="328"/>
      <c r="I652" s="329"/>
      <c r="J652" s="329"/>
      <c r="K652" s="322"/>
      <c r="L652" s="322"/>
      <c r="M652" s="323" t="str">
        <f>IFERROR(VLOOKUP(H652,Lijsten!$H$1:$I$100,2,0),"")</f>
        <v/>
      </c>
      <c r="N652" s="323" t="str">
        <f ca="1">IFERROR(IF(VLOOKUP(F652,Kostentypen!$A$3:$E$21,3,0)=0,"",IF(OR(F652="Arbeidskosten",F652="Vergoeding"),VLOOKUP(G652,Tb_KostenTypen[],2,0),VLOOKUP(F652,Kostentypen!$A$3:$E$20,3,0))),"")</f>
        <v/>
      </c>
      <c r="O652" s="324"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4"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3"/>
      <c r="R652" s="363"/>
      <c r="S652" s="325"/>
      <c r="T652" s="325"/>
      <c r="U652" s="317" t="str" cm="1">
        <f t="array" aca="1" ref="U652" ca="1">IFERROR(IF(AA652&lt;&gt;"ja",_xlfn.IFNA(_xlfn.IFS(AND(O652&lt;&gt;"",F652&lt;&gt;"",RIGHT($N652,6)="tarief",F652="Vergoeding"),SUM(O652)*FLOOR(SUM(Q652),0.0001),AND(O652&lt;&gt;"",F652&lt;&gt;"",RIGHT($N652,6)="tarief"),SUM(O652)*FLOOR(SUM(Q652),0.01),S652&gt;0,IF(F652&lt;&gt;"",FLOOR(SUM(S652),0.01),"")),""),""),"")</f>
        <v/>
      </c>
      <c r="V652" s="317" t="str" cm="1">
        <f t="array" aca="1" ref="V652" ca="1">IFERROR(IF(AA652&lt;&gt;"ja",_xlfn.IFNA(_xlfn.IFS(AND(P652&lt;&gt;"",R652&lt;&gt;"",RIGHT($N652,6)="tarief",F652="Vergoeding"),SUM(P652)*FLOOR(SUM(R652),0.0001),AND(P652&lt;&gt;"",R652&lt;&gt;"",RIGHT($N652,6)="tarief"),P652*FLOOR(R652,0.01),T652&gt;0,FLOOR(SUM(T652),0.01)),""),""),"")</f>
        <v/>
      </c>
      <c r="W652" s="317" t="str" cm="1">
        <f t="array" aca="1" ref="W652" ca="1">IFERROR(_xlfn.IFS(OR(F652="",LEFT(Methode_Keuze,4)="Geen",Methode_Keuze=""),"",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17" t="str" cm="1">
        <f t="array" aca="1" ref="X652" ca="1">IFERROR(_xlfn.IFS(OR(F652="",LEFT(Methode_Keuze,4)="Geen",Methode_Keuze=""),"",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26"/>
      <c r="Z652" s="319"/>
      <c r="AA652" s="32" t="str" cm="1">
        <f t="array" ref="AA652">IFERROR(IF(INDEX(SubsidieTabel!$AD$1:$AG$12,MATCH($F652,SubsidieTabel!$AD$1:$AD$12,0),IFERROR(MATCH(Methode_Keuze,SubsidieTabel!$AD$1:$AG$1,0),2))&lt;&gt;1=TRUE,"ja",""),"")</f>
        <v/>
      </c>
    </row>
    <row r="653" spans="1:27" x14ac:dyDescent="0.25">
      <c r="A653" s="320"/>
      <c r="B653" s="321" t="str">
        <f>IF(A653&lt;&gt;"",_xlfn.MAXIFS($B$1:B652,$A$1:A652,A653)+1,"")</f>
        <v/>
      </c>
      <c r="C653" s="299"/>
      <c r="D653" s="299"/>
      <c r="E653" s="299"/>
      <c r="F653" s="299"/>
      <c r="G653" s="330"/>
      <c r="H653" s="328"/>
      <c r="I653" s="329"/>
      <c r="J653" s="329"/>
      <c r="K653" s="322"/>
      <c r="L653" s="322"/>
      <c r="M653" s="323" t="str">
        <f>IFERROR(VLOOKUP(H653,Lijsten!$H$1:$I$100,2,0),"")</f>
        <v/>
      </c>
      <c r="N653" s="323" t="str">
        <f ca="1">IFERROR(IF(VLOOKUP(F653,Kostentypen!$A$3:$E$21,3,0)=0,"",IF(OR(F653="Arbeidskosten",F653="Vergoeding"),VLOOKUP(G653,Tb_KostenTypen[],2,0),VLOOKUP(F653,Kostentypen!$A$3:$E$20,3,0))),"")</f>
        <v/>
      </c>
      <c r="O653" s="324"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4"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3"/>
      <c r="R653" s="363"/>
      <c r="S653" s="325"/>
      <c r="T653" s="325"/>
      <c r="U653" s="317" t="str" cm="1">
        <f t="array" aca="1" ref="U653" ca="1">IFERROR(IF(AA653&lt;&gt;"ja",_xlfn.IFNA(_xlfn.IFS(AND(O653&lt;&gt;"",F653&lt;&gt;"",RIGHT($N653,6)="tarief",F653="Vergoeding"),SUM(O653)*FLOOR(SUM(Q653),0.0001),AND(O653&lt;&gt;"",F653&lt;&gt;"",RIGHT($N653,6)="tarief"),SUM(O653)*FLOOR(SUM(Q653),0.01),S653&gt;0,IF(F653&lt;&gt;"",FLOOR(SUM(S653),0.01),"")),""),""),"")</f>
        <v/>
      </c>
      <c r="V653" s="317" t="str" cm="1">
        <f t="array" aca="1" ref="V653" ca="1">IFERROR(IF(AA653&lt;&gt;"ja",_xlfn.IFNA(_xlfn.IFS(AND(P653&lt;&gt;"",R653&lt;&gt;"",RIGHT($N653,6)="tarief",F653="Vergoeding"),SUM(P653)*FLOOR(SUM(R653),0.0001),AND(P653&lt;&gt;"",R653&lt;&gt;"",RIGHT($N653,6)="tarief"),P653*FLOOR(R653,0.01),T653&gt;0,FLOOR(SUM(T653),0.01)),""),""),"")</f>
        <v/>
      </c>
      <c r="W653" s="317" t="str" cm="1">
        <f t="array" aca="1" ref="W653" ca="1">IFERROR(_xlfn.IFS(OR(F653="",LEFT(Methode_Keuze,4)="Geen",Methode_Keuze=""),"",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17" t="str" cm="1">
        <f t="array" aca="1" ref="X653" ca="1">IFERROR(_xlfn.IFS(OR(F653="",LEFT(Methode_Keuze,4)="Geen",Methode_Keuze=""),"",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26"/>
      <c r="Z653" s="319"/>
      <c r="AA653" s="32" t="str" cm="1">
        <f t="array" ref="AA653">IFERROR(IF(INDEX(SubsidieTabel!$AD$1:$AG$12,MATCH($F653,SubsidieTabel!$AD$1:$AD$12,0),IFERROR(MATCH(Methode_Keuze,SubsidieTabel!$AD$1:$AG$1,0),2))&lt;&gt;1=TRUE,"ja",""),"")</f>
        <v/>
      </c>
    </row>
    <row r="654" spans="1:27" x14ac:dyDescent="0.25">
      <c r="A654" s="320"/>
      <c r="B654" s="321" t="str">
        <f>IF(A654&lt;&gt;"",_xlfn.MAXIFS($B$1:B653,$A$1:A653,A654)+1,"")</f>
        <v/>
      </c>
      <c r="C654" s="299"/>
      <c r="D654" s="299"/>
      <c r="E654" s="299"/>
      <c r="F654" s="299"/>
      <c r="G654" s="330"/>
      <c r="H654" s="328"/>
      <c r="I654" s="329"/>
      <c r="J654" s="329"/>
      <c r="K654" s="322"/>
      <c r="L654" s="322"/>
      <c r="M654" s="323" t="str">
        <f>IFERROR(VLOOKUP(H654,Lijsten!$H$1:$I$100,2,0),"")</f>
        <v/>
      </c>
      <c r="N654" s="323" t="str">
        <f ca="1">IFERROR(IF(VLOOKUP(F654,Kostentypen!$A$3:$E$21,3,0)=0,"",IF(OR(F654="Arbeidskosten",F654="Vergoeding"),VLOOKUP(G654,Tb_KostenTypen[],2,0),VLOOKUP(F654,Kostentypen!$A$3:$E$20,3,0))),"")</f>
        <v/>
      </c>
      <c r="O654" s="324"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4"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3"/>
      <c r="R654" s="363"/>
      <c r="S654" s="325"/>
      <c r="T654" s="325"/>
      <c r="U654" s="317" t="str" cm="1">
        <f t="array" aca="1" ref="U654" ca="1">IFERROR(IF(AA654&lt;&gt;"ja",_xlfn.IFNA(_xlfn.IFS(AND(O654&lt;&gt;"",F654&lt;&gt;"",RIGHT($N654,6)="tarief",F654="Vergoeding"),SUM(O654)*FLOOR(SUM(Q654),0.0001),AND(O654&lt;&gt;"",F654&lt;&gt;"",RIGHT($N654,6)="tarief"),SUM(O654)*FLOOR(SUM(Q654),0.01),S654&gt;0,IF(F654&lt;&gt;"",FLOOR(SUM(S654),0.01),"")),""),""),"")</f>
        <v/>
      </c>
      <c r="V654" s="317" t="str" cm="1">
        <f t="array" aca="1" ref="V654" ca="1">IFERROR(IF(AA654&lt;&gt;"ja",_xlfn.IFNA(_xlfn.IFS(AND(P654&lt;&gt;"",R654&lt;&gt;"",RIGHT($N654,6)="tarief",F654="Vergoeding"),SUM(P654)*FLOOR(SUM(R654),0.0001),AND(P654&lt;&gt;"",R654&lt;&gt;"",RIGHT($N654,6)="tarief"),P654*FLOOR(R654,0.01),T654&gt;0,FLOOR(SUM(T654),0.01)),""),""),"")</f>
        <v/>
      </c>
      <c r="W654" s="317" t="str" cm="1">
        <f t="array" aca="1" ref="W654" ca="1">IFERROR(_xlfn.IFS(OR(F654="",LEFT(Methode_Keuze,4)="Geen",Methode_Keuze=""),"",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17" t="str" cm="1">
        <f t="array" aca="1" ref="X654" ca="1">IFERROR(_xlfn.IFS(OR(F654="",LEFT(Methode_Keuze,4)="Geen",Methode_Keuze=""),"",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26"/>
      <c r="Z654" s="319"/>
      <c r="AA654" s="32" t="str" cm="1">
        <f t="array" ref="AA654">IFERROR(IF(INDEX(SubsidieTabel!$AD$1:$AG$12,MATCH($F654,SubsidieTabel!$AD$1:$AD$12,0),IFERROR(MATCH(Methode_Keuze,SubsidieTabel!$AD$1:$AG$1,0),2))&lt;&gt;1=TRUE,"ja",""),"")</f>
        <v/>
      </c>
    </row>
    <row r="655" spans="1:27" x14ac:dyDescent="0.25">
      <c r="A655" s="320"/>
      <c r="B655" s="321" t="str">
        <f>IF(A655&lt;&gt;"",_xlfn.MAXIFS($B$1:B654,$A$1:A654,A655)+1,"")</f>
        <v/>
      </c>
      <c r="C655" s="299"/>
      <c r="D655" s="299"/>
      <c r="E655" s="299"/>
      <c r="F655" s="299"/>
      <c r="G655" s="330"/>
      <c r="H655" s="328"/>
      <c r="I655" s="329"/>
      <c r="J655" s="329"/>
      <c r="K655" s="322"/>
      <c r="L655" s="322"/>
      <c r="M655" s="323" t="str">
        <f>IFERROR(VLOOKUP(H655,Lijsten!$H$1:$I$100,2,0),"")</f>
        <v/>
      </c>
      <c r="N655" s="323" t="str">
        <f ca="1">IFERROR(IF(VLOOKUP(F655,Kostentypen!$A$3:$E$21,3,0)=0,"",IF(OR(F655="Arbeidskosten",F655="Vergoeding"),VLOOKUP(G655,Tb_KostenTypen[],2,0),VLOOKUP(F655,Kostentypen!$A$3:$E$20,3,0))),"")</f>
        <v/>
      </c>
      <c r="O655" s="324"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4"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3"/>
      <c r="R655" s="363"/>
      <c r="S655" s="325"/>
      <c r="T655" s="325"/>
      <c r="U655" s="317" t="str" cm="1">
        <f t="array" aca="1" ref="U655" ca="1">IFERROR(IF(AA655&lt;&gt;"ja",_xlfn.IFNA(_xlfn.IFS(AND(O655&lt;&gt;"",F655&lt;&gt;"",RIGHT($N655,6)="tarief",F655="Vergoeding"),SUM(O655)*FLOOR(SUM(Q655),0.0001),AND(O655&lt;&gt;"",F655&lt;&gt;"",RIGHT($N655,6)="tarief"),SUM(O655)*FLOOR(SUM(Q655),0.01),S655&gt;0,IF(F655&lt;&gt;"",FLOOR(SUM(S655),0.01),"")),""),""),"")</f>
        <v/>
      </c>
      <c r="V655" s="317" t="str" cm="1">
        <f t="array" aca="1" ref="V655" ca="1">IFERROR(IF(AA655&lt;&gt;"ja",_xlfn.IFNA(_xlfn.IFS(AND(P655&lt;&gt;"",R655&lt;&gt;"",RIGHT($N655,6)="tarief",F655="Vergoeding"),SUM(P655)*FLOOR(SUM(R655),0.0001),AND(P655&lt;&gt;"",R655&lt;&gt;"",RIGHT($N655,6)="tarief"),P655*FLOOR(R655,0.01),T655&gt;0,FLOOR(SUM(T655),0.01)),""),""),"")</f>
        <v/>
      </c>
      <c r="W655" s="317" t="str" cm="1">
        <f t="array" aca="1" ref="W655" ca="1">IFERROR(_xlfn.IFS(OR(F655="",LEFT(Methode_Keuze,4)="Geen",Methode_Keuze=""),"",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17" t="str" cm="1">
        <f t="array" aca="1" ref="X655" ca="1">IFERROR(_xlfn.IFS(OR(F655="",LEFT(Methode_Keuze,4)="Geen",Methode_Keuze=""),"",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26"/>
      <c r="Z655" s="319"/>
      <c r="AA655" s="32" t="str" cm="1">
        <f t="array" ref="AA655">IFERROR(IF(INDEX(SubsidieTabel!$AD$1:$AG$12,MATCH($F655,SubsidieTabel!$AD$1:$AD$12,0),IFERROR(MATCH(Methode_Keuze,SubsidieTabel!$AD$1:$AG$1,0),2))&lt;&gt;1=TRUE,"ja",""),"")</f>
        <v/>
      </c>
    </row>
    <row r="656" spans="1:27" x14ac:dyDescent="0.25">
      <c r="A656" s="320"/>
      <c r="B656" s="321" t="str">
        <f>IF(A656&lt;&gt;"",_xlfn.MAXIFS($B$1:B655,$A$1:A655,A656)+1,"")</f>
        <v/>
      </c>
      <c r="C656" s="299"/>
      <c r="D656" s="299"/>
      <c r="E656" s="299"/>
      <c r="F656" s="299"/>
      <c r="G656" s="330"/>
      <c r="H656" s="328"/>
      <c r="I656" s="329"/>
      <c r="J656" s="329"/>
      <c r="K656" s="322"/>
      <c r="L656" s="322"/>
      <c r="M656" s="323" t="str">
        <f>IFERROR(VLOOKUP(H656,Lijsten!$H$1:$I$100,2,0),"")</f>
        <v/>
      </c>
      <c r="N656" s="323" t="str">
        <f ca="1">IFERROR(IF(VLOOKUP(F656,Kostentypen!$A$3:$E$21,3,0)=0,"",IF(OR(F656="Arbeidskosten",F656="Vergoeding"),VLOOKUP(G656,Tb_KostenTypen[],2,0),VLOOKUP(F656,Kostentypen!$A$3:$E$20,3,0))),"")</f>
        <v/>
      </c>
      <c r="O656" s="324"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4"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3"/>
      <c r="R656" s="363"/>
      <c r="S656" s="325"/>
      <c r="T656" s="325"/>
      <c r="U656" s="317" t="str" cm="1">
        <f t="array" aca="1" ref="U656" ca="1">IFERROR(IF(AA656&lt;&gt;"ja",_xlfn.IFNA(_xlfn.IFS(AND(O656&lt;&gt;"",F656&lt;&gt;"",RIGHT($N656,6)="tarief",F656="Vergoeding"),SUM(O656)*FLOOR(SUM(Q656),0.0001),AND(O656&lt;&gt;"",F656&lt;&gt;"",RIGHT($N656,6)="tarief"),SUM(O656)*FLOOR(SUM(Q656),0.01),S656&gt;0,IF(F656&lt;&gt;"",FLOOR(SUM(S656),0.01),"")),""),""),"")</f>
        <v/>
      </c>
      <c r="V656" s="317" t="str" cm="1">
        <f t="array" aca="1" ref="V656" ca="1">IFERROR(IF(AA656&lt;&gt;"ja",_xlfn.IFNA(_xlfn.IFS(AND(P656&lt;&gt;"",R656&lt;&gt;"",RIGHT($N656,6)="tarief",F656="Vergoeding"),SUM(P656)*FLOOR(SUM(R656),0.0001),AND(P656&lt;&gt;"",R656&lt;&gt;"",RIGHT($N656,6)="tarief"),P656*FLOOR(R656,0.01),T656&gt;0,FLOOR(SUM(T656),0.01)),""),""),"")</f>
        <v/>
      </c>
      <c r="W656" s="317" t="str" cm="1">
        <f t="array" aca="1" ref="W656" ca="1">IFERROR(_xlfn.IFS(OR(F656="",LEFT(Methode_Keuze,4)="Geen",Methode_Keuze=""),"",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17" t="str" cm="1">
        <f t="array" aca="1" ref="X656" ca="1">IFERROR(_xlfn.IFS(OR(F656="",LEFT(Methode_Keuze,4)="Geen",Methode_Keuze=""),"",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26"/>
      <c r="Z656" s="319"/>
      <c r="AA656" s="32" t="str" cm="1">
        <f t="array" ref="AA656">IFERROR(IF(INDEX(SubsidieTabel!$AD$1:$AG$12,MATCH($F656,SubsidieTabel!$AD$1:$AD$12,0),IFERROR(MATCH(Methode_Keuze,SubsidieTabel!$AD$1:$AG$1,0),2))&lt;&gt;1=TRUE,"ja",""),"")</f>
        <v/>
      </c>
    </row>
    <row r="657" spans="1:27" x14ac:dyDescent="0.25">
      <c r="A657" s="320"/>
      <c r="B657" s="321" t="str">
        <f>IF(A657&lt;&gt;"",_xlfn.MAXIFS($B$1:B656,$A$1:A656,A657)+1,"")</f>
        <v/>
      </c>
      <c r="C657" s="299"/>
      <c r="D657" s="299"/>
      <c r="E657" s="299"/>
      <c r="F657" s="299"/>
      <c r="G657" s="330"/>
      <c r="H657" s="328"/>
      <c r="I657" s="329"/>
      <c r="J657" s="329"/>
      <c r="K657" s="322"/>
      <c r="L657" s="322"/>
      <c r="M657" s="323" t="str">
        <f>IFERROR(VLOOKUP(H657,Lijsten!$H$1:$I$100,2,0),"")</f>
        <v/>
      </c>
      <c r="N657" s="323" t="str">
        <f ca="1">IFERROR(IF(VLOOKUP(F657,Kostentypen!$A$3:$E$21,3,0)=0,"",IF(OR(F657="Arbeidskosten",F657="Vergoeding"),VLOOKUP(G657,Tb_KostenTypen[],2,0),VLOOKUP(F657,Kostentypen!$A$3:$E$20,3,0))),"")</f>
        <v/>
      </c>
      <c r="O657" s="324"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4"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3"/>
      <c r="R657" s="363"/>
      <c r="S657" s="325"/>
      <c r="T657" s="325"/>
      <c r="U657" s="317" t="str" cm="1">
        <f t="array" aca="1" ref="U657" ca="1">IFERROR(IF(AA657&lt;&gt;"ja",_xlfn.IFNA(_xlfn.IFS(AND(O657&lt;&gt;"",F657&lt;&gt;"",RIGHT($N657,6)="tarief",F657="Vergoeding"),SUM(O657)*FLOOR(SUM(Q657),0.0001),AND(O657&lt;&gt;"",F657&lt;&gt;"",RIGHT($N657,6)="tarief"),SUM(O657)*FLOOR(SUM(Q657),0.01),S657&gt;0,IF(F657&lt;&gt;"",FLOOR(SUM(S657),0.01),"")),""),""),"")</f>
        <v/>
      </c>
      <c r="V657" s="317" t="str" cm="1">
        <f t="array" aca="1" ref="V657" ca="1">IFERROR(IF(AA657&lt;&gt;"ja",_xlfn.IFNA(_xlfn.IFS(AND(P657&lt;&gt;"",R657&lt;&gt;"",RIGHT($N657,6)="tarief",F657="Vergoeding"),SUM(P657)*FLOOR(SUM(R657),0.0001),AND(P657&lt;&gt;"",R657&lt;&gt;"",RIGHT($N657,6)="tarief"),P657*FLOOR(R657,0.01),T657&gt;0,FLOOR(SUM(T657),0.01)),""),""),"")</f>
        <v/>
      </c>
      <c r="W657" s="317" t="str" cm="1">
        <f t="array" aca="1" ref="W657" ca="1">IFERROR(_xlfn.IFS(OR(F657="",LEFT(Methode_Keuze,4)="Geen",Methode_Keuze=""),"",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17" t="str" cm="1">
        <f t="array" aca="1" ref="X657" ca="1">IFERROR(_xlfn.IFS(OR(F657="",LEFT(Methode_Keuze,4)="Geen",Methode_Keuze=""),"",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26"/>
      <c r="Z657" s="319"/>
      <c r="AA657" s="32" t="str" cm="1">
        <f t="array" ref="AA657">IFERROR(IF(INDEX(SubsidieTabel!$AD$1:$AG$12,MATCH($F657,SubsidieTabel!$AD$1:$AD$12,0),IFERROR(MATCH(Methode_Keuze,SubsidieTabel!$AD$1:$AG$1,0),2))&lt;&gt;1=TRUE,"ja",""),"")</f>
        <v/>
      </c>
    </row>
    <row r="658" spans="1:27" x14ac:dyDescent="0.25">
      <c r="A658" s="320"/>
      <c r="B658" s="321" t="str">
        <f>IF(A658&lt;&gt;"",_xlfn.MAXIFS($B$1:B657,$A$1:A657,A658)+1,"")</f>
        <v/>
      </c>
      <c r="C658" s="299"/>
      <c r="D658" s="299"/>
      <c r="E658" s="299"/>
      <c r="F658" s="299"/>
      <c r="G658" s="330"/>
      <c r="H658" s="328"/>
      <c r="I658" s="329"/>
      <c r="J658" s="329"/>
      <c r="K658" s="322"/>
      <c r="L658" s="322"/>
      <c r="M658" s="323" t="str">
        <f>IFERROR(VLOOKUP(H658,Lijsten!$H$1:$I$100,2,0),"")</f>
        <v/>
      </c>
      <c r="N658" s="323" t="str">
        <f ca="1">IFERROR(IF(VLOOKUP(F658,Kostentypen!$A$3:$E$21,3,0)=0,"",IF(OR(F658="Arbeidskosten",F658="Vergoeding"),VLOOKUP(G658,Tb_KostenTypen[],2,0),VLOOKUP(F658,Kostentypen!$A$3:$E$20,3,0))),"")</f>
        <v/>
      </c>
      <c r="O658" s="324"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4"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3"/>
      <c r="R658" s="363"/>
      <c r="S658" s="325"/>
      <c r="T658" s="325"/>
      <c r="U658" s="317" t="str" cm="1">
        <f t="array" aca="1" ref="U658" ca="1">IFERROR(IF(AA658&lt;&gt;"ja",_xlfn.IFNA(_xlfn.IFS(AND(O658&lt;&gt;"",F658&lt;&gt;"",RIGHT($N658,6)="tarief",F658="Vergoeding"),SUM(O658)*FLOOR(SUM(Q658),0.0001),AND(O658&lt;&gt;"",F658&lt;&gt;"",RIGHT($N658,6)="tarief"),SUM(O658)*FLOOR(SUM(Q658),0.01),S658&gt;0,IF(F658&lt;&gt;"",FLOOR(SUM(S658),0.01),"")),""),""),"")</f>
        <v/>
      </c>
      <c r="V658" s="317" t="str" cm="1">
        <f t="array" aca="1" ref="V658" ca="1">IFERROR(IF(AA658&lt;&gt;"ja",_xlfn.IFNA(_xlfn.IFS(AND(P658&lt;&gt;"",R658&lt;&gt;"",RIGHT($N658,6)="tarief",F658="Vergoeding"),SUM(P658)*FLOOR(SUM(R658),0.0001),AND(P658&lt;&gt;"",R658&lt;&gt;"",RIGHT($N658,6)="tarief"),P658*FLOOR(R658,0.01),T658&gt;0,FLOOR(SUM(T658),0.01)),""),""),"")</f>
        <v/>
      </c>
      <c r="W658" s="317" t="str" cm="1">
        <f t="array" aca="1" ref="W658" ca="1">IFERROR(_xlfn.IFS(OR(F658="",LEFT(Methode_Keuze,4)="Geen",Methode_Keuze=""),"",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17" t="str" cm="1">
        <f t="array" aca="1" ref="X658" ca="1">IFERROR(_xlfn.IFS(OR(F658="",LEFT(Methode_Keuze,4)="Geen",Methode_Keuze=""),"",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26"/>
      <c r="Z658" s="319"/>
      <c r="AA658" s="32" t="str" cm="1">
        <f t="array" ref="AA658">IFERROR(IF(INDEX(SubsidieTabel!$AD$1:$AG$12,MATCH($F658,SubsidieTabel!$AD$1:$AD$12,0),IFERROR(MATCH(Methode_Keuze,SubsidieTabel!$AD$1:$AG$1,0),2))&lt;&gt;1=TRUE,"ja",""),"")</f>
        <v/>
      </c>
    </row>
    <row r="659" spans="1:27" x14ac:dyDescent="0.25">
      <c r="A659" s="320"/>
      <c r="B659" s="321" t="str">
        <f>IF(A659&lt;&gt;"",_xlfn.MAXIFS($B$1:B658,$A$1:A658,A659)+1,"")</f>
        <v/>
      </c>
      <c r="C659" s="299"/>
      <c r="D659" s="299"/>
      <c r="E659" s="299"/>
      <c r="F659" s="299"/>
      <c r="G659" s="330"/>
      <c r="H659" s="328"/>
      <c r="I659" s="329"/>
      <c r="J659" s="329"/>
      <c r="K659" s="322"/>
      <c r="L659" s="322"/>
      <c r="M659" s="323" t="str">
        <f>IFERROR(VLOOKUP(H659,Lijsten!$H$1:$I$100,2,0),"")</f>
        <v/>
      </c>
      <c r="N659" s="323" t="str">
        <f ca="1">IFERROR(IF(VLOOKUP(F659,Kostentypen!$A$3:$E$21,3,0)=0,"",IF(OR(F659="Arbeidskosten",F659="Vergoeding"),VLOOKUP(G659,Tb_KostenTypen[],2,0),VLOOKUP(F659,Kostentypen!$A$3:$E$20,3,0))),"")</f>
        <v/>
      </c>
      <c r="O659" s="324"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4"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3"/>
      <c r="R659" s="363"/>
      <c r="S659" s="325"/>
      <c r="T659" s="325"/>
      <c r="U659" s="317" t="str" cm="1">
        <f t="array" aca="1" ref="U659" ca="1">IFERROR(IF(AA659&lt;&gt;"ja",_xlfn.IFNA(_xlfn.IFS(AND(O659&lt;&gt;"",F659&lt;&gt;"",RIGHT($N659,6)="tarief",F659="Vergoeding"),SUM(O659)*FLOOR(SUM(Q659),0.0001),AND(O659&lt;&gt;"",F659&lt;&gt;"",RIGHT($N659,6)="tarief"),SUM(O659)*FLOOR(SUM(Q659),0.01),S659&gt;0,IF(F659&lt;&gt;"",FLOOR(SUM(S659),0.01),"")),""),""),"")</f>
        <v/>
      </c>
      <c r="V659" s="317" t="str" cm="1">
        <f t="array" aca="1" ref="V659" ca="1">IFERROR(IF(AA659&lt;&gt;"ja",_xlfn.IFNA(_xlfn.IFS(AND(P659&lt;&gt;"",R659&lt;&gt;"",RIGHT($N659,6)="tarief",F659="Vergoeding"),SUM(P659)*FLOOR(SUM(R659),0.0001),AND(P659&lt;&gt;"",R659&lt;&gt;"",RIGHT($N659,6)="tarief"),P659*FLOOR(R659,0.01),T659&gt;0,FLOOR(SUM(T659),0.01)),""),""),"")</f>
        <v/>
      </c>
      <c r="W659" s="317" t="str" cm="1">
        <f t="array" aca="1" ref="W659" ca="1">IFERROR(_xlfn.IFS(OR(F659="",LEFT(Methode_Keuze,4)="Geen",Methode_Keuze=""),"",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17" t="str" cm="1">
        <f t="array" aca="1" ref="X659" ca="1">IFERROR(_xlfn.IFS(OR(F659="",LEFT(Methode_Keuze,4)="Geen",Methode_Keuze=""),"",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26"/>
      <c r="Z659" s="319"/>
      <c r="AA659" s="32" t="str" cm="1">
        <f t="array" ref="AA659">IFERROR(IF(INDEX(SubsidieTabel!$AD$1:$AG$12,MATCH($F659,SubsidieTabel!$AD$1:$AD$12,0),IFERROR(MATCH(Methode_Keuze,SubsidieTabel!$AD$1:$AG$1,0),2))&lt;&gt;1=TRUE,"ja",""),"")</f>
        <v/>
      </c>
    </row>
    <row r="660" spans="1:27" x14ac:dyDescent="0.25">
      <c r="A660" s="320"/>
      <c r="B660" s="321" t="str">
        <f>IF(A660&lt;&gt;"",_xlfn.MAXIFS($B$1:B659,$A$1:A659,A660)+1,"")</f>
        <v/>
      </c>
      <c r="C660" s="299"/>
      <c r="D660" s="299"/>
      <c r="E660" s="299"/>
      <c r="F660" s="299"/>
      <c r="G660" s="330"/>
      <c r="H660" s="328"/>
      <c r="I660" s="329"/>
      <c r="J660" s="329"/>
      <c r="K660" s="322"/>
      <c r="L660" s="322"/>
      <c r="M660" s="323" t="str">
        <f>IFERROR(VLOOKUP(H660,Lijsten!$H$1:$I$100,2,0),"")</f>
        <v/>
      </c>
      <c r="N660" s="323" t="str">
        <f ca="1">IFERROR(IF(VLOOKUP(F660,Kostentypen!$A$3:$E$21,3,0)=0,"",IF(OR(F660="Arbeidskosten",F660="Vergoeding"),VLOOKUP(G660,Tb_KostenTypen[],2,0),VLOOKUP(F660,Kostentypen!$A$3:$E$20,3,0))),"")</f>
        <v/>
      </c>
      <c r="O660" s="324"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4"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3"/>
      <c r="R660" s="363"/>
      <c r="S660" s="325"/>
      <c r="T660" s="325"/>
      <c r="U660" s="317" t="str" cm="1">
        <f t="array" aca="1" ref="U660" ca="1">IFERROR(IF(AA660&lt;&gt;"ja",_xlfn.IFNA(_xlfn.IFS(AND(O660&lt;&gt;"",F660&lt;&gt;"",RIGHT($N660,6)="tarief",F660="Vergoeding"),SUM(O660)*FLOOR(SUM(Q660),0.0001),AND(O660&lt;&gt;"",F660&lt;&gt;"",RIGHT($N660,6)="tarief"),SUM(O660)*FLOOR(SUM(Q660),0.01),S660&gt;0,IF(F660&lt;&gt;"",FLOOR(SUM(S660),0.01),"")),""),""),"")</f>
        <v/>
      </c>
      <c r="V660" s="317" t="str" cm="1">
        <f t="array" aca="1" ref="V660" ca="1">IFERROR(IF(AA660&lt;&gt;"ja",_xlfn.IFNA(_xlfn.IFS(AND(P660&lt;&gt;"",R660&lt;&gt;"",RIGHT($N660,6)="tarief",F660="Vergoeding"),SUM(P660)*FLOOR(SUM(R660),0.0001),AND(P660&lt;&gt;"",R660&lt;&gt;"",RIGHT($N660,6)="tarief"),P660*FLOOR(R660,0.01),T660&gt;0,FLOOR(SUM(T660),0.01)),""),""),"")</f>
        <v/>
      </c>
      <c r="W660" s="317" t="str" cm="1">
        <f t="array" aca="1" ref="W660" ca="1">IFERROR(_xlfn.IFS(OR(F660="",LEFT(Methode_Keuze,4)="Geen",Methode_Keuze=""),"",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17" t="str" cm="1">
        <f t="array" aca="1" ref="X660" ca="1">IFERROR(_xlfn.IFS(OR(F660="",LEFT(Methode_Keuze,4)="Geen",Methode_Keuze=""),"",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26"/>
      <c r="Z660" s="319"/>
      <c r="AA660" s="32" t="str" cm="1">
        <f t="array" ref="AA660">IFERROR(IF(INDEX(SubsidieTabel!$AD$1:$AG$12,MATCH($F660,SubsidieTabel!$AD$1:$AD$12,0),IFERROR(MATCH(Methode_Keuze,SubsidieTabel!$AD$1:$AG$1,0),2))&lt;&gt;1=TRUE,"ja",""),"")</f>
        <v/>
      </c>
    </row>
    <row r="661" spans="1:27" x14ac:dyDescent="0.25">
      <c r="A661" s="320"/>
      <c r="B661" s="321" t="str">
        <f>IF(A661&lt;&gt;"",_xlfn.MAXIFS($B$1:B660,$A$1:A660,A661)+1,"")</f>
        <v/>
      </c>
      <c r="C661" s="299"/>
      <c r="D661" s="299"/>
      <c r="E661" s="299"/>
      <c r="F661" s="299"/>
      <c r="G661" s="330"/>
      <c r="H661" s="328"/>
      <c r="I661" s="329"/>
      <c r="J661" s="329"/>
      <c r="K661" s="322"/>
      <c r="L661" s="322"/>
      <c r="M661" s="323" t="str">
        <f>IFERROR(VLOOKUP(H661,Lijsten!$H$1:$I$100,2,0),"")</f>
        <v/>
      </c>
      <c r="N661" s="323" t="str">
        <f ca="1">IFERROR(IF(VLOOKUP(F661,Kostentypen!$A$3:$E$21,3,0)=0,"",IF(OR(F661="Arbeidskosten",F661="Vergoeding"),VLOOKUP(G661,Tb_KostenTypen[],2,0),VLOOKUP(F661,Kostentypen!$A$3:$E$20,3,0))),"")</f>
        <v/>
      </c>
      <c r="O661" s="324"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4"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3"/>
      <c r="R661" s="363"/>
      <c r="S661" s="325"/>
      <c r="T661" s="325"/>
      <c r="U661" s="317" t="str" cm="1">
        <f t="array" aca="1" ref="U661" ca="1">IFERROR(IF(AA661&lt;&gt;"ja",_xlfn.IFNA(_xlfn.IFS(AND(O661&lt;&gt;"",F661&lt;&gt;"",RIGHT($N661,6)="tarief",F661="Vergoeding"),SUM(O661)*FLOOR(SUM(Q661),0.0001),AND(O661&lt;&gt;"",F661&lt;&gt;"",RIGHT($N661,6)="tarief"),SUM(O661)*FLOOR(SUM(Q661),0.01),S661&gt;0,IF(F661&lt;&gt;"",FLOOR(SUM(S661),0.01),"")),""),""),"")</f>
        <v/>
      </c>
      <c r="V661" s="317" t="str" cm="1">
        <f t="array" aca="1" ref="V661" ca="1">IFERROR(IF(AA661&lt;&gt;"ja",_xlfn.IFNA(_xlfn.IFS(AND(P661&lt;&gt;"",R661&lt;&gt;"",RIGHT($N661,6)="tarief",F661="Vergoeding"),SUM(P661)*FLOOR(SUM(R661),0.0001),AND(P661&lt;&gt;"",R661&lt;&gt;"",RIGHT($N661,6)="tarief"),P661*FLOOR(R661,0.01),T661&gt;0,FLOOR(SUM(T661),0.01)),""),""),"")</f>
        <v/>
      </c>
      <c r="W661" s="317" t="str" cm="1">
        <f t="array" aca="1" ref="W661" ca="1">IFERROR(_xlfn.IFS(OR(F661="",LEFT(Methode_Keuze,4)="Geen",Methode_Keuze=""),"",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17" t="str" cm="1">
        <f t="array" aca="1" ref="X661" ca="1">IFERROR(_xlfn.IFS(OR(F661="",LEFT(Methode_Keuze,4)="Geen",Methode_Keuze=""),"",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26"/>
      <c r="Z661" s="319"/>
      <c r="AA661" s="32" t="str" cm="1">
        <f t="array" ref="AA661">IFERROR(IF(INDEX(SubsidieTabel!$AD$1:$AG$12,MATCH($F661,SubsidieTabel!$AD$1:$AD$12,0),IFERROR(MATCH(Methode_Keuze,SubsidieTabel!$AD$1:$AG$1,0),2))&lt;&gt;1=TRUE,"ja",""),"")</f>
        <v/>
      </c>
    </row>
    <row r="662" spans="1:27" x14ac:dyDescent="0.25">
      <c r="A662" s="320"/>
      <c r="B662" s="321" t="str">
        <f>IF(A662&lt;&gt;"",_xlfn.MAXIFS($B$1:B661,$A$1:A661,A662)+1,"")</f>
        <v/>
      </c>
      <c r="C662" s="299"/>
      <c r="D662" s="299"/>
      <c r="E662" s="299"/>
      <c r="F662" s="299"/>
      <c r="G662" s="330"/>
      <c r="H662" s="328"/>
      <c r="I662" s="329"/>
      <c r="J662" s="329"/>
      <c r="K662" s="322"/>
      <c r="L662" s="322"/>
      <c r="M662" s="323" t="str">
        <f>IFERROR(VLOOKUP(H662,Lijsten!$H$1:$I$100,2,0),"")</f>
        <v/>
      </c>
      <c r="N662" s="323" t="str">
        <f ca="1">IFERROR(IF(VLOOKUP(F662,Kostentypen!$A$3:$E$21,3,0)=0,"",IF(OR(F662="Arbeidskosten",F662="Vergoeding"),VLOOKUP(G662,Tb_KostenTypen[],2,0),VLOOKUP(F662,Kostentypen!$A$3:$E$20,3,0))),"")</f>
        <v/>
      </c>
      <c r="O662" s="324"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4"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3"/>
      <c r="R662" s="363"/>
      <c r="S662" s="325"/>
      <c r="T662" s="325"/>
      <c r="U662" s="317" t="str" cm="1">
        <f t="array" aca="1" ref="U662" ca="1">IFERROR(IF(AA662&lt;&gt;"ja",_xlfn.IFNA(_xlfn.IFS(AND(O662&lt;&gt;"",F662&lt;&gt;"",RIGHT($N662,6)="tarief",F662="Vergoeding"),SUM(O662)*FLOOR(SUM(Q662),0.0001),AND(O662&lt;&gt;"",F662&lt;&gt;"",RIGHT($N662,6)="tarief"),SUM(O662)*FLOOR(SUM(Q662),0.01),S662&gt;0,IF(F662&lt;&gt;"",FLOOR(SUM(S662),0.01),"")),""),""),"")</f>
        <v/>
      </c>
      <c r="V662" s="317" t="str" cm="1">
        <f t="array" aca="1" ref="V662" ca="1">IFERROR(IF(AA662&lt;&gt;"ja",_xlfn.IFNA(_xlfn.IFS(AND(P662&lt;&gt;"",R662&lt;&gt;"",RIGHT($N662,6)="tarief",F662="Vergoeding"),SUM(P662)*FLOOR(SUM(R662),0.0001),AND(P662&lt;&gt;"",R662&lt;&gt;"",RIGHT($N662,6)="tarief"),P662*FLOOR(R662,0.01),T662&gt;0,FLOOR(SUM(T662),0.01)),""),""),"")</f>
        <v/>
      </c>
      <c r="W662" s="317" t="str" cm="1">
        <f t="array" aca="1" ref="W662" ca="1">IFERROR(_xlfn.IFS(OR(F662="",LEFT(Methode_Keuze,4)="Geen",Methode_Keuze=""),"",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17" t="str" cm="1">
        <f t="array" aca="1" ref="X662" ca="1">IFERROR(_xlfn.IFS(OR(F662="",LEFT(Methode_Keuze,4)="Geen",Methode_Keuze=""),"",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26"/>
      <c r="Z662" s="319"/>
      <c r="AA662" s="32" t="str" cm="1">
        <f t="array" ref="AA662">IFERROR(IF(INDEX(SubsidieTabel!$AD$1:$AG$12,MATCH($F662,SubsidieTabel!$AD$1:$AD$12,0),IFERROR(MATCH(Methode_Keuze,SubsidieTabel!$AD$1:$AG$1,0),2))&lt;&gt;1=TRUE,"ja",""),"")</f>
        <v/>
      </c>
    </row>
    <row r="663" spans="1:27" x14ac:dyDescent="0.25">
      <c r="A663" s="320"/>
      <c r="B663" s="321" t="str">
        <f>IF(A663&lt;&gt;"",_xlfn.MAXIFS($B$1:B662,$A$1:A662,A663)+1,"")</f>
        <v/>
      </c>
      <c r="C663" s="299"/>
      <c r="D663" s="299"/>
      <c r="E663" s="299"/>
      <c r="F663" s="299"/>
      <c r="G663" s="330"/>
      <c r="H663" s="328"/>
      <c r="I663" s="329"/>
      <c r="J663" s="329"/>
      <c r="K663" s="322"/>
      <c r="L663" s="322"/>
      <c r="M663" s="323" t="str">
        <f>IFERROR(VLOOKUP(H663,Lijsten!$H$1:$I$100,2,0),"")</f>
        <v/>
      </c>
      <c r="N663" s="323" t="str">
        <f ca="1">IFERROR(IF(VLOOKUP(F663,Kostentypen!$A$3:$E$21,3,0)=0,"",IF(OR(F663="Arbeidskosten",F663="Vergoeding"),VLOOKUP(G663,Tb_KostenTypen[],2,0),VLOOKUP(F663,Kostentypen!$A$3:$E$20,3,0))),"")</f>
        <v/>
      </c>
      <c r="O663" s="324"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4"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3"/>
      <c r="R663" s="363"/>
      <c r="S663" s="325"/>
      <c r="T663" s="325"/>
      <c r="U663" s="317" t="str" cm="1">
        <f t="array" aca="1" ref="U663" ca="1">IFERROR(IF(AA663&lt;&gt;"ja",_xlfn.IFNA(_xlfn.IFS(AND(O663&lt;&gt;"",F663&lt;&gt;"",RIGHT($N663,6)="tarief",F663="Vergoeding"),SUM(O663)*FLOOR(SUM(Q663),0.0001),AND(O663&lt;&gt;"",F663&lt;&gt;"",RIGHT($N663,6)="tarief"),SUM(O663)*FLOOR(SUM(Q663),0.01),S663&gt;0,IF(F663&lt;&gt;"",FLOOR(SUM(S663),0.01),"")),""),""),"")</f>
        <v/>
      </c>
      <c r="V663" s="317" t="str" cm="1">
        <f t="array" aca="1" ref="V663" ca="1">IFERROR(IF(AA663&lt;&gt;"ja",_xlfn.IFNA(_xlfn.IFS(AND(P663&lt;&gt;"",R663&lt;&gt;"",RIGHT($N663,6)="tarief",F663="Vergoeding"),SUM(P663)*FLOOR(SUM(R663),0.0001),AND(P663&lt;&gt;"",R663&lt;&gt;"",RIGHT($N663,6)="tarief"),P663*FLOOR(R663,0.01),T663&gt;0,FLOOR(SUM(T663),0.01)),""),""),"")</f>
        <v/>
      </c>
      <c r="W663" s="317" t="str" cm="1">
        <f t="array" aca="1" ref="W663" ca="1">IFERROR(_xlfn.IFS(OR(F663="",LEFT(Methode_Keuze,4)="Geen",Methode_Keuze=""),"",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17" t="str" cm="1">
        <f t="array" aca="1" ref="X663" ca="1">IFERROR(_xlfn.IFS(OR(F663="",LEFT(Methode_Keuze,4)="Geen",Methode_Keuze=""),"",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26"/>
      <c r="Z663" s="319"/>
      <c r="AA663" s="32" t="str" cm="1">
        <f t="array" ref="AA663">IFERROR(IF(INDEX(SubsidieTabel!$AD$1:$AG$12,MATCH($F663,SubsidieTabel!$AD$1:$AD$12,0),IFERROR(MATCH(Methode_Keuze,SubsidieTabel!$AD$1:$AG$1,0),2))&lt;&gt;1=TRUE,"ja",""),"")</f>
        <v/>
      </c>
    </row>
    <row r="664" spans="1:27" x14ac:dyDescent="0.25">
      <c r="A664" s="320"/>
      <c r="B664" s="321" t="str">
        <f>IF(A664&lt;&gt;"",_xlfn.MAXIFS($B$1:B663,$A$1:A663,A664)+1,"")</f>
        <v/>
      </c>
      <c r="C664" s="299"/>
      <c r="D664" s="299"/>
      <c r="E664" s="299"/>
      <c r="F664" s="299"/>
      <c r="G664" s="330"/>
      <c r="H664" s="328"/>
      <c r="I664" s="329"/>
      <c r="J664" s="329"/>
      <c r="K664" s="322"/>
      <c r="L664" s="322"/>
      <c r="M664" s="323" t="str">
        <f>IFERROR(VLOOKUP(H664,Lijsten!$H$1:$I$100,2,0),"")</f>
        <v/>
      </c>
      <c r="N664" s="323" t="str">
        <f ca="1">IFERROR(IF(VLOOKUP(F664,Kostentypen!$A$3:$E$21,3,0)=0,"",IF(OR(F664="Arbeidskosten",F664="Vergoeding"),VLOOKUP(G664,Tb_KostenTypen[],2,0),VLOOKUP(F664,Kostentypen!$A$3:$E$20,3,0))),"")</f>
        <v/>
      </c>
      <c r="O664" s="324"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4"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3"/>
      <c r="R664" s="363"/>
      <c r="S664" s="325"/>
      <c r="T664" s="325"/>
      <c r="U664" s="317" t="str" cm="1">
        <f t="array" aca="1" ref="U664" ca="1">IFERROR(IF(AA664&lt;&gt;"ja",_xlfn.IFNA(_xlfn.IFS(AND(O664&lt;&gt;"",F664&lt;&gt;"",RIGHT($N664,6)="tarief",F664="Vergoeding"),SUM(O664)*FLOOR(SUM(Q664),0.0001),AND(O664&lt;&gt;"",F664&lt;&gt;"",RIGHT($N664,6)="tarief"),SUM(O664)*FLOOR(SUM(Q664),0.01),S664&gt;0,IF(F664&lt;&gt;"",FLOOR(SUM(S664),0.01),"")),""),""),"")</f>
        <v/>
      </c>
      <c r="V664" s="317" t="str" cm="1">
        <f t="array" aca="1" ref="V664" ca="1">IFERROR(IF(AA664&lt;&gt;"ja",_xlfn.IFNA(_xlfn.IFS(AND(P664&lt;&gt;"",R664&lt;&gt;"",RIGHT($N664,6)="tarief",F664="Vergoeding"),SUM(P664)*FLOOR(SUM(R664),0.0001),AND(P664&lt;&gt;"",R664&lt;&gt;"",RIGHT($N664,6)="tarief"),P664*FLOOR(R664,0.01),T664&gt;0,FLOOR(SUM(T664),0.01)),""),""),"")</f>
        <v/>
      </c>
      <c r="W664" s="317" t="str" cm="1">
        <f t="array" aca="1" ref="W664" ca="1">IFERROR(_xlfn.IFS(OR(F664="",LEFT(Methode_Keuze,4)="Geen",Methode_Keuze=""),"",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17" t="str" cm="1">
        <f t="array" aca="1" ref="X664" ca="1">IFERROR(_xlfn.IFS(OR(F664="",LEFT(Methode_Keuze,4)="Geen",Methode_Keuze=""),"",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26"/>
      <c r="Z664" s="319"/>
      <c r="AA664" s="32" t="str" cm="1">
        <f t="array" ref="AA664">IFERROR(IF(INDEX(SubsidieTabel!$AD$1:$AG$12,MATCH($F664,SubsidieTabel!$AD$1:$AD$12,0),IFERROR(MATCH(Methode_Keuze,SubsidieTabel!$AD$1:$AG$1,0),2))&lt;&gt;1=TRUE,"ja",""),"")</f>
        <v/>
      </c>
    </row>
    <row r="665" spans="1:27" x14ac:dyDescent="0.25">
      <c r="A665" s="320"/>
      <c r="B665" s="321" t="str">
        <f>IF(A665&lt;&gt;"",_xlfn.MAXIFS($B$1:B664,$A$1:A664,A665)+1,"")</f>
        <v/>
      </c>
      <c r="C665" s="299"/>
      <c r="D665" s="299"/>
      <c r="E665" s="299"/>
      <c r="F665" s="299"/>
      <c r="G665" s="330"/>
      <c r="H665" s="328"/>
      <c r="I665" s="329"/>
      <c r="J665" s="329"/>
      <c r="K665" s="322"/>
      <c r="L665" s="322"/>
      <c r="M665" s="323" t="str">
        <f>IFERROR(VLOOKUP(H665,Lijsten!$H$1:$I$100,2,0),"")</f>
        <v/>
      </c>
      <c r="N665" s="323" t="str">
        <f ca="1">IFERROR(IF(VLOOKUP(F665,Kostentypen!$A$3:$E$21,3,0)=0,"",IF(OR(F665="Arbeidskosten",F665="Vergoeding"),VLOOKUP(G665,Tb_KostenTypen[],2,0),VLOOKUP(F665,Kostentypen!$A$3:$E$20,3,0))),"")</f>
        <v/>
      </c>
      <c r="O665" s="324"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4"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3"/>
      <c r="R665" s="363"/>
      <c r="S665" s="325"/>
      <c r="T665" s="325"/>
      <c r="U665" s="317" t="str" cm="1">
        <f t="array" aca="1" ref="U665" ca="1">IFERROR(IF(AA665&lt;&gt;"ja",_xlfn.IFNA(_xlfn.IFS(AND(O665&lt;&gt;"",F665&lt;&gt;"",RIGHT($N665,6)="tarief",F665="Vergoeding"),SUM(O665)*FLOOR(SUM(Q665),0.0001),AND(O665&lt;&gt;"",F665&lt;&gt;"",RIGHT($N665,6)="tarief"),SUM(O665)*FLOOR(SUM(Q665),0.01),S665&gt;0,IF(F665&lt;&gt;"",FLOOR(SUM(S665),0.01),"")),""),""),"")</f>
        <v/>
      </c>
      <c r="V665" s="317" t="str" cm="1">
        <f t="array" aca="1" ref="V665" ca="1">IFERROR(IF(AA665&lt;&gt;"ja",_xlfn.IFNA(_xlfn.IFS(AND(P665&lt;&gt;"",R665&lt;&gt;"",RIGHT($N665,6)="tarief",F665="Vergoeding"),SUM(P665)*FLOOR(SUM(R665),0.0001),AND(P665&lt;&gt;"",R665&lt;&gt;"",RIGHT($N665,6)="tarief"),P665*FLOOR(R665,0.01),T665&gt;0,FLOOR(SUM(T665),0.01)),""),""),"")</f>
        <v/>
      </c>
      <c r="W665" s="317" t="str" cm="1">
        <f t="array" aca="1" ref="W665" ca="1">IFERROR(_xlfn.IFS(OR(F665="",LEFT(Methode_Keuze,4)="Geen",Methode_Keuze=""),"",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17" t="str" cm="1">
        <f t="array" aca="1" ref="X665" ca="1">IFERROR(_xlfn.IFS(OR(F665="",LEFT(Methode_Keuze,4)="Geen",Methode_Keuze=""),"",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26"/>
      <c r="Z665" s="319"/>
      <c r="AA665" s="32" t="str" cm="1">
        <f t="array" ref="AA665">IFERROR(IF(INDEX(SubsidieTabel!$AD$1:$AG$12,MATCH($F665,SubsidieTabel!$AD$1:$AD$12,0),IFERROR(MATCH(Methode_Keuze,SubsidieTabel!$AD$1:$AG$1,0),2))&lt;&gt;1=TRUE,"ja",""),"")</f>
        <v/>
      </c>
    </row>
    <row r="666" spans="1:27" x14ac:dyDescent="0.25">
      <c r="A666" s="320"/>
      <c r="B666" s="321" t="str">
        <f>IF(A666&lt;&gt;"",_xlfn.MAXIFS($B$1:B665,$A$1:A665,A666)+1,"")</f>
        <v/>
      </c>
      <c r="C666" s="299"/>
      <c r="D666" s="299"/>
      <c r="E666" s="299"/>
      <c r="F666" s="299"/>
      <c r="G666" s="330"/>
      <c r="H666" s="328"/>
      <c r="I666" s="329"/>
      <c r="J666" s="329"/>
      <c r="K666" s="322"/>
      <c r="L666" s="322"/>
      <c r="M666" s="323" t="str">
        <f>IFERROR(VLOOKUP(H666,Lijsten!$H$1:$I$100,2,0),"")</f>
        <v/>
      </c>
      <c r="N666" s="323" t="str">
        <f ca="1">IFERROR(IF(VLOOKUP(F666,Kostentypen!$A$3:$E$21,3,0)=0,"",IF(OR(F666="Arbeidskosten",F666="Vergoeding"),VLOOKUP(G666,Tb_KostenTypen[],2,0),VLOOKUP(F666,Kostentypen!$A$3:$E$20,3,0))),"")</f>
        <v/>
      </c>
      <c r="O666" s="324"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4"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3"/>
      <c r="R666" s="363"/>
      <c r="S666" s="325"/>
      <c r="T666" s="325"/>
      <c r="U666" s="317" t="str" cm="1">
        <f t="array" aca="1" ref="U666" ca="1">IFERROR(IF(AA666&lt;&gt;"ja",_xlfn.IFNA(_xlfn.IFS(AND(O666&lt;&gt;"",F666&lt;&gt;"",RIGHT($N666,6)="tarief",F666="Vergoeding"),SUM(O666)*FLOOR(SUM(Q666),0.0001),AND(O666&lt;&gt;"",F666&lt;&gt;"",RIGHT($N666,6)="tarief"),SUM(O666)*FLOOR(SUM(Q666),0.01),S666&gt;0,IF(F666&lt;&gt;"",FLOOR(SUM(S666),0.01),"")),""),""),"")</f>
        <v/>
      </c>
      <c r="V666" s="317" t="str" cm="1">
        <f t="array" aca="1" ref="V666" ca="1">IFERROR(IF(AA666&lt;&gt;"ja",_xlfn.IFNA(_xlfn.IFS(AND(P666&lt;&gt;"",R666&lt;&gt;"",RIGHT($N666,6)="tarief",F666="Vergoeding"),SUM(P666)*FLOOR(SUM(R666),0.0001),AND(P666&lt;&gt;"",R666&lt;&gt;"",RIGHT($N666,6)="tarief"),P666*FLOOR(R666,0.01),T666&gt;0,FLOOR(SUM(T666),0.01)),""),""),"")</f>
        <v/>
      </c>
      <c r="W666" s="317" t="str" cm="1">
        <f t="array" aca="1" ref="W666" ca="1">IFERROR(_xlfn.IFS(OR(F666="",LEFT(Methode_Keuze,4)="Geen",Methode_Keuze=""),"",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17" t="str" cm="1">
        <f t="array" aca="1" ref="X666" ca="1">IFERROR(_xlfn.IFS(OR(F666="",LEFT(Methode_Keuze,4)="Geen",Methode_Keuze=""),"",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26"/>
      <c r="Z666" s="319"/>
      <c r="AA666" s="32" t="str" cm="1">
        <f t="array" ref="AA666">IFERROR(IF(INDEX(SubsidieTabel!$AD$1:$AG$12,MATCH($F666,SubsidieTabel!$AD$1:$AD$12,0),IFERROR(MATCH(Methode_Keuze,SubsidieTabel!$AD$1:$AG$1,0),2))&lt;&gt;1=TRUE,"ja",""),"")</f>
        <v/>
      </c>
    </row>
    <row r="667" spans="1:27" x14ac:dyDescent="0.25">
      <c r="A667" s="320"/>
      <c r="B667" s="321" t="str">
        <f>IF(A667&lt;&gt;"",_xlfn.MAXIFS($B$1:B666,$A$1:A666,A667)+1,"")</f>
        <v/>
      </c>
      <c r="C667" s="299"/>
      <c r="D667" s="299"/>
      <c r="E667" s="299"/>
      <c r="F667" s="299"/>
      <c r="G667" s="330"/>
      <c r="H667" s="328"/>
      <c r="I667" s="329"/>
      <c r="J667" s="329"/>
      <c r="K667" s="322"/>
      <c r="L667" s="322"/>
      <c r="M667" s="323" t="str">
        <f>IFERROR(VLOOKUP(H667,Lijsten!$H$1:$I$100,2,0),"")</f>
        <v/>
      </c>
      <c r="N667" s="323" t="str">
        <f ca="1">IFERROR(IF(VLOOKUP(F667,Kostentypen!$A$3:$E$21,3,0)=0,"",IF(OR(F667="Arbeidskosten",F667="Vergoeding"),VLOOKUP(G667,Tb_KostenTypen[],2,0),VLOOKUP(F667,Kostentypen!$A$3:$E$20,3,0))),"")</f>
        <v/>
      </c>
      <c r="O667" s="324"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4"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3"/>
      <c r="R667" s="363"/>
      <c r="S667" s="325"/>
      <c r="T667" s="325"/>
      <c r="U667" s="317" t="str" cm="1">
        <f t="array" aca="1" ref="U667" ca="1">IFERROR(IF(AA667&lt;&gt;"ja",_xlfn.IFNA(_xlfn.IFS(AND(O667&lt;&gt;"",F667&lt;&gt;"",RIGHT($N667,6)="tarief",F667="Vergoeding"),SUM(O667)*FLOOR(SUM(Q667),0.0001),AND(O667&lt;&gt;"",F667&lt;&gt;"",RIGHT($N667,6)="tarief"),SUM(O667)*FLOOR(SUM(Q667),0.01),S667&gt;0,IF(F667&lt;&gt;"",FLOOR(SUM(S667),0.01),"")),""),""),"")</f>
        <v/>
      </c>
      <c r="V667" s="317" t="str" cm="1">
        <f t="array" aca="1" ref="V667" ca="1">IFERROR(IF(AA667&lt;&gt;"ja",_xlfn.IFNA(_xlfn.IFS(AND(P667&lt;&gt;"",R667&lt;&gt;"",RIGHT($N667,6)="tarief",F667="Vergoeding"),SUM(P667)*FLOOR(SUM(R667),0.0001),AND(P667&lt;&gt;"",R667&lt;&gt;"",RIGHT($N667,6)="tarief"),P667*FLOOR(R667,0.01),T667&gt;0,FLOOR(SUM(T667),0.01)),""),""),"")</f>
        <v/>
      </c>
      <c r="W667" s="317" t="str" cm="1">
        <f t="array" aca="1" ref="W667" ca="1">IFERROR(_xlfn.IFS(OR(F667="",LEFT(Methode_Keuze,4)="Geen",Methode_Keuze=""),"",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17" t="str" cm="1">
        <f t="array" aca="1" ref="X667" ca="1">IFERROR(_xlfn.IFS(OR(F667="",LEFT(Methode_Keuze,4)="Geen",Methode_Keuze=""),"",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26"/>
      <c r="Z667" s="319"/>
      <c r="AA667" s="32" t="str" cm="1">
        <f t="array" ref="AA667">IFERROR(IF(INDEX(SubsidieTabel!$AD$1:$AG$12,MATCH($F667,SubsidieTabel!$AD$1:$AD$12,0),IFERROR(MATCH(Methode_Keuze,SubsidieTabel!$AD$1:$AG$1,0),2))&lt;&gt;1=TRUE,"ja",""),"")</f>
        <v/>
      </c>
    </row>
    <row r="668" spans="1:27" x14ac:dyDescent="0.25">
      <c r="A668" s="320"/>
      <c r="B668" s="321" t="str">
        <f>IF(A668&lt;&gt;"",_xlfn.MAXIFS($B$1:B667,$A$1:A667,A668)+1,"")</f>
        <v/>
      </c>
      <c r="C668" s="299"/>
      <c r="D668" s="299"/>
      <c r="E668" s="299"/>
      <c r="F668" s="299"/>
      <c r="G668" s="330"/>
      <c r="H668" s="328"/>
      <c r="I668" s="329"/>
      <c r="J668" s="329"/>
      <c r="K668" s="322"/>
      <c r="L668" s="322"/>
      <c r="M668" s="323" t="str">
        <f>IFERROR(VLOOKUP(H668,Lijsten!$H$1:$I$100,2,0),"")</f>
        <v/>
      </c>
      <c r="N668" s="323" t="str">
        <f ca="1">IFERROR(IF(VLOOKUP(F668,Kostentypen!$A$3:$E$21,3,0)=0,"",IF(OR(F668="Arbeidskosten",F668="Vergoeding"),VLOOKUP(G668,Tb_KostenTypen[],2,0),VLOOKUP(F668,Kostentypen!$A$3:$E$20,3,0))),"")</f>
        <v/>
      </c>
      <c r="O668" s="324"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4"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3"/>
      <c r="R668" s="363"/>
      <c r="S668" s="325"/>
      <c r="T668" s="325"/>
      <c r="U668" s="317" t="str" cm="1">
        <f t="array" aca="1" ref="U668" ca="1">IFERROR(IF(AA668&lt;&gt;"ja",_xlfn.IFNA(_xlfn.IFS(AND(O668&lt;&gt;"",F668&lt;&gt;"",RIGHT($N668,6)="tarief",F668="Vergoeding"),SUM(O668)*FLOOR(SUM(Q668),0.0001),AND(O668&lt;&gt;"",F668&lt;&gt;"",RIGHT($N668,6)="tarief"),SUM(O668)*FLOOR(SUM(Q668),0.01),S668&gt;0,IF(F668&lt;&gt;"",FLOOR(SUM(S668),0.01),"")),""),""),"")</f>
        <v/>
      </c>
      <c r="V668" s="317" t="str" cm="1">
        <f t="array" aca="1" ref="V668" ca="1">IFERROR(IF(AA668&lt;&gt;"ja",_xlfn.IFNA(_xlfn.IFS(AND(P668&lt;&gt;"",R668&lt;&gt;"",RIGHT($N668,6)="tarief",F668="Vergoeding"),SUM(P668)*FLOOR(SUM(R668),0.0001),AND(P668&lt;&gt;"",R668&lt;&gt;"",RIGHT($N668,6)="tarief"),P668*FLOOR(R668,0.01),T668&gt;0,FLOOR(SUM(T668),0.01)),""),""),"")</f>
        <v/>
      </c>
      <c r="W668" s="317" t="str" cm="1">
        <f t="array" aca="1" ref="W668" ca="1">IFERROR(_xlfn.IFS(OR(F668="",LEFT(Methode_Keuze,4)="Geen",Methode_Keuze=""),"",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17" t="str" cm="1">
        <f t="array" aca="1" ref="X668" ca="1">IFERROR(_xlfn.IFS(OR(F668="",LEFT(Methode_Keuze,4)="Geen",Methode_Keuze=""),"",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26"/>
      <c r="Z668" s="319"/>
      <c r="AA668" s="32" t="str" cm="1">
        <f t="array" ref="AA668">IFERROR(IF(INDEX(SubsidieTabel!$AD$1:$AG$12,MATCH($F668,SubsidieTabel!$AD$1:$AD$12,0),IFERROR(MATCH(Methode_Keuze,SubsidieTabel!$AD$1:$AG$1,0),2))&lt;&gt;1=TRUE,"ja",""),"")</f>
        <v/>
      </c>
    </row>
    <row r="669" spans="1:27" x14ac:dyDescent="0.25">
      <c r="A669" s="320"/>
      <c r="B669" s="321" t="str">
        <f>IF(A669&lt;&gt;"",_xlfn.MAXIFS($B$1:B668,$A$1:A668,A669)+1,"")</f>
        <v/>
      </c>
      <c r="C669" s="299"/>
      <c r="D669" s="299"/>
      <c r="E669" s="299"/>
      <c r="F669" s="299"/>
      <c r="G669" s="330"/>
      <c r="H669" s="328"/>
      <c r="I669" s="329"/>
      <c r="J669" s="329"/>
      <c r="K669" s="322"/>
      <c r="L669" s="322"/>
      <c r="M669" s="323" t="str">
        <f>IFERROR(VLOOKUP(H669,Lijsten!$H$1:$I$100,2,0),"")</f>
        <v/>
      </c>
      <c r="N669" s="323" t="str">
        <f ca="1">IFERROR(IF(VLOOKUP(F669,Kostentypen!$A$3:$E$21,3,0)=0,"",IF(OR(F669="Arbeidskosten",F669="Vergoeding"),VLOOKUP(G669,Tb_KostenTypen[],2,0),VLOOKUP(F669,Kostentypen!$A$3:$E$20,3,0))),"")</f>
        <v/>
      </c>
      <c r="O669" s="324"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4"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3"/>
      <c r="R669" s="363"/>
      <c r="S669" s="325"/>
      <c r="T669" s="325"/>
      <c r="U669" s="317" t="str" cm="1">
        <f t="array" aca="1" ref="U669" ca="1">IFERROR(IF(AA669&lt;&gt;"ja",_xlfn.IFNA(_xlfn.IFS(AND(O669&lt;&gt;"",F669&lt;&gt;"",RIGHT($N669,6)="tarief",F669="Vergoeding"),SUM(O669)*FLOOR(SUM(Q669),0.0001),AND(O669&lt;&gt;"",F669&lt;&gt;"",RIGHT($N669,6)="tarief"),SUM(O669)*FLOOR(SUM(Q669),0.01),S669&gt;0,IF(F669&lt;&gt;"",FLOOR(SUM(S669),0.01),"")),""),""),"")</f>
        <v/>
      </c>
      <c r="V669" s="317" t="str" cm="1">
        <f t="array" aca="1" ref="V669" ca="1">IFERROR(IF(AA669&lt;&gt;"ja",_xlfn.IFNA(_xlfn.IFS(AND(P669&lt;&gt;"",R669&lt;&gt;"",RIGHT($N669,6)="tarief",F669="Vergoeding"),SUM(P669)*FLOOR(SUM(R669),0.0001),AND(P669&lt;&gt;"",R669&lt;&gt;"",RIGHT($N669,6)="tarief"),P669*FLOOR(R669,0.01),T669&gt;0,FLOOR(SUM(T669),0.01)),""),""),"")</f>
        <v/>
      </c>
      <c r="W669" s="317" t="str" cm="1">
        <f t="array" aca="1" ref="W669" ca="1">IFERROR(_xlfn.IFS(OR(F669="",LEFT(Methode_Keuze,4)="Geen",Methode_Keuze=""),"",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17" t="str" cm="1">
        <f t="array" aca="1" ref="X669" ca="1">IFERROR(_xlfn.IFS(OR(F669="",LEFT(Methode_Keuze,4)="Geen",Methode_Keuze=""),"",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26"/>
      <c r="Z669" s="319"/>
      <c r="AA669" s="32" t="str" cm="1">
        <f t="array" ref="AA669">IFERROR(IF(INDEX(SubsidieTabel!$AD$1:$AG$12,MATCH($F669,SubsidieTabel!$AD$1:$AD$12,0),IFERROR(MATCH(Methode_Keuze,SubsidieTabel!$AD$1:$AG$1,0),2))&lt;&gt;1=TRUE,"ja",""),"")</f>
        <v/>
      </c>
    </row>
    <row r="670" spans="1:27" x14ac:dyDescent="0.25">
      <c r="A670" s="320"/>
      <c r="B670" s="321" t="str">
        <f>IF(A670&lt;&gt;"",_xlfn.MAXIFS($B$1:B669,$A$1:A669,A670)+1,"")</f>
        <v/>
      </c>
      <c r="C670" s="299"/>
      <c r="D670" s="299"/>
      <c r="E670" s="299"/>
      <c r="F670" s="299"/>
      <c r="G670" s="330"/>
      <c r="H670" s="328"/>
      <c r="I670" s="329"/>
      <c r="J670" s="329"/>
      <c r="K670" s="322"/>
      <c r="L670" s="322"/>
      <c r="M670" s="323" t="str">
        <f>IFERROR(VLOOKUP(H670,Lijsten!$H$1:$I$100,2,0),"")</f>
        <v/>
      </c>
      <c r="N670" s="323" t="str">
        <f ca="1">IFERROR(IF(VLOOKUP(F670,Kostentypen!$A$3:$E$21,3,0)=0,"",IF(OR(F670="Arbeidskosten",F670="Vergoeding"),VLOOKUP(G670,Tb_KostenTypen[],2,0),VLOOKUP(F670,Kostentypen!$A$3:$E$20,3,0))),"")</f>
        <v/>
      </c>
      <c r="O670" s="324"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4"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3"/>
      <c r="R670" s="363"/>
      <c r="S670" s="325"/>
      <c r="T670" s="325"/>
      <c r="U670" s="317" t="str" cm="1">
        <f t="array" aca="1" ref="U670" ca="1">IFERROR(IF(AA670&lt;&gt;"ja",_xlfn.IFNA(_xlfn.IFS(AND(O670&lt;&gt;"",F670&lt;&gt;"",RIGHT($N670,6)="tarief",F670="Vergoeding"),SUM(O670)*FLOOR(SUM(Q670),0.0001),AND(O670&lt;&gt;"",F670&lt;&gt;"",RIGHT($N670,6)="tarief"),SUM(O670)*FLOOR(SUM(Q670),0.01),S670&gt;0,IF(F670&lt;&gt;"",FLOOR(SUM(S670),0.01),"")),""),""),"")</f>
        <v/>
      </c>
      <c r="V670" s="317" t="str" cm="1">
        <f t="array" aca="1" ref="V670" ca="1">IFERROR(IF(AA670&lt;&gt;"ja",_xlfn.IFNA(_xlfn.IFS(AND(P670&lt;&gt;"",R670&lt;&gt;"",RIGHT($N670,6)="tarief",F670="Vergoeding"),SUM(P670)*FLOOR(SUM(R670),0.0001),AND(P670&lt;&gt;"",R670&lt;&gt;"",RIGHT($N670,6)="tarief"),P670*FLOOR(R670,0.01),T670&gt;0,FLOOR(SUM(T670),0.01)),""),""),"")</f>
        <v/>
      </c>
      <c r="W670" s="317" t="str" cm="1">
        <f t="array" aca="1" ref="W670" ca="1">IFERROR(_xlfn.IFS(OR(F670="",LEFT(Methode_Keuze,4)="Geen",Methode_Keuze=""),"",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17" t="str" cm="1">
        <f t="array" aca="1" ref="X670" ca="1">IFERROR(_xlfn.IFS(OR(F670="",LEFT(Methode_Keuze,4)="Geen",Methode_Keuze=""),"",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26"/>
      <c r="Z670" s="319"/>
      <c r="AA670" s="32" t="str" cm="1">
        <f t="array" ref="AA670">IFERROR(IF(INDEX(SubsidieTabel!$AD$1:$AG$12,MATCH($F670,SubsidieTabel!$AD$1:$AD$12,0),IFERROR(MATCH(Methode_Keuze,SubsidieTabel!$AD$1:$AG$1,0),2))&lt;&gt;1=TRUE,"ja",""),"")</f>
        <v/>
      </c>
    </row>
    <row r="671" spans="1:27" x14ac:dyDescent="0.25">
      <c r="A671" s="320"/>
      <c r="B671" s="321" t="str">
        <f>IF(A671&lt;&gt;"",_xlfn.MAXIFS($B$1:B670,$A$1:A670,A671)+1,"")</f>
        <v/>
      </c>
      <c r="C671" s="299"/>
      <c r="D671" s="299"/>
      <c r="E671" s="299"/>
      <c r="F671" s="299"/>
      <c r="G671" s="330"/>
      <c r="H671" s="328"/>
      <c r="I671" s="329"/>
      <c r="J671" s="329"/>
      <c r="K671" s="322"/>
      <c r="L671" s="322"/>
      <c r="M671" s="323" t="str">
        <f>IFERROR(VLOOKUP(H671,Lijsten!$H$1:$I$100,2,0),"")</f>
        <v/>
      </c>
      <c r="N671" s="323" t="str">
        <f ca="1">IFERROR(IF(VLOOKUP(F671,Kostentypen!$A$3:$E$21,3,0)=0,"",IF(OR(F671="Arbeidskosten",F671="Vergoeding"),VLOOKUP(G671,Tb_KostenTypen[],2,0),VLOOKUP(F671,Kostentypen!$A$3:$E$20,3,0))),"")</f>
        <v/>
      </c>
      <c r="O671" s="324"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4"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3"/>
      <c r="R671" s="363"/>
      <c r="S671" s="325"/>
      <c r="T671" s="325"/>
      <c r="U671" s="317" t="str" cm="1">
        <f t="array" aca="1" ref="U671" ca="1">IFERROR(IF(AA671&lt;&gt;"ja",_xlfn.IFNA(_xlfn.IFS(AND(O671&lt;&gt;"",F671&lt;&gt;"",RIGHT($N671,6)="tarief",F671="Vergoeding"),SUM(O671)*FLOOR(SUM(Q671),0.0001),AND(O671&lt;&gt;"",F671&lt;&gt;"",RIGHT($N671,6)="tarief"),SUM(O671)*FLOOR(SUM(Q671),0.01),S671&gt;0,IF(F671&lt;&gt;"",FLOOR(SUM(S671),0.01),"")),""),""),"")</f>
        <v/>
      </c>
      <c r="V671" s="317" t="str" cm="1">
        <f t="array" aca="1" ref="V671" ca="1">IFERROR(IF(AA671&lt;&gt;"ja",_xlfn.IFNA(_xlfn.IFS(AND(P671&lt;&gt;"",R671&lt;&gt;"",RIGHT($N671,6)="tarief",F671="Vergoeding"),SUM(P671)*FLOOR(SUM(R671),0.0001),AND(P671&lt;&gt;"",R671&lt;&gt;"",RIGHT($N671,6)="tarief"),P671*FLOOR(R671,0.01),T671&gt;0,FLOOR(SUM(T671),0.01)),""),""),"")</f>
        <v/>
      </c>
      <c r="W671" s="317" t="str" cm="1">
        <f t="array" aca="1" ref="W671" ca="1">IFERROR(_xlfn.IFS(OR(F671="",LEFT(Methode_Keuze,4)="Geen",Methode_Keuze=""),"",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17" t="str" cm="1">
        <f t="array" aca="1" ref="X671" ca="1">IFERROR(_xlfn.IFS(OR(F671="",LEFT(Methode_Keuze,4)="Geen",Methode_Keuze=""),"",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26"/>
      <c r="Z671" s="319"/>
      <c r="AA671" s="32" t="str" cm="1">
        <f t="array" ref="AA671">IFERROR(IF(INDEX(SubsidieTabel!$AD$1:$AG$12,MATCH($F671,SubsidieTabel!$AD$1:$AD$12,0),IFERROR(MATCH(Methode_Keuze,SubsidieTabel!$AD$1:$AG$1,0),2))&lt;&gt;1=TRUE,"ja",""),"")</f>
        <v/>
      </c>
    </row>
    <row r="672" spans="1:27" x14ac:dyDescent="0.25">
      <c r="A672" s="320"/>
      <c r="B672" s="321" t="str">
        <f>IF(A672&lt;&gt;"",_xlfn.MAXIFS($B$1:B671,$A$1:A671,A672)+1,"")</f>
        <v/>
      </c>
      <c r="C672" s="299"/>
      <c r="D672" s="299"/>
      <c r="E672" s="299"/>
      <c r="F672" s="299"/>
      <c r="G672" s="330"/>
      <c r="H672" s="328"/>
      <c r="I672" s="329"/>
      <c r="J672" s="329"/>
      <c r="K672" s="322"/>
      <c r="L672" s="322"/>
      <c r="M672" s="323" t="str">
        <f>IFERROR(VLOOKUP(H672,Lijsten!$H$1:$I$100,2,0),"")</f>
        <v/>
      </c>
      <c r="N672" s="323" t="str">
        <f ca="1">IFERROR(IF(VLOOKUP(F672,Kostentypen!$A$3:$E$21,3,0)=0,"",IF(OR(F672="Arbeidskosten",F672="Vergoeding"),VLOOKUP(G672,Tb_KostenTypen[],2,0),VLOOKUP(F672,Kostentypen!$A$3:$E$20,3,0))),"")</f>
        <v/>
      </c>
      <c r="O672" s="324"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4"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3"/>
      <c r="R672" s="363"/>
      <c r="S672" s="325"/>
      <c r="T672" s="325"/>
      <c r="U672" s="317" t="str" cm="1">
        <f t="array" aca="1" ref="U672" ca="1">IFERROR(IF(AA672&lt;&gt;"ja",_xlfn.IFNA(_xlfn.IFS(AND(O672&lt;&gt;"",F672&lt;&gt;"",RIGHT($N672,6)="tarief",F672="Vergoeding"),SUM(O672)*FLOOR(SUM(Q672),0.0001),AND(O672&lt;&gt;"",F672&lt;&gt;"",RIGHT($N672,6)="tarief"),SUM(O672)*FLOOR(SUM(Q672),0.01),S672&gt;0,IF(F672&lt;&gt;"",FLOOR(SUM(S672),0.01),"")),""),""),"")</f>
        <v/>
      </c>
      <c r="V672" s="317" t="str" cm="1">
        <f t="array" aca="1" ref="V672" ca="1">IFERROR(IF(AA672&lt;&gt;"ja",_xlfn.IFNA(_xlfn.IFS(AND(P672&lt;&gt;"",R672&lt;&gt;"",RIGHT($N672,6)="tarief",F672="Vergoeding"),SUM(P672)*FLOOR(SUM(R672),0.0001),AND(P672&lt;&gt;"",R672&lt;&gt;"",RIGHT($N672,6)="tarief"),P672*FLOOR(R672,0.01),T672&gt;0,FLOOR(SUM(T672),0.01)),""),""),"")</f>
        <v/>
      </c>
      <c r="W672" s="317" t="str" cm="1">
        <f t="array" aca="1" ref="W672" ca="1">IFERROR(_xlfn.IFS(OR(F672="",LEFT(Methode_Keuze,4)="Geen",Methode_Keuze=""),"",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17" t="str" cm="1">
        <f t="array" aca="1" ref="X672" ca="1">IFERROR(_xlfn.IFS(OR(F672="",LEFT(Methode_Keuze,4)="Geen",Methode_Keuze=""),"",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26"/>
      <c r="Z672" s="319"/>
      <c r="AA672" s="32" t="str" cm="1">
        <f t="array" ref="AA672">IFERROR(IF(INDEX(SubsidieTabel!$AD$1:$AG$12,MATCH($F672,SubsidieTabel!$AD$1:$AD$12,0),IFERROR(MATCH(Methode_Keuze,SubsidieTabel!$AD$1:$AG$1,0),2))&lt;&gt;1=TRUE,"ja",""),"")</f>
        <v/>
      </c>
    </row>
    <row r="673" spans="1:27" x14ac:dyDescent="0.25">
      <c r="A673" s="320"/>
      <c r="B673" s="321" t="str">
        <f>IF(A673&lt;&gt;"",_xlfn.MAXIFS($B$1:B672,$A$1:A672,A673)+1,"")</f>
        <v/>
      </c>
      <c r="C673" s="299"/>
      <c r="D673" s="299"/>
      <c r="E673" s="299"/>
      <c r="F673" s="299"/>
      <c r="G673" s="330"/>
      <c r="H673" s="328"/>
      <c r="I673" s="329"/>
      <c r="J673" s="329"/>
      <c r="K673" s="322"/>
      <c r="L673" s="322"/>
      <c r="M673" s="323" t="str">
        <f>IFERROR(VLOOKUP(H673,Lijsten!$H$1:$I$100,2,0),"")</f>
        <v/>
      </c>
      <c r="N673" s="323" t="str">
        <f ca="1">IFERROR(IF(VLOOKUP(F673,Kostentypen!$A$3:$E$21,3,0)=0,"",IF(OR(F673="Arbeidskosten",F673="Vergoeding"),VLOOKUP(G673,Tb_KostenTypen[],2,0),VLOOKUP(F673,Kostentypen!$A$3:$E$20,3,0))),"")</f>
        <v/>
      </c>
      <c r="O673" s="324"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4"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3"/>
      <c r="R673" s="363"/>
      <c r="S673" s="325"/>
      <c r="T673" s="325"/>
      <c r="U673" s="317" t="str" cm="1">
        <f t="array" aca="1" ref="U673" ca="1">IFERROR(IF(AA673&lt;&gt;"ja",_xlfn.IFNA(_xlfn.IFS(AND(O673&lt;&gt;"",F673&lt;&gt;"",RIGHT($N673,6)="tarief",F673="Vergoeding"),SUM(O673)*FLOOR(SUM(Q673),0.0001),AND(O673&lt;&gt;"",F673&lt;&gt;"",RIGHT($N673,6)="tarief"),SUM(O673)*FLOOR(SUM(Q673),0.01),S673&gt;0,IF(F673&lt;&gt;"",FLOOR(SUM(S673),0.01),"")),""),""),"")</f>
        <v/>
      </c>
      <c r="V673" s="317" t="str" cm="1">
        <f t="array" aca="1" ref="V673" ca="1">IFERROR(IF(AA673&lt;&gt;"ja",_xlfn.IFNA(_xlfn.IFS(AND(P673&lt;&gt;"",R673&lt;&gt;"",RIGHT($N673,6)="tarief",F673="Vergoeding"),SUM(P673)*FLOOR(SUM(R673),0.0001),AND(P673&lt;&gt;"",R673&lt;&gt;"",RIGHT($N673,6)="tarief"),P673*FLOOR(R673,0.01),T673&gt;0,FLOOR(SUM(T673),0.01)),""),""),"")</f>
        <v/>
      </c>
      <c r="W673" s="317" t="str" cm="1">
        <f t="array" aca="1" ref="W673" ca="1">IFERROR(_xlfn.IFS(OR(F673="",LEFT(Methode_Keuze,4)="Geen",Methode_Keuze=""),"",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17" t="str" cm="1">
        <f t="array" aca="1" ref="X673" ca="1">IFERROR(_xlfn.IFS(OR(F673="",LEFT(Methode_Keuze,4)="Geen",Methode_Keuze=""),"",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26"/>
      <c r="Z673" s="319"/>
      <c r="AA673" s="32" t="str" cm="1">
        <f t="array" ref="AA673">IFERROR(IF(INDEX(SubsidieTabel!$AD$1:$AG$12,MATCH($F673,SubsidieTabel!$AD$1:$AD$12,0),IFERROR(MATCH(Methode_Keuze,SubsidieTabel!$AD$1:$AG$1,0),2))&lt;&gt;1=TRUE,"ja",""),"")</f>
        <v/>
      </c>
    </row>
    <row r="674" spans="1:27" x14ac:dyDescent="0.25">
      <c r="A674" s="320"/>
      <c r="B674" s="321" t="str">
        <f>IF(A674&lt;&gt;"",_xlfn.MAXIFS($B$1:B673,$A$1:A673,A674)+1,"")</f>
        <v/>
      </c>
      <c r="C674" s="299"/>
      <c r="D674" s="299"/>
      <c r="E674" s="299"/>
      <c r="F674" s="299"/>
      <c r="G674" s="330"/>
      <c r="H674" s="328"/>
      <c r="I674" s="329"/>
      <c r="J674" s="329"/>
      <c r="K674" s="322"/>
      <c r="L674" s="322"/>
      <c r="M674" s="323" t="str">
        <f>IFERROR(VLOOKUP(H674,Lijsten!$H$1:$I$100,2,0),"")</f>
        <v/>
      </c>
      <c r="N674" s="323" t="str">
        <f ca="1">IFERROR(IF(VLOOKUP(F674,Kostentypen!$A$3:$E$21,3,0)=0,"",IF(OR(F674="Arbeidskosten",F674="Vergoeding"),VLOOKUP(G674,Tb_KostenTypen[],2,0),VLOOKUP(F674,Kostentypen!$A$3:$E$20,3,0))),"")</f>
        <v/>
      </c>
      <c r="O674" s="324"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4"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3"/>
      <c r="R674" s="363"/>
      <c r="S674" s="325"/>
      <c r="T674" s="325"/>
      <c r="U674" s="317" t="str" cm="1">
        <f t="array" aca="1" ref="U674" ca="1">IFERROR(IF(AA674&lt;&gt;"ja",_xlfn.IFNA(_xlfn.IFS(AND(O674&lt;&gt;"",F674&lt;&gt;"",RIGHT($N674,6)="tarief",F674="Vergoeding"),SUM(O674)*FLOOR(SUM(Q674),0.0001),AND(O674&lt;&gt;"",F674&lt;&gt;"",RIGHT($N674,6)="tarief"),SUM(O674)*FLOOR(SUM(Q674),0.01),S674&gt;0,IF(F674&lt;&gt;"",FLOOR(SUM(S674),0.01),"")),""),""),"")</f>
        <v/>
      </c>
      <c r="V674" s="317" t="str" cm="1">
        <f t="array" aca="1" ref="V674" ca="1">IFERROR(IF(AA674&lt;&gt;"ja",_xlfn.IFNA(_xlfn.IFS(AND(P674&lt;&gt;"",R674&lt;&gt;"",RIGHT($N674,6)="tarief",F674="Vergoeding"),SUM(P674)*FLOOR(SUM(R674),0.0001),AND(P674&lt;&gt;"",R674&lt;&gt;"",RIGHT($N674,6)="tarief"),P674*FLOOR(R674,0.01),T674&gt;0,FLOOR(SUM(T674),0.01)),""),""),"")</f>
        <v/>
      </c>
      <c r="W674" s="317" t="str" cm="1">
        <f t="array" aca="1" ref="W674" ca="1">IFERROR(_xlfn.IFS(OR(F674="",LEFT(Methode_Keuze,4)="Geen",Methode_Keuze=""),"",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17" t="str" cm="1">
        <f t="array" aca="1" ref="X674" ca="1">IFERROR(_xlfn.IFS(OR(F674="",LEFT(Methode_Keuze,4)="Geen",Methode_Keuze=""),"",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26"/>
      <c r="Z674" s="319"/>
      <c r="AA674" s="32" t="str" cm="1">
        <f t="array" ref="AA674">IFERROR(IF(INDEX(SubsidieTabel!$AD$1:$AG$12,MATCH($F674,SubsidieTabel!$AD$1:$AD$12,0),IFERROR(MATCH(Methode_Keuze,SubsidieTabel!$AD$1:$AG$1,0),2))&lt;&gt;1=TRUE,"ja",""),"")</f>
        <v/>
      </c>
    </row>
    <row r="675" spans="1:27" x14ac:dyDescent="0.25">
      <c r="A675" s="320"/>
      <c r="B675" s="321" t="str">
        <f>IF(A675&lt;&gt;"",_xlfn.MAXIFS($B$1:B674,$A$1:A674,A675)+1,"")</f>
        <v/>
      </c>
      <c r="C675" s="299"/>
      <c r="D675" s="299"/>
      <c r="E675" s="299"/>
      <c r="F675" s="299"/>
      <c r="G675" s="330"/>
      <c r="H675" s="328"/>
      <c r="I675" s="329"/>
      <c r="J675" s="329"/>
      <c r="K675" s="322"/>
      <c r="L675" s="322"/>
      <c r="M675" s="323" t="str">
        <f>IFERROR(VLOOKUP(H675,Lijsten!$H$1:$I$100,2,0),"")</f>
        <v/>
      </c>
      <c r="N675" s="323" t="str">
        <f ca="1">IFERROR(IF(VLOOKUP(F675,Kostentypen!$A$3:$E$21,3,0)=0,"",IF(OR(F675="Arbeidskosten",F675="Vergoeding"),VLOOKUP(G675,Tb_KostenTypen[],2,0),VLOOKUP(F675,Kostentypen!$A$3:$E$20,3,0))),"")</f>
        <v/>
      </c>
      <c r="O675" s="324"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4"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3"/>
      <c r="R675" s="363"/>
      <c r="S675" s="325"/>
      <c r="T675" s="325"/>
      <c r="U675" s="317" t="str" cm="1">
        <f t="array" aca="1" ref="U675" ca="1">IFERROR(IF(AA675&lt;&gt;"ja",_xlfn.IFNA(_xlfn.IFS(AND(O675&lt;&gt;"",F675&lt;&gt;"",RIGHT($N675,6)="tarief",F675="Vergoeding"),SUM(O675)*FLOOR(SUM(Q675),0.0001),AND(O675&lt;&gt;"",F675&lt;&gt;"",RIGHT($N675,6)="tarief"),SUM(O675)*FLOOR(SUM(Q675),0.01),S675&gt;0,IF(F675&lt;&gt;"",FLOOR(SUM(S675),0.01),"")),""),""),"")</f>
        <v/>
      </c>
      <c r="V675" s="317" t="str" cm="1">
        <f t="array" aca="1" ref="V675" ca="1">IFERROR(IF(AA675&lt;&gt;"ja",_xlfn.IFNA(_xlfn.IFS(AND(P675&lt;&gt;"",R675&lt;&gt;"",RIGHT($N675,6)="tarief",F675="Vergoeding"),SUM(P675)*FLOOR(SUM(R675),0.0001),AND(P675&lt;&gt;"",R675&lt;&gt;"",RIGHT($N675,6)="tarief"),P675*FLOOR(R675,0.01),T675&gt;0,FLOOR(SUM(T675),0.01)),""),""),"")</f>
        <v/>
      </c>
      <c r="W675" s="317" t="str" cm="1">
        <f t="array" aca="1" ref="W675" ca="1">IFERROR(_xlfn.IFS(OR(F675="",LEFT(Methode_Keuze,4)="Geen",Methode_Keuze=""),"",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17" t="str" cm="1">
        <f t="array" aca="1" ref="X675" ca="1">IFERROR(_xlfn.IFS(OR(F675="",LEFT(Methode_Keuze,4)="Geen",Methode_Keuze=""),"",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26"/>
      <c r="Z675" s="319"/>
      <c r="AA675" s="32" t="str" cm="1">
        <f t="array" ref="AA675">IFERROR(IF(INDEX(SubsidieTabel!$AD$1:$AG$12,MATCH($F675,SubsidieTabel!$AD$1:$AD$12,0),IFERROR(MATCH(Methode_Keuze,SubsidieTabel!$AD$1:$AG$1,0),2))&lt;&gt;1=TRUE,"ja",""),"")</f>
        <v/>
      </c>
    </row>
    <row r="676" spans="1:27" x14ac:dyDescent="0.25">
      <c r="A676" s="320"/>
      <c r="B676" s="321" t="str">
        <f>IF(A676&lt;&gt;"",_xlfn.MAXIFS($B$1:B675,$A$1:A675,A676)+1,"")</f>
        <v/>
      </c>
      <c r="C676" s="299"/>
      <c r="D676" s="299"/>
      <c r="E676" s="299"/>
      <c r="F676" s="299"/>
      <c r="G676" s="330"/>
      <c r="H676" s="328"/>
      <c r="I676" s="329"/>
      <c r="J676" s="329"/>
      <c r="K676" s="322"/>
      <c r="L676" s="322"/>
      <c r="M676" s="323" t="str">
        <f>IFERROR(VLOOKUP(H676,Lijsten!$H$1:$I$100,2,0),"")</f>
        <v/>
      </c>
      <c r="N676" s="323" t="str">
        <f ca="1">IFERROR(IF(VLOOKUP(F676,Kostentypen!$A$3:$E$21,3,0)=0,"",IF(OR(F676="Arbeidskosten",F676="Vergoeding"),VLOOKUP(G676,Tb_KostenTypen[],2,0),VLOOKUP(F676,Kostentypen!$A$3:$E$20,3,0))),"")</f>
        <v/>
      </c>
      <c r="O676" s="324"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4"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3"/>
      <c r="R676" s="363"/>
      <c r="S676" s="325"/>
      <c r="T676" s="325"/>
      <c r="U676" s="317" t="str" cm="1">
        <f t="array" aca="1" ref="U676" ca="1">IFERROR(IF(AA676&lt;&gt;"ja",_xlfn.IFNA(_xlfn.IFS(AND(O676&lt;&gt;"",F676&lt;&gt;"",RIGHT($N676,6)="tarief",F676="Vergoeding"),SUM(O676)*FLOOR(SUM(Q676),0.0001),AND(O676&lt;&gt;"",F676&lt;&gt;"",RIGHT($N676,6)="tarief"),SUM(O676)*FLOOR(SUM(Q676),0.01),S676&gt;0,IF(F676&lt;&gt;"",FLOOR(SUM(S676),0.01),"")),""),""),"")</f>
        <v/>
      </c>
      <c r="V676" s="317" t="str" cm="1">
        <f t="array" aca="1" ref="V676" ca="1">IFERROR(IF(AA676&lt;&gt;"ja",_xlfn.IFNA(_xlfn.IFS(AND(P676&lt;&gt;"",R676&lt;&gt;"",RIGHT($N676,6)="tarief",F676="Vergoeding"),SUM(P676)*FLOOR(SUM(R676),0.0001),AND(P676&lt;&gt;"",R676&lt;&gt;"",RIGHT($N676,6)="tarief"),P676*FLOOR(R676,0.01),T676&gt;0,FLOOR(SUM(T676),0.01)),""),""),"")</f>
        <v/>
      </c>
      <c r="W676" s="317" t="str" cm="1">
        <f t="array" aca="1" ref="W676" ca="1">IFERROR(_xlfn.IFS(OR(F676="",LEFT(Methode_Keuze,4)="Geen",Methode_Keuze=""),"",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17" t="str" cm="1">
        <f t="array" aca="1" ref="X676" ca="1">IFERROR(_xlfn.IFS(OR(F676="",LEFT(Methode_Keuze,4)="Geen",Methode_Keuze=""),"",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26"/>
      <c r="Z676" s="319"/>
      <c r="AA676" s="32" t="str" cm="1">
        <f t="array" ref="AA676">IFERROR(IF(INDEX(SubsidieTabel!$AD$1:$AG$12,MATCH($F676,SubsidieTabel!$AD$1:$AD$12,0),IFERROR(MATCH(Methode_Keuze,SubsidieTabel!$AD$1:$AG$1,0),2))&lt;&gt;1=TRUE,"ja",""),"")</f>
        <v/>
      </c>
    </row>
    <row r="677" spans="1:27" x14ac:dyDescent="0.25">
      <c r="A677" s="320"/>
      <c r="B677" s="321" t="str">
        <f>IF(A677&lt;&gt;"",_xlfn.MAXIFS($B$1:B676,$A$1:A676,A677)+1,"")</f>
        <v/>
      </c>
      <c r="C677" s="299"/>
      <c r="D677" s="299"/>
      <c r="E677" s="299"/>
      <c r="F677" s="299"/>
      <c r="G677" s="330"/>
      <c r="H677" s="328"/>
      <c r="I677" s="329"/>
      <c r="J677" s="329"/>
      <c r="K677" s="322"/>
      <c r="L677" s="322"/>
      <c r="M677" s="323" t="str">
        <f>IFERROR(VLOOKUP(H677,Lijsten!$H$1:$I$100,2,0),"")</f>
        <v/>
      </c>
      <c r="N677" s="323" t="str">
        <f ca="1">IFERROR(IF(VLOOKUP(F677,Kostentypen!$A$3:$E$21,3,0)=0,"",IF(OR(F677="Arbeidskosten",F677="Vergoeding"),VLOOKUP(G677,Tb_KostenTypen[],2,0),VLOOKUP(F677,Kostentypen!$A$3:$E$20,3,0))),"")</f>
        <v/>
      </c>
      <c r="O677" s="324"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4"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3"/>
      <c r="R677" s="363"/>
      <c r="S677" s="325"/>
      <c r="T677" s="325"/>
      <c r="U677" s="317" t="str" cm="1">
        <f t="array" aca="1" ref="U677" ca="1">IFERROR(IF(AA677&lt;&gt;"ja",_xlfn.IFNA(_xlfn.IFS(AND(O677&lt;&gt;"",F677&lt;&gt;"",RIGHT($N677,6)="tarief",F677="Vergoeding"),SUM(O677)*FLOOR(SUM(Q677),0.0001),AND(O677&lt;&gt;"",F677&lt;&gt;"",RIGHT($N677,6)="tarief"),SUM(O677)*FLOOR(SUM(Q677),0.01),S677&gt;0,IF(F677&lt;&gt;"",FLOOR(SUM(S677),0.01),"")),""),""),"")</f>
        <v/>
      </c>
      <c r="V677" s="317" t="str" cm="1">
        <f t="array" aca="1" ref="V677" ca="1">IFERROR(IF(AA677&lt;&gt;"ja",_xlfn.IFNA(_xlfn.IFS(AND(P677&lt;&gt;"",R677&lt;&gt;"",RIGHT($N677,6)="tarief",F677="Vergoeding"),SUM(P677)*FLOOR(SUM(R677),0.0001),AND(P677&lt;&gt;"",R677&lt;&gt;"",RIGHT($N677,6)="tarief"),P677*FLOOR(R677,0.01),T677&gt;0,FLOOR(SUM(T677),0.01)),""),""),"")</f>
        <v/>
      </c>
      <c r="W677" s="317" t="str" cm="1">
        <f t="array" aca="1" ref="W677" ca="1">IFERROR(_xlfn.IFS(OR(F677="",LEFT(Methode_Keuze,4)="Geen",Methode_Keuze=""),"",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17" t="str" cm="1">
        <f t="array" aca="1" ref="X677" ca="1">IFERROR(_xlfn.IFS(OR(F677="",LEFT(Methode_Keuze,4)="Geen",Methode_Keuze=""),"",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26"/>
      <c r="Z677" s="319"/>
      <c r="AA677" s="32" t="str" cm="1">
        <f t="array" ref="AA677">IFERROR(IF(INDEX(SubsidieTabel!$AD$1:$AG$12,MATCH($F677,SubsidieTabel!$AD$1:$AD$12,0),IFERROR(MATCH(Methode_Keuze,SubsidieTabel!$AD$1:$AG$1,0),2))&lt;&gt;1=TRUE,"ja",""),"")</f>
        <v/>
      </c>
    </row>
    <row r="678" spans="1:27" x14ac:dyDescent="0.25">
      <c r="A678" s="320"/>
      <c r="B678" s="321" t="str">
        <f>IF(A678&lt;&gt;"",_xlfn.MAXIFS($B$1:B677,$A$1:A677,A678)+1,"")</f>
        <v/>
      </c>
      <c r="C678" s="299"/>
      <c r="D678" s="299"/>
      <c r="E678" s="299"/>
      <c r="F678" s="299"/>
      <c r="G678" s="330"/>
      <c r="H678" s="328"/>
      <c r="I678" s="329"/>
      <c r="J678" s="329"/>
      <c r="K678" s="322"/>
      <c r="L678" s="322"/>
      <c r="M678" s="323" t="str">
        <f>IFERROR(VLOOKUP(H678,Lijsten!$H$1:$I$100,2,0),"")</f>
        <v/>
      </c>
      <c r="N678" s="323" t="str">
        <f ca="1">IFERROR(IF(VLOOKUP(F678,Kostentypen!$A$3:$E$21,3,0)=0,"",IF(OR(F678="Arbeidskosten",F678="Vergoeding"),VLOOKUP(G678,Tb_KostenTypen[],2,0),VLOOKUP(F678,Kostentypen!$A$3:$E$20,3,0))),"")</f>
        <v/>
      </c>
      <c r="O678" s="324"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4"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3"/>
      <c r="R678" s="363"/>
      <c r="S678" s="325"/>
      <c r="T678" s="325"/>
      <c r="U678" s="317" t="str" cm="1">
        <f t="array" aca="1" ref="U678" ca="1">IFERROR(IF(AA678&lt;&gt;"ja",_xlfn.IFNA(_xlfn.IFS(AND(O678&lt;&gt;"",F678&lt;&gt;"",RIGHT($N678,6)="tarief",F678="Vergoeding"),SUM(O678)*FLOOR(SUM(Q678),0.0001),AND(O678&lt;&gt;"",F678&lt;&gt;"",RIGHT($N678,6)="tarief"),SUM(O678)*FLOOR(SUM(Q678),0.01),S678&gt;0,IF(F678&lt;&gt;"",FLOOR(SUM(S678),0.01),"")),""),""),"")</f>
        <v/>
      </c>
      <c r="V678" s="317" t="str" cm="1">
        <f t="array" aca="1" ref="V678" ca="1">IFERROR(IF(AA678&lt;&gt;"ja",_xlfn.IFNA(_xlfn.IFS(AND(P678&lt;&gt;"",R678&lt;&gt;"",RIGHT($N678,6)="tarief",F678="Vergoeding"),SUM(P678)*FLOOR(SUM(R678),0.0001),AND(P678&lt;&gt;"",R678&lt;&gt;"",RIGHT($N678,6)="tarief"),P678*FLOOR(R678,0.01),T678&gt;0,FLOOR(SUM(T678),0.01)),""),""),"")</f>
        <v/>
      </c>
      <c r="W678" s="317" t="str" cm="1">
        <f t="array" aca="1" ref="W678" ca="1">IFERROR(_xlfn.IFS(OR(F678="",LEFT(Methode_Keuze,4)="Geen",Methode_Keuze=""),"",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17" t="str" cm="1">
        <f t="array" aca="1" ref="X678" ca="1">IFERROR(_xlfn.IFS(OR(F678="",LEFT(Methode_Keuze,4)="Geen",Methode_Keuze=""),"",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26"/>
      <c r="Z678" s="319"/>
      <c r="AA678" s="32" t="str" cm="1">
        <f t="array" ref="AA678">IFERROR(IF(INDEX(SubsidieTabel!$AD$1:$AG$12,MATCH($F678,SubsidieTabel!$AD$1:$AD$12,0),IFERROR(MATCH(Methode_Keuze,SubsidieTabel!$AD$1:$AG$1,0),2))&lt;&gt;1=TRUE,"ja",""),"")</f>
        <v/>
      </c>
    </row>
    <row r="679" spans="1:27" x14ac:dyDescent="0.25">
      <c r="A679" s="320"/>
      <c r="B679" s="321" t="str">
        <f>IF(A679&lt;&gt;"",_xlfn.MAXIFS($B$1:B678,$A$1:A678,A679)+1,"")</f>
        <v/>
      </c>
      <c r="C679" s="299"/>
      <c r="D679" s="299"/>
      <c r="E679" s="299"/>
      <c r="F679" s="299"/>
      <c r="G679" s="330"/>
      <c r="H679" s="328"/>
      <c r="I679" s="329"/>
      <c r="J679" s="329"/>
      <c r="K679" s="322"/>
      <c r="L679" s="322"/>
      <c r="M679" s="323" t="str">
        <f>IFERROR(VLOOKUP(H679,Lijsten!$H$1:$I$100,2,0),"")</f>
        <v/>
      </c>
      <c r="N679" s="323" t="str">
        <f ca="1">IFERROR(IF(VLOOKUP(F679,Kostentypen!$A$3:$E$21,3,0)=0,"",IF(OR(F679="Arbeidskosten",F679="Vergoeding"),VLOOKUP(G679,Tb_KostenTypen[],2,0),VLOOKUP(F679,Kostentypen!$A$3:$E$20,3,0))),"")</f>
        <v/>
      </c>
      <c r="O679" s="324"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4"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3"/>
      <c r="R679" s="363"/>
      <c r="S679" s="325"/>
      <c r="T679" s="325"/>
      <c r="U679" s="317" t="str" cm="1">
        <f t="array" aca="1" ref="U679" ca="1">IFERROR(IF(AA679&lt;&gt;"ja",_xlfn.IFNA(_xlfn.IFS(AND(O679&lt;&gt;"",F679&lt;&gt;"",RIGHT($N679,6)="tarief",F679="Vergoeding"),SUM(O679)*FLOOR(SUM(Q679),0.0001),AND(O679&lt;&gt;"",F679&lt;&gt;"",RIGHT($N679,6)="tarief"),SUM(O679)*FLOOR(SUM(Q679),0.01),S679&gt;0,IF(F679&lt;&gt;"",FLOOR(SUM(S679),0.01),"")),""),""),"")</f>
        <v/>
      </c>
      <c r="V679" s="317" t="str" cm="1">
        <f t="array" aca="1" ref="V679" ca="1">IFERROR(IF(AA679&lt;&gt;"ja",_xlfn.IFNA(_xlfn.IFS(AND(P679&lt;&gt;"",R679&lt;&gt;"",RIGHT($N679,6)="tarief",F679="Vergoeding"),SUM(P679)*FLOOR(SUM(R679),0.0001),AND(P679&lt;&gt;"",R679&lt;&gt;"",RIGHT($N679,6)="tarief"),P679*FLOOR(R679,0.01),T679&gt;0,FLOOR(SUM(T679),0.01)),""),""),"")</f>
        <v/>
      </c>
      <c r="W679" s="317" t="str" cm="1">
        <f t="array" aca="1" ref="W679" ca="1">IFERROR(_xlfn.IFS(OR(F679="",LEFT(Methode_Keuze,4)="Geen",Methode_Keuze=""),"",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17" t="str" cm="1">
        <f t="array" aca="1" ref="X679" ca="1">IFERROR(_xlfn.IFS(OR(F679="",LEFT(Methode_Keuze,4)="Geen",Methode_Keuze=""),"",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26"/>
      <c r="Z679" s="319"/>
      <c r="AA679" s="32" t="str" cm="1">
        <f t="array" ref="AA679">IFERROR(IF(INDEX(SubsidieTabel!$AD$1:$AG$12,MATCH($F679,SubsidieTabel!$AD$1:$AD$12,0),IFERROR(MATCH(Methode_Keuze,SubsidieTabel!$AD$1:$AG$1,0),2))&lt;&gt;1=TRUE,"ja",""),"")</f>
        <v/>
      </c>
    </row>
    <row r="680" spans="1:27" x14ac:dyDescent="0.25">
      <c r="A680" s="320"/>
      <c r="B680" s="321" t="str">
        <f>IF(A680&lt;&gt;"",_xlfn.MAXIFS($B$1:B679,$A$1:A679,A680)+1,"")</f>
        <v/>
      </c>
      <c r="C680" s="299"/>
      <c r="D680" s="299"/>
      <c r="E680" s="299"/>
      <c r="F680" s="299"/>
      <c r="G680" s="330"/>
      <c r="H680" s="328"/>
      <c r="I680" s="329"/>
      <c r="J680" s="329"/>
      <c r="K680" s="322"/>
      <c r="L680" s="322"/>
      <c r="M680" s="323" t="str">
        <f>IFERROR(VLOOKUP(H680,Lijsten!$H$1:$I$100,2,0),"")</f>
        <v/>
      </c>
      <c r="N680" s="323" t="str">
        <f ca="1">IFERROR(IF(VLOOKUP(F680,Kostentypen!$A$3:$E$21,3,0)=0,"",IF(OR(F680="Arbeidskosten",F680="Vergoeding"),VLOOKUP(G680,Tb_KostenTypen[],2,0),VLOOKUP(F680,Kostentypen!$A$3:$E$20,3,0))),"")</f>
        <v/>
      </c>
      <c r="O680" s="324"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4"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3"/>
      <c r="R680" s="363"/>
      <c r="S680" s="325"/>
      <c r="T680" s="325"/>
      <c r="U680" s="317" t="str" cm="1">
        <f t="array" aca="1" ref="U680" ca="1">IFERROR(IF(AA680&lt;&gt;"ja",_xlfn.IFNA(_xlfn.IFS(AND(O680&lt;&gt;"",F680&lt;&gt;"",RIGHT($N680,6)="tarief",F680="Vergoeding"),SUM(O680)*FLOOR(SUM(Q680),0.0001),AND(O680&lt;&gt;"",F680&lt;&gt;"",RIGHT($N680,6)="tarief"),SUM(O680)*FLOOR(SUM(Q680),0.01),S680&gt;0,IF(F680&lt;&gt;"",FLOOR(SUM(S680),0.01),"")),""),""),"")</f>
        <v/>
      </c>
      <c r="V680" s="317" t="str" cm="1">
        <f t="array" aca="1" ref="V680" ca="1">IFERROR(IF(AA680&lt;&gt;"ja",_xlfn.IFNA(_xlfn.IFS(AND(P680&lt;&gt;"",R680&lt;&gt;"",RIGHT($N680,6)="tarief",F680="Vergoeding"),SUM(P680)*FLOOR(SUM(R680),0.0001),AND(P680&lt;&gt;"",R680&lt;&gt;"",RIGHT($N680,6)="tarief"),P680*FLOOR(R680,0.01),T680&gt;0,FLOOR(SUM(T680),0.01)),""),""),"")</f>
        <v/>
      </c>
      <c r="W680" s="317" t="str" cm="1">
        <f t="array" aca="1" ref="W680" ca="1">IFERROR(_xlfn.IFS(OR(F680="",LEFT(Methode_Keuze,4)="Geen",Methode_Keuze=""),"",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17" t="str" cm="1">
        <f t="array" aca="1" ref="X680" ca="1">IFERROR(_xlfn.IFS(OR(F680="",LEFT(Methode_Keuze,4)="Geen",Methode_Keuze=""),"",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26"/>
      <c r="Z680" s="319"/>
      <c r="AA680" s="32" t="str" cm="1">
        <f t="array" ref="AA680">IFERROR(IF(INDEX(SubsidieTabel!$AD$1:$AG$12,MATCH($F680,SubsidieTabel!$AD$1:$AD$12,0),IFERROR(MATCH(Methode_Keuze,SubsidieTabel!$AD$1:$AG$1,0),2))&lt;&gt;1=TRUE,"ja",""),"")</f>
        <v/>
      </c>
    </row>
    <row r="681" spans="1:27" x14ac:dyDescent="0.25">
      <c r="A681" s="320"/>
      <c r="B681" s="321" t="str">
        <f>IF(A681&lt;&gt;"",_xlfn.MAXIFS($B$1:B680,$A$1:A680,A681)+1,"")</f>
        <v/>
      </c>
      <c r="C681" s="299"/>
      <c r="D681" s="299"/>
      <c r="E681" s="299"/>
      <c r="F681" s="299"/>
      <c r="G681" s="330"/>
      <c r="H681" s="328"/>
      <c r="I681" s="329"/>
      <c r="J681" s="329"/>
      <c r="K681" s="322"/>
      <c r="L681" s="322"/>
      <c r="M681" s="323" t="str">
        <f>IFERROR(VLOOKUP(H681,Lijsten!$H$1:$I$100,2,0),"")</f>
        <v/>
      </c>
      <c r="N681" s="323" t="str">
        <f ca="1">IFERROR(IF(VLOOKUP(F681,Kostentypen!$A$3:$E$21,3,0)=0,"",IF(OR(F681="Arbeidskosten",F681="Vergoeding"),VLOOKUP(G681,Tb_KostenTypen[],2,0),VLOOKUP(F681,Kostentypen!$A$3:$E$20,3,0))),"")</f>
        <v/>
      </c>
      <c r="O681" s="324"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4"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3"/>
      <c r="R681" s="363"/>
      <c r="S681" s="325"/>
      <c r="T681" s="325"/>
      <c r="U681" s="317" t="str" cm="1">
        <f t="array" aca="1" ref="U681" ca="1">IFERROR(IF(AA681&lt;&gt;"ja",_xlfn.IFNA(_xlfn.IFS(AND(O681&lt;&gt;"",F681&lt;&gt;"",RIGHT($N681,6)="tarief",F681="Vergoeding"),SUM(O681)*FLOOR(SUM(Q681),0.0001),AND(O681&lt;&gt;"",F681&lt;&gt;"",RIGHT($N681,6)="tarief"),SUM(O681)*FLOOR(SUM(Q681),0.01),S681&gt;0,IF(F681&lt;&gt;"",FLOOR(SUM(S681),0.01),"")),""),""),"")</f>
        <v/>
      </c>
      <c r="V681" s="317" t="str" cm="1">
        <f t="array" aca="1" ref="V681" ca="1">IFERROR(IF(AA681&lt;&gt;"ja",_xlfn.IFNA(_xlfn.IFS(AND(P681&lt;&gt;"",R681&lt;&gt;"",RIGHT($N681,6)="tarief",F681="Vergoeding"),SUM(P681)*FLOOR(SUM(R681),0.0001),AND(P681&lt;&gt;"",R681&lt;&gt;"",RIGHT($N681,6)="tarief"),P681*FLOOR(R681,0.01),T681&gt;0,FLOOR(SUM(T681),0.01)),""),""),"")</f>
        <v/>
      </c>
      <c r="W681" s="317" t="str" cm="1">
        <f t="array" aca="1" ref="W681" ca="1">IFERROR(_xlfn.IFS(OR(F681="",LEFT(Methode_Keuze,4)="Geen",Methode_Keuze=""),"",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17" t="str" cm="1">
        <f t="array" aca="1" ref="X681" ca="1">IFERROR(_xlfn.IFS(OR(F681="",LEFT(Methode_Keuze,4)="Geen",Methode_Keuze=""),"",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26"/>
      <c r="Z681" s="319"/>
      <c r="AA681" s="32" t="str" cm="1">
        <f t="array" ref="AA681">IFERROR(IF(INDEX(SubsidieTabel!$AD$1:$AG$12,MATCH($F681,SubsidieTabel!$AD$1:$AD$12,0),IFERROR(MATCH(Methode_Keuze,SubsidieTabel!$AD$1:$AG$1,0),2))&lt;&gt;1=TRUE,"ja",""),"")</f>
        <v/>
      </c>
    </row>
    <row r="682" spans="1:27" x14ac:dyDescent="0.25">
      <c r="A682" s="320"/>
      <c r="B682" s="321" t="str">
        <f>IF(A682&lt;&gt;"",_xlfn.MAXIFS($B$1:B681,$A$1:A681,A682)+1,"")</f>
        <v/>
      </c>
      <c r="C682" s="299"/>
      <c r="D682" s="299"/>
      <c r="E682" s="299"/>
      <c r="F682" s="299"/>
      <c r="G682" s="330"/>
      <c r="H682" s="328"/>
      <c r="I682" s="329"/>
      <c r="J682" s="329"/>
      <c r="K682" s="322"/>
      <c r="L682" s="322"/>
      <c r="M682" s="323" t="str">
        <f>IFERROR(VLOOKUP(H682,Lijsten!$H$1:$I$100,2,0),"")</f>
        <v/>
      </c>
      <c r="N682" s="323" t="str">
        <f ca="1">IFERROR(IF(VLOOKUP(F682,Kostentypen!$A$3:$E$21,3,0)=0,"",IF(OR(F682="Arbeidskosten",F682="Vergoeding"),VLOOKUP(G682,Tb_KostenTypen[],2,0),VLOOKUP(F682,Kostentypen!$A$3:$E$20,3,0))),"")</f>
        <v/>
      </c>
      <c r="O682" s="324"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4"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3"/>
      <c r="R682" s="363"/>
      <c r="S682" s="325"/>
      <c r="T682" s="325"/>
      <c r="U682" s="317" t="str" cm="1">
        <f t="array" aca="1" ref="U682" ca="1">IFERROR(IF(AA682&lt;&gt;"ja",_xlfn.IFNA(_xlfn.IFS(AND(O682&lt;&gt;"",F682&lt;&gt;"",RIGHT($N682,6)="tarief",F682="Vergoeding"),SUM(O682)*FLOOR(SUM(Q682),0.0001),AND(O682&lt;&gt;"",F682&lt;&gt;"",RIGHT($N682,6)="tarief"),SUM(O682)*FLOOR(SUM(Q682),0.01),S682&gt;0,IF(F682&lt;&gt;"",FLOOR(SUM(S682),0.01),"")),""),""),"")</f>
        <v/>
      </c>
      <c r="V682" s="317" t="str" cm="1">
        <f t="array" aca="1" ref="V682" ca="1">IFERROR(IF(AA682&lt;&gt;"ja",_xlfn.IFNA(_xlfn.IFS(AND(P682&lt;&gt;"",R682&lt;&gt;"",RIGHT($N682,6)="tarief",F682="Vergoeding"),SUM(P682)*FLOOR(SUM(R682),0.0001),AND(P682&lt;&gt;"",R682&lt;&gt;"",RIGHT($N682,6)="tarief"),P682*FLOOR(R682,0.01),T682&gt;0,FLOOR(SUM(T682),0.01)),""),""),"")</f>
        <v/>
      </c>
      <c r="W682" s="317" t="str" cm="1">
        <f t="array" aca="1" ref="W682" ca="1">IFERROR(_xlfn.IFS(OR(F682="",LEFT(Methode_Keuze,4)="Geen",Methode_Keuze=""),"",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17" t="str" cm="1">
        <f t="array" aca="1" ref="X682" ca="1">IFERROR(_xlfn.IFS(OR(F682="",LEFT(Methode_Keuze,4)="Geen",Methode_Keuze=""),"",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26"/>
      <c r="Z682" s="319"/>
      <c r="AA682" s="32" t="str" cm="1">
        <f t="array" ref="AA682">IFERROR(IF(INDEX(SubsidieTabel!$AD$1:$AG$12,MATCH($F682,SubsidieTabel!$AD$1:$AD$12,0),IFERROR(MATCH(Methode_Keuze,SubsidieTabel!$AD$1:$AG$1,0),2))&lt;&gt;1=TRUE,"ja",""),"")</f>
        <v/>
      </c>
    </row>
    <row r="683" spans="1:27" x14ac:dyDescent="0.25">
      <c r="A683" s="320"/>
      <c r="B683" s="321" t="str">
        <f>IF(A683&lt;&gt;"",_xlfn.MAXIFS($B$1:B682,$A$1:A682,A683)+1,"")</f>
        <v/>
      </c>
      <c r="C683" s="299"/>
      <c r="D683" s="299"/>
      <c r="E683" s="299"/>
      <c r="F683" s="299"/>
      <c r="G683" s="330"/>
      <c r="H683" s="328"/>
      <c r="I683" s="329"/>
      <c r="J683" s="329"/>
      <c r="K683" s="322"/>
      <c r="L683" s="322"/>
      <c r="M683" s="323" t="str">
        <f>IFERROR(VLOOKUP(H683,Lijsten!$H$1:$I$100,2,0),"")</f>
        <v/>
      </c>
      <c r="N683" s="323" t="str">
        <f ca="1">IFERROR(IF(VLOOKUP(F683,Kostentypen!$A$3:$E$21,3,0)=0,"",IF(OR(F683="Arbeidskosten",F683="Vergoeding"),VLOOKUP(G683,Tb_KostenTypen[],2,0),VLOOKUP(F683,Kostentypen!$A$3:$E$20,3,0))),"")</f>
        <v/>
      </c>
      <c r="O683" s="324"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4"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3"/>
      <c r="R683" s="363"/>
      <c r="S683" s="325"/>
      <c r="T683" s="325"/>
      <c r="U683" s="317" t="str" cm="1">
        <f t="array" aca="1" ref="U683" ca="1">IFERROR(IF(AA683&lt;&gt;"ja",_xlfn.IFNA(_xlfn.IFS(AND(O683&lt;&gt;"",F683&lt;&gt;"",RIGHT($N683,6)="tarief",F683="Vergoeding"),SUM(O683)*FLOOR(SUM(Q683),0.0001),AND(O683&lt;&gt;"",F683&lt;&gt;"",RIGHT($N683,6)="tarief"),SUM(O683)*FLOOR(SUM(Q683),0.01),S683&gt;0,IF(F683&lt;&gt;"",FLOOR(SUM(S683),0.01),"")),""),""),"")</f>
        <v/>
      </c>
      <c r="V683" s="317" t="str" cm="1">
        <f t="array" aca="1" ref="V683" ca="1">IFERROR(IF(AA683&lt;&gt;"ja",_xlfn.IFNA(_xlfn.IFS(AND(P683&lt;&gt;"",R683&lt;&gt;"",RIGHT($N683,6)="tarief",F683="Vergoeding"),SUM(P683)*FLOOR(SUM(R683),0.0001),AND(P683&lt;&gt;"",R683&lt;&gt;"",RIGHT($N683,6)="tarief"),P683*FLOOR(R683,0.01),T683&gt;0,FLOOR(SUM(T683),0.01)),""),""),"")</f>
        <v/>
      </c>
      <c r="W683" s="317" t="str" cm="1">
        <f t="array" aca="1" ref="W683" ca="1">IFERROR(_xlfn.IFS(OR(F683="",LEFT(Methode_Keuze,4)="Geen",Methode_Keuze=""),"",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17" t="str" cm="1">
        <f t="array" aca="1" ref="X683" ca="1">IFERROR(_xlfn.IFS(OR(F683="",LEFT(Methode_Keuze,4)="Geen",Methode_Keuze=""),"",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26"/>
      <c r="Z683" s="319"/>
      <c r="AA683" s="32" t="str" cm="1">
        <f t="array" ref="AA683">IFERROR(IF(INDEX(SubsidieTabel!$AD$1:$AG$12,MATCH($F683,SubsidieTabel!$AD$1:$AD$12,0),IFERROR(MATCH(Methode_Keuze,SubsidieTabel!$AD$1:$AG$1,0),2))&lt;&gt;1=TRUE,"ja",""),"")</f>
        <v/>
      </c>
    </row>
    <row r="684" spans="1:27" x14ac:dyDescent="0.25">
      <c r="A684" s="320"/>
      <c r="B684" s="321" t="str">
        <f>IF(A684&lt;&gt;"",_xlfn.MAXIFS($B$1:B683,$A$1:A683,A684)+1,"")</f>
        <v/>
      </c>
      <c r="C684" s="299"/>
      <c r="D684" s="299"/>
      <c r="E684" s="299"/>
      <c r="F684" s="299"/>
      <c r="G684" s="330"/>
      <c r="H684" s="328"/>
      <c r="I684" s="329"/>
      <c r="J684" s="329"/>
      <c r="K684" s="322"/>
      <c r="L684" s="322"/>
      <c r="M684" s="323" t="str">
        <f>IFERROR(VLOOKUP(H684,Lijsten!$H$1:$I$100,2,0),"")</f>
        <v/>
      </c>
      <c r="N684" s="323" t="str">
        <f ca="1">IFERROR(IF(VLOOKUP(F684,Kostentypen!$A$3:$E$21,3,0)=0,"",IF(OR(F684="Arbeidskosten",F684="Vergoeding"),VLOOKUP(G684,Tb_KostenTypen[],2,0),VLOOKUP(F684,Kostentypen!$A$3:$E$20,3,0))),"")</f>
        <v/>
      </c>
      <c r="O684" s="324"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4"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3"/>
      <c r="R684" s="363"/>
      <c r="S684" s="325"/>
      <c r="T684" s="325"/>
      <c r="U684" s="317" t="str" cm="1">
        <f t="array" aca="1" ref="U684" ca="1">IFERROR(IF(AA684&lt;&gt;"ja",_xlfn.IFNA(_xlfn.IFS(AND(O684&lt;&gt;"",F684&lt;&gt;"",RIGHT($N684,6)="tarief",F684="Vergoeding"),SUM(O684)*FLOOR(SUM(Q684),0.0001),AND(O684&lt;&gt;"",F684&lt;&gt;"",RIGHT($N684,6)="tarief"),SUM(O684)*FLOOR(SUM(Q684),0.01),S684&gt;0,IF(F684&lt;&gt;"",FLOOR(SUM(S684),0.01),"")),""),""),"")</f>
        <v/>
      </c>
      <c r="V684" s="317" t="str" cm="1">
        <f t="array" aca="1" ref="V684" ca="1">IFERROR(IF(AA684&lt;&gt;"ja",_xlfn.IFNA(_xlfn.IFS(AND(P684&lt;&gt;"",R684&lt;&gt;"",RIGHT($N684,6)="tarief",F684="Vergoeding"),SUM(P684)*FLOOR(SUM(R684),0.0001),AND(P684&lt;&gt;"",R684&lt;&gt;"",RIGHT($N684,6)="tarief"),P684*FLOOR(R684,0.01),T684&gt;0,FLOOR(SUM(T684),0.01)),""),""),"")</f>
        <v/>
      </c>
      <c r="W684" s="317" t="str" cm="1">
        <f t="array" aca="1" ref="W684" ca="1">IFERROR(_xlfn.IFS(OR(F684="",LEFT(Methode_Keuze,4)="Geen",Methode_Keuze=""),"",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17" t="str" cm="1">
        <f t="array" aca="1" ref="X684" ca="1">IFERROR(_xlfn.IFS(OR(F684="",LEFT(Methode_Keuze,4)="Geen",Methode_Keuze=""),"",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26"/>
      <c r="Z684" s="319"/>
      <c r="AA684" s="32" t="str" cm="1">
        <f t="array" ref="AA684">IFERROR(IF(INDEX(SubsidieTabel!$AD$1:$AG$12,MATCH($F684,SubsidieTabel!$AD$1:$AD$12,0),IFERROR(MATCH(Methode_Keuze,SubsidieTabel!$AD$1:$AG$1,0),2))&lt;&gt;1=TRUE,"ja",""),"")</f>
        <v/>
      </c>
    </row>
    <row r="685" spans="1:27" x14ac:dyDescent="0.25">
      <c r="A685" s="320"/>
      <c r="B685" s="321" t="str">
        <f>IF(A685&lt;&gt;"",_xlfn.MAXIFS($B$1:B684,$A$1:A684,A685)+1,"")</f>
        <v/>
      </c>
      <c r="C685" s="299"/>
      <c r="D685" s="299"/>
      <c r="E685" s="299"/>
      <c r="F685" s="299"/>
      <c r="G685" s="330"/>
      <c r="H685" s="328"/>
      <c r="I685" s="329"/>
      <c r="J685" s="329"/>
      <c r="K685" s="322"/>
      <c r="L685" s="322"/>
      <c r="M685" s="323" t="str">
        <f>IFERROR(VLOOKUP(H685,Lijsten!$H$1:$I$100,2,0),"")</f>
        <v/>
      </c>
      <c r="N685" s="323" t="str">
        <f ca="1">IFERROR(IF(VLOOKUP(F685,Kostentypen!$A$3:$E$21,3,0)=0,"",IF(OR(F685="Arbeidskosten",F685="Vergoeding"),VLOOKUP(G685,Tb_KostenTypen[],2,0),VLOOKUP(F685,Kostentypen!$A$3:$E$20,3,0))),"")</f>
        <v/>
      </c>
      <c r="O685" s="324"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4"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3"/>
      <c r="R685" s="363"/>
      <c r="S685" s="325"/>
      <c r="T685" s="325"/>
      <c r="U685" s="317" t="str" cm="1">
        <f t="array" aca="1" ref="U685" ca="1">IFERROR(IF(AA685&lt;&gt;"ja",_xlfn.IFNA(_xlfn.IFS(AND(O685&lt;&gt;"",F685&lt;&gt;"",RIGHT($N685,6)="tarief",F685="Vergoeding"),SUM(O685)*FLOOR(SUM(Q685),0.0001),AND(O685&lt;&gt;"",F685&lt;&gt;"",RIGHT($N685,6)="tarief"),SUM(O685)*FLOOR(SUM(Q685),0.01),S685&gt;0,IF(F685&lt;&gt;"",FLOOR(SUM(S685),0.01),"")),""),""),"")</f>
        <v/>
      </c>
      <c r="V685" s="317" t="str" cm="1">
        <f t="array" aca="1" ref="V685" ca="1">IFERROR(IF(AA685&lt;&gt;"ja",_xlfn.IFNA(_xlfn.IFS(AND(P685&lt;&gt;"",R685&lt;&gt;"",RIGHT($N685,6)="tarief",F685="Vergoeding"),SUM(P685)*FLOOR(SUM(R685),0.0001),AND(P685&lt;&gt;"",R685&lt;&gt;"",RIGHT($N685,6)="tarief"),P685*FLOOR(R685,0.01),T685&gt;0,FLOOR(SUM(T685),0.01)),""),""),"")</f>
        <v/>
      </c>
      <c r="W685" s="317" t="str" cm="1">
        <f t="array" aca="1" ref="W685" ca="1">IFERROR(_xlfn.IFS(OR(F685="",LEFT(Methode_Keuze,4)="Geen",Methode_Keuze=""),"",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17" t="str" cm="1">
        <f t="array" aca="1" ref="X685" ca="1">IFERROR(_xlfn.IFS(OR(F685="",LEFT(Methode_Keuze,4)="Geen",Methode_Keuze=""),"",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26"/>
      <c r="Z685" s="319"/>
      <c r="AA685" s="32" t="str" cm="1">
        <f t="array" ref="AA685">IFERROR(IF(INDEX(SubsidieTabel!$AD$1:$AG$12,MATCH($F685,SubsidieTabel!$AD$1:$AD$12,0),IFERROR(MATCH(Methode_Keuze,SubsidieTabel!$AD$1:$AG$1,0),2))&lt;&gt;1=TRUE,"ja",""),"")</f>
        <v/>
      </c>
    </row>
    <row r="686" spans="1:27" x14ac:dyDescent="0.25">
      <c r="A686" s="320"/>
      <c r="B686" s="321" t="str">
        <f>IF(A686&lt;&gt;"",_xlfn.MAXIFS($B$1:B685,$A$1:A685,A686)+1,"")</f>
        <v/>
      </c>
      <c r="C686" s="299"/>
      <c r="D686" s="299"/>
      <c r="E686" s="299"/>
      <c r="F686" s="299"/>
      <c r="G686" s="330"/>
      <c r="H686" s="328"/>
      <c r="I686" s="329"/>
      <c r="J686" s="329"/>
      <c r="K686" s="322"/>
      <c r="L686" s="322"/>
      <c r="M686" s="323" t="str">
        <f>IFERROR(VLOOKUP(H686,Lijsten!$H$1:$I$100,2,0),"")</f>
        <v/>
      </c>
      <c r="N686" s="323" t="str">
        <f ca="1">IFERROR(IF(VLOOKUP(F686,Kostentypen!$A$3:$E$21,3,0)=0,"",IF(OR(F686="Arbeidskosten",F686="Vergoeding"),VLOOKUP(G686,Tb_KostenTypen[],2,0),VLOOKUP(F686,Kostentypen!$A$3:$E$20,3,0))),"")</f>
        <v/>
      </c>
      <c r="O686" s="324"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4"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3"/>
      <c r="R686" s="363"/>
      <c r="S686" s="325"/>
      <c r="T686" s="325"/>
      <c r="U686" s="317" t="str" cm="1">
        <f t="array" aca="1" ref="U686" ca="1">IFERROR(IF(AA686&lt;&gt;"ja",_xlfn.IFNA(_xlfn.IFS(AND(O686&lt;&gt;"",F686&lt;&gt;"",RIGHT($N686,6)="tarief",F686="Vergoeding"),SUM(O686)*FLOOR(SUM(Q686),0.0001),AND(O686&lt;&gt;"",F686&lt;&gt;"",RIGHT($N686,6)="tarief"),SUM(O686)*FLOOR(SUM(Q686),0.01),S686&gt;0,IF(F686&lt;&gt;"",FLOOR(SUM(S686),0.01),"")),""),""),"")</f>
        <v/>
      </c>
      <c r="V686" s="317" t="str" cm="1">
        <f t="array" aca="1" ref="V686" ca="1">IFERROR(IF(AA686&lt;&gt;"ja",_xlfn.IFNA(_xlfn.IFS(AND(P686&lt;&gt;"",R686&lt;&gt;"",RIGHT($N686,6)="tarief",F686="Vergoeding"),SUM(P686)*FLOOR(SUM(R686),0.0001),AND(P686&lt;&gt;"",R686&lt;&gt;"",RIGHT($N686,6)="tarief"),P686*FLOOR(R686,0.01),T686&gt;0,FLOOR(SUM(T686),0.01)),""),""),"")</f>
        <v/>
      </c>
      <c r="W686" s="317" t="str" cm="1">
        <f t="array" aca="1" ref="W686" ca="1">IFERROR(_xlfn.IFS(OR(F686="",LEFT(Methode_Keuze,4)="Geen",Methode_Keuze=""),"",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17" t="str" cm="1">
        <f t="array" aca="1" ref="X686" ca="1">IFERROR(_xlfn.IFS(OR(F686="",LEFT(Methode_Keuze,4)="Geen",Methode_Keuze=""),"",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26"/>
      <c r="Z686" s="319"/>
      <c r="AA686" s="32" t="str" cm="1">
        <f t="array" ref="AA686">IFERROR(IF(INDEX(SubsidieTabel!$AD$1:$AG$12,MATCH($F686,SubsidieTabel!$AD$1:$AD$12,0),IFERROR(MATCH(Methode_Keuze,SubsidieTabel!$AD$1:$AG$1,0),2))&lt;&gt;1=TRUE,"ja",""),"")</f>
        <v/>
      </c>
    </row>
    <row r="687" spans="1:27" x14ac:dyDescent="0.25">
      <c r="A687" s="320"/>
      <c r="B687" s="321" t="str">
        <f>IF(A687&lt;&gt;"",_xlfn.MAXIFS($B$1:B686,$A$1:A686,A687)+1,"")</f>
        <v/>
      </c>
      <c r="C687" s="299"/>
      <c r="D687" s="299"/>
      <c r="E687" s="299"/>
      <c r="F687" s="299"/>
      <c r="G687" s="330"/>
      <c r="H687" s="328"/>
      <c r="I687" s="329"/>
      <c r="J687" s="329"/>
      <c r="K687" s="322"/>
      <c r="L687" s="322"/>
      <c r="M687" s="323" t="str">
        <f>IFERROR(VLOOKUP(H687,Lijsten!$H$1:$I$100,2,0),"")</f>
        <v/>
      </c>
      <c r="N687" s="323" t="str">
        <f ca="1">IFERROR(IF(VLOOKUP(F687,Kostentypen!$A$3:$E$21,3,0)=0,"",IF(OR(F687="Arbeidskosten",F687="Vergoeding"),VLOOKUP(G687,Tb_KostenTypen[],2,0),VLOOKUP(F687,Kostentypen!$A$3:$E$20,3,0))),"")</f>
        <v/>
      </c>
      <c r="O687" s="324"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4"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3"/>
      <c r="R687" s="363"/>
      <c r="S687" s="325"/>
      <c r="T687" s="325"/>
      <c r="U687" s="317" t="str" cm="1">
        <f t="array" aca="1" ref="U687" ca="1">IFERROR(IF(AA687&lt;&gt;"ja",_xlfn.IFNA(_xlfn.IFS(AND(O687&lt;&gt;"",F687&lt;&gt;"",RIGHT($N687,6)="tarief",F687="Vergoeding"),SUM(O687)*FLOOR(SUM(Q687),0.0001),AND(O687&lt;&gt;"",F687&lt;&gt;"",RIGHT($N687,6)="tarief"),SUM(O687)*FLOOR(SUM(Q687),0.01),S687&gt;0,IF(F687&lt;&gt;"",FLOOR(SUM(S687),0.01),"")),""),""),"")</f>
        <v/>
      </c>
      <c r="V687" s="317" t="str" cm="1">
        <f t="array" aca="1" ref="V687" ca="1">IFERROR(IF(AA687&lt;&gt;"ja",_xlfn.IFNA(_xlfn.IFS(AND(P687&lt;&gt;"",R687&lt;&gt;"",RIGHT($N687,6)="tarief",F687="Vergoeding"),SUM(P687)*FLOOR(SUM(R687),0.0001),AND(P687&lt;&gt;"",R687&lt;&gt;"",RIGHT($N687,6)="tarief"),P687*FLOOR(R687,0.01),T687&gt;0,FLOOR(SUM(T687),0.01)),""),""),"")</f>
        <v/>
      </c>
      <c r="W687" s="317" t="str" cm="1">
        <f t="array" aca="1" ref="W687" ca="1">IFERROR(_xlfn.IFS(OR(F687="",LEFT(Methode_Keuze,4)="Geen",Methode_Keuze=""),"",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17" t="str" cm="1">
        <f t="array" aca="1" ref="X687" ca="1">IFERROR(_xlfn.IFS(OR(F687="",LEFT(Methode_Keuze,4)="Geen",Methode_Keuze=""),"",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26"/>
      <c r="Z687" s="319"/>
      <c r="AA687" s="32" t="str" cm="1">
        <f t="array" ref="AA687">IFERROR(IF(INDEX(SubsidieTabel!$AD$1:$AG$12,MATCH($F687,SubsidieTabel!$AD$1:$AD$12,0),IFERROR(MATCH(Methode_Keuze,SubsidieTabel!$AD$1:$AG$1,0),2))&lt;&gt;1=TRUE,"ja",""),"")</f>
        <v/>
      </c>
    </row>
    <row r="688" spans="1:27" x14ac:dyDescent="0.25">
      <c r="A688" s="320"/>
      <c r="B688" s="321" t="str">
        <f>IF(A688&lt;&gt;"",_xlfn.MAXIFS($B$1:B687,$A$1:A687,A688)+1,"")</f>
        <v/>
      </c>
      <c r="C688" s="299"/>
      <c r="D688" s="299"/>
      <c r="E688" s="299"/>
      <c r="F688" s="299"/>
      <c r="G688" s="330"/>
      <c r="H688" s="328"/>
      <c r="I688" s="329"/>
      <c r="J688" s="329"/>
      <c r="K688" s="322"/>
      <c r="L688" s="322"/>
      <c r="M688" s="323" t="str">
        <f>IFERROR(VLOOKUP(H688,Lijsten!$H$1:$I$100,2,0),"")</f>
        <v/>
      </c>
      <c r="N688" s="323" t="str">
        <f ca="1">IFERROR(IF(VLOOKUP(F688,Kostentypen!$A$3:$E$21,3,0)=0,"",IF(OR(F688="Arbeidskosten",F688="Vergoeding"),VLOOKUP(G688,Tb_KostenTypen[],2,0),VLOOKUP(F688,Kostentypen!$A$3:$E$20,3,0))),"")</f>
        <v/>
      </c>
      <c r="O688" s="324"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4"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3"/>
      <c r="R688" s="363"/>
      <c r="S688" s="325"/>
      <c r="T688" s="325"/>
      <c r="U688" s="317" t="str" cm="1">
        <f t="array" aca="1" ref="U688" ca="1">IFERROR(IF(AA688&lt;&gt;"ja",_xlfn.IFNA(_xlfn.IFS(AND(O688&lt;&gt;"",F688&lt;&gt;"",RIGHT($N688,6)="tarief",F688="Vergoeding"),SUM(O688)*FLOOR(SUM(Q688),0.0001),AND(O688&lt;&gt;"",F688&lt;&gt;"",RIGHT($N688,6)="tarief"),SUM(O688)*FLOOR(SUM(Q688),0.01),S688&gt;0,IF(F688&lt;&gt;"",FLOOR(SUM(S688),0.01),"")),""),""),"")</f>
        <v/>
      </c>
      <c r="V688" s="317" t="str" cm="1">
        <f t="array" aca="1" ref="V688" ca="1">IFERROR(IF(AA688&lt;&gt;"ja",_xlfn.IFNA(_xlfn.IFS(AND(P688&lt;&gt;"",R688&lt;&gt;"",RIGHT($N688,6)="tarief",F688="Vergoeding"),SUM(P688)*FLOOR(SUM(R688),0.0001),AND(P688&lt;&gt;"",R688&lt;&gt;"",RIGHT($N688,6)="tarief"),P688*FLOOR(R688,0.01),T688&gt;0,FLOOR(SUM(T688),0.01)),""),""),"")</f>
        <v/>
      </c>
      <c r="W688" s="317" t="str" cm="1">
        <f t="array" aca="1" ref="W688" ca="1">IFERROR(_xlfn.IFS(OR(F688="",LEFT(Methode_Keuze,4)="Geen",Methode_Keuze=""),"",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17" t="str" cm="1">
        <f t="array" aca="1" ref="X688" ca="1">IFERROR(_xlfn.IFS(OR(F688="",LEFT(Methode_Keuze,4)="Geen",Methode_Keuze=""),"",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26"/>
      <c r="Z688" s="319"/>
      <c r="AA688" s="32" t="str" cm="1">
        <f t="array" ref="AA688">IFERROR(IF(INDEX(SubsidieTabel!$AD$1:$AG$12,MATCH($F688,SubsidieTabel!$AD$1:$AD$12,0),IFERROR(MATCH(Methode_Keuze,SubsidieTabel!$AD$1:$AG$1,0),2))&lt;&gt;1=TRUE,"ja",""),"")</f>
        <v/>
      </c>
    </row>
    <row r="689" spans="1:27" x14ac:dyDescent="0.25">
      <c r="A689" s="320"/>
      <c r="B689" s="321" t="str">
        <f>IF(A689&lt;&gt;"",_xlfn.MAXIFS($B$1:B688,$A$1:A688,A689)+1,"")</f>
        <v/>
      </c>
      <c r="C689" s="299"/>
      <c r="D689" s="299"/>
      <c r="E689" s="299"/>
      <c r="F689" s="299"/>
      <c r="G689" s="330"/>
      <c r="H689" s="328"/>
      <c r="I689" s="329"/>
      <c r="J689" s="329"/>
      <c r="K689" s="322"/>
      <c r="L689" s="322"/>
      <c r="M689" s="323" t="str">
        <f>IFERROR(VLOOKUP(H689,Lijsten!$H$1:$I$100,2,0),"")</f>
        <v/>
      </c>
      <c r="N689" s="323" t="str">
        <f ca="1">IFERROR(IF(VLOOKUP(F689,Kostentypen!$A$3:$E$21,3,0)=0,"",IF(OR(F689="Arbeidskosten",F689="Vergoeding"),VLOOKUP(G689,Tb_KostenTypen[],2,0),VLOOKUP(F689,Kostentypen!$A$3:$E$20,3,0))),"")</f>
        <v/>
      </c>
      <c r="O689" s="324"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4"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3"/>
      <c r="R689" s="363"/>
      <c r="S689" s="325"/>
      <c r="T689" s="325"/>
      <c r="U689" s="317" t="str" cm="1">
        <f t="array" aca="1" ref="U689" ca="1">IFERROR(IF(AA689&lt;&gt;"ja",_xlfn.IFNA(_xlfn.IFS(AND(O689&lt;&gt;"",F689&lt;&gt;"",RIGHT($N689,6)="tarief",F689="Vergoeding"),SUM(O689)*FLOOR(SUM(Q689),0.0001),AND(O689&lt;&gt;"",F689&lt;&gt;"",RIGHT($N689,6)="tarief"),SUM(O689)*FLOOR(SUM(Q689),0.01),S689&gt;0,IF(F689&lt;&gt;"",FLOOR(SUM(S689),0.01),"")),""),""),"")</f>
        <v/>
      </c>
      <c r="V689" s="317" t="str" cm="1">
        <f t="array" aca="1" ref="V689" ca="1">IFERROR(IF(AA689&lt;&gt;"ja",_xlfn.IFNA(_xlfn.IFS(AND(P689&lt;&gt;"",R689&lt;&gt;"",RIGHT($N689,6)="tarief",F689="Vergoeding"),SUM(P689)*FLOOR(SUM(R689),0.0001),AND(P689&lt;&gt;"",R689&lt;&gt;"",RIGHT($N689,6)="tarief"),P689*FLOOR(R689,0.01),T689&gt;0,FLOOR(SUM(T689),0.01)),""),""),"")</f>
        <v/>
      </c>
      <c r="W689" s="317" t="str" cm="1">
        <f t="array" aca="1" ref="W689" ca="1">IFERROR(_xlfn.IFS(OR(F689="",LEFT(Methode_Keuze,4)="Geen",Methode_Keuze=""),"",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17" t="str" cm="1">
        <f t="array" aca="1" ref="X689" ca="1">IFERROR(_xlfn.IFS(OR(F689="",LEFT(Methode_Keuze,4)="Geen",Methode_Keuze=""),"",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26"/>
      <c r="Z689" s="319"/>
      <c r="AA689" s="32" t="str" cm="1">
        <f t="array" ref="AA689">IFERROR(IF(INDEX(SubsidieTabel!$AD$1:$AG$12,MATCH($F689,SubsidieTabel!$AD$1:$AD$12,0),IFERROR(MATCH(Methode_Keuze,SubsidieTabel!$AD$1:$AG$1,0),2))&lt;&gt;1=TRUE,"ja",""),"")</f>
        <v/>
      </c>
    </row>
    <row r="690" spans="1:27" x14ac:dyDescent="0.25">
      <c r="A690" s="320"/>
      <c r="B690" s="321" t="str">
        <f>IF(A690&lt;&gt;"",_xlfn.MAXIFS($B$1:B689,$A$1:A689,A690)+1,"")</f>
        <v/>
      </c>
      <c r="C690" s="299"/>
      <c r="D690" s="299"/>
      <c r="E690" s="299"/>
      <c r="F690" s="299"/>
      <c r="G690" s="330"/>
      <c r="H690" s="328"/>
      <c r="I690" s="329"/>
      <c r="J690" s="329"/>
      <c r="K690" s="322"/>
      <c r="L690" s="322"/>
      <c r="M690" s="323" t="str">
        <f>IFERROR(VLOOKUP(H690,Lijsten!$H$1:$I$100,2,0),"")</f>
        <v/>
      </c>
      <c r="N690" s="323" t="str">
        <f ca="1">IFERROR(IF(VLOOKUP(F690,Kostentypen!$A$3:$E$21,3,0)=0,"",IF(OR(F690="Arbeidskosten",F690="Vergoeding"),VLOOKUP(G690,Tb_KostenTypen[],2,0),VLOOKUP(F690,Kostentypen!$A$3:$E$20,3,0))),"")</f>
        <v/>
      </c>
      <c r="O690" s="324"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4"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3"/>
      <c r="R690" s="363"/>
      <c r="S690" s="325"/>
      <c r="T690" s="325"/>
      <c r="U690" s="317" t="str" cm="1">
        <f t="array" aca="1" ref="U690" ca="1">IFERROR(IF(AA690&lt;&gt;"ja",_xlfn.IFNA(_xlfn.IFS(AND(O690&lt;&gt;"",F690&lt;&gt;"",RIGHT($N690,6)="tarief",F690="Vergoeding"),SUM(O690)*FLOOR(SUM(Q690),0.0001),AND(O690&lt;&gt;"",F690&lt;&gt;"",RIGHT($N690,6)="tarief"),SUM(O690)*FLOOR(SUM(Q690),0.01),S690&gt;0,IF(F690&lt;&gt;"",FLOOR(SUM(S690),0.01),"")),""),""),"")</f>
        <v/>
      </c>
      <c r="V690" s="317" t="str" cm="1">
        <f t="array" aca="1" ref="V690" ca="1">IFERROR(IF(AA690&lt;&gt;"ja",_xlfn.IFNA(_xlfn.IFS(AND(P690&lt;&gt;"",R690&lt;&gt;"",RIGHT($N690,6)="tarief",F690="Vergoeding"),SUM(P690)*FLOOR(SUM(R690),0.0001),AND(P690&lt;&gt;"",R690&lt;&gt;"",RIGHT($N690,6)="tarief"),P690*FLOOR(R690,0.01),T690&gt;0,FLOOR(SUM(T690),0.01)),""),""),"")</f>
        <v/>
      </c>
      <c r="W690" s="317" t="str" cm="1">
        <f t="array" aca="1" ref="W690" ca="1">IFERROR(_xlfn.IFS(OR(F690="",LEFT(Methode_Keuze,4)="Geen",Methode_Keuze=""),"",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17" t="str" cm="1">
        <f t="array" aca="1" ref="X690" ca="1">IFERROR(_xlfn.IFS(OR(F690="",LEFT(Methode_Keuze,4)="Geen",Methode_Keuze=""),"",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26"/>
      <c r="Z690" s="319"/>
      <c r="AA690" s="32" t="str" cm="1">
        <f t="array" ref="AA690">IFERROR(IF(INDEX(SubsidieTabel!$AD$1:$AG$12,MATCH($F690,SubsidieTabel!$AD$1:$AD$12,0),IFERROR(MATCH(Methode_Keuze,SubsidieTabel!$AD$1:$AG$1,0),2))&lt;&gt;1=TRUE,"ja",""),"")</f>
        <v/>
      </c>
    </row>
    <row r="691" spans="1:27" x14ac:dyDescent="0.25">
      <c r="A691" s="320"/>
      <c r="B691" s="321" t="str">
        <f>IF(A691&lt;&gt;"",_xlfn.MAXIFS($B$1:B690,$A$1:A690,A691)+1,"")</f>
        <v/>
      </c>
      <c r="C691" s="299"/>
      <c r="D691" s="299"/>
      <c r="E691" s="299"/>
      <c r="F691" s="299"/>
      <c r="G691" s="330"/>
      <c r="H691" s="328"/>
      <c r="I691" s="329"/>
      <c r="J691" s="329"/>
      <c r="K691" s="322"/>
      <c r="L691" s="322"/>
      <c r="M691" s="323" t="str">
        <f>IFERROR(VLOOKUP(H691,Lijsten!$H$1:$I$100,2,0),"")</f>
        <v/>
      </c>
      <c r="N691" s="323" t="str">
        <f ca="1">IFERROR(IF(VLOOKUP(F691,Kostentypen!$A$3:$E$21,3,0)=0,"",IF(OR(F691="Arbeidskosten",F691="Vergoeding"),VLOOKUP(G691,Tb_KostenTypen[],2,0),VLOOKUP(F691,Kostentypen!$A$3:$E$20,3,0))),"")</f>
        <v/>
      </c>
      <c r="O691" s="324"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4"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3"/>
      <c r="R691" s="363"/>
      <c r="S691" s="325"/>
      <c r="T691" s="325"/>
      <c r="U691" s="317" t="str" cm="1">
        <f t="array" aca="1" ref="U691" ca="1">IFERROR(IF(AA691&lt;&gt;"ja",_xlfn.IFNA(_xlfn.IFS(AND(O691&lt;&gt;"",F691&lt;&gt;"",RIGHT($N691,6)="tarief",F691="Vergoeding"),SUM(O691)*FLOOR(SUM(Q691),0.0001),AND(O691&lt;&gt;"",F691&lt;&gt;"",RIGHT($N691,6)="tarief"),SUM(O691)*FLOOR(SUM(Q691),0.01),S691&gt;0,IF(F691&lt;&gt;"",FLOOR(SUM(S691),0.01),"")),""),""),"")</f>
        <v/>
      </c>
      <c r="V691" s="317" t="str" cm="1">
        <f t="array" aca="1" ref="V691" ca="1">IFERROR(IF(AA691&lt;&gt;"ja",_xlfn.IFNA(_xlfn.IFS(AND(P691&lt;&gt;"",R691&lt;&gt;"",RIGHT($N691,6)="tarief",F691="Vergoeding"),SUM(P691)*FLOOR(SUM(R691),0.0001),AND(P691&lt;&gt;"",R691&lt;&gt;"",RIGHT($N691,6)="tarief"),P691*FLOOR(R691,0.01),T691&gt;0,FLOOR(SUM(T691),0.01)),""),""),"")</f>
        <v/>
      </c>
      <c r="W691" s="317" t="str" cm="1">
        <f t="array" aca="1" ref="W691" ca="1">IFERROR(_xlfn.IFS(OR(F691="",LEFT(Methode_Keuze,4)="Geen",Methode_Keuze=""),"",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17" t="str" cm="1">
        <f t="array" aca="1" ref="X691" ca="1">IFERROR(_xlfn.IFS(OR(F691="",LEFT(Methode_Keuze,4)="Geen",Methode_Keuze=""),"",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26"/>
      <c r="Z691" s="319"/>
      <c r="AA691" s="32" t="str" cm="1">
        <f t="array" ref="AA691">IFERROR(IF(INDEX(SubsidieTabel!$AD$1:$AG$12,MATCH($F691,SubsidieTabel!$AD$1:$AD$12,0),IFERROR(MATCH(Methode_Keuze,SubsidieTabel!$AD$1:$AG$1,0),2))&lt;&gt;1=TRUE,"ja",""),"")</f>
        <v/>
      </c>
    </row>
    <row r="692" spans="1:27" x14ac:dyDescent="0.25">
      <c r="A692" s="320"/>
      <c r="B692" s="321" t="str">
        <f>IF(A692&lt;&gt;"",_xlfn.MAXIFS($B$1:B691,$A$1:A691,A692)+1,"")</f>
        <v/>
      </c>
      <c r="C692" s="299"/>
      <c r="D692" s="299"/>
      <c r="E692" s="299"/>
      <c r="F692" s="299"/>
      <c r="G692" s="330"/>
      <c r="H692" s="328"/>
      <c r="I692" s="329"/>
      <c r="J692" s="329"/>
      <c r="K692" s="322"/>
      <c r="L692" s="322"/>
      <c r="M692" s="323" t="str">
        <f>IFERROR(VLOOKUP(H692,Lijsten!$H$1:$I$100,2,0),"")</f>
        <v/>
      </c>
      <c r="N692" s="323" t="str">
        <f ca="1">IFERROR(IF(VLOOKUP(F692,Kostentypen!$A$3:$E$21,3,0)=0,"",IF(OR(F692="Arbeidskosten",F692="Vergoeding"),VLOOKUP(G692,Tb_KostenTypen[],2,0),VLOOKUP(F692,Kostentypen!$A$3:$E$20,3,0))),"")</f>
        <v/>
      </c>
      <c r="O692" s="324"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4"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3"/>
      <c r="R692" s="363"/>
      <c r="S692" s="325"/>
      <c r="T692" s="325"/>
      <c r="U692" s="317" t="str" cm="1">
        <f t="array" aca="1" ref="U692" ca="1">IFERROR(IF(AA692&lt;&gt;"ja",_xlfn.IFNA(_xlfn.IFS(AND(O692&lt;&gt;"",F692&lt;&gt;"",RIGHT($N692,6)="tarief",F692="Vergoeding"),SUM(O692)*FLOOR(SUM(Q692),0.0001),AND(O692&lt;&gt;"",F692&lt;&gt;"",RIGHT($N692,6)="tarief"),SUM(O692)*FLOOR(SUM(Q692),0.01),S692&gt;0,IF(F692&lt;&gt;"",FLOOR(SUM(S692),0.01),"")),""),""),"")</f>
        <v/>
      </c>
      <c r="V692" s="317" t="str" cm="1">
        <f t="array" aca="1" ref="V692" ca="1">IFERROR(IF(AA692&lt;&gt;"ja",_xlfn.IFNA(_xlfn.IFS(AND(P692&lt;&gt;"",R692&lt;&gt;"",RIGHT($N692,6)="tarief",F692="Vergoeding"),SUM(P692)*FLOOR(SUM(R692),0.0001),AND(P692&lt;&gt;"",R692&lt;&gt;"",RIGHT($N692,6)="tarief"),P692*FLOOR(R692,0.01),T692&gt;0,FLOOR(SUM(T692),0.01)),""),""),"")</f>
        <v/>
      </c>
      <c r="W692" s="317" t="str" cm="1">
        <f t="array" aca="1" ref="W692" ca="1">IFERROR(_xlfn.IFS(OR(F692="",LEFT(Methode_Keuze,4)="Geen",Methode_Keuze=""),"",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17" t="str" cm="1">
        <f t="array" aca="1" ref="X692" ca="1">IFERROR(_xlfn.IFS(OR(F692="",LEFT(Methode_Keuze,4)="Geen",Methode_Keuze=""),"",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26"/>
      <c r="Z692" s="319"/>
      <c r="AA692" s="32" t="str" cm="1">
        <f t="array" ref="AA692">IFERROR(IF(INDEX(SubsidieTabel!$AD$1:$AG$12,MATCH($F692,SubsidieTabel!$AD$1:$AD$12,0),IFERROR(MATCH(Methode_Keuze,SubsidieTabel!$AD$1:$AG$1,0),2))&lt;&gt;1=TRUE,"ja",""),"")</f>
        <v/>
      </c>
    </row>
    <row r="693" spans="1:27" x14ac:dyDescent="0.25">
      <c r="A693" s="320"/>
      <c r="B693" s="321" t="str">
        <f>IF(A693&lt;&gt;"",_xlfn.MAXIFS($B$1:B692,$A$1:A692,A693)+1,"")</f>
        <v/>
      </c>
      <c r="C693" s="299"/>
      <c r="D693" s="299"/>
      <c r="E693" s="299"/>
      <c r="F693" s="299"/>
      <c r="G693" s="330"/>
      <c r="H693" s="328"/>
      <c r="I693" s="329"/>
      <c r="J693" s="329"/>
      <c r="K693" s="322"/>
      <c r="L693" s="322"/>
      <c r="M693" s="323" t="str">
        <f>IFERROR(VLOOKUP(H693,Lijsten!$H$1:$I$100,2,0),"")</f>
        <v/>
      </c>
      <c r="N693" s="323" t="str">
        <f ca="1">IFERROR(IF(VLOOKUP(F693,Kostentypen!$A$3:$E$21,3,0)=0,"",IF(OR(F693="Arbeidskosten",F693="Vergoeding"),VLOOKUP(G693,Tb_KostenTypen[],2,0),VLOOKUP(F693,Kostentypen!$A$3:$E$20,3,0))),"")</f>
        <v/>
      </c>
      <c r="O693" s="324"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4"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3"/>
      <c r="R693" s="363"/>
      <c r="S693" s="325"/>
      <c r="T693" s="325"/>
      <c r="U693" s="317" t="str" cm="1">
        <f t="array" aca="1" ref="U693" ca="1">IFERROR(IF(AA693&lt;&gt;"ja",_xlfn.IFNA(_xlfn.IFS(AND(O693&lt;&gt;"",F693&lt;&gt;"",RIGHT($N693,6)="tarief",F693="Vergoeding"),SUM(O693)*FLOOR(SUM(Q693),0.0001),AND(O693&lt;&gt;"",F693&lt;&gt;"",RIGHT($N693,6)="tarief"),SUM(O693)*FLOOR(SUM(Q693),0.01),S693&gt;0,IF(F693&lt;&gt;"",FLOOR(SUM(S693),0.01),"")),""),""),"")</f>
        <v/>
      </c>
      <c r="V693" s="317" t="str" cm="1">
        <f t="array" aca="1" ref="V693" ca="1">IFERROR(IF(AA693&lt;&gt;"ja",_xlfn.IFNA(_xlfn.IFS(AND(P693&lt;&gt;"",R693&lt;&gt;"",RIGHT($N693,6)="tarief",F693="Vergoeding"),SUM(P693)*FLOOR(SUM(R693),0.0001),AND(P693&lt;&gt;"",R693&lt;&gt;"",RIGHT($N693,6)="tarief"),P693*FLOOR(R693,0.01),T693&gt;0,FLOOR(SUM(T693),0.01)),""),""),"")</f>
        <v/>
      </c>
      <c r="W693" s="317" t="str" cm="1">
        <f t="array" aca="1" ref="W693" ca="1">IFERROR(_xlfn.IFS(OR(F693="",LEFT(Methode_Keuze,4)="Geen",Methode_Keuze=""),"",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17" t="str" cm="1">
        <f t="array" aca="1" ref="X693" ca="1">IFERROR(_xlfn.IFS(OR(F693="",LEFT(Methode_Keuze,4)="Geen",Methode_Keuze=""),"",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26"/>
      <c r="Z693" s="319"/>
      <c r="AA693" s="32" t="str" cm="1">
        <f t="array" ref="AA693">IFERROR(IF(INDEX(SubsidieTabel!$AD$1:$AG$12,MATCH($F693,SubsidieTabel!$AD$1:$AD$12,0),IFERROR(MATCH(Methode_Keuze,SubsidieTabel!$AD$1:$AG$1,0),2))&lt;&gt;1=TRUE,"ja",""),"")</f>
        <v/>
      </c>
    </row>
    <row r="694" spans="1:27" x14ac:dyDescent="0.25">
      <c r="A694" s="320"/>
      <c r="B694" s="321" t="str">
        <f>IF(A694&lt;&gt;"",_xlfn.MAXIFS($B$1:B693,$A$1:A693,A694)+1,"")</f>
        <v/>
      </c>
      <c r="C694" s="299"/>
      <c r="D694" s="299"/>
      <c r="E694" s="299"/>
      <c r="F694" s="299"/>
      <c r="G694" s="330"/>
      <c r="H694" s="328"/>
      <c r="I694" s="329"/>
      <c r="J694" s="329"/>
      <c r="K694" s="322"/>
      <c r="L694" s="322"/>
      <c r="M694" s="323" t="str">
        <f>IFERROR(VLOOKUP(H694,Lijsten!$H$1:$I$100,2,0),"")</f>
        <v/>
      </c>
      <c r="N694" s="323" t="str">
        <f ca="1">IFERROR(IF(VLOOKUP(F694,Kostentypen!$A$3:$E$21,3,0)=0,"",IF(OR(F694="Arbeidskosten",F694="Vergoeding"),VLOOKUP(G694,Tb_KostenTypen[],2,0),VLOOKUP(F694,Kostentypen!$A$3:$E$20,3,0))),"")</f>
        <v/>
      </c>
      <c r="O694" s="324"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4"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3"/>
      <c r="R694" s="363"/>
      <c r="S694" s="325"/>
      <c r="T694" s="325"/>
      <c r="U694" s="317" t="str" cm="1">
        <f t="array" aca="1" ref="U694" ca="1">IFERROR(IF(AA694&lt;&gt;"ja",_xlfn.IFNA(_xlfn.IFS(AND(O694&lt;&gt;"",F694&lt;&gt;"",RIGHT($N694,6)="tarief",F694="Vergoeding"),SUM(O694)*FLOOR(SUM(Q694),0.0001),AND(O694&lt;&gt;"",F694&lt;&gt;"",RIGHT($N694,6)="tarief"),SUM(O694)*FLOOR(SUM(Q694),0.01),S694&gt;0,IF(F694&lt;&gt;"",FLOOR(SUM(S694),0.01),"")),""),""),"")</f>
        <v/>
      </c>
      <c r="V694" s="317" t="str" cm="1">
        <f t="array" aca="1" ref="V694" ca="1">IFERROR(IF(AA694&lt;&gt;"ja",_xlfn.IFNA(_xlfn.IFS(AND(P694&lt;&gt;"",R694&lt;&gt;"",RIGHT($N694,6)="tarief",F694="Vergoeding"),SUM(P694)*FLOOR(SUM(R694),0.0001),AND(P694&lt;&gt;"",R694&lt;&gt;"",RIGHT($N694,6)="tarief"),P694*FLOOR(R694,0.01),T694&gt;0,FLOOR(SUM(T694),0.01)),""),""),"")</f>
        <v/>
      </c>
      <c r="W694" s="317" t="str" cm="1">
        <f t="array" aca="1" ref="W694" ca="1">IFERROR(_xlfn.IFS(OR(F694="",LEFT(Methode_Keuze,4)="Geen",Methode_Keuze=""),"",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17" t="str" cm="1">
        <f t="array" aca="1" ref="X694" ca="1">IFERROR(_xlfn.IFS(OR(F694="",LEFT(Methode_Keuze,4)="Geen",Methode_Keuze=""),"",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26"/>
      <c r="Z694" s="319"/>
      <c r="AA694" s="32" t="str" cm="1">
        <f t="array" ref="AA694">IFERROR(IF(INDEX(SubsidieTabel!$AD$1:$AG$12,MATCH($F694,SubsidieTabel!$AD$1:$AD$12,0),IFERROR(MATCH(Methode_Keuze,SubsidieTabel!$AD$1:$AG$1,0),2))&lt;&gt;1=TRUE,"ja",""),"")</f>
        <v/>
      </c>
    </row>
    <row r="695" spans="1:27" x14ac:dyDescent="0.25">
      <c r="A695" s="320"/>
      <c r="B695" s="321" t="str">
        <f>IF(A695&lt;&gt;"",_xlfn.MAXIFS($B$1:B694,$A$1:A694,A695)+1,"")</f>
        <v/>
      </c>
      <c r="C695" s="299"/>
      <c r="D695" s="299"/>
      <c r="E695" s="299"/>
      <c r="F695" s="299"/>
      <c r="G695" s="330"/>
      <c r="H695" s="328"/>
      <c r="I695" s="329"/>
      <c r="J695" s="329"/>
      <c r="K695" s="322"/>
      <c r="L695" s="322"/>
      <c r="M695" s="323" t="str">
        <f>IFERROR(VLOOKUP(H695,Lijsten!$H$1:$I$100,2,0),"")</f>
        <v/>
      </c>
      <c r="N695" s="323" t="str">
        <f ca="1">IFERROR(IF(VLOOKUP(F695,Kostentypen!$A$3:$E$21,3,0)=0,"",IF(OR(F695="Arbeidskosten",F695="Vergoeding"),VLOOKUP(G695,Tb_KostenTypen[],2,0),VLOOKUP(F695,Kostentypen!$A$3:$E$20,3,0))),"")</f>
        <v/>
      </c>
      <c r="O695" s="324"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4"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3"/>
      <c r="R695" s="363"/>
      <c r="S695" s="325"/>
      <c r="T695" s="325"/>
      <c r="U695" s="317" t="str" cm="1">
        <f t="array" aca="1" ref="U695" ca="1">IFERROR(IF(AA695&lt;&gt;"ja",_xlfn.IFNA(_xlfn.IFS(AND(O695&lt;&gt;"",F695&lt;&gt;"",RIGHT($N695,6)="tarief",F695="Vergoeding"),SUM(O695)*FLOOR(SUM(Q695),0.0001),AND(O695&lt;&gt;"",F695&lt;&gt;"",RIGHT($N695,6)="tarief"),SUM(O695)*FLOOR(SUM(Q695),0.01),S695&gt;0,IF(F695&lt;&gt;"",FLOOR(SUM(S695),0.01),"")),""),""),"")</f>
        <v/>
      </c>
      <c r="V695" s="317" t="str" cm="1">
        <f t="array" aca="1" ref="V695" ca="1">IFERROR(IF(AA695&lt;&gt;"ja",_xlfn.IFNA(_xlfn.IFS(AND(P695&lt;&gt;"",R695&lt;&gt;"",RIGHT($N695,6)="tarief",F695="Vergoeding"),SUM(P695)*FLOOR(SUM(R695),0.0001),AND(P695&lt;&gt;"",R695&lt;&gt;"",RIGHT($N695,6)="tarief"),P695*FLOOR(R695,0.01),T695&gt;0,FLOOR(SUM(T695),0.01)),""),""),"")</f>
        <v/>
      </c>
      <c r="W695" s="317" t="str" cm="1">
        <f t="array" aca="1" ref="W695" ca="1">IFERROR(_xlfn.IFS(OR(F695="",LEFT(Methode_Keuze,4)="Geen",Methode_Keuze=""),"",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17" t="str" cm="1">
        <f t="array" aca="1" ref="X695" ca="1">IFERROR(_xlfn.IFS(OR(F695="",LEFT(Methode_Keuze,4)="Geen",Methode_Keuze=""),"",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26"/>
      <c r="Z695" s="319"/>
      <c r="AA695" s="32" t="str" cm="1">
        <f t="array" ref="AA695">IFERROR(IF(INDEX(SubsidieTabel!$AD$1:$AG$12,MATCH($F695,SubsidieTabel!$AD$1:$AD$12,0),IFERROR(MATCH(Methode_Keuze,SubsidieTabel!$AD$1:$AG$1,0),2))&lt;&gt;1=TRUE,"ja",""),"")</f>
        <v/>
      </c>
    </row>
    <row r="696" spans="1:27" x14ac:dyDescent="0.25">
      <c r="A696" s="320"/>
      <c r="B696" s="321" t="str">
        <f>IF(A696&lt;&gt;"",_xlfn.MAXIFS($B$1:B695,$A$1:A695,A696)+1,"")</f>
        <v/>
      </c>
      <c r="C696" s="299"/>
      <c r="D696" s="299"/>
      <c r="E696" s="299"/>
      <c r="F696" s="299"/>
      <c r="G696" s="330"/>
      <c r="H696" s="328"/>
      <c r="I696" s="329"/>
      <c r="J696" s="329"/>
      <c r="K696" s="322"/>
      <c r="L696" s="322"/>
      <c r="M696" s="323" t="str">
        <f>IFERROR(VLOOKUP(H696,Lijsten!$H$1:$I$100,2,0),"")</f>
        <v/>
      </c>
      <c r="N696" s="323" t="str">
        <f ca="1">IFERROR(IF(VLOOKUP(F696,Kostentypen!$A$3:$E$21,3,0)=0,"",IF(OR(F696="Arbeidskosten",F696="Vergoeding"),VLOOKUP(G696,Tb_KostenTypen[],2,0),VLOOKUP(F696,Kostentypen!$A$3:$E$20,3,0))),"")</f>
        <v/>
      </c>
      <c r="O696" s="324"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4"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3"/>
      <c r="R696" s="363"/>
      <c r="S696" s="325"/>
      <c r="T696" s="325"/>
      <c r="U696" s="317" t="str" cm="1">
        <f t="array" aca="1" ref="U696" ca="1">IFERROR(IF(AA696&lt;&gt;"ja",_xlfn.IFNA(_xlfn.IFS(AND(O696&lt;&gt;"",F696&lt;&gt;"",RIGHT($N696,6)="tarief",F696="Vergoeding"),SUM(O696)*FLOOR(SUM(Q696),0.0001),AND(O696&lt;&gt;"",F696&lt;&gt;"",RIGHT($N696,6)="tarief"),SUM(O696)*FLOOR(SUM(Q696),0.01),S696&gt;0,IF(F696&lt;&gt;"",FLOOR(SUM(S696),0.01),"")),""),""),"")</f>
        <v/>
      </c>
      <c r="V696" s="317" t="str" cm="1">
        <f t="array" aca="1" ref="V696" ca="1">IFERROR(IF(AA696&lt;&gt;"ja",_xlfn.IFNA(_xlfn.IFS(AND(P696&lt;&gt;"",R696&lt;&gt;"",RIGHT($N696,6)="tarief",F696="Vergoeding"),SUM(P696)*FLOOR(SUM(R696),0.0001),AND(P696&lt;&gt;"",R696&lt;&gt;"",RIGHT($N696,6)="tarief"),P696*FLOOR(R696,0.01),T696&gt;0,FLOOR(SUM(T696),0.01)),""),""),"")</f>
        <v/>
      </c>
      <c r="W696" s="317" t="str" cm="1">
        <f t="array" aca="1" ref="W696" ca="1">IFERROR(_xlfn.IFS(OR(F696="",LEFT(Methode_Keuze,4)="Geen",Methode_Keuze=""),"",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17" t="str" cm="1">
        <f t="array" aca="1" ref="X696" ca="1">IFERROR(_xlfn.IFS(OR(F696="",LEFT(Methode_Keuze,4)="Geen",Methode_Keuze=""),"",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26"/>
      <c r="Z696" s="319"/>
      <c r="AA696" s="32" t="str" cm="1">
        <f t="array" ref="AA696">IFERROR(IF(INDEX(SubsidieTabel!$AD$1:$AG$12,MATCH($F696,SubsidieTabel!$AD$1:$AD$12,0),IFERROR(MATCH(Methode_Keuze,SubsidieTabel!$AD$1:$AG$1,0),2))&lt;&gt;1=TRUE,"ja",""),"")</f>
        <v/>
      </c>
    </row>
    <row r="697" spans="1:27" x14ac:dyDescent="0.25">
      <c r="A697" s="320"/>
      <c r="B697" s="321" t="str">
        <f>IF(A697&lt;&gt;"",_xlfn.MAXIFS($B$1:B696,$A$1:A696,A697)+1,"")</f>
        <v/>
      </c>
      <c r="C697" s="299"/>
      <c r="D697" s="299"/>
      <c r="E697" s="299"/>
      <c r="F697" s="299"/>
      <c r="G697" s="330"/>
      <c r="H697" s="328"/>
      <c r="I697" s="329"/>
      <c r="J697" s="329"/>
      <c r="K697" s="322"/>
      <c r="L697" s="322"/>
      <c r="M697" s="323" t="str">
        <f>IFERROR(VLOOKUP(H697,Lijsten!$H$1:$I$100,2,0),"")</f>
        <v/>
      </c>
      <c r="N697" s="323" t="str">
        <f ca="1">IFERROR(IF(VLOOKUP(F697,Kostentypen!$A$3:$E$21,3,0)=0,"",IF(OR(F697="Arbeidskosten",F697="Vergoeding"),VLOOKUP(G697,Tb_KostenTypen[],2,0),VLOOKUP(F697,Kostentypen!$A$3:$E$20,3,0))),"")</f>
        <v/>
      </c>
      <c r="O697" s="324"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4"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3"/>
      <c r="R697" s="363"/>
      <c r="S697" s="325"/>
      <c r="T697" s="325"/>
      <c r="U697" s="317" t="str" cm="1">
        <f t="array" aca="1" ref="U697" ca="1">IFERROR(IF(AA697&lt;&gt;"ja",_xlfn.IFNA(_xlfn.IFS(AND(O697&lt;&gt;"",F697&lt;&gt;"",RIGHT($N697,6)="tarief",F697="Vergoeding"),SUM(O697)*FLOOR(SUM(Q697),0.0001),AND(O697&lt;&gt;"",F697&lt;&gt;"",RIGHT($N697,6)="tarief"),SUM(O697)*FLOOR(SUM(Q697),0.01),S697&gt;0,IF(F697&lt;&gt;"",FLOOR(SUM(S697),0.01),"")),""),""),"")</f>
        <v/>
      </c>
      <c r="V697" s="317" t="str" cm="1">
        <f t="array" aca="1" ref="V697" ca="1">IFERROR(IF(AA697&lt;&gt;"ja",_xlfn.IFNA(_xlfn.IFS(AND(P697&lt;&gt;"",R697&lt;&gt;"",RIGHT($N697,6)="tarief",F697="Vergoeding"),SUM(P697)*FLOOR(SUM(R697),0.0001),AND(P697&lt;&gt;"",R697&lt;&gt;"",RIGHT($N697,6)="tarief"),P697*FLOOR(R697,0.01),T697&gt;0,FLOOR(SUM(T697),0.01)),""),""),"")</f>
        <v/>
      </c>
      <c r="W697" s="317" t="str" cm="1">
        <f t="array" aca="1" ref="W697" ca="1">IFERROR(_xlfn.IFS(OR(F697="",LEFT(Methode_Keuze,4)="Geen",Methode_Keuze=""),"",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17" t="str" cm="1">
        <f t="array" aca="1" ref="X697" ca="1">IFERROR(_xlfn.IFS(OR(F697="",LEFT(Methode_Keuze,4)="Geen",Methode_Keuze=""),"",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26"/>
      <c r="Z697" s="319"/>
      <c r="AA697" s="32" t="str" cm="1">
        <f t="array" ref="AA697">IFERROR(IF(INDEX(SubsidieTabel!$AD$1:$AG$12,MATCH($F697,SubsidieTabel!$AD$1:$AD$12,0),IFERROR(MATCH(Methode_Keuze,SubsidieTabel!$AD$1:$AG$1,0),2))&lt;&gt;1=TRUE,"ja",""),"")</f>
        <v/>
      </c>
    </row>
    <row r="698" spans="1:27" x14ac:dyDescent="0.25">
      <c r="A698" s="320"/>
      <c r="B698" s="321" t="str">
        <f>IF(A698&lt;&gt;"",_xlfn.MAXIFS($B$1:B697,$A$1:A697,A698)+1,"")</f>
        <v/>
      </c>
      <c r="C698" s="299"/>
      <c r="D698" s="299"/>
      <c r="E698" s="299"/>
      <c r="F698" s="299"/>
      <c r="G698" s="330"/>
      <c r="H698" s="328"/>
      <c r="I698" s="329"/>
      <c r="J698" s="329"/>
      <c r="K698" s="322"/>
      <c r="L698" s="322"/>
      <c r="M698" s="323" t="str">
        <f>IFERROR(VLOOKUP(H698,Lijsten!$H$1:$I$100,2,0),"")</f>
        <v/>
      </c>
      <c r="N698" s="323" t="str">
        <f ca="1">IFERROR(IF(VLOOKUP(F698,Kostentypen!$A$3:$E$21,3,0)=0,"",IF(OR(F698="Arbeidskosten",F698="Vergoeding"),VLOOKUP(G698,Tb_KostenTypen[],2,0),VLOOKUP(F698,Kostentypen!$A$3:$E$20,3,0))),"")</f>
        <v/>
      </c>
      <c r="O698" s="324"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4"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3"/>
      <c r="R698" s="363"/>
      <c r="S698" s="325"/>
      <c r="T698" s="325"/>
      <c r="U698" s="317" t="str" cm="1">
        <f t="array" aca="1" ref="U698" ca="1">IFERROR(IF(AA698&lt;&gt;"ja",_xlfn.IFNA(_xlfn.IFS(AND(O698&lt;&gt;"",F698&lt;&gt;"",RIGHT($N698,6)="tarief",F698="Vergoeding"),SUM(O698)*FLOOR(SUM(Q698),0.0001),AND(O698&lt;&gt;"",F698&lt;&gt;"",RIGHT($N698,6)="tarief"),SUM(O698)*FLOOR(SUM(Q698),0.01),S698&gt;0,IF(F698&lt;&gt;"",FLOOR(SUM(S698),0.01),"")),""),""),"")</f>
        <v/>
      </c>
      <c r="V698" s="317" t="str" cm="1">
        <f t="array" aca="1" ref="V698" ca="1">IFERROR(IF(AA698&lt;&gt;"ja",_xlfn.IFNA(_xlfn.IFS(AND(P698&lt;&gt;"",R698&lt;&gt;"",RIGHT($N698,6)="tarief",F698="Vergoeding"),SUM(P698)*FLOOR(SUM(R698),0.0001),AND(P698&lt;&gt;"",R698&lt;&gt;"",RIGHT($N698,6)="tarief"),P698*FLOOR(R698,0.01),T698&gt;0,FLOOR(SUM(T698),0.01)),""),""),"")</f>
        <v/>
      </c>
      <c r="W698" s="317" t="str" cm="1">
        <f t="array" aca="1" ref="W698" ca="1">IFERROR(_xlfn.IFS(OR(F698="",LEFT(Methode_Keuze,4)="Geen",Methode_Keuze=""),"",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17" t="str" cm="1">
        <f t="array" aca="1" ref="X698" ca="1">IFERROR(_xlfn.IFS(OR(F698="",LEFT(Methode_Keuze,4)="Geen",Methode_Keuze=""),"",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26"/>
      <c r="Z698" s="319"/>
      <c r="AA698" s="32" t="str" cm="1">
        <f t="array" ref="AA698">IFERROR(IF(INDEX(SubsidieTabel!$AD$1:$AG$12,MATCH($F698,SubsidieTabel!$AD$1:$AD$12,0),IFERROR(MATCH(Methode_Keuze,SubsidieTabel!$AD$1:$AG$1,0),2))&lt;&gt;1=TRUE,"ja",""),"")</f>
        <v/>
      </c>
    </row>
    <row r="699" spans="1:27" x14ac:dyDescent="0.25">
      <c r="A699" s="320"/>
      <c r="B699" s="321" t="str">
        <f>IF(A699&lt;&gt;"",_xlfn.MAXIFS($B$1:B698,$A$1:A698,A699)+1,"")</f>
        <v/>
      </c>
      <c r="C699" s="299"/>
      <c r="D699" s="299"/>
      <c r="E699" s="299"/>
      <c r="F699" s="299"/>
      <c r="G699" s="330"/>
      <c r="H699" s="328"/>
      <c r="I699" s="329"/>
      <c r="J699" s="329"/>
      <c r="K699" s="322"/>
      <c r="L699" s="322"/>
      <c r="M699" s="323" t="str">
        <f>IFERROR(VLOOKUP(H699,Lijsten!$H$1:$I$100,2,0),"")</f>
        <v/>
      </c>
      <c r="N699" s="323" t="str">
        <f ca="1">IFERROR(IF(VLOOKUP(F699,Kostentypen!$A$3:$E$21,3,0)=0,"",IF(OR(F699="Arbeidskosten",F699="Vergoeding"),VLOOKUP(G699,Tb_KostenTypen[],2,0),VLOOKUP(F699,Kostentypen!$A$3:$E$20,3,0))),"")</f>
        <v/>
      </c>
      <c r="O699" s="324"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4"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3"/>
      <c r="R699" s="363"/>
      <c r="S699" s="325"/>
      <c r="T699" s="325"/>
      <c r="U699" s="317" t="str" cm="1">
        <f t="array" aca="1" ref="U699" ca="1">IFERROR(IF(AA699&lt;&gt;"ja",_xlfn.IFNA(_xlfn.IFS(AND(O699&lt;&gt;"",F699&lt;&gt;"",RIGHT($N699,6)="tarief",F699="Vergoeding"),SUM(O699)*FLOOR(SUM(Q699),0.0001),AND(O699&lt;&gt;"",F699&lt;&gt;"",RIGHT($N699,6)="tarief"),SUM(O699)*FLOOR(SUM(Q699),0.01),S699&gt;0,IF(F699&lt;&gt;"",FLOOR(SUM(S699),0.01),"")),""),""),"")</f>
        <v/>
      </c>
      <c r="V699" s="317" t="str" cm="1">
        <f t="array" aca="1" ref="V699" ca="1">IFERROR(IF(AA699&lt;&gt;"ja",_xlfn.IFNA(_xlfn.IFS(AND(P699&lt;&gt;"",R699&lt;&gt;"",RIGHT($N699,6)="tarief",F699="Vergoeding"),SUM(P699)*FLOOR(SUM(R699),0.0001),AND(P699&lt;&gt;"",R699&lt;&gt;"",RIGHT($N699,6)="tarief"),P699*FLOOR(R699,0.01),T699&gt;0,FLOOR(SUM(T699),0.01)),""),""),"")</f>
        <v/>
      </c>
      <c r="W699" s="317" t="str" cm="1">
        <f t="array" aca="1" ref="W699" ca="1">IFERROR(_xlfn.IFS(OR(F699="",LEFT(Methode_Keuze,4)="Geen",Methode_Keuze=""),"",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17" t="str" cm="1">
        <f t="array" aca="1" ref="X699" ca="1">IFERROR(_xlfn.IFS(OR(F699="",LEFT(Methode_Keuze,4)="Geen",Methode_Keuze=""),"",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26"/>
      <c r="Z699" s="319"/>
      <c r="AA699" s="32" t="str" cm="1">
        <f t="array" ref="AA699">IFERROR(IF(INDEX(SubsidieTabel!$AD$1:$AG$12,MATCH($F699,SubsidieTabel!$AD$1:$AD$12,0),IFERROR(MATCH(Methode_Keuze,SubsidieTabel!$AD$1:$AG$1,0),2))&lt;&gt;1=TRUE,"ja",""),"")</f>
        <v/>
      </c>
    </row>
    <row r="700" spans="1:27" x14ac:dyDescent="0.25">
      <c r="A700" s="320"/>
      <c r="B700" s="321" t="str">
        <f>IF(A700&lt;&gt;"",_xlfn.MAXIFS($B$1:B699,$A$1:A699,A700)+1,"")</f>
        <v/>
      </c>
      <c r="C700" s="299"/>
      <c r="D700" s="299"/>
      <c r="E700" s="299"/>
      <c r="F700" s="299"/>
      <c r="G700" s="330"/>
      <c r="H700" s="328"/>
      <c r="I700" s="329"/>
      <c r="J700" s="329"/>
      <c r="K700" s="322"/>
      <c r="L700" s="322"/>
      <c r="M700" s="323" t="str">
        <f>IFERROR(VLOOKUP(H700,Lijsten!$H$1:$I$100,2,0),"")</f>
        <v/>
      </c>
      <c r="N700" s="323" t="str">
        <f ca="1">IFERROR(IF(VLOOKUP(F700,Kostentypen!$A$3:$E$21,3,0)=0,"",IF(OR(F700="Arbeidskosten",F700="Vergoeding"),VLOOKUP(G700,Tb_KostenTypen[],2,0),VLOOKUP(F700,Kostentypen!$A$3:$E$20,3,0))),"")</f>
        <v/>
      </c>
      <c r="O700" s="324"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4"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3"/>
      <c r="R700" s="363"/>
      <c r="S700" s="325"/>
      <c r="T700" s="325"/>
      <c r="U700" s="317" t="str" cm="1">
        <f t="array" aca="1" ref="U700" ca="1">IFERROR(IF(AA700&lt;&gt;"ja",_xlfn.IFNA(_xlfn.IFS(AND(O700&lt;&gt;"",F700&lt;&gt;"",RIGHT($N700,6)="tarief",F700="Vergoeding"),SUM(O700)*FLOOR(SUM(Q700),0.0001),AND(O700&lt;&gt;"",F700&lt;&gt;"",RIGHT($N700,6)="tarief"),SUM(O700)*FLOOR(SUM(Q700),0.01),S700&gt;0,IF(F700&lt;&gt;"",FLOOR(SUM(S700),0.01),"")),""),""),"")</f>
        <v/>
      </c>
      <c r="V700" s="317" t="str" cm="1">
        <f t="array" aca="1" ref="V700" ca="1">IFERROR(IF(AA700&lt;&gt;"ja",_xlfn.IFNA(_xlfn.IFS(AND(P700&lt;&gt;"",R700&lt;&gt;"",RIGHT($N700,6)="tarief",F700="Vergoeding"),SUM(P700)*FLOOR(SUM(R700),0.0001),AND(P700&lt;&gt;"",R700&lt;&gt;"",RIGHT($N700,6)="tarief"),P700*FLOOR(R700,0.01),T700&gt;0,FLOOR(SUM(T700),0.01)),""),""),"")</f>
        <v/>
      </c>
      <c r="W700" s="317" t="str" cm="1">
        <f t="array" aca="1" ref="W700" ca="1">IFERROR(_xlfn.IFS(OR(F700="",LEFT(Methode_Keuze,4)="Geen",Methode_Keuze=""),"",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17" t="str" cm="1">
        <f t="array" aca="1" ref="X700" ca="1">IFERROR(_xlfn.IFS(OR(F700="",LEFT(Methode_Keuze,4)="Geen",Methode_Keuze=""),"",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26"/>
      <c r="Z700" s="319"/>
      <c r="AA700" s="32" t="str" cm="1">
        <f t="array" ref="AA700">IFERROR(IF(INDEX(SubsidieTabel!$AD$1:$AG$12,MATCH($F700,SubsidieTabel!$AD$1:$AD$12,0),IFERROR(MATCH(Methode_Keuze,SubsidieTabel!$AD$1:$AG$1,0),2))&lt;&gt;1=TRUE,"ja",""),"")</f>
        <v/>
      </c>
    </row>
    <row r="701" spans="1:27" x14ac:dyDescent="0.25">
      <c r="A701" s="320"/>
      <c r="B701" s="321" t="str">
        <f>IF(A701&lt;&gt;"",_xlfn.MAXIFS($B$1:B700,$A$1:A700,A701)+1,"")</f>
        <v/>
      </c>
      <c r="C701" s="299"/>
      <c r="D701" s="299"/>
      <c r="E701" s="299"/>
      <c r="F701" s="299"/>
      <c r="G701" s="330"/>
      <c r="H701" s="328"/>
      <c r="I701" s="329"/>
      <c r="J701" s="329"/>
      <c r="K701" s="322"/>
      <c r="L701" s="322"/>
      <c r="M701" s="323" t="str">
        <f>IFERROR(VLOOKUP(H701,Lijsten!$H$1:$I$100,2,0),"")</f>
        <v/>
      </c>
      <c r="N701" s="323" t="str">
        <f ca="1">IFERROR(IF(VLOOKUP(F701,Kostentypen!$A$3:$E$21,3,0)=0,"",IF(OR(F701="Arbeidskosten",F701="Vergoeding"),VLOOKUP(G701,Tb_KostenTypen[],2,0),VLOOKUP(F701,Kostentypen!$A$3:$E$20,3,0))),"")</f>
        <v/>
      </c>
      <c r="O701" s="324"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4"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3"/>
      <c r="R701" s="363"/>
      <c r="S701" s="325"/>
      <c r="T701" s="325"/>
      <c r="U701" s="317" t="str" cm="1">
        <f t="array" aca="1" ref="U701" ca="1">IFERROR(IF(AA701&lt;&gt;"ja",_xlfn.IFNA(_xlfn.IFS(AND(O701&lt;&gt;"",F701&lt;&gt;"",RIGHT($N701,6)="tarief",F701="Vergoeding"),SUM(O701)*FLOOR(SUM(Q701),0.0001),AND(O701&lt;&gt;"",F701&lt;&gt;"",RIGHT($N701,6)="tarief"),SUM(O701)*FLOOR(SUM(Q701),0.01),S701&gt;0,IF(F701&lt;&gt;"",FLOOR(SUM(S701),0.01),"")),""),""),"")</f>
        <v/>
      </c>
      <c r="V701" s="317" t="str" cm="1">
        <f t="array" aca="1" ref="V701" ca="1">IFERROR(IF(AA701&lt;&gt;"ja",_xlfn.IFNA(_xlfn.IFS(AND(P701&lt;&gt;"",R701&lt;&gt;"",RIGHT($N701,6)="tarief",F701="Vergoeding"),SUM(P701)*FLOOR(SUM(R701),0.0001),AND(P701&lt;&gt;"",R701&lt;&gt;"",RIGHT($N701,6)="tarief"),P701*FLOOR(R701,0.01),T701&gt;0,FLOOR(SUM(T701),0.01)),""),""),"")</f>
        <v/>
      </c>
      <c r="W701" s="317" t="str" cm="1">
        <f t="array" aca="1" ref="W701" ca="1">IFERROR(_xlfn.IFS(OR(F701="",LEFT(Methode_Keuze,4)="Geen",Methode_Keuze=""),"",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17" t="str" cm="1">
        <f t="array" aca="1" ref="X701" ca="1">IFERROR(_xlfn.IFS(OR(F701="",LEFT(Methode_Keuze,4)="Geen",Methode_Keuze=""),"",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26"/>
      <c r="Z701" s="319"/>
      <c r="AA701" s="32" t="str" cm="1">
        <f t="array" ref="AA701">IFERROR(IF(INDEX(SubsidieTabel!$AD$1:$AG$12,MATCH($F701,SubsidieTabel!$AD$1:$AD$12,0),IFERROR(MATCH(Methode_Keuze,SubsidieTabel!$AD$1:$AG$1,0),2))&lt;&gt;1=TRUE,"ja",""),"")</f>
        <v/>
      </c>
    </row>
    <row r="702" spans="1:27" x14ac:dyDescent="0.25">
      <c r="A702" s="320"/>
      <c r="B702" s="321" t="str">
        <f>IF(A702&lt;&gt;"",_xlfn.MAXIFS($B$1:B701,$A$1:A701,A702)+1,"")</f>
        <v/>
      </c>
      <c r="C702" s="299"/>
      <c r="D702" s="299"/>
      <c r="E702" s="299"/>
      <c r="F702" s="299"/>
      <c r="G702" s="330"/>
      <c r="H702" s="328"/>
      <c r="I702" s="329"/>
      <c r="J702" s="329"/>
      <c r="K702" s="322"/>
      <c r="L702" s="322"/>
      <c r="M702" s="323" t="str">
        <f>IFERROR(VLOOKUP(H702,Lijsten!$H$1:$I$100,2,0),"")</f>
        <v/>
      </c>
      <c r="N702" s="323" t="str">
        <f ca="1">IFERROR(IF(VLOOKUP(F702,Kostentypen!$A$3:$E$21,3,0)=0,"",IF(OR(F702="Arbeidskosten",F702="Vergoeding"),VLOOKUP(G702,Tb_KostenTypen[],2,0),VLOOKUP(F702,Kostentypen!$A$3:$E$20,3,0))),"")</f>
        <v/>
      </c>
      <c r="O702" s="324"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4"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3"/>
      <c r="R702" s="363"/>
      <c r="S702" s="325"/>
      <c r="T702" s="325"/>
      <c r="U702" s="317" t="str" cm="1">
        <f t="array" aca="1" ref="U702" ca="1">IFERROR(IF(AA702&lt;&gt;"ja",_xlfn.IFNA(_xlfn.IFS(AND(O702&lt;&gt;"",F702&lt;&gt;"",RIGHT($N702,6)="tarief",F702="Vergoeding"),SUM(O702)*FLOOR(SUM(Q702),0.0001),AND(O702&lt;&gt;"",F702&lt;&gt;"",RIGHT($N702,6)="tarief"),SUM(O702)*FLOOR(SUM(Q702),0.01),S702&gt;0,IF(F702&lt;&gt;"",FLOOR(SUM(S702),0.01),"")),""),""),"")</f>
        <v/>
      </c>
      <c r="V702" s="317" t="str" cm="1">
        <f t="array" aca="1" ref="V702" ca="1">IFERROR(IF(AA702&lt;&gt;"ja",_xlfn.IFNA(_xlfn.IFS(AND(P702&lt;&gt;"",R702&lt;&gt;"",RIGHT($N702,6)="tarief",F702="Vergoeding"),SUM(P702)*FLOOR(SUM(R702),0.0001),AND(P702&lt;&gt;"",R702&lt;&gt;"",RIGHT($N702,6)="tarief"),P702*FLOOR(R702,0.01),T702&gt;0,FLOOR(SUM(T702),0.01)),""),""),"")</f>
        <v/>
      </c>
      <c r="W702" s="317" t="str" cm="1">
        <f t="array" aca="1" ref="W702" ca="1">IFERROR(_xlfn.IFS(OR(F702="",LEFT(Methode_Keuze,4)="Geen",Methode_Keuze=""),"",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17" t="str" cm="1">
        <f t="array" aca="1" ref="X702" ca="1">IFERROR(_xlfn.IFS(OR(F702="",LEFT(Methode_Keuze,4)="Geen",Methode_Keuze=""),"",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26"/>
      <c r="Z702" s="319"/>
      <c r="AA702" s="32" t="str" cm="1">
        <f t="array" ref="AA702">IFERROR(IF(INDEX(SubsidieTabel!$AD$1:$AG$12,MATCH($F702,SubsidieTabel!$AD$1:$AD$12,0),IFERROR(MATCH(Methode_Keuze,SubsidieTabel!$AD$1:$AG$1,0),2))&lt;&gt;1=TRUE,"ja",""),"")</f>
        <v/>
      </c>
    </row>
    <row r="703" spans="1:27" x14ac:dyDescent="0.25">
      <c r="A703" s="320"/>
      <c r="B703" s="321" t="str">
        <f>IF(A703&lt;&gt;"",_xlfn.MAXIFS($B$1:B702,$A$1:A702,A703)+1,"")</f>
        <v/>
      </c>
      <c r="C703" s="299"/>
      <c r="D703" s="299"/>
      <c r="E703" s="299"/>
      <c r="F703" s="299"/>
      <c r="G703" s="330"/>
      <c r="H703" s="328"/>
      <c r="I703" s="329"/>
      <c r="J703" s="329"/>
      <c r="K703" s="322"/>
      <c r="L703" s="322"/>
      <c r="M703" s="323" t="str">
        <f>IFERROR(VLOOKUP(H703,Lijsten!$H$1:$I$100,2,0),"")</f>
        <v/>
      </c>
      <c r="N703" s="323" t="str">
        <f ca="1">IFERROR(IF(VLOOKUP(F703,Kostentypen!$A$3:$E$21,3,0)=0,"",IF(OR(F703="Arbeidskosten",F703="Vergoeding"),VLOOKUP(G703,Tb_KostenTypen[],2,0),VLOOKUP(F703,Kostentypen!$A$3:$E$20,3,0))),"")</f>
        <v/>
      </c>
      <c r="O703" s="324"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4"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3"/>
      <c r="R703" s="363"/>
      <c r="S703" s="325"/>
      <c r="T703" s="325"/>
      <c r="U703" s="317" t="str" cm="1">
        <f t="array" aca="1" ref="U703" ca="1">IFERROR(IF(AA703&lt;&gt;"ja",_xlfn.IFNA(_xlfn.IFS(AND(O703&lt;&gt;"",F703&lt;&gt;"",RIGHT($N703,6)="tarief",F703="Vergoeding"),SUM(O703)*FLOOR(SUM(Q703),0.0001),AND(O703&lt;&gt;"",F703&lt;&gt;"",RIGHT($N703,6)="tarief"),SUM(O703)*FLOOR(SUM(Q703),0.01),S703&gt;0,IF(F703&lt;&gt;"",FLOOR(SUM(S703),0.01),"")),""),""),"")</f>
        <v/>
      </c>
      <c r="V703" s="317" t="str" cm="1">
        <f t="array" aca="1" ref="V703" ca="1">IFERROR(IF(AA703&lt;&gt;"ja",_xlfn.IFNA(_xlfn.IFS(AND(P703&lt;&gt;"",R703&lt;&gt;"",RIGHT($N703,6)="tarief",F703="Vergoeding"),SUM(P703)*FLOOR(SUM(R703),0.0001),AND(P703&lt;&gt;"",R703&lt;&gt;"",RIGHT($N703,6)="tarief"),P703*FLOOR(R703,0.01),T703&gt;0,FLOOR(SUM(T703),0.01)),""),""),"")</f>
        <v/>
      </c>
      <c r="W703" s="317" t="str" cm="1">
        <f t="array" aca="1" ref="W703" ca="1">IFERROR(_xlfn.IFS(OR(F703="",LEFT(Methode_Keuze,4)="Geen",Methode_Keuze=""),"",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17" t="str" cm="1">
        <f t="array" aca="1" ref="X703" ca="1">IFERROR(_xlfn.IFS(OR(F703="",LEFT(Methode_Keuze,4)="Geen",Methode_Keuze=""),"",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26"/>
      <c r="Z703" s="319"/>
      <c r="AA703" s="32" t="str" cm="1">
        <f t="array" ref="AA703">IFERROR(IF(INDEX(SubsidieTabel!$AD$1:$AG$12,MATCH($F703,SubsidieTabel!$AD$1:$AD$12,0),IFERROR(MATCH(Methode_Keuze,SubsidieTabel!$AD$1:$AG$1,0),2))&lt;&gt;1=TRUE,"ja",""),"")</f>
        <v/>
      </c>
    </row>
    <row r="704" spans="1:27" x14ac:dyDescent="0.25">
      <c r="A704" s="320"/>
      <c r="B704" s="321" t="str">
        <f>IF(A704&lt;&gt;"",_xlfn.MAXIFS($B$1:B703,$A$1:A703,A704)+1,"")</f>
        <v/>
      </c>
      <c r="C704" s="299"/>
      <c r="D704" s="299"/>
      <c r="E704" s="299"/>
      <c r="F704" s="299"/>
      <c r="G704" s="330"/>
      <c r="H704" s="328"/>
      <c r="I704" s="329"/>
      <c r="J704" s="329"/>
      <c r="K704" s="322"/>
      <c r="L704" s="322"/>
      <c r="M704" s="323" t="str">
        <f>IFERROR(VLOOKUP(H704,Lijsten!$H$1:$I$100,2,0),"")</f>
        <v/>
      </c>
      <c r="N704" s="323" t="str">
        <f ca="1">IFERROR(IF(VLOOKUP(F704,Kostentypen!$A$3:$E$21,3,0)=0,"",IF(OR(F704="Arbeidskosten",F704="Vergoeding"),VLOOKUP(G704,Tb_KostenTypen[],2,0),VLOOKUP(F704,Kostentypen!$A$3:$E$20,3,0))),"")</f>
        <v/>
      </c>
      <c r="O704" s="324"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4"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3"/>
      <c r="R704" s="363"/>
      <c r="S704" s="325"/>
      <c r="T704" s="325"/>
      <c r="U704" s="317" t="str" cm="1">
        <f t="array" aca="1" ref="U704" ca="1">IFERROR(IF(AA704&lt;&gt;"ja",_xlfn.IFNA(_xlfn.IFS(AND(O704&lt;&gt;"",F704&lt;&gt;"",RIGHT($N704,6)="tarief",F704="Vergoeding"),SUM(O704)*FLOOR(SUM(Q704),0.0001),AND(O704&lt;&gt;"",F704&lt;&gt;"",RIGHT($N704,6)="tarief"),SUM(O704)*FLOOR(SUM(Q704),0.01),S704&gt;0,IF(F704&lt;&gt;"",FLOOR(SUM(S704),0.01),"")),""),""),"")</f>
        <v/>
      </c>
      <c r="V704" s="317" t="str" cm="1">
        <f t="array" aca="1" ref="V704" ca="1">IFERROR(IF(AA704&lt;&gt;"ja",_xlfn.IFNA(_xlfn.IFS(AND(P704&lt;&gt;"",R704&lt;&gt;"",RIGHT($N704,6)="tarief",F704="Vergoeding"),SUM(P704)*FLOOR(SUM(R704),0.0001),AND(P704&lt;&gt;"",R704&lt;&gt;"",RIGHT($N704,6)="tarief"),P704*FLOOR(R704,0.01),T704&gt;0,FLOOR(SUM(T704),0.01)),""),""),"")</f>
        <v/>
      </c>
      <c r="W704" s="317" t="str" cm="1">
        <f t="array" aca="1" ref="W704" ca="1">IFERROR(_xlfn.IFS(OR(F704="",LEFT(Methode_Keuze,4)="Geen",Methode_Keuze=""),"",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17" t="str" cm="1">
        <f t="array" aca="1" ref="X704" ca="1">IFERROR(_xlfn.IFS(OR(F704="",LEFT(Methode_Keuze,4)="Geen",Methode_Keuze=""),"",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26"/>
      <c r="Z704" s="319"/>
      <c r="AA704" s="32" t="str" cm="1">
        <f t="array" ref="AA704">IFERROR(IF(INDEX(SubsidieTabel!$AD$1:$AG$12,MATCH($F704,SubsidieTabel!$AD$1:$AD$12,0),IFERROR(MATCH(Methode_Keuze,SubsidieTabel!$AD$1:$AG$1,0),2))&lt;&gt;1=TRUE,"ja",""),"")</f>
        <v/>
      </c>
    </row>
    <row r="705" spans="1:27" x14ac:dyDescent="0.25">
      <c r="A705" s="320"/>
      <c r="B705" s="321" t="str">
        <f>IF(A705&lt;&gt;"",_xlfn.MAXIFS($B$1:B704,$A$1:A704,A705)+1,"")</f>
        <v/>
      </c>
      <c r="C705" s="299"/>
      <c r="D705" s="299"/>
      <c r="E705" s="299"/>
      <c r="F705" s="299"/>
      <c r="G705" s="330"/>
      <c r="H705" s="328"/>
      <c r="I705" s="329"/>
      <c r="J705" s="329"/>
      <c r="K705" s="322"/>
      <c r="L705" s="322"/>
      <c r="M705" s="323" t="str">
        <f>IFERROR(VLOOKUP(H705,Lijsten!$H$1:$I$100,2,0),"")</f>
        <v/>
      </c>
      <c r="N705" s="323" t="str">
        <f ca="1">IFERROR(IF(VLOOKUP(F705,Kostentypen!$A$3:$E$21,3,0)=0,"",IF(OR(F705="Arbeidskosten",F705="Vergoeding"),VLOOKUP(G705,Tb_KostenTypen[],2,0),VLOOKUP(F705,Kostentypen!$A$3:$E$20,3,0))),"")</f>
        <v/>
      </c>
      <c r="O705" s="324"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4"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3"/>
      <c r="R705" s="363"/>
      <c r="S705" s="325"/>
      <c r="T705" s="325"/>
      <c r="U705" s="317" t="str" cm="1">
        <f t="array" aca="1" ref="U705" ca="1">IFERROR(IF(AA705&lt;&gt;"ja",_xlfn.IFNA(_xlfn.IFS(AND(O705&lt;&gt;"",F705&lt;&gt;"",RIGHT($N705,6)="tarief",F705="Vergoeding"),SUM(O705)*FLOOR(SUM(Q705),0.0001),AND(O705&lt;&gt;"",F705&lt;&gt;"",RIGHT($N705,6)="tarief"),SUM(O705)*FLOOR(SUM(Q705),0.01),S705&gt;0,IF(F705&lt;&gt;"",FLOOR(SUM(S705),0.01),"")),""),""),"")</f>
        <v/>
      </c>
      <c r="V705" s="317" t="str" cm="1">
        <f t="array" aca="1" ref="V705" ca="1">IFERROR(IF(AA705&lt;&gt;"ja",_xlfn.IFNA(_xlfn.IFS(AND(P705&lt;&gt;"",R705&lt;&gt;"",RIGHT($N705,6)="tarief",F705="Vergoeding"),SUM(P705)*FLOOR(SUM(R705),0.0001),AND(P705&lt;&gt;"",R705&lt;&gt;"",RIGHT($N705,6)="tarief"),P705*FLOOR(R705,0.01),T705&gt;0,FLOOR(SUM(T705),0.01)),""),""),"")</f>
        <v/>
      </c>
      <c r="W705" s="317" t="str" cm="1">
        <f t="array" aca="1" ref="W705" ca="1">IFERROR(_xlfn.IFS(OR(F705="",LEFT(Methode_Keuze,4)="Geen",Methode_Keuze=""),"",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17" t="str" cm="1">
        <f t="array" aca="1" ref="X705" ca="1">IFERROR(_xlfn.IFS(OR(F705="",LEFT(Methode_Keuze,4)="Geen",Methode_Keuze=""),"",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26"/>
      <c r="Z705" s="319"/>
      <c r="AA705" s="32" t="str" cm="1">
        <f t="array" ref="AA705">IFERROR(IF(INDEX(SubsidieTabel!$AD$1:$AG$12,MATCH($F705,SubsidieTabel!$AD$1:$AD$12,0),IFERROR(MATCH(Methode_Keuze,SubsidieTabel!$AD$1:$AG$1,0),2))&lt;&gt;1=TRUE,"ja",""),"")</f>
        <v/>
      </c>
    </row>
    <row r="706" spans="1:27" x14ac:dyDescent="0.25">
      <c r="A706" s="320"/>
      <c r="B706" s="321" t="str">
        <f>IF(A706&lt;&gt;"",_xlfn.MAXIFS($B$1:B705,$A$1:A705,A706)+1,"")</f>
        <v/>
      </c>
      <c r="C706" s="299"/>
      <c r="D706" s="299"/>
      <c r="E706" s="299"/>
      <c r="F706" s="299"/>
      <c r="G706" s="330"/>
      <c r="H706" s="328"/>
      <c r="I706" s="329"/>
      <c r="J706" s="329"/>
      <c r="K706" s="322"/>
      <c r="L706" s="322"/>
      <c r="M706" s="323" t="str">
        <f>IFERROR(VLOOKUP(H706,Lijsten!$H$1:$I$100,2,0),"")</f>
        <v/>
      </c>
      <c r="N706" s="323" t="str">
        <f ca="1">IFERROR(IF(VLOOKUP(F706,Kostentypen!$A$3:$E$21,3,0)=0,"",IF(OR(F706="Arbeidskosten",F706="Vergoeding"),VLOOKUP(G706,Tb_KostenTypen[],2,0),VLOOKUP(F706,Kostentypen!$A$3:$E$20,3,0))),"")</f>
        <v/>
      </c>
      <c r="O706" s="324"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4"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3"/>
      <c r="R706" s="363"/>
      <c r="S706" s="325"/>
      <c r="T706" s="325"/>
      <c r="U706" s="317" t="str" cm="1">
        <f t="array" aca="1" ref="U706" ca="1">IFERROR(IF(AA706&lt;&gt;"ja",_xlfn.IFNA(_xlfn.IFS(AND(O706&lt;&gt;"",F706&lt;&gt;"",RIGHT($N706,6)="tarief",F706="Vergoeding"),SUM(O706)*FLOOR(SUM(Q706),0.0001),AND(O706&lt;&gt;"",F706&lt;&gt;"",RIGHT($N706,6)="tarief"),SUM(O706)*FLOOR(SUM(Q706),0.01),S706&gt;0,IF(F706&lt;&gt;"",FLOOR(SUM(S706),0.01),"")),""),""),"")</f>
        <v/>
      </c>
      <c r="V706" s="317" t="str" cm="1">
        <f t="array" aca="1" ref="V706" ca="1">IFERROR(IF(AA706&lt;&gt;"ja",_xlfn.IFNA(_xlfn.IFS(AND(P706&lt;&gt;"",R706&lt;&gt;"",RIGHT($N706,6)="tarief",F706="Vergoeding"),SUM(P706)*FLOOR(SUM(R706),0.0001),AND(P706&lt;&gt;"",R706&lt;&gt;"",RIGHT($N706,6)="tarief"),P706*FLOOR(R706,0.01),T706&gt;0,FLOOR(SUM(T706),0.01)),""),""),"")</f>
        <v/>
      </c>
      <c r="W706" s="317" t="str" cm="1">
        <f t="array" aca="1" ref="W706" ca="1">IFERROR(_xlfn.IFS(OR(F706="",LEFT(Methode_Keuze,4)="Geen",Methode_Keuze=""),"",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17" t="str" cm="1">
        <f t="array" aca="1" ref="X706" ca="1">IFERROR(_xlfn.IFS(OR(F706="",LEFT(Methode_Keuze,4)="Geen",Methode_Keuze=""),"",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26"/>
      <c r="Z706" s="319"/>
      <c r="AA706" s="32" t="str" cm="1">
        <f t="array" ref="AA706">IFERROR(IF(INDEX(SubsidieTabel!$AD$1:$AG$12,MATCH($F706,SubsidieTabel!$AD$1:$AD$12,0),IFERROR(MATCH(Methode_Keuze,SubsidieTabel!$AD$1:$AG$1,0),2))&lt;&gt;1=TRUE,"ja",""),"")</f>
        <v/>
      </c>
    </row>
    <row r="707" spans="1:27" x14ac:dyDescent="0.25">
      <c r="A707" s="320"/>
      <c r="B707" s="321" t="str">
        <f>IF(A707&lt;&gt;"",_xlfn.MAXIFS($B$1:B706,$A$1:A706,A707)+1,"")</f>
        <v/>
      </c>
      <c r="C707" s="299"/>
      <c r="D707" s="299"/>
      <c r="E707" s="299"/>
      <c r="F707" s="299"/>
      <c r="G707" s="330"/>
      <c r="H707" s="328"/>
      <c r="I707" s="329"/>
      <c r="J707" s="329"/>
      <c r="K707" s="322"/>
      <c r="L707" s="322"/>
      <c r="M707" s="323" t="str">
        <f>IFERROR(VLOOKUP(H707,Lijsten!$H$1:$I$100,2,0),"")</f>
        <v/>
      </c>
      <c r="N707" s="323" t="str">
        <f ca="1">IFERROR(IF(VLOOKUP(F707,Kostentypen!$A$3:$E$21,3,0)=0,"",IF(OR(F707="Arbeidskosten",F707="Vergoeding"),VLOOKUP(G707,Tb_KostenTypen[],2,0),VLOOKUP(F707,Kostentypen!$A$3:$E$20,3,0))),"")</f>
        <v/>
      </c>
      <c r="O707" s="324"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4"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3"/>
      <c r="R707" s="363"/>
      <c r="S707" s="325"/>
      <c r="T707" s="325"/>
      <c r="U707" s="317" t="str" cm="1">
        <f t="array" aca="1" ref="U707" ca="1">IFERROR(IF(AA707&lt;&gt;"ja",_xlfn.IFNA(_xlfn.IFS(AND(O707&lt;&gt;"",F707&lt;&gt;"",RIGHT($N707,6)="tarief",F707="Vergoeding"),SUM(O707)*FLOOR(SUM(Q707),0.0001),AND(O707&lt;&gt;"",F707&lt;&gt;"",RIGHT($N707,6)="tarief"),SUM(O707)*FLOOR(SUM(Q707),0.01),S707&gt;0,IF(F707&lt;&gt;"",FLOOR(SUM(S707),0.01),"")),""),""),"")</f>
        <v/>
      </c>
      <c r="V707" s="317" t="str" cm="1">
        <f t="array" aca="1" ref="V707" ca="1">IFERROR(IF(AA707&lt;&gt;"ja",_xlfn.IFNA(_xlfn.IFS(AND(P707&lt;&gt;"",R707&lt;&gt;"",RIGHT($N707,6)="tarief",F707="Vergoeding"),SUM(P707)*FLOOR(SUM(R707),0.0001),AND(P707&lt;&gt;"",R707&lt;&gt;"",RIGHT($N707,6)="tarief"),P707*FLOOR(R707,0.01),T707&gt;0,FLOOR(SUM(T707),0.01)),""),""),"")</f>
        <v/>
      </c>
      <c r="W707" s="317" t="str" cm="1">
        <f t="array" aca="1" ref="W707" ca="1">IFERROR(_xlfn.IFS(OR(F707="",LEFT(Methode_Keuze,4)="Geen",Methode_Keuze=""),"",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17" t="str" cm="1">
        <f t="array" aca="1" ref="X707" ca="1">IFERROR(_xlfn.IFS(OR(F707="",LEFT(Methode_Keuze,4)="Geen",Methode_Keuze=""),"",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26"/>
      <c r="Z707" s="319"/>
      <c r="AA707" s="32" t="str" cm="1">
        <f t="array" ref="AA707">IFERROR(IF(INDEX(SubsidieTabel!$AD$1:$AG$12,MATCH($F707,SubsidieTabel!$AD$1:$AD$12,0),IFERROR(MATCH(Methode_Keuze,SubsidieTabel!$AD$1:$AG$1,0),2))&lt;&gt;1=TRUE,"ja",""),"")</f>
        <v/>
      </c>
    </row>
    <row r="708" spans="1:27" x14ac:dyDescent="0.25">
      <c r="A708" s="320"/>
      <c r="B708" s="321" t="str">
        <f>IF(A708&lt;&gt;"",_xlfn.MAXIFS($B$1:B707,$A$1:A707,A708)+1,"")</f>
        <v/>
      </c>
      <c r="C708" s="299"/>
      <c r="D708" s="299"/>
      <c r="E708" s="299"/>
      <c r="F708" s="299"/>
      <c r="G708" s="330"/>
      <c r="H708" s="328"/>
      <c r="I708" s="329"/>
      <c r="J708" s="329"/>
      <c r="K708" s="322"/>
      <c r="L708" s="322"/>
      <c r="M708" s="323" t="str">
        <f>IFERROR(VLOOKUP(H708,Lijsten!$H$1:$I$100,2,0),"")</f>
        <v/>
      </c>
      <c r="N708" s="323" t="str">
        <f ca="1">IFERROR(IF(VLOOKUP(F708,Kostentypen!$A$3:$E$21,3,0)=0,"",IF(OR(F708="Arbeidskosten",F708="Vergoeding"),VLOOKUP(G708,Tb_KostenTypen[],2,0),VLOOKUP(F708,Kostentypen!$A$3:$E$20,3,0))),"")</f>
        <v/>
      </c>
      <c r="O708" s="324"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4"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3"/>
      <c r="R708" s="363"/>
      <c r="S708" s="325"/>
      <c r="T708" s="325"/>
      <c r="U708" s="317" t="str" cm="1">
        <f t="array" aca="1" ref="U708" ca="1">IFERROR(IF(AA708&lt;&gt;"ja",_xlfn.IFNA(_xlfn.IFS(AND(O708&lt;&gt;"",F708&lt;&gt;"",RIGHT($N708,6)="tarief",F708="Vergoeding"),SUM(O708)*FLOOR(SUM(Q708),0.0001),AND(O708&lt;&gt;"",F708&lt;&gt;"",RIGHT($N708,6)="tarief"),SUM(O708)*FLOOR(SUM(Q708),0.01),S708&gt;0,IF(F708&lt;&gt;"",FLOOR(SUM(S708),0.01),"")),""),""),"")</f>
        <v/>
      </c>
      <c r="V708" s="317" t="str" cm="1">
        <f t="array" aca="1" ref="V708" ca="1">IFERROR(IF(AA708&lt;&gt;"ja",_xlfn.IFNA(_xlfn.IFS(AND(P708&lt;&gt;"",R708&lt;&gt;"",RIGHT($N708,6)="tarief",F708="Vergoeding"),SUM(P708)*FLOOR(SUM(R708),0.0001),AND(P708&lt;&gt;"",R708&lt;&gt;"",RIGHT($N708,6)="tarief"),P708*FLOOR(R708,0.01),T708&gt;0,FLOOR(SUM(T708),0.01)),""),""),"")</f>
        <v/>
      </c>
      <c r="W708" s="317" t="str" cm="1">
        <f t="array" aca="1" ref="W708" ca="1">IFERROR(_xlfn.IFS(OR(F708="",LEFT(Methode_Keuze,4)="Geen",Methode_Keuze=""),"",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17" t="str" cm="1">
        <f t="array" aca="1" ref="X708" ca="1">IFERROR(_xlfn.IFS(OR(F708="",LEFT(Methode_Keuze,4)="Geen",Methode_Keuze=""),"",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26"/>
      <c r="Z708" s="319"/>
      <c r="AA708" s="32" t="str" cm="1">
        <f t="array" ref="AA708">IFERROR(IF(INDEX(SubsidieTabel!$AD$1:$AG$12,MATCH($F708,SubsidieTabel!$AD$1:$AD$12,0),IFERROR(MATCH(Methode_Keuze,SubsidieTabel!$AD$1:$AG$1,0),2))&lt;&gt;1=TRUE,"ja",""),"")</f>
        <v/>
      </c>
    </row>
    <row r="709" spans="1:27" x14ac:dyDescent="0.25">
      <c r="A709" s="320"/>
      <c r="B709" s="321" t="str">
        <f>IF(A709&lt;&gt;"",_xlfn.MAXIFS($B$1:B708,$A$1:A708,A709)+1,"")</f>
        <v/>
      </c>
      <c r="C709" s="299"/>
      <c r="D709" s="299"/>
      <c r="E709" s="299"/>
      <c r="F709" s="299"/>
      <c r="G709" s="330"/>
      <c r="H709" s="328"/>
      <c r="I709" s="329"/>
      <c r="J709" s="329"/>
      <c r="K709" s="322"/>
      <c r="L709" s="322"/>
      <c r="M709" s="323" t="str">
        <f>IFERROR(VLOOKUP(H709,Lijsten!$H$1:$I$100,2,0),"")</f>
        <v/>
      </c>
      <c r="N709" s="323" t="str">
        <f ca="1">IFERROR(IF(VLOOKUP(F709,Kostentypen!$A$3:$E$21,3,0)=0,"",IF(OR(F709="Arbeidskosten",F709="Vergoeding"),VLOOKUP(G709,Tb_KostenTypen[],2,0),VLOOKUP(F709,Kostentypen!$A$3:$E$20,3,0))),"")</f>
        <v/>
      </c>
      <c r="O709" s="324"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4"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3"/>
      <c r="R709" s="363"/>
      <c r="S709" s="325"/>
      <c r="T709" s="325"/>
      <c r="U709" s="317" t="str" cm="1">
        <f t="array" aca="1" ref="U709" ca="1">IFERROR(IF(AA709&lt;&gt;"ja",_xlfn.IFNA(_xlfn.IFS(AND(O709&lt;&gt;"",F709&lt;&gt;"",RIGHT($N709,6)="tarief",F709="Vergoeding"),SUM(O709)*FLOOR(SUM(Q709),0.0001),AND(O709&lt;&gt;"",F709&lt;&gt;"",RIGHT($N709,6)="tarief"),SUM(O709)*FLOOR(SUM(Q709),0.01),S709&gt;0,IF(F709&lt;&gt;"",FLOOR(SUM(S709),0.01),"")),""),""),"")</f>
        <v/>
      </c>
      <c r="V709" s="317" t="str" cm="1">
        <f t="array" aca="1" ref="V709" ca="1">IFERROR(IF(AA709&lt;&gt;"ja",_xlfn.IFNA(_xlfn.IFS(AND(P709&lt;&gt;"",R709&lt;&gt;"",RIGHT($N709,6)="tarief",F709="Vergoeding"),SUM(P709)*FLOOR(SUM(R709),0.0001),AND(P709&lt;&gt;"",R709&lt;&gt;"",RIGHT($N709,6)="tarief"),P709*FLOOR(R709,0.01),T709&gt;0,FLOOR(SUM(T709),0.01)),""),""),"")</f>
        <v/>
      </c>
      <c r="W709" s="317" t="str" cm="1">
        <f t="array" aca="1" ref="W709" ca="1">IFERROR(_xlfn.IFS(OR(F709="",LEFT(Methode_Keuze,4)="Geen",Methode_Keuze=""),"",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17" t="str" cm="1">
        <f t="array" aca="1" ref="X709" ca="1">IFERROR(_xlfn.IFS(OR(F709="",LEFT(Methode_Keuze,4)="Geen",Methode_Keuze=""),"",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26"/>
      <c r="Z709" s="319"/>
      <c r="AA709" s="32" t="str" cm="1">
        <f t="array" ref="AA709">IFERROR(IF(INDEX(SubsidieTabel!$AD$1:$AG$12,MATCH($F709,SubsidieTabel!$AD$1:$AD$12,0),IFERROR(MATCH(Methode_Keuze,SubsidieTabel!$AD$1:$AG$1,0),2))&lt;&gt;1=TRUE,"ja",""),"")</f>
        <v/>
      </c>
    </row>
    <row r="710" spans="1:27" x14ac:dyDescent="0.25">
      <c r="A710" s="320"/>
      <c r="B710" s="321" t="str">
        <f>IF(A710&lt;&gt;"",_xlfn.MAXIFS($B$1:B709,$A$1:A709,A710)+1,"")</f>
        <v/>
      </c>
      <c r="C710" s="299"/>
      <c r="D710" s="299"/>
      <c r="E710" s="299"/>
      <c r="F710" s="299"/>
      <c r="G710" s="330"/>
      <c r="H710" s="328"/>
      <c r="I710" s="329"/>
      <c r="J710" s="329"/>
      <c r="K710" s="322"/>
      <c r="L710" s="322"/>
      <c r="M710" s="323" t="str">
        <f>IFERROR(VLOOKUP(H710,Lijsten!$H$1:$I$100,2,0),"")</f>
        <v/>
      </c>
      <c r="N710" s="323" t="str">
        <f ca="1">IFERROR(IF(VLOOKUP(F710,Kostentypen!$A$3:$E$21,3,0)=0,"",IF(OR(F710="Arbeidskosten",F710="Vergoeding"),VLOOKUP(G710,Tb_KostenTypen[],2,0),VLOOKUP(F710,Kostentypen!$A$3:$E$20,3,0))),"")</f>
        <v/>
      </c>
      <c r="O710" s="324"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4"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3"/>
      <c r="R710" s="363"/>
      <c r="S710" s="325"/>
      <c r="T710" s="325"/>
      <c r="U710" s="317" t="str" cm="1">
        <f t="array" aca="1" ref="U710" ca="1">IFERROR(IF(AA710&lt;&gt;"ja",_xlfn.IFNA(_xlfn.IFS(AND(O710&lt;&gt;"",F710&lt;&gt;"",RIGHT($N710,6)="tarief",F710="Vergoeding"),SUM(O710)*FLOOR(SUM(Q710),0.0001),AND(O710&lt;&gt;"",F710&lt;&gt;"",RIGHT($N710,6)="tarief"),SUM(O710)*FLOOR(SUM(Q710),0.01),S710&gt;0,IF(F710&lt;&gt;"",FLOOR(SUM(S710),0.01),"")),""),""),"")</f>
        <v/>
      </c>
      <c r="V710" s="317" t="str" cm="1">
        <f t="array" aca="1" ref="V710" ca="1">IFERROR(IF(AA710&lt;&gt;"ja",_xlfn.IFNA(_xlfn.IFS(AND(P710&lt;&gt;"",R710&lt;&gt;"",RIGHT($N710,6)="tarief",F710="Vergoeding"),SUM(P710)*FLOOR(SUM(R710),0.0001),AND(P710&lt;&gt;"",R710&lt;&gt;"",RIGHT($N710,6)="tarief"),P710*FLOOR(R710,0.01),T710&gt;0,FLOOR(SUM(T710),0.01)),""),""),"")</f>
        <v/>
      </c>
      <c r="W710" s="317" t="str" cm="1">
        <f t="array" aca="1" ref="W710" ca="1">IFERROR(_xlfn.IFS(OR(F710="",LEFT(Methode_Keuze,4)="Geen",Methode_Keuze=""),"",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17" t="str" cm="1">
        <f t="array" aca="1" ref="X710" ca="1">IFERROR(_xlfn.IFS(OR(F710="",LEFT(Methode_Keuze,4)="Geen",Methode_Keuze=""),"",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26"/>
      <c r="Z710" s="319"/>
      <c r="AA710" s="32" t="str" cm="1">
        <f t="array" ref="AA710">IFERROR(IF(INDEX(SubsidieTabel!$AD$1:$AG$12,MATCH($F710,SubsidieTabel!$AD$1:$AD$12,0),IFERROR(MATCH(Methode_Keuze,SubsidieTabel!$AD$1:$AG$1,0),2))&lt;&gt;1=TRUE,"ja",""),"")</f>
        <v/>
      </c>
    </row>
    <row r="711" spans="1:27" x14ac:dyDescent="0.25">
      <c r="A711" s="320"/>
      <c r="B711" s="321" t="str">
        <f>IF(A711&lt;&gt;"",_xlfn.MAXIFS($B$1:B710,$A$1:A710,A711)+1,"")</f>
        <v/>
      </c>
      <c r="C711" s="299"/>
      <c r="D711" s="299"/>
      <c r="E711" s="299"/>
      <c r="F711" s="299"/>
      <c r="G711" s="330"/>
      <c r="H711" s="328"/>
      <c r="I711" s="329"/>
      <c r="J711" s="329"/>
      <c r="K711" s="322"/>
      <c r="L711" s="322"/>
      <c r="M711" s="323" t="str">
        <f>IFERROR(VLOOKUP(H711,Lijsten!$H$1:$I$100,2,0),"")</f>
        <v/>
      </c>
      <c r="N711" s="323" t="str">
        <f ca="1">IFERROR(IF(VLOOKUP(F711,Kostentypen!$A$3:$E$21,3,0)=0,"",IF(OR(F711="Arbeidskosten",F711="Vergoeding"),VLOOKUP(G711,Tb_KostenTypen[],2,0),VLOOKUP(F711,Kostentypen!$A$3:$E$20,3,0))),"")</f>
        <v/>
      </c>
      <c r="O711" s="324"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4"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3"/>
      <c r="R711" s="363"/>
      <c r="S711" s="325"/>
      <c r="T711" s="325"/>
      <c r="U711" s="317" t="str" cm="1">
        <f t="array" aca="1" ref="U711" ca="1">IFERROR(IF(AA711&lt;&gt;"ja",_xlfn.IFNA(_xlfn.IFS(AND(O711&lt;&gt;"",F711&lt;&gt;"",RIGHT($N711,6)="tarief",F711="Vergoeding"),SUM(O711)*FLOOR(SUM(Q711),0.0001),AND(O711&lt;&gt;"",F711&lt;&gt;"",RIGHT($N711,6)="tarief"),SUM(O711)*FLOOR(SUM(Q711),0.01),S711&gt;0,IF(F711&lt;&gt;"",FLOOR(SUM(S711),0.01),"")),""),""),"")</f>
        <v/>
      </c>
      <c r="V711" s="317" t="str" cm="1">
        <f t="array" aca="1" ref="V711" ca="1">IFERROR(IF(AA711&lt;&gt;"ja",_xlfn.IFNA(_xlfn.IFS(AND(P711&lt;&gt;"",R711&lt;&gt;"",RIGHT($N711,6)="tarief",F711="Vergoeding"),SUM(P711)*FLOOR(SUM(R711),0.0001),AND(P711&lt;&gt;"",R711&lt;&gt;"",RIGHT($N711,6)="tarief"),P711*FLOOR(R711,0.01),T711&gt;0,FLOOR(SUM(T711),0.01)),""),""),"")</f>
        <v/>
      </c>
      <c r="W711" s="317" t="str" cm="1">
        <f t="array" aca="1" ref="W711" ca="1">IFERROR(_xlfn.IFS(OR(F711="",LEFT(Methode_Keuze,4)="Geen",Methode_Keuze=""),"",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17" t="str" cm="1">
        <f t="array" aca="1" ref="X711" ca="1">IFERROR(_xlfn.IFS(OR(F711="",LEFT(Methode_Keuze,4)="Geen",Methode_Keuze=""),"",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26"/>
      <c r="Z711" s="319"/>
      <c r="AA711" s="32" t="str" cm="1">
        <f t="array" ref="AA711">IFERROR(IF(INDEX(SubsidieTabel!$AD$1:$AG$12,MATCH($F711,SubsidieTabel!$AD$1:$AD$12,0),IFERROR(MATCH(Methode_Keuze,SubsidieTabel!$AD$1:$AG$1,0),2))&lt;&gt;1=TRUE,"ja",""),"")</f>
        <v/>
      </c>
    </row>
    <row r="712" spans="1:27" x14ac:dyDescent="0.25">
      <c r="A712" s="320"/>
      <c r="B712" s="321" t="str">
        <f>IF(A712&lt;&gt;"",_xlfn.MAXIFS($B$1:B711,$A$1:A711,A712)+1,"")</f>
        <v/>
      </c>
      <c r="C712" s="299"/>
      <c r="D712" s="299"/>
      <c r="E712" s="299"/>
      <c r="F712" s="299"/>
      <c r="G712" s="330"/>
      <c r="H712" s="328"/>
      <c r="I712" s="329"/>
      <c r="J712" s="329"/>
      <c r="K712" s="322"/>
      <c r="L712" s="322"/>
      <c r="M712" s="323" t="str">
        <f>IFERROR(VLOOKUP(H712,Lijsten!$H$1:$I$100,2,0),"")</f>
        <v/>
      </c>
      <c r="N712" s="323" t="str">
        <f ca="1">IFERROR(IF(VLOOKUP(F712,Kostentypen!$A$3:$E$21,3,0)=0,"",IF(OR(F712="Arbeidskosten",F712="Vergoeding"),VLOOKUP(G712,Tb_KostenTypen[],2,0),VLOOKUP(F712,Kostentypen!$A$3:$E$20,3,0))),"")</f>
        <v/>
      </c>
      <c r="O712" s="324"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4"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3"/>
      <c r="R712" s="363"/>
      <c r="S712" s="325"/>
      <c r="T712" s="325"/>
      <c r="U712" s="317" t="str" cm="1">
        <f t="array" aca="1" ref="U712" ca="1">IFERROR(IF(AA712&lt;&gt;"ja",_xlfn.IFNA(_xlfn.IFS(AND(O712&lt;&gt;"",F712&lt;&gt;"",RIGHT($N712,6)="tarief",F712="Vergoeding"),SUM(O712)*FLOOR(SUM(Q712),0.0001),AND(O712&lt;&gt;"",F712&lt;&gt;"",RIGHT($N712,6)="tarief"),SUM(O712)*FLOOR(SUM(Q712),0.01),S712&gt;0,IF(F712&lt;&gt;"",FLOOR(SUM(S712),0.01),"")),""),""),"")</f>
        <v/>
      </c>
      <c r="V712" s="317" t="str" cm="1">
        <f t="array" aca="1" ref="V712" ca="1">IFERROR(IF(AA712&lt;&gt;"ja",_xlfn.IFNA(_xlfn.IFS(AND(P712&lt;&gt;"",R712&lt;&gt;"",RIGHT($N712,6)="tarief",F712="Vergoeding"),SUM(P712)*FLOOR(SUM(R712),0.0001),AND(P712&lt;&gt;"",R712&lt;&gt;"",RIGHT($N712,6)="tarief"),P712*FLOOR(R712,0.01),T712&gt;0,FLOOR(SUM(T712),0.01)),""),""),"")</f>
        <v/>
      </c>
      <c r="W712" s="317" t="str" cm="1">
        <f t="array" aca="1" ref="W712" ca="1">IFERROR(_xlfn.IFS(OR(F712="",LEFT(Methode_Keuze,4)="Geen",Methode_Keuze=""),"",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17" t="str" cm="1">
        <f t="array" aca="1" ref="X712" ca="1">IFERROR(_xlfn.IFS(OR(F712="",LEFT(Methode_Keuze,4)="Geen",Methode_Keuze=""),"",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26"/>
      <c r="Z712" s="319"/>
      <c r="AA712" s="32" t="str" cm="1">
        <f t="array" ref="AA712">IFERROR(IF(INDEX(SubsidieTabel!$AD$1:$AG$12,MATCH($F712,SubsidieTabel!$AD$1:$AD$12,0),IFERROR(MATCH(Methode_Keuze,SubsidieTabel!$AD$1:$AG$1,0),2))&lt;&gt;1=TRUE,"ja",""),"")</f>
        <v/>
      </c>
    </row>
    <row r="713" spans="1:27" x14ac:dyDescent="0.25">
      <c r="A713" s="320"/>
      <c r="B713" s="321" t="str">
        <f>IF(A713&lt;&gt;"",_xlfn.MAXIFS($B$1:B712,$A$1:A712,A713)+1,"")</f>
        <v/>
      </c>
      <c r="C713" s="299"/>
      <c r="D713" s="299"/>
      <c r="E713" s="299"/>
      <c r="F713" s="299"/>
      <c r="G713" s="330"/>
      <c r="H713" s="328"/>
      <c r="I713" s="329"/>
      <c r="J713" s="329"/>
      <c r="K713" s="322"/>
      <c r="L713" s="322"/>
      <c r="M713" s="323" t="str">
        <f>IFERROR(VLOOKUP(H713,Lijsten!$H$1:$I$100,2,0),"")</f>
        <v/>
      </c>
      <c r="N713" s="323" t="str">
        <f ca="1">IFERROR(IF(VLOOKUP(F713,Kostentypen!$A$3:$E$21,3,0)=0,"",IF(OR(F713="Arbeidskosten",F713="Vergoeding"),VLOOKUP(G713,Tb_KostenTypen[],2,0),VLOOKUP(F713,Kostentypen!$A$3:$E$20,3,0))),"")</f>
        <v/>
      </c>
      <c r="O713" s="324"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4"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3"/>
      <c r="R713" s="363"/>
      <c r="S713" s="325"/>
      <c r="T713" s="325"/>
      <c r="U713" s="317" t="str" cm="1">
        <f t="array" aca="1" ref="U713" ca="1">IFERROR(IF(AA713&lt;&gt;"ja",_xlfn.IFNA(_xlfn.IFS(AND(O713&lt;&gt;"",F713&lt;&gt;"",RIGHT($N713,6)="tarief",F713="Vergoeding"),SUM(O713)*FLOOR(SUM(Q713),0.0001),AND(O713&lt;&gt;"",F713&lt;&gt;"",RIGHT($N713,6)="tarief"),SUM(O713)*FLOOR(SUM(Q713),0.01),S713&gt;0,IF(F713&lt;&gt;"",FLOOR(SUM(S713),0.01),"")),""),""),"")</f>
        <v/>
      </c>
      <c r="V713" s="317" t="str" cm="1">
        <f t="array" aca="1" ref="V713" ca="1">IFERROR(IF(AA713&lt;&gt;"ja",_xlfn.IFNA(_xlfn.IFS(AND(P713&lt;&gt;"",R713&lt;&gt;"",RIGHT($N713,6)="tarief",F713="Vergoeding"),SUM(P713)*FLOOR(SUM(R713),0.0001),AND(P713&lt;&gt;"",R713&lt;&gt;"",RIGHT($N713,6)="tarief"),P713*FLOOR(R713,0.01),T713&gt;0,FLOOR(SUM(T713),0.01)),""),""),"")</f>
        <v/>
      </c>
      <c r="W713" s="317" t="str" cm="1">
        <f t="array" aca="1" ref="W713" ca="1">IFERROR(_xlfn.IFS(OR(F713="",LEFT(Methode_Keuze,4)="Geen",Methode_Keuze=""),"",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17" t="str" cm="1">
        <f t="array" aca="1" ref="X713" ca="1">IFERROR(_xlfn.IFS(OR(F713="",LEFT(Methode_Keuze,4)="Geen",Methode_Keuze=""),"",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26"/>
      <c r="Z713" s="319"/>
      <c r="AA713" s="32" t="str" cm="1">
        <f t="array" ref="AA713">IFERROR(IF(INDEX(SubsidieTabel!$AD$1:$AG$12,MATCH($F713,SubsidieTabel!$AD$1:$AD$12,0),IFERROR(MATCH(Methode_Keuze,SubsidieTabel!$AD$1:$AG$1,0),2))&lt;&gt;1=TRUE,"ja",""),"")</f>
        <v/>
      </c>
    </row>
    <row r="714" spans="1:27" x14ac:dyDescent="0.25">
      <c r="A714" s="320"/>
      <c r="B714" s="321" t="str">
        <f>IF(A714&lt;&gt;"",_xlfn.MAXIFS($B$1:B713,$A$1:A713,A714)+1,"")</f>
        <v/>
      </c>
      <c r="C714" s="299"/>
      <c r="D714" s="299"/>
      <c r="E714" s="299"/>
      <c r="F714" s="299"/>
      <c r="G714" s="330"/>
      <c r="H714" s="328"/>
      <c r="I714" s="329"/>
      <c r="J714" s="329"/>
      <c r="K714" s="322"/>
      <c r="L714" s="322"/>
      <c r="M714" s="323" t="str">
        <f>IFERROR(VLOOKUP(H714,Lijsten!$H$1:$I$100,2,0),"")</f>
        <v/>
      </c>
      <c r="N714" s="323" t="str">
        <f ca="1">IFERROR(IF(VLOOKUP(F714,Kostentypen!$A$3:$E$21,3,0)=0,"",IF(OR(F714="Arbeidskosten",F714="Vergoeding"),VLOOKUP(G714,Tb_KostenTypen[],2,0),VLOOKUP(F714,Kostentypen!$A$3:$E$20,3,0))),"")</f>
        <v/>
      </c>
      <c r="O714" s="324"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4"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3"/>
      <c r="R714" s="363"/>
      <c r="S714" s="325"/>
      <c r="T714" s="325"/>
      <c r="U714" s="317" t="str" cm="1">
        <f t="array" aca="1" ref="U714" ca="1">IFERROR(IF(AA714&lt;&gt;"ja",_xlfn.IFNA(_xlfn.IFS(AND(O714&lt;&gt;"",F714&lt;&gt;"",RIGHT($N714,6)="tarief",F714="Vergoeding"),SUM(O714)*FLOOR(SUM(Q714),0.0001),AND(O714&lt;&gt;"",F714&lt;&gt;"",RIGHT($N714,6)="tarief"),SUM(O714)*FLOOR(SUM(Q714),0.01),S714&gt;0,IF(F714&lt;&gt;"",FLOOR(SUM(S714),0.01),"")),""),""),"")</f>
        <v/>
      </c>
      <c r="V714" s="317" t="str" cm="1">
        <f t="array" aca="1" ref="V714" ca="1">IFERROR(IF(AA714&lt;&gt;"ja",_xlfn.IFNA(_xlfn.IFS(AND(P714&lt;&gt;"",R714&lt;&gt;"",RIGHT($N714,6)="tarief",F714="Vergoeding"),SUM(P714)*FLOOR(SUM(R714),0.0001),AND(P714&lt;&gt;"",R714&lt;&gt;"",RIGHT($N714,6)="tarief"),P714*FLOOR(R714,0.01),T714&gt;0,FLOOR(SUM(T714),0.01)),""),""),"")</f>
        <v/>
      </c>
      <c r="W714" s="317" t="str" cm="1">
        <f t="array" aca="1" ref="W714" ca="1">IFERROR(_xlfn.IFS(OR(F714="",LEFT(Methode_Keuze,4)="Geen",Methode_Keuze=""),"",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17" t="str" cm="1">
        <f t="array" aca="1" ref="X714" ca="1">IFERROR(_xlfn.IFS(OR(F714="",LEFT(Methode_Keuze,4)="Geen",Methode_Keuze=""),"",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26"/>
      <c r="Z714" s="319"/>
      <c r="AA714" s="32" t="str" cm="1">
        <f t="array" ref="AA714">IFERROR(IF(INDEX(SubsidieTabel!$AD$1:$AG$12,MATCH($F714,SubsidieTabel!$AD$1:$AD$12,0),IFERROR(MATCH(Methode_Keuze,SubsidieTabel!$AD$1:$AG$1,0),2))&lt;&gt;1=TRUE,"ja",""),"")</f>
        <v/>
      </c>
    </row>
    <row r="715" spans="1:27" x14ac:dyDescent="0.25">
      <c r="A715" s="320"/>
      <c r="B715" s="321" t="str">
        <f>IF(A715&lt;&gt;"",_xlfn.MAXIFS($B$1:B714,$A$1:A714,A715)+1,"")</f>
        <v/>
      </c>
      <c r="C715" s="299"/>
      <c r="D715" s="299"/>
      <c r="E715" s="299"/>
      <c r="F715" s="299"/>
      <c r="G715" s="330"/>
      <c r="H715" s="328"/>
      <c r="I715" s="329"/>
      <c r="J715" s="329"/>
      <c r="K715" s="322"/>
      <c r="L715" s="322"/>
      <c r="M715" s="323" t="str">
        <f>IFERROR(VLOOKUP(H715,Lijsten!$H$1:$I$100,2,0),"")</f>
        <v/>
      </c>
      <c r="N715" s="323" t="str">
        <f ca="1">IFERROR(IF(VLOOKUP(F715,Kostentypen!$A$3:$E$21,3,0)=0,"",IF(OR(F715="Arbeidskosten",F715="Vergoeding"),VLOOKUP(G715,Tb_KostenTypen[],2,0),VLOOKUP(F715,Kostentypen!$A$3:$E$20,3,0))),"")</f>
        <v/>
      </c>
      <c r="O715" s="324"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4"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3"/>
      <c r="R715" s="363"/>
      <c r="S715" s="325"/>
      <c r="T715" s="325"/>
      <c r="U715" s="317" t="str" cm="1">
        <f t="array" aca="1" ref="U715" ca="1">IFERROR(IF(AA715&lt;&gt;"ja",_xlfn.IFNA(_xlfn.IFS(AND(O715&lt;&gt;"",F715&lt;&gt;"",RIGHT($N715,6)="tarief",F715="Vergoeding"),SUM(O715)*FLOOR(SUM(Q715),0.0001),AND(O715&lt;&gt;"",F715&lt;&gt;"",RIGHT($N715,6)="tarief"),SUM(O715)*FLOOR(SUM(Q715),0.01),S715&gt;0,IF(F715&lt;&gt;"",FLOOR(SUM(S715),0.01),"")),""),""),"")</f>
        <v/>
      </c>
      <c r="V715" s="317" t="str" cm="1">
        <f t="array" aca="1" ref="V715" ca="1">IFERROR(IF(AA715&lt;&gt;"ja",_xlfn.IFNA(_xlfn.IFS(AND(P715&lt;&gt;"",R715&lt;&gt;"",RIGHT($N715,6)="tarief",F715="Vergoeding"),SUM(P715)*FLOOR(SUM(R715),0.0001),AND(P715&lt;&gt;"",R715&lt;&gt;"",RIGHT($N715,6)="tarief"),P715*FLOOR(R715,0.01),T715&gt;0,FLOOR(SUM(T715),0.01)),""),""),"")</f>
        <v/>
      </c>
      <c r="W715" s="317" t="str" cm="1">
        <f t="array" aca="1" ref="W715" ca="1">IFERROR(_xlfn.IFS(OR(F715="",LEFT(Methode_Keuze,4)="Geen",Methode_Keuze=""),"",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17" t="str" cm="1">
        <f t="array" aca="1" ref="X715" ca="1">IFERROR(_xlfn.IFS(OR(F715="",LEFT(Methode_Keuze,4)="Geen",Methode_Keuze=""),"",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26"/>
      <c r="Z715" s="319"/>
      <c r="AA715" s="32" t="str" cm="1">
        <f t="array" ref="AA715">IFERROR(IF(INDEX(SubsidieTabel!$AD$1:$AG$12,MATCH($F715,SubsidieTabel!$AD$1:$AD$12,0),IFERROR(MATCH(Methode_Keuze,SubsidieTabel!$AD$1:$AG$1,0),2))&lt;&gt;1=TRUE,"ja",""),"")</f>
        <v/>
      </c>
    </row>
    <row r="716" spans="1:27" x14ac:dyDescent="0.25">
      <c r="A716" s="320"/>
      <c r="B716" s="321" t="str">
        <f>IF(A716&lt;&gt;"",_xlfn.MAXIFS($B$1:B715,$A$1:A715,A716)+1,"")</f>
        <v/>
      </c>
      <c r="C716" s="299"/>
      <c r="D716" s="299"/>
      <c r="E716" s="299"/>
      <c r="F716" s="299"/>
      <c r="G716" s="330"/>
      <c r="H716" s="328"/>
      <c r="I716" s="329"/>
      <c r="J716" s="329"/>
      <c r="K716" s="322"/>
      <c r="L716" s="322"/>
      <c r="M716" s="323" t="str">
        <f>IFERROR(VLOOKUP(H716,Lijsten!$H$1:$I$100,2,0),"")</f>
        <v/>
      </c>
      <c r="N716" s="323" t="str">
        <f ca="1">IFERROR(IF(VLOOKUP(F716,Kostentypen!$A$3:$E$21,3,0)=0,"",IF(OR(F716="Arbeidskosten",F716="Vergoeding"),VLOOKUP(G716,Tb_KostenTypen[],2,0),VLOOKUP(F716,Kostentypen!$A$3:$E$20,3,0))),"")</f>
        <v/>
      </c>
      <c r="O716" s="324"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4"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3"/>
      <c r="R716" s="363"/>
      <c r="S716" s="325"/>
      <c r="T716" s="325"/>
      <c r="U716" s="317" t="str" cm="1">
        <f t="array" aca="1" ref="U716" ca="1">IFERROR(IF(AA716&lt;&gt;"ja",_xlfn.IFNA(_xlfn.IFS(AND(O716&lt;&gt;"",F716&lt;&gt;"",RIGHT($N716,6)="tarief",F716="Vergoeding"),SUM(O716)*FLOOR(SUM(Q716),0.0001),AND(O716&lt;&gt;"",F716&lt;&gt;"",RIGHT($N716,6)="tarief"),SUM(O716)*FLOOR(SUM(Q716),0.01),S716&gt;0,IF(F716&lt;&gt;"",FLOOR(SUM(S716),0.01),"")),""),""),"")</f>
        <v/>
      </c>
      <c r="V716" s="317" t="str" cm="1">
        <f t="array" aca="1" ref="V716" ca="1">IFERROR(IF(AA716&lt;&gt;"ja",_xlfn.IFNA(_xlfn.IFS(AND(P716&lt;&gt;"",R716&lt;&gt;"",RIGHT($N716,6)="tarief",F716="Vergoeding"),SUM(P716)*FLOOR(SUM(R716),0.0001),AND(P716&lt;&gt;"",R716&lt;&gt;"",RIGHT($N716,6)="tarief"),P716*FLOOR(R716,0.01),T716&gt;0,FLOOR(SUM(T716),0.01)),""),""),"")</f>
        <v/>
      </c>
      <c r="W716" s="317" t="str" cm="1">
        <f t="array" aca="1" ref="W716" ca="1">IFERROR(_xlfn.IFS(OR(F716="",LEFT(Methode_Keuze,4)="Geen",Methode_Keuze=""),"",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17" t="str" cm="1">
        <f t="array" aca="1" ref="X716" ca="1">IFERROR(_xlfn.IFS(OR(F716="",LEFT(Methode_Keuze,4)="Geen",Methode_Keuze=""),"",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26"/>
      <c r="Z716" s="319"/>
      <c r="AA716" s="32" t="str" cm="1">
        <f t="array" ref="AA716">IFERROR(IF(INDEX(SubsidieTabel!$AD$1:$AG$12,MATCH($F716,SubsidieTabel!$AD$1:$AD$12,0),IFERROR(MATCH(Methode_Keuze,SubsidieTabel!$AD$1:$AG$1,0),2))&lt;&gt;1=TRUE,"ja",""),"")</f>
        <v/>
      </c>
    </row>
    <row r="717" spans="1:27" x14ac:dyDescent="0.25">
      <c r="A717" s="320"/>
      <c r="B717" s="321" t="str">
        <f>IF(A717&lt;&gt;"",_xlfn.MAXIFS($B$1:B716,$A$1:A716,A717)+1,"")</f>
        <v/>
      </c>
      <c r="C717" s="299"/>
      <c r="D717" s="299"/>
      <c r="E717" s="299"/>
      <c r="F717" s="299"/>
      <c r="G717" s="330"/>
      <c r="H717" s="328"/>
      <c r="I717" s="329"/>
      <c r="J717" s="329"/>
      <c r="K717" s="322"/>
      <c r="L717" s="322"/>
      <c r="M717" s="323" t="str">
        <f>IFERROR(VLOOKUP(H717,Lijsten!$H$1:$I$100,2,0),"")</f>
        <v/>
      </c>
      <c r="N717" s="323" t="str">
        <f ca="1">IFERROR(IF(VLOOKUP(F717,Kostentypen!$A$3:$E$21,3,0)=0,"",IF(OR(F717="Arbeidskosten",F717="Vergoeding"),VLOOKUP(G717,Tb_KostenTypen[],2,0),VLOOKUP(F717,Kostentypen!$A$3:$E$20,3,0))),"")</f>
        <v/>
      </c>
      <c r="O717" s="324"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4"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3"/>
      <c r="R717" s="363"/>
      <c r="S717" s="325"/>
      <c r="T717" s="325"/>
      <c r="U717" s="317" t="str" cm="1">
        <f t="array" aca="1" ref="U717" ca="1">IFERROR(IF(AA717&lt;&gt;"ja",_xlfn.IFNA(_xlfn.IFS(AND(O717&lt;&gt;"",F717&lt;&gt;"",RIGHT($N717,6)="tarief",F717="Vergoeding"),SUM(O717)*FLOOR(SUM(Q717),0.0001),AND(O717&lt;&gt;"",F717&lt;&gt;"",RIGHT($N717,6)="tarief"),SUM(O717)*FLOOR(SUM(Q717),0.01),S717&gt;0,IF(F717&lt;&gt;"",FLOOR(SUM(S717),0.01),"")),""),""),"")</f>
        <v/>
      </c>
      <c r="V717" s="317" t="str" cm="1">
        <f t="array" aca="1" ref="V717" ca="1">IFERROR(IF(AA717&lt;&gt;"ja",_xlfn.IFNA(_xlfn.IFS(AND(P717&lt;&gt;"",R717&lt;&gt;"",RIGHT($N717,6)="tarief",F717="Vergoeding"),SUM(P717)*FLOOR(SUM(R717),0.0001),AND(P717&lt;&gt;"",R717&lt;&gt;"",RIGHT($N717,6)="tarief"),P717*FLOOR(R717,0.01),T717&gt;0,FLOOR(SUM(T717),0.01)),""),""),"")</f>
        <v/>
      </c>
      <c r="W717" s="317" t="str" cm="1">
        <f t="array" aca="1" ref="W717" ca="1">IFERROR(_xlfn.IFS(OR(F717="",LEFT(Methode_Keuze,4)="Geen",Methode_Keuze=""),"",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17" t="str" cm="1">
        <f t="array" aca="1" ref="X717" ca="1">IFERROR(_xlfn.IFS(OR(F717="",LEFT(Methode_Keuze,4)="Geen",Methode_Keuze=""),"",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26"/>
      <c r="Z717" s="319"/>
      <c r="AA717" s="32" t="str" cm="1">
        <f t="array" ref="AA717">IFERROR(IF(INDEX(SubsidieTabel!$AD$1:$AG$12,MATCH($F717,SubsidieTabel!$AD$1:$AD$12,0),IFERROR(MATCH(Methode_Keuze,SubsidieTabel!$AD$1:$AG$1,0),2))&lt;&gt;1=TRUE,"ja",""),"")</f>
        <v/>
      </c>
    </row>
    <row r="718" spans="1:27" x14ac:dyDescent="0.25">
      <c r="A718" s="320"/>
      <c r="B718" s="321" t="str">
        <f>IF(A718&lt;&gt;"",_xlfn.MAXIFS($B$1:B717,$A$1:A717,A718)+1,"")</f>
        <v/>
      </c>
      <c r="C718" s="299"/>
      <c r="D718" s="299"/>
      <c r="E718" s="299"/>
      <c r="F718" s="299"/>
      <c r="G718" s="330"/>
      <c r="H718" s="328"/>
      <c r="I718" s="329"/>
      <c r="J718" s="329"/>
      <c r="K718" s="322"/>
      <c r="L718" s="322"/>
      <c r="M718" s="323" t="str">
        <f>IFERROR(VLOOKUP(H718,Lijsten!$H$1:$I$100,2,0),"")</f>
        <v/>
      </c>
      <c r="N718" s="323" t="str">
        <f ca="1">IFERROR(IF(VLOOKUP(F718,Kostentypen!$A$3:$E$21,3,0)=0,"",IF(OR(F718="Arbeidskosten",F718="Vergoeding"),VLOOKUP(G718,Tb_KostenTypen[],2,0),VLOOKUP(F718,Kostentypen!$A$3:$E$20,3,0))),"")</f>
        <v/>
      </c>
      <c r="O718" s="324"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4"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3"/>
      <c r="R718" s="363"/>
      <c r="S718" s="325"/>
      <c r="T718" s="325"/>
      <c r="U718" s="317" t="str" cm="1">
        <f t="array" aca="1" ref="U718" ca="1">IFERROR(IF(AA718&lt;&gt;"ja",_xlfn.IFNA(_xlfn.IFS(AND(O718&lt;&gt;"",F718&lt;&gt;"",RIGHT($N718,6)="tarief",F718="Vergoeding"),SUM(O718)*FLOOR(SUM(Q718),0.0001),AND(O718&lt;&gt;"",F718&lt;&gt;"",RIGHT($N718,6)="tarief"),SUM(O718)*FLOOR(SUM(Q718),0.01),S718&gt;0,IF(F718&lt;&gt;"",FLOOR(SUM(S718),0.01),"")),""),""),"")</f>
        <v/>
      </c>
      <c r="V718" s="317" t="str" cm="1">
        <f t="array" aca="1" ref="V718" ca="1">IFERROR(IF(AA718&lt;&gt;"ja",_xlfn.IFNA(_xlfn.IFS(AND(P718&lt;&gt;"",R718&lt;&gt;"",RIGHT($N718,6)="tarief",F718="Vergoeding"),SUM(P718)*FLOOR(SUM(R718),0.0001),AND(P718&lt;&gt;"",R718&lt;&gt;"",RIGHT($N718,6)="tarief"),P718*FLOOR(R718,0.01),T718&gt;0,FLOOR(SUM(T718),0.01)),""),""),"")</f>
        <v/>
      </c>
      <c r="W718" s="317" t="str" cm="1">
        <f t="array" aca="1" ref="W718" ca="1">IFERROR(_xlfn.IFS(OR(F718="",LEFT(Methode_Keuze,4)="Geen",Methode_Keuze=""),"",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17" t="str" cm="1">
        <f t="array" aca="1" ref="X718" ca="1">IFERROR(_xlfn.IFS(OR(F718="",LEFT(Methode_Keuze,4)="Geen",Methode_Keuze=""),"",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26"/>
      <c r="Z718" s="319"/>
      <c r="AA718" s="32" t="str" cm="1">
        <f t="array" ref="AA718">IFERROR(IF(INDEX(SubsidieTabel!$AD$1:$AG$12,MATCH($F718,SubsidieTabel!$AD$1:$AD$12,0),IFERROR(MATCH(Methode_Keuze,SubsidieTabel!$AD$1:$AG$1,0),2))&lt;&gt;1=TRUE,"ja",""),"")</f>
        <v/>
      </c>
    </row>
    <row r="719" spans="1:27" x14ac:dyDescent="0.25">
      <c r="A719" s="320"/>
      <c r="B719" s="321" t="str">
        <f>IF(A719&lt;&gt;"",_xlfn.MAXIFS($B$1:B718,$A$1:A718,A719)+1,"")</f>
        <v/>
      </c>
      <c r="C719" s="299"/>
      <c r="D719" s="299"/>
      <c r="E719" s="299"/>
      <c r="F719" s="299"/>
      <c r="G719" s="330"/>
      <c r="H719" s="328"/>
      <c r="I719" s="329"/>
      <c r="J719" s="329"/>
      <c r="K719" s="322"/>
      <c r="L719" s="322"/>
      <c r="M719" s="323" t="str">
        <f>IFERROR(VLOOKUP(H719,Lijsten!$H$1:$I$100,2,0),"")</f>
        <v/>
      </c>
      <c r="N719" s="323" t="str">
        <f ca="1">IFERROR(IF(VLOOKUP(F719,Kostentypen!$A$3:$E$21,3,0)=0,"",IF(OR(F719="Arbeidskosten",F719="Vergoeding"),VLOOKUP(G719,Tb_KostenTypen[],2,0),VLOOKUP(F719,Kostentypen!$A$3:$E$20,3,0))),"")</f>
        <v/>
      </c>
      <c r="O719" s="324"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4"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3"/>
      <c r="R719" s="363"/>
      <c r="S719" s="325"/>
      <c r="T719" s="325"/>
      <c r="U719" s="317" t="str" cm="1">
        <f t="array" aca="1" ref="U719" ca="1">IFERROR(IF(AA719&lt;&gt;"ja",_xlfn.IFNA(_xlfn.IFS(AND(O719&lt;&gt;"",F719&lt;&gt;"",RIGHT($N719,6)="tarief",F719="Vergoeding"),SUM(O719)*FLOOR(SUM(Q719),0.0001),AND(O719&lt;&gt;"",F719&lt;&gt;"",RIGHT($N719,6)="tarief"),SUM(O719)*FLOOR(SUM(Q719),0.01),S719&gt;0,IF(F719&lt;&gt;"",FLOOR(SUM(S719),0.01),"")),""),""),"")</f>
        <v/>
      </c>
      <c r="V719" s="317" t="str" cm="1">
        <f t="array" aca="1" ref="V719" ca="1">IFERROR(IF(AA719&lt;&gt;"ja",_xlfn.IFNA(_xlfn.IFS(AND(P719&lt;&gt;"",R719&lt;&gt;"",RIGHT($N719,6)="tarief",F719="Vergoeding"),SUM(P719)*FLOOR(SUM(R719),0.0001),AND(P719&lt;&gt;"",R719&lt;&gt;"",RIGHT($N719,6)="tarief"),P719*FLOOR(R719,0.01),T719&gt;0,FLOOR(SUM(T719),0.01)),""),""),"")</f>
        <v/>
      </c>
      <c r="W719" s="317" t="str" cm="1">
        <f t="array" aca="1" ref="W719" ca="1">IFERROR(_xlfn.IFS(OR(F719="",LEFT(Methode_Keuze,4)="Geen",Methode_Keuze=""),"",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17" t="str" cm="1">
        <f t="array" aca="1" ref="X719" ca="1">IFERROR(_xlfn.IFS(OR(F719="",LEFT(Methode_Keuze,4)="Geen",Methode_Keuze=""),"",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26"/>
      <c r="Z719" s="319"/>
      <c r="AA719" s="32" t="str" cm="1">
        <f t="array" ref="AA719">IFERROR(IF(INDEX(SubsidieTabel!$AD$1:$AG$12,MATCH($F719,SubsidieTabel!$AD$1:$AD$12,0),IFERROR(MATCH(Methode_Keuze,SubsidieTabel!$AD$1:$AG$1,0),2))&lt;&gt;1=TRUE,"ja",""),"")</f>
        <v/>
      </c>
    </row>
    <row r="720" spans="1:27" x14ac:dyDescent="0.25">
      <c r="A720" s="320"/>
      <c r="B720" s="321" t="str">
        <f>IF(A720&lt;&gt;"",_xlfn.MAXIFS($B$1:B719,$A$1:A719,A720)+1,"")</f>
        <v/>
      </c>
      <c r="C720" s="299"/>
      <c r="D720" s="299"/>
      <c r="E720" s="299"/>
      <c r="F720" s="299"/>
      <c r="G720" s="330"/>
      <c r="H720" s="328"/>
      <c r="I720" s="329"/>
      <c r="J720" s="329"/>
      <c r="K720" s="322"/>
      <c r="L720" s="322"/>
      <c r="M720" s="323" t="str">
        <f>IFERROR(VLOOKUP(H720,Lijsten!$H$1:$I$100,2,0),"")</f>
        <v/>
      </c>
      <c r="N720" s="323" t="str">
        <f ca="1">IFERROR(IF(VLOOKUP(F720,Kostentypen!$A$3:$E$21,3,0)=0,"",IF(OR(F720="Arbeidskosten",F720="Vergoeding"),VLOOKUP(G720,Tb_KostenTypen[],2,0),VLOOKUP(F720,Kostentypen!$A$3:$E$20,3,0))),"")</f>
        <v/>
      </c>
      <c r="O720" s="324"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4"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3"/>
      <c r="R720" s="363"/>
      <c r="S720" s="325"/>
      <c r="T720" s="325"/>
      <c r="U720" s="317" t="str" cm="1">
        <f t="array" aca="1" ref="U720" ca="1">IFERROR(IF(AA720&lt;&gt;"ja",_xlfn.IFNA(_xlfn.IFS(AND(O720&lt;&gt;"",F720&lt;&gt;"",RIGHT($N720,6)="tarief",F720="Vergoeding"),SUM(O720)*FLOOR(SUM(Q720),0.0001),AND(O720&lt;&gt;"",F720&lt;&gt;"",RIGHT($N720,6)="tarief"),SUM(O720)*FLOOR(SUM(Q720),0.01),S720&gt;0,IF(F720&lt;&gt;"",FLOOR(SUM(S720),0.01),"")),""),""),"")</f>
        <v/>
      </c>
      <c r="V720" s="317" t="str" cm="1">
        <f t="array" aca="1" ref="V720" ca="1">IFERROR(IF(AA720&lt;&gt;"ja",_xlfn.IFNA(_xlfn.IFS(AND(P720&lt;&gt;"",R720&lt;&gt;"",RIGHT($N720,6)="tarief",F720="Vergoeding"),SUM(P720)*FLOOR(SUM(R720),0.0001),AND(P720&lt;&gt;"",R720&lt;&gt;"",RIGHT($N720,6)="tarief"),P720*FLOOR(R720,0.01),T720&gt;0,FLOOR(SUM(T720),0.01)),""),""),"")</f>
        <v/>
      </c>
      <c r="W720" s="317" t="str" cm="1">
        <f t="array" aca="1" ref="W720" ca="1">IFERROR(_xlfn.IFS(OR(F720="",LEFT(Methode_Keuze,4)="Geen",Methode_Keuze=""),"",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17" t="str" cm="1">
        <f t="array" aca="1" ref="X720" ca="1">IFERROR(_xlfn.IFS(OR(F720="",LEFT(Methode_Keuze,4)="Geen",Methode_Keuze=""),"",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26"/>
      <c r="Z720" s="319"/>
      <c r="AA720" s="32" t="str" cm="1">
        <f t="array" ref="AA720">IFERROR(IF(INDEX(SubsidieTabel!$AD$1:$AG$12,MATCH($F720,SubsidieTabel!$AD$1:$AD$12,0),IFERROR(MATCH(Methode_Keuze,SubsidieTabel!$AD$1:$AG$1,0),2))&lt;&gt;1=TRUE,"ja",""),"")</f>
        <v/>
      </c>
    </row>
    <row r="721" spans="1:27" x14ac:dyDescent="0.25">
      <c r="A721" s="320"/>
      <c r="B721" s="321" t="str">
        <f>IF(A721&lt;&gt;"",_xlfn.MAXIFS($B$1:B720,$A$1:A720,A721)+1,"")</f>
        <v/>
      </c>
      <c r="C721" s="299"/>
      <c r="D721" s="299"/>
      <c r="E721" s="299"/>
      <c r="F721" s="299"/>
      <c r="G721" s="330"/>
      <c r="H721" s="328"/>
      <c r="I721" s="329"/>
      <c r="J721" s="329"/>
      <c r="K721" s="322"/>
      <c r="L721" s="322"/>
      <c r="M721" s="323" t="str">
        <f>IFERROR(VLOOKUP(H721,Lijsten!$H$1:$I$100,2,0),"")</f>
        <v/>
      </c>
      <c r="N721" s="323" t="str">
        <f ca="1">IFERROR(IF(VLOOKUP(F721,Kostentypen!$A$3:$E$21,3,0)=0,"",IF(OR(F721="Arbeidskosten",F721="Vergoeding"),VLOOKUP(G721,Tb_KostenTypen[],2,0),VLOOKUP(F721,Kostentypen!$A$3:$E$20,3,0))),"")</f>
        <v/>
      </c>
      <c r="O721" s="324"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4"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3"/>
      <c r="R721" s="363"/>
      <c r="S721" s="325"/>
      <c r="T721" s="325"/>
      <c r="U721" s="317" t="str" cm="1">
        <f t="array" aca="1" ref="U721" ca="1">IFERROR(IF(AA721&lt;&gt;"ja",_xlfn.IFNA(_xlfn.IFS(AND(O721&lt;&gt;"",F721&lt;&gt;"",RIGHT($N721,6)="tarief",F721="Vergoeding"),SUM(O721)*FLOOR(SUM(Q721),0.0001),AND(O721&lt;&gt;"",F721&lt;&gt;"",RIGHT($N721,6)="tarief"),SUM(O721)*FLOOR(SUM(Q721),0.01),S721&gt;0,IF(F721&lt;&gt;"",FLOOR(SUM(S721),0.01),"")),""),""),"")</f>
        <v/>
      </c>
      <c r="V721" s="317" t="str" cm="1">
        <f t="array" aca="1" ref="V721" ca="1">IFERROR(IF(AA721&lt;&gt;"ja",_xlfn.IFNA(_xlfn.IFS(AND(P721&lt;&gt;"",R721&lt;&gt;"",RIGHT($N721,6)="tarief",F721="Vergoeding"),SUM(P721)*FLOOR(SUM(R721),0.0001),AND(P721&lt;&gt;"",R721&lt;&gt;"",RIGHT($N721,6)="tarief"),P721*FLOOR(R721,0.01),T721&gt;0,FLOOR(SUM(T721),0.01)),""),""),"")</f>
        <v/>
      </c>
      <c r="W721" s="317" t="str" cm="1">
        <f t="array" aca="1" ref="W721" ca="1">IFERROR(_xlfn.IFS(OR(F721="",LEFT(Methode_Keuze,4)="Geen",Methode_Keuze=""),"",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17" t="str" cm="1">
        <f t="array" aca="1" ref="X721" ca="1">IFERROR(_xlfn.IFS(OR(F721="",LEFT(Methode_Keuze,4)="Geen",Methode_Keuze=""),"",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26"/>
      <c r="Z721" s="319"/>
      <c r="AA721" s="32" t="str" cm="1">
        <f t="array" ref="AA721">IFERROR(IF(INDEX(SubsidieTabel!$AD$1:$AG$12,MATCH($F721,SubsidieTabel!$AD$1:$AD$12,0),IFERROR(MATCH(Methode_Keuze,SubsidieTabel!$AD$1:$AG$1,0),2))&lt;&gt;1=TRUE,"ja",""),"")</f>
        <v/>
      </c>
    </row>
    <row r="722" spans="1:27" x14ac:dyDescent="0.25">
      <c r="A722" s="320"/>
      <c r="B722" s="321" t="str">
        <f>IF(A722&lt;&gt;"",_xlfn.MAXIFS($B$1:B721,$A$1:A721,A722)+1,"")</f>
        <v/>
      </c>
      <c r="C722" s="299"/>
      <c r="D722" s="299"/>
      <c r="E722" s="299"/>
      <c r="F722" s="299"/>
      <c r="G722" s="330"/>
      <c r="H722" s="328"/>
      <c r="I722" s="329"/>
      <c r="J722" s="329"/>
      <c r="K722" s="322"/>
      <c r="L722" s="322"/>
      <c r="M722" s="323" t="str">
        <f>IFERROR(VLOOKUP(H722,Lijsten!$H$1:$I$100,2,0),"")</f>
        <v/>
      </c>
      <c r="N722" s="323" t="str">
        <f ca="1">IFERROR(IF(VLOOKUP(F722,Kostentypen!$A$3:$E$21,3,0)=0,"",IF(OR(F722="Arbeidskosten",F722="Vergoeding"),VLOOKUP(G722,Tb_KostenTypen[],2,0),VLOOKUP(F722,Kostentypen!$A$3:$E$20,3,0))),"")</f>
        <v/>
      </c>
      <c r="O722" s="324"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4"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3"/>
      <c r="R722" s="363"/>
      <c r="S722" s="325"/>
      <c r="T722" s="325"/>
      <c r="U722" s="317" t="str" cm="1">
        <f t="array" aca="1" ref="U722" ca="1">IFERROR(IF(AA722&lt;&gt;"ja",_xlfn.IFNA(_xlfn.IFS(AND(O722&lt;&gt;"",F722&lt;&gt;"",RIGHT($N722,6)="tarief",F722="Vergoeding"),SUM(O722)*FLOOR(SUM(Q722),0.0001),AND(O722&lt;&gt;"",F722&lt;&gt;"",RIGHT($N722,6)="tarief"),SUM(O722)*FLOOR(SUM(Q722),0.01),S722&gt;0,IF(F722&lt;&gt;"",FLOOR(SUM(S722),0.01),"")),""),""),"")</f>
        <v/>
      </c>
      <c r="V722" s="317" t="str" cm="1">
        <f t="array" aca="1" ref="V722" ca="1">IFERROR(IF(AA722&lt;&gt;"ja",_xlfn.IFNA(_xlfn.IFS(AND(P722&lt;&gt;"",R722&lt;&gt;"",RIGHT($N722,6)="tarief",F722="Vergoeding"),SUM(P722)*FLOOR(SUM(R722),0.0001),AND(P722&lt;&gt;"",R722&lt;&gt;"",RIGHT($N722,6)="tarief"),P722*FLOOR(R722,0.01),T722&gt;0,FLOOR(SUM(T722),0.01)),""),""),"")</f>
        <v/>
      </c>
      <c r="W722" s="317" t="str" cm="1">
        <f t="array" aca="1" ref="W722" ca="1">IFERROR(_xlfn.IFS(OR(F722="",LEFT(Methode_Keuze,4)="Geen",Methode_Keuze=""),"",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17" t="str" cm="1">
        <f t="array" aca="1" ref="X722" ca="1">IFERROR(_xlfn.IFS(OR(F722="",LEFT(Methode_Keuze,4)="Geen",Methode_Keuze=""),"",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26"/>
      <c r="Z722" s="319"/>
      <c r="AA722" s="32" t="str" cm="1">
        <f t="array" ref="AA722">IFERROR(IF(INDEX(SubsidieTabel!$AD$1:$AG$12,MATCH($F722,SubsidieTabel!$AD$1:$AD$12,0),IFERROR(MATCH(Methode_Keuze,SubsidieTabel!$AD$1:$AG$1,0),2))&lt;&gt;1=TRUE,"ja",""),"")</f>
        <v/>
      </c>
    </row>
    <row r="723" spans="1:27" x14ac:dyDescent="0.25">
      <c r="A723" s="320"/>
      <c r="B723" s="321" t="str">
        <f>IF(A723&lt;&gt;"",_xlfn.MAXIFS($B$1:B722,$A$1:A722,A723)+1,"")</f>
        <v/>
      </c>
      <c r="C723" s="299"/>
      <c r="D723" s="299"/>
      <c r="E723" s="299"/>
      <c r="F723" s="299"/>
      <c r="G723" s="330"/>
      <c r="H723" s="328"/>
      <c r="I723" s="329"/>
      <c r="J723" s="329"/>
      <c r="K723" s="322"/>
      <c r="L723" s="322"/>
      <c r="M723" s="323" t="str">
        <f>IFERROR(VLOOKUP(H723,Lijsten!$H$1:$I$100,2,0),"")</f>
        <v/>
      </c>
      <c r="N723" s="323" t="str">
        <f ca="1">IFERROR(IF(VLOOKUP(F723,Kostentypen!$A$3:$E$21,3,0)=0,"",IF(OR(F723="Arbeidskosten",F723="Vergoeding"),VLOOKUP(G723,Tb_KostenTypen[],2,0),VLOOKUP(F723,Kostentypen!$A$3:$E$20,3,0))),"")</f>
        <v/>
      </c>
      <c r="O723" s="324"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4"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3"/>
      <c r="R723" s="363"/>
      <c r="S723" s="325"/>
      <c r="T723" s="325"/>
      <c r="U723" s="317" t="str" cm="1">
        <f t="array" aca="1" ref="U723" ca="1">IFERROR(IF(AA723&lt;&gt;"ja",_xlfn.IFNA(_xlfn.IFS(AND(O723&lt;&gt;"",F723&lt;&gt;"",RIGHT($N723,6)="tarief",F723="Vergoeding"),SUM(O723)*FLOOR(SUM(Q723),0.0001),AND(O723&lt;&gt;"",F723&lt;&gt;"",RIGHT($N723,6)="tarief"),SUM(O723)*FLOOR(SUM(Q723),0.01),S723&gt;0,IF(F723&lt;&gt;"",FLOOR(SUM(S723),0.01),"")),""),""),"")</f>
        <v/>
      </c>
      <c r="V723" s="317" t="str" cm="1">
        <f t="array" aca="1" ref="V723" ca="1">IFERROR(IF(AA723&lt;&gt;"ja",_xlfn.IFNA(_xlfn.IFS(AND(P723&lt;&gt;"",R723&lt;&gt;"",RIGHT($N723,6)="tarief",F723="Vergoeding"),SUM(P723)*FLOOR(SUM(R723),0.0001),AND(P723&lt;&gt;"",R723&lt;&gt;"",RIGHT($N723,6)="tarief"),P723*FLOOR(R723,0.01),T723&gt;0,FLOOR(SUM(T723),0.01)),""),""),"")</f>
        <v/>
      </c>
      <c r="W723" s="317" t="str" cm="1">
        <f t="array" aca="1" ref="W723" ca="1">IFERROR(_xlfn.IFS(OR(F723="",LEFT(Methode_Keuze,4)="Geen",Methode_Keuze=""),"",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17" t="str" cm="1">
        <f t="array" aca="1" ref="X723" ca="1">IFERROR(_xlfn.IFS(OR(F723="",LEFT(Methode_Keuze,4)="Geen",Methode_Keuze=""),"",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26"/>
      <c r="Z723" s="319"/>
      <c r="AA723" s="32" t="str" cm="1">
        <f t="array" ref="AA723">IFERROR(IF(INDEX(SubsidieTabel!$AD$1:$AG$12,MATCH($F723,SubsidieTabel!$AD$1:$AD$12,0),IFERROR(MATCH(Methode_Keuze,SubsidieTabel!$AD$1:$AG$1,0),2))&lt;&gt;1=TRUE,"ja",""),"")</f>
        <v/>
      </c>
    </row>
    <row r="724" spans="1:27" x14ac:dyDescent="0.25">
      <c r="A724" s="320"/>
      <c r="B724" s="321" t="str">
        <f>IF(A724&lt;&gt;"",_xlfn.MAXIFS($B$1:B723,$A$1:A723,A724)+1,"")</f>
        <v/>
      </c>
      <c r="C724" s="299"/>
      <c r="D724" s="299"/>
      <c r="E724" s="299"/>
      <c r="F724" s="299"/>
      <c r="G724" s="330"/>
      <c r="H724" s="328"/>
      <c r="I724" s="329"/>
      <c r="J724" s="329"/>
      <c r="K724" s="322"/>
      <c r="L724" s="322"/>
      <c r="M724" s="323" t="str">
        <f>IFERROR(VLOOKUP(H724,Lijsten!$H$1:$I$100,2,0),"")</f>
        <v/>
      </c>
      <c r="N724" s="323" t="str">
        <f ca="1">IFERROR(IF(VLOOKUP(F724,Kostentypen!$A$3:$E$21,3,0)=0,"",IF(OR(F724="Arbeidskosten",F724="Vergoeding"),VLOOKUP(G724,Tb_KostenTypen[],2,0),VLOOKUP(F724,Kostentypen!$A$3:$E$20,3,0))),"")</f>
        <v/>
      </c>
      <c r="O724" s="324"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4"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3"/>
      <c r="R724" s="363"/>
      <c r="S724" s="325"/>
      <c r="T724" s="325"/>
      <c r="U724" s="317" t="str" cm="1">
        <f t="array" aca="1" ref="U724" ca="1">IFERROR(IF(AA724&lt;&gt;"ja",_xlfn.IFNA(_xlfn.IFS(AND(O724&lt;&gt;"",F724&lt;&gt;"",RIGHT($N724,6)="tarief",F724="Vergoeding"),SUM(O724)*FLOOR(SUM(Q724),0.0001),AND(O724&lt;&gt;"",F724&lt;&gt;"",RIGHT($N724,6)="tarief"),SUM(O724)*FLOOR(SUM(Q724),0.01),S724&gt;0,IF(F724&lt;&gt;"",FLOOR(SUM(S724),0.01),"")),""),""),"")</f>
        <v/>
      </c>
      <c r="V724" s="317" t="str" cm="1">
        <f t="array" aca="1" ref="V724" ca="1">IFERROR(IF(AA724&lt;&gt;"ja",_xlfn.IFNA(_xlfn.IFS(AND(P724&lt;&gt;"",R724&lt;&gt;"",RIGHT($N724,6)="tarief",F724="Vergoeding"),SUM(P724)*FLOOR(SUM(R724),0.0001),AND(P724&lt;&gt;"",R724&lt;&gt;"",RIGHT($N724,6)="tarief"),P724*FLOOR(R724,0.01),T724&gt;0,FLOOR(SUM(T724),0.01)),""),""),"")</f>
        <v/>
      </c>
      <c r="W724" s="317" t="str" cm="1">
        <f t="array" aca="1" ref="W724" ca="1">IFERROR(_xlfn.IFS(OR(F724="",LEFT(Methode_Keuze,4)="Geen",Methode_Keuze=""),"",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17" t="str" cm="1">
        <f t="array" aca="1" ref="X724" ca="1">IFERROR(_xlfn.IFS(OR(F724="",LEFT(Methode_Keuze,4)="Geen",Methode_Keuze=""),"",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26"/>
      <c r="Z724" s="319"/>
      <c r="AA724" s="32" t="str" cm="1">
        <f t="array" ref="AA724">IFERROR(IF(INDEX(SubsidieTabel!$AD$1:$AG$12,MATCH($F724,SubsidieTabel!$AD$1:$AD$12,0),IFERROR(MATCH(Methode_Keuze,SubsidieTabel!$AD$1:$AG$1,0),2))&lt;&gt;1=TRUE,"ja",""),"")</f>
        <v/>
      </c>
    </row>
    <row r="725" spans="1:27" x14ac:dyDescent="0.25">
      <c r="A725" s="320"/>
      <c r="B725" s="321" t="str">
        <f>IF(A725&lt;&gt;"",_xlfn.MAXIFS($B$1:B724,$A$1:A724,A725)+1,"")</f>
        <v/>
      </c>
      <c r="C725" s="299"/>
      <c r="D725" s="299"/>
      <c r="E725" s="299"/>
      <c r="F725" s="299"/>
      <c r="G725" s="330"/>
      <c r="H725" s="328"/>
      <c r="I725" s="329"/>
      <c r="J725" s="329"/>
      <c r="K725" s="322"/>
      <c r="L725" s="322"/>
      <c r="M725" s="323" t="str">
        <f>IFERROR(VLOOKUP(H725,Lijsten!$H$1:$I$100,2,0),"")</f>
        <v/>
      </c>
      <c r="N725" s="323" t="str">
        <f ca="1">IFERROR(IF(VLOOKUP(F725,Kostentypen!$A$3:$E$21,3,0)=0,"",IF(OR(F725="Arbeidskosten",F725="Vergoeding"),VLOOKUP(G725,Tb_KostenTypen[],2,0),VLOOKUP(F725,Kostentypen!$A$3:$E$20,3,0))),"")</f>
        <v/>
      </c>
      <c r="O725" s="324"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4"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3"/>
      <c r="R725" s="363"/>
      <c r="S725" s="325"/>
      <c r="T725" s="325"/>
      <c r="U725" s="317" t="str" cm="1">
        <f t="array" aca="1" ref="U725" ca="1">IFERROR(IF(AA725&lt;&gt;"ja",_xlfn.IFNA(_xlfn.IFS(AND(O725&lt;&gt;"",F725&lt;&gt;"",RIGHT($N725,6)="tarief",F725="Vergoeding"),SUM(O725)*FLOOR(SUM(Q725),0.0001),AND(O725&lt;&gt;"",F725&lt;&gt;"",RIGHT($N725,6)="tarief"),SUM(O725)*FLOOR(SUM(Q725),0.01),S725&gt;0,IF(F725&lt;&gt;"",FLOOR(SUM(S725),0.01),"")),""),""),"")</f>
        <v/>
      </c>
      <c r="V725" s="317" t="str" cm="1">
        <f t="array" aca="1" ref="V725" ca="1">IFERROR(IF(AA725&lt;&gt;"ja",_xlfn.IFNA(_xlfn.IFS(AND(P725&lt;&gt;"",R725&lt;&gt;"",RIGHT($N725,6)="tarief",F725="Vergoeding"),SUM(P725)*FLOOR(SUM(R725),0.0001),AND(P725&lt;&gt;"",R725&lt;&gt;"",RIGHT($N725,6)="tarief"),P725*FLOOR(R725,0.01),T725&gt;0,FLOOR(SUM(T725),0.01)),""),""),"")</f>
        <v/>
      </c>
      <c r="W725" s="317" t="str" cm="1">
        <f t="array" aca="1" ref="W725" ca="1">IFERROR(_xlfn.IFS(OR(F725="",LEFT(Methode_Keuze,4)="Geen",Methode_Keuze=""),"",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17" t="str" cm="1">
        <f t="array" aca="1" ref="X725" ca="1">IFERROR(_xlfn.IFS(OR(F725="",LEFT(Methode_Keuze,4)="Geen",Methode_Keuze=""),"",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26"/>
      <c r="Z725" s="319"/>
      <c r="AA725" s="32" t="str" cm="1">
        <f t="array" ref="AA725">IFERROR(IF(INDEX(SubsidieTabel!$AD$1:$AG$12,MATCH($F725,SubsidieTabel!$AD$1:$AD$12,0),IFERROR(MATCH(Methode_Keuze,SubsidieTabel!$AD$1:$AG$1,0),2))&lt;&gt;1=TRUE,"ja",""),"")</f>
        <v/>
      </c>
    </row>
    <row r="726" spans="1:27" x14ac:dyDescent="0.25">
      <c r="A726" s="320"/>
      <c r="B726" s="321" t="str">
        <f>IF(A726&lt;&gt;"",_xlfn.MAXIFS($B$1:B725,$A$1:A725,A726)+1,"")</f>
        <v/>
      </c>
      <c r="C726" s="299"/>
      <c r="D726" s="299"/>
      <c r="E726" s="299"/>
      <c r="F726" s="299"/>
      <c r="G726" s="330"/>
      <c r="H726" s="328"/>
      <c r="I726" s="329"/>
      <c r="J726" s="329"/>
      <c r="K726" s="322"/>
      <c r="L726" s="322"/>
      <c r="M726" s="323" t="str">
        <f>IFERROR(VLOOKUP(H726,Lijsten!$H$1:$I$100,2,0),"")</f>
        <v/>
      </c>
      <c r="N726" s="323" t="str">
        <f ca="1">IFERROR(IF(VLOOKUP(F726,Kostentypen!$A$3:$E$21,3,0)=0,"",IF(OR(F726="Arbeidskosten",F726="Vergoeding"),VLOOKUP(G726,Tb_KostenTypen[],2,0),VLOOKUP(F726,Kostentypen!$A$3:$E$20,3,0))),"")</f>
        <v/>
      </c>
      <c r="O726" s="324"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4"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3"/>
      <c r="R726" s="363"/>
      <c r="S726" s="325"/>
      <c r="T726" s="325"/>
      <c r="U726" s="317" t="str" cm="1">
        <f t="array" aca="1" ref="U726" ca="1">IFERROR(IF(AA726&lt;&gt;"ja",_xlfn.IFNA(_xlfn.IFS(AND(O726&lt;&gt;"",F726&lt;&gt;"",RIGHT($N726,6)="tarief",F726="Vergoeding"),SUM(O726)*FLOOR(SUM(Q726),0.0001),AND(O726&lt;&gt;"",F726&lt;&gt;"",RIGHT($N726,6)="tarief"),SUM(O726)*FLOOR(SUM(Q726),0.01),S726&gt;0,IF(F726&lt;&gt;"",FLOOR(SUM(S726),0.01),"")),""),""),"")</f>
        <v/>
      </c>
      <c r="V726" s="317" t="str" cm="1">
        <f t="array" aca="1" ref="V726" ca="1">IFERROR(IF(AA726&lt;&gt;"ja",_xlfn.IFNA(_xlfn.IFS(AND(P726&lt;&gt;"",R726&lt;&gt;"",RIGHT($N726,6)="tarief",F726="Vergoeding"),SUM(P726)*FLOOR(SUM(R726),0.0001),AND(P726&lt;&gt;"",R726&lt;&gt;"",RIGHT($N726,6)="tarief"),P726*FLOOR(R726,0.01),T726&gt;0,FLOOR(SUM(T726),0.01)),""),""),"")</f>
        <v/>
      </c>
      <c r="W726" s="317" t="str" cm="1">
        <f t="array" aca="1" ref="W726" ca="1">IFERROR(_xlfn.IFS(OR(F726="",LEFT(Methode_Keuze,4)="Geen",Methode_Keuze=""),"",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17" t="str" cm="1">
        <f t="array" aca="1" ref="X726" ca="1">IFERROR(_xlfn.IFS(OR(F726="",LEFT(Methode_Keuze,4)="Geen",Methode_Keuze=""),"",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26"/>
      <c r="Z726" s="319"/>
      <c r="AA726" s="32" t="str" cm="1">
        <f t="array" ref="AA726">IFERROR(IF(INDEX(SubsidieTabel!$AD$1:$AG$12,MATCH($F726,SubsidieTabel!$AD$1:$AD$12,0),IFERROR(MATCH(Methode_Keuze,SubsidieTabel!$AD$1:$AG$1,0),2))&lt;&gt;1=TRUE,"ja",""),"")</f>
        <v/>
      </c>
    </row>
    <row r="727" spans="1:27" x14ac:dyDescent="0.25">
      <c r="A727" s="320"/>
      <c r="B727" s="321" t="str">
        <f>IF(A727&lt;&gt;"",_xlfn.MAXIFS($B$1:B726,$A$1:A726,A727)+1,"")</f>
        <v/>
      </c>
      <c r="C727" s="299"/>
      <c r="D727" s="299"/>
      <c r="E727" s="299"/>
      <c r="F727" s="299"/>
      <c r="G727" s="330"/>
      <c r="H727" s="328"/>
      <c r="I727" s="329"/>
      <c r="J727" s="329"/>
      <c r="K727" s="322"/>
      <c r="L727" s="322"/>
      <c r="M727" s="323" t="str">
        <f>IFERROR(VLOOKUP(H727,Lijsten!$H$1:$I$100,2,0),"")</f>
        <v/>
      </c>
      <c r="N727" s="323" t="str">
        <f ca="1">IFERROR(IF(VLOOKUP(F727,Kostentypen!$A$3:$E$21,3,0)=0,"",IF(OR(F727="Arbeidskosten",F727="Vergoeding"),VLOOKUP(G727,Tb_KostenTypen[],2,0),VLOOKUP(F727,Kostentypen!$A$3:$E$20,3,0))),"")</f>
        <v/>
      </c>
      <c r="O727" s="324"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4"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3"/>
      <c r="R727" s="363"/>
      <c r="S727" s="325"/>
      <c r="T727" s="325"/>
      <c r="U727" s="317" t="str" cm="1">
        <f t="array" aca="1" ref="U727" ca="1">IFERROR(IF(AA727&lt;&gt;"ja",_xlfn.IFNA(_xlfn.IFS(AND(O727&lt;&gt;"",F727&lt;&gt;"",RIGHT($N727,6)="tarief",F727="Vergoeding"),SUM(O727)*FLOOR(SUM(Q727),0.0001),AND(O727&lt;&gt;"",F727&lt;&gt;"",RIGHT($N727,6)="tarief"),SUM(O727)*FLOOR(SUM(Q727),0.01),S727&gt;0,IF(F727&lt;&gt;"",FLOOR(SUM(S727),0.01),"")),""),""),"")</f>
        <v/>
      </c>
      <c r="V727" s="317" t="str" cm="1">
        <f t="array" aca="1" ref="V727" ca="1">IFERROR(IF(AA727&lt;&gt;"ja",_xlfn.IFNA(_xlfn.IFS(AND(P727&lt;&gt;"",R727&lt;&gt;"",RIGHT($N727,6)="tarief",F727="Vergoeding"),SUM(P727)*FLOOR(SUM(R727),0.0001),AND(P727&lt;&gt;"",R727&lt;&gt;"",RIGHT($N727,6)="tarief"),P727*FLOOR(R727,0.01),T727&gt;0,FLOOR(SUM(T727),0.01)),""),""),"")</f>
        <v/>
      </c>
      <c r="W727" s="317" t="str" cm="1">
        <f t="array" aca="1" ref="W727" ca="1">IFERROR(_xlfn.IFS(OR(F727="",LEFT(Methode_Keuze,4)="Geen",Methode_Keuze=""),"",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17" t="str" cm="1">
        <f t="array" aca="1" ref="X727" ca="1">IFERROR(_xlfn.IFS(OR(F727="",LEFT(Methode_Keuze,4)="Geen",Methode_Keuze=""),"",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26"/>
      <c r="Z727" s="319"/>
      <c r="AA727" s="32" t="str" cm="1">
        <f t="array" ref="AA727">IFERROR(IF(INDEX(SubsidieTabel!$AD$1:$AG$12,MATCH($F727,SubsidieTabel!$AD$1:$AD$12,0),IFERROR(MATCH(Methode_Keuze,SubsidieTabel!$AD$1:$AG$1,0),2))&lt;&gt;1=TRUE,"ja",""),"")</f>
        <v/>
      </c>
    </row>
    <row r="728" spans="1:27" x14ac:dyDescent="0.25">
      <c r="A728" s="320"/>
      <c r="B728" s="321" t="str">
        <f>IF(A728&lt;&gt;"",_xlfn.MAXIFS($B$1:B727,$A$1:A727,A728)+1,"")</f>
        <v/>
      </c>
      <c r="C728" s="299"/>
      <c r="D728" s="299"/>
      <c r="E728" s="299"/>
      <c r="F728" s="299"/>
      <c r="G728" s="330"/>
      <c r="H728" s="328"/>
      <c r="I728" s="329"/>
      <c r="J728" s="329"/>
      <c r="K728" s="322"/>
      <c r="L728" s="322"/>
      <c r="M728" s="323" t="str">
        <f>IFERROR(VLOOKUP(H728,Lijsten!$H$1:$I$100,2,0),"")</f>
        <v/>
      </c>
      <c r="N728" s="323" t="str">
        <f ca="1">IFERROR(IF(VLOOKUP(F728,Kostentypen!$A$3:$E$21,3,0)=0,"",IF(OR(F728="Arbeidskosten",F728="Vergoeding"),VLOOKUP(G728,Tb_KostenTypen[],2,0),VLOOKUP(F728,Kostentypen!$A$3:$E$20,3,0))),"")</f>
        <v/>
      </c>
      <c r="O728" s="324"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4"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3"/>
      <c r="R728" s="363"/>
      <c r="S728" s="325"/>
      <c r="T728" s="325"/>
      <c r="U728" s="317" t="str" cm="1">
        <f t="array" aca="1" ref="U728" ca="1">IFERROR(IF(AA728&lt;&gt;"ja",_xlfn.IFNA(_xlfn.IFS(AND(O728&lt;&gt;"",F728&lt;&gt;"",RIGHT($N728,6)="tarief",F728="Vergoeding"),SUM(O728)*FLOOR(SUM(Q728),0.0001),AND(O728&lt;&gt;"",F728&lt;&gt;"",RIGHT($N728,6)="tarief"),SUM(O728)*FLOOR(SUM(Q728),0.01),S728&gt;0,IF(F728&lt;&gt;"",FLOOR(SUM(S728),0.01),"")),""),""),"")</f>
        <v/>
      </c>
      <c r="V728" s="317" t="str" cm="1">
        <f t="array" aca="1" ref="V728" ca="1">IFERROR(IF(AA728&lt;&gt;"ja",_xlfn.IFNA(_xlfn.IFS(AND(P728&lt;&gt;"",R728&lt;&gt;"",RIGHT($N728,6)="tarief",F728="Vergoeding"),SUM(P728)*FLOOR(SUM(R728),0.0001),AND(P728&lt;&gt;"",R728&lt;&gt;"",RIGHT($N728,6)="tarief"),P728*FLOOR(R728,0.01),T728&gt;0,FLOOR(SUM(T728),0.01)),""),""),"")</f>
        <v/>
      </c>
      <c r="W728" s="317" t="str" cm="1">
        <f t="array" aca="1" ref="W728" ca="1">IFERROR(_xlfn.IFS(OR(F728="",LEFT(Methode_Keuze,4)="Geen",Methode_Keuze=""),"",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17" t="str" cm="1">
        <f t="array" aca="1" ref="X728" ca="1">IFERROR(_xlfn.IFS(OR(F728="",LEFT(Methode_Keuze,4)="Geen",Methode_Keuze=""),"",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26"/>
      <c r="Z728" s="319"/>
      <c r="AA728" s="32" t="str" cm="1">
        <f t="array" ref="AA728">IFERROR(IF(INDEX(SubsidieTabel!$AD$1:$AG$12,MATCH($F728,SubsidieTabel!$AD$1:$AD$12,0),IFERROR(MATCH(Methode_Keuze,SubsidieTabel!$AD$1:$AG$1,0),2))&lt;&gt;1=TRUE,"ja",""),"")</f>
        <v/>
      </c>
    </row>
    <row r="729" spans="1:27" x14ac:dyDescent="0.25">
      <c r="A729" s="320"/>
      <c r="B729" s="321" t="str">
        <f>IF(A729&lt;&gt;"",_xlfn.MAXIFS($B$1:B728,$A$1:A728,A729)+1,"")</f>
        <v/>
      </c>
      <c r="C729" s="299"/>
      <c r="D729" s="299"/>
      <c r="E729" s="299"/>
      <c r="F729" s="299"/>
      <c r="G729" s="330"/>
      <c r="H729" s="328"/>
      <c r="I729" s="329"/>
      <c r="J729" s="329"/>
      <c r="K729" s="322"/>
      <c r="L729" s="322"/>
      <c r="M729" s="323" t="str">
        <f>IFERROR(VLOOKUP(H729,Lijsten!$H$1:$I$100,2,0),"")</f>
        <v/>
      </c>
      <c r="N729" s="323" t="str">
        <f ca="1">IFERROR(IF(VLOOKUP(F729,Kostentypen!$A$3:$E$21,3,0)=0,"",IF(OR(F729="Arbeidskosten",F729="Vergoeding"),VLOOKUP(G729,Tb_KostenTypen[],2,0),VLOOKUP(F729,Kostentypen!$A$3:$E$20,3,0))),"")</f>
        <v/>
      </c>
      <c r="O729" s="324"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4"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3"/>
      <c r="R729" s="363"/>
      <c r="S729" s="325"/>
      <c r="T729" s="325"/>
      <c r="U729" s="317" t="str" cm="1">
        <f t="array" aca="1" ref="U729" ca="1">IFERROR(IF(AA729&lt;&gt;"ja",_xlfn.IFNA(_xlfn.IFS(AND(O729&lt;&gt;"",F729&lt;&gt;"",RIGHT($N729,6)="tarief",F729="Vergoeding"),SUM(O729)*FLOOR(SUM(Q729),0.0001),AND(O729&lt;&gt;"",F729&lt;&gt;"",RIGHT($N729,6)="tarief"),SUM(O729)*FLOOR(SUM(Q729),0.01),S729&gt;0,IF(F729&lt;&gt;"",FLOOR(SUM(S729),0.01),"")),""),""),"")</f>
        <v/>
      </c>
      <c r="V729" s="317" t="str" cm="1">
        <f t="array" aca="1" ref="V729" ca="1">IFERROR(IF(AA729&lt;&gt;"ja",_xlfn.IFNA(_xlfn.IFS(AND(P729&lt;&gt;"",R729&lt;&gt;"",RIGHT($N729,6)="tarief",F729="Vergoeding"),SUM(P729)*FLOOR(SUM(R729),0.0001),AND(P729&lt;&gt;"",R729&lt;&gt;"",RIGHT($N729,6)="tarief"),P729*FLOOR(R729,0.01),T729&gt;0,FLOOR(SUM(T729),0.01)),""),""),"")</f>
        <v/>
      </c>
      <c r="W729" s="317" t="str" cm="1">
        <f t="array" aca="1" ref="W729" ca="1">IFERROR(_xlfn.IFS(OR(F729="",LEFT(Methode_Keuze,4)="Geen",Methode_Keuze=""),"",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17" t="str" cm="1">
        <f t="array" aca="1" ref="X729" ca="1">IFERROR(_xlfn.IFS(OR(F729="",LEFT(Methode_Keuze,4)="Geen",Methode_Keuze=""),"",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26"/>
      <c r="Z729" s="319"/>
      <c r="AA729" s="32" t="str" cm="1">
        <f t="array" ref="AA729">IFERROR(IF(INDEX(SubsidieTabel!$AD$1:$AG$12,MATCH($F729,SubsidieTabel!$AD$1:$AD$12,0),IFERROR(MATCH(Methode_Keuze,SubsidieTabel!$AD$1:$AG$1,0),2))&lt;&gt;1=TRUE,"ja",""),"")</f>
        <v/>
      </c>
    </row>
    <row r="730" spans="1:27" x14ac:dyDescent="0.25">
      <c r="A730" s="320"/>
      <c r="B730" s="321" t="str">
        <f>IF(A730&lt;&gt;"",_xlfn.MAXIFS($B$1:B729,$A$1:A729,A730)+1,"")</f>
        <v/>
      </c>
      <c r="C730" s="299"/>
      <c r="D730" s="299"/>
      <c r="E730" s="299"/>
      <c r="F730" s="299"/>
      <c r="G730" s="330"/>
      <c r="H730" s="328"/>
      <c r="I730" s="329"/>
      <c r="J730" s="329"/>
      <c r="K730" s="322"/>
      <c r="L730" s="322"/>
      <c r="M730" s="323" t="str">
        <f>IFERROR(VLOOKUP(H730,Lijsten!$H$1:$I$100,2,0),"")</f>
        <v/>
      </c>
      <c r="N730" s="323" t="str">
        <f ca="1">IFERROR(IF(VLOOKUP(F730,Kostentypen!$A$3:$E$21,3,0)=0,"",IF(OR(F730="Arbeidskosten",F730="Vergoeding"),VLOOKUP(G730,Tb_KostenTypen[],2,0),VLOOKUP(F730,Kostentypen!$A$3:$E$20,3,0))),"")</f>
        <v/>
      </c>
      <c r="O730" s="324"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4"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3"/>
      <c r="R730" s="363"/>
      <c r="S730" s="325"/>
      <c r="T730" s="325"/>
      <c r="U730" s="317" t="str" cm="1">
        <f t="array" aca="1" ref="U730" ca="1">IFERROR(IF(AA730&lt;&gt;"ja",_xlfn.IFNA(_xlfn.IFS(AND(O730&lt;&gt;"",F730&lt;&gt;"",RIGHT($N730,6)="tarief",F730="Vergoeding"),SUM(O730)*FLOOR(SUM(Q730),0.0001),AND(O730&lt;&gt;"",F730&lt;&gt;"",RIGHT($N730,6)="tarief"),SUM(O730)*FLOOR(SUM(Q730),0.01),S730&gt;0,IF(F730&lt;&gt;"",FLOOR(SUM(S730),0.01),"")),""),""),"")</f>
        <v/>
      </c>
      <c r="V730" s="317" t="str" cm="1">
        <f t="array" aca="1" ref="V730" ca="1">IFERROR(IF(AA730&lt;&gt;"ja",_xlfn.IFNA(_xlfn.IFS(AND(P730&lt;&gt;"",R730&lt;&gt;"",RIGHT($N730,6)="tarief",F730="Vergoeding"),SUM(P730)*FLOOR(SUM(R730),0.0001),AND(P730&lt;&gt;"",R730&lt;&gt;"",RIGHT($N730,6)="tarief"),P730*FLOOR(R730,0.01),T730&gt;0,FLOOR(SUM(T730),0.01)),""),""),"")</f>
        <v/>
      </c>
      <c r="W730" s="317" t="str" cm="1">
        <f t="array" aca="1" ref="W730" ca="1">IFERROR(_xlfn.IFS(OR(F730="",LEFT(Methode_Keuze,4)="Geen",Methode_Keuze=""),"",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17" t="str" cm="1">
        <f t="array" aca="1" ref="X730" ca="1">IFERROR(_xlfn.IFS(OR(F730="",LEFT(Methode_Keuze,4)="Geen",Methode_Keuze=""),"",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26"/>
      <c r="Z730" s="319"/>
      <c r="AA730" s="32" t="str" cm="1">
        <f t="array" ref="AA730">IFERROR(IF(INDEX(SubsidieTabel!$AD$1:$AG$12,MATCH($F730,SubsidieTabel!$AD$1:$AD$12,0),IFERROR(MATCH(Methode_Keuze,SubsidieTabel!$AD$1:$AG$1,0),2))&lt;&gt;1=TRUE,"ja",""),"")</f>
        <v/>
      </c>
    </row>
    <row r="731" spans="1:27" x14ac:dyDescent="0.25">
      <c r="A731" s="320"/>
      <c r="B731" s="321" t="str">
        <f>IF(A731&lt;&gt;"",_xlfn.MAXIFS($B$1:B730,$A$1:A730,A731)+1,"")</f>
        <v/>
      </c>
      <c r="C731" s="299"/>
      <c r="D731" s="299"/>
      <c r="E731" s="299"/>
      <c r="F731" s="299"/>
      <c r="G731" s="330"/>
      <c r="H731" s="328"/>
      <c r="I731" s="329"/>
      <c r="J731" s="329"/>
      <c r="K731" s="322"/>
      <c r="L731" s="322"/>
      <c r="M731" s="323" t="str">
        <f>IFERROR(VLOOKUP(H731,Lijsten!$H$1:$I$100,2,0),"")</f>
        <v/>
      </c>
      <c r="N731" s="323" t="str">
        <f ca="1">IFERROR(IF(VLOOKUP(F731,Kostentypen!$A$3:$E$21,3,0)=0,"",IF(OR(F731="Arbeidskosten",F731="Vergoeding"),VLOOKUP(G731,Tb_KostenTypen[],2,0),VLOOKUP(F731,Kostentypen!$A$3:$E$20,3,0))),"")</f>
        <v/>
      </c>
      <c r="O731" s="324"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4"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3"/>
      <c r="R731" s="363"/>
      <c r="S731" s="325"/>
      <c r="T731" s="325"/>
      <c r="U731" s="317" t="str" cm="1">
        <f t="array" aca="1" ref="U731" ca="1">IFERROR(IF(AA731&lt;&gt;"ja",_xlfn.IFNA(_xlfn.IFS(AND(O731&lt;&gt;"",F731&lt;&gt;"",RIGHT($N731,6)="tarief",F731="Vergoeding"),SUM(O731)*FLOOR(SUM(Q731),0.0001),AND(O731&lt;&gt;"",F731&lt;&gt;"",RIGHT($N731,6)="tarief"),SUM(O731)*FLOOR(SUM(Q731),0.01),S731&gt;0,IF(F731&lt;&gt;"",FLOOR(SUM(S731),0.01),"")),""),""),"")</f>
        <v/>
      </c>
      <c r="V731" s="317" t="str" cm="1">
        <f t="array" aca="1" ref="V731" ca="1">IFERROR(IF(AA731&lt;&gt;"ja",_xlfn.IFNA(_xlfn.IFS(AND(P731&lt;&gt;"",R731&lt;&gt;"",RIGHT($N731,6)="tarief",F731="Vergoeding"),SUM(P731)*FLOOR(SUM(R731),0.0001),AND(P731&lt;&gt;"",R731&lt;&gt;"",RIGHT($N731,6)="tarief"),P731*FLOOR(R731,0.01),T731&gt;0,FLOOR(SUM(T731),0.01)),""),""),"")</f>
        <v/>
      </c>
      <c r="W731" s="317" t="str" cm="1">
        <f t="array" aca="1" ref="W731" ca="1">IFERROR(_xlfn.IFS(OR(F731="",LEFT(Methode_Keuze,4)="Geen",Methode_Keuze=""),"",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17" t="str" cm="1">
        <f t="array" aca="1" ref="X731" ca="1">IFERROR(_xlfn.IFS(OR(F731="",LEFT(Methode_Keuze,4)="Geen",Methode_Keuze=""),"",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26"/>
      <c r="Z731" s="319"/>
      <c r="AA731" s="32" t="str" cm="1">
        <f t="array" ref="AA731">IFERROR(IF(INDEX(SubsidieTabel!$AD$1:$AG$12,MATCH($F731,SubsidieTabel!$AD$1:$AD$12,0),IFERROR(MATCH(Methode_Keuze,SubsidieTabel!$AD$1:$AG$1,0),2))&lt;&gt;1=TRUE,"ja",""),"")</f>
        <v/>
      </c>
    </row>
    <row r="732" spans="1:27" x14ac:dyDescent="0.25">
      <c r="A732" s="320"/>
      <c r="B732" s="321" t="str">
        <f>IF(A732&lt;&gt;"",_xlfn.MAXIFS($B$1:B731,$A$1:A731,A732)+1,"")</f>
        <v/>
      </c>
      <c r="C732" s="299"/>
      <c r="D732" s="299"/>
      <c r="E732" s="299"/>
      <c r="F732" s="299"/>
      <c r="G732" s="330"/>
      <c r="H732" s="328"/>
      <c r="I732" s="329"/>
      <c r="J732" s="329"/>
      <c r="K732" s="322"/>
      <c r="L732" s="322"/>
      <c r="M732" s="323" t="str">
        <f>IFERROR(VLOOKUP(H732,Lijsten!$H$1:$I$100,2,0),"")</f>
        <v/>
      </c>
      <c r="N732" s="323" t="str">
        <f ca="1">IFERROR(IF(VLOOKUP(F732,Kostentypen!$A$3:$E$21,3,0)=0,"",IF(OR(F732="Arbeidskosten",F732="Vergoeding"),VLOOKUP(G732,Tb_KostenTypen[],2,0),VLOOKUP(F732,Kostentypen!$A$3:$E$20,3,0))),"")</f>
        <v/>
      </c>
      <c r="O732" s="324"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4"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3"/>
      <c r="R732" s="363"/>
      <c r="S732" s="325"/>
      <c r="T732" s="325"/>
      <c r="U732" s="317" t="str" cm="1">
        <f t="array" aca="1" ref="U732" ca="1">IFERROR(IF(AA732&lt;&gt;"ja",_xlfn.IFNA(_xlfn.IFS(AND(O732&lt;&gt;"",F732&lt;&gt;"",RIGHT($N732,6)="tarief",F732="Vergoeding"),SUM(O732)*FLOOR(SUM(Q732),0.0001),AND(O732&lt;&gt;"",F732&lt;&gt;"",RIGHT($N732,6)="tarief"),SUM(O732)*FLOOR(SUM(Q732),0.01),S732&gt;0,IF(F732&lt;&gt;"",FLOOR(SUM(S732),0.01),"")),""),""),"")</f>
        <v/>
      </c>
      <c r="V732" s="317" t="str" cm="1">
        <f t="array" aca="1" ref="V732" ca="1">IFERROR(IF(AA732&lt;&gt;"ja",_xlfn.IFNA(_xlfn.IFS(AND(P732&lt;&gt;"",R732&lt;&gt;"",RIGHT($N732,6)="tarief",F732="Vergoeding"),SUM(P732)*FLOOR(SUM(R732),0.0001),AND(P732&lt;&gt;"",R732&lt;&gt;"",RIGHT($N732,6)="tarief"),P732*FLOOR(R732,0.01),T732&gt;0,FLOOR(SUM(T732),0.01)),""),""),"")</f>
        <v/>
      </c>
      <c r="W732" s="317" t="str" cm="1">
        <f t="array" aca="1" ref="W732" ca="1">IFERROR(_xlfn.IFS(OR(F732="",LEFT(Methode_Keuze,4)="Geen",Methode_Keuze=""),"",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17" t="str" cm="1">
        <f t="array" aca="1" ref="X732" ca="1">IFERROR(_xlfn.IFS(OR(F732="",LEFT(Methode_Keuze,4)="Geen",Methode_Keuze=""),"",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26"/>
      <c r="Z732" s="319"/>
      <c r="AA732" s="32" t="str" cm="1">
        <f t="array" ref="AA732">IFERROR(IF(INDEX(SubsidieTabel!$AD$1:$AG$12,MATCH($F732,SubsidieTabel!$AD$1:$AD$12,0),IFERROR(MATCH(Methode_Keuze,SubsidieTabel!$AD$1:$AG$1,0),2))&lt;&gt;1=TRUE,"ja",""),"")</f>
        <v/>
      </c>
    </row>
    <row r="733" spans="1:27" x14ac:dyDescent="0.25">
      <c r="A733" s="320"/>
      <c r="B733" s="321" t="str">
        <f>IF(A733&lt;&gt;"",_xlfn.MAXIFS($B$1:B732,$A$1:A732,A733)+1,"")</f>
        <v/>
      </c>
      <c r="C733" s="299"/>
      <c r="D733" s="299"/>
      <c r="E733" s="299"/>
      <c r="F733" s="299"/>
      <c r="G733" s="330"/>
      <c r="H733" s="328"/>
      <c r="I733" s="329"/>
      <c r="J733" s="329"/>
      <c r="K733" s="322"/>
      <c r="L733" s="322"/>
      <c r="M733" s="323" t="str">
        <f>IFERROR(VLOOKUP(H733,Lijsten!$H$1:$I$100,2,0),"")</f>
        <v/>
      </c>
      <c r="N733" s="323" t="str">
        <f ca="1">IFERROR(IF(VLOOKUP(F733,Kostentypen!$A$3:$E$21,3,0)=0,"",IF(OR(F733="Arbeidskosten",F733="Vergoeding"),VLOOKUP(G733,Tb_KostenTypen[],2,0),VLOOKUP(F733,Kostentypen!$A$3:$E$20,3,0))),"")</f>
        <v/>
      </c>
      <c r="O733" s="324"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4"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3"/>
      <c r="R733" s="363"/>
      <c r="S733" s="325"/>
      <c r="T733" s="325"/>
      <c r="U733" s="317" t="str" cm="1">
        <f t="array" aca="1" ref="U733" ca="1">IFERROR(IF(AA733&lt;&gt;"ja",_xlfn.IFNA(_xlfn.IFS(AND(O733&lt;&gt;"",F733&lt;&gt;"",RIGHT($N733,6)="tarief",F733="Vergoeding"),SUM(O733)*FLOOR(SUM(Q733),0.0001),AND(O733&lt;&gt;"",F733&lt;&gt;"",RIGHT($N733,6)="tarief"),SUM(O733)*FLOOR(SUM(Q733),0.01),S733&gt;0,IF(F733&lt;&gt;"",FLOOR(SUM(S733),0.01),"")),""),""),"")</f>
        <v/>
      </c>
      <c r="V733" s="317" t="str" cm="1">
        <f t="array" aca="1" ref="V733" ca="1">IFERROR(IF(AA733&lt;&gt;"ja",_xlfn.IFNA(_xlfn.IFS(AND(P733&lt;&gt;"",R733&lt;&gt;"",RIGHT($N733,6)="tarief",F733="Vergoeding"),SUM(P733)*FLOOR(SUM(R733),0.0001),AND(P733&lt;&gt;"",R733&lt;&gt;"",RIGHT($N733,6)="tarief"),P733*FLOOR(R733,0.01),T733&gt;0,FLOOR(SUM(T733),0.01)),""),""),"")</f>
        <v/>
      </c>
      <c r="W733" s="317" t="str" cm="1">
        <f t="array" aca="1" ref="W733" ca="1">IFERROR(_xlfn.IFS(OR(F733="",LEFT(Methode_Keuze,4)="Geen",Methode_Keuze=""),"",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17" t="str" cm="1">
        <f t="array" aca="1" ref="X733" ca="1">IFERROR(_xlfn.IFS(OR(F733="",LEFT(Methode_Keuze,4)="Geen",Methode_Keuze=""),"",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26"/>
      <c r="Z733" s="319"/>
      <c r="AA733" s="32" t="str" cm="1">
        <f t="array" ref="AA733">IFERROR(IF(INDEX(SubsidieTabel!$AD$1:$AG$12,MATCH($F733,SubsidieTabel!$AD$1:$AD$12,0),IFERROR(MATCH(Methode_Keuze,SubsidieTabel!$AD$1:$AG$1,0),2))&lt;&gt;1=TRUE,"ja",""),"")</f>
        <v/>
      </c>
    </row>
    <row r="734" spans="1:27" x14ac:dyDescent="0.25">
      <c r="A734" s="320"/>
      <c r="B734" s="321" t="str">
        <f>IF(A734&lt;&gt;"",_xlfn.MAXIFS($B$1:B733,$A$1:A733,A734)+1,"")</f>
        <v/>
      </c>
      <c r="C734" s="299"/>
      <c r="D734" s="299"/>
      <c r="E734" s="299"/>
      <c r="F734" s="299"/>
      <c r="G734" s="330"/>
      <c r="H734" s="328"/>
      <c r="I734" s="329"/>
      <c r="J734" s="329"/>
      <c r="K734" s="322"/>
      <c r="L734" s="322"/>
      <c r="M734" s="323" t="str">
        <f>IFERROR(VLOOKUP(H734,Lijsten!$H$1:$I$100,2,0),"")</f>
        <v/>
      </c>
      <c r="N734" s="323" t="str">
        <f ca="1">IFERROR(IF(VLOOKUP(F734,Kostentypen!$A$3:$E$21,3,0)=0,"",IF(OR(F734="Arbeidskosten",F734="Vergoeding"),VLOOKUP(G734,Tb_KostenTypen[],2,0),VLOOKUP(F734,Kostentypen!$A$3:$E$20,3,0))),"")</f>
        <v/>
      </c>
      <c r="O734" s="324"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4"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3"/>
      <c r="R734" s="363"/>
      <c r="S734" s="325"/>
      <c r="T734" s="325"/>
      <c r="U734" s="317" t="str" cm="1">
        <f t="array" aca="1" ref="U734" ca="1">IFERROR(IF(AA734&lt;&gt;"ja",_xlfn.IFNA(_xlfn.IFS(AND(O734&lt;&gt;"",F734&lt;&gt;"",RIGHT($N734,6)="tarief",F734="Vergoeding"),SUM(O734)*FLOOR(SUM(Q734),0.0001),AND(O734&lt;&gt;"",F734&lt;&gt;"",RIGHT($N734,6)="tarief"),SUM(O734)*FLOOR(SUM(Q734),0.01),S734&gt;0,IF(F734&lt;&gt;"",FLOOR(SUM(S734),0.01),"")),""),""),"")</f>
        <v/>
      </c>
      <c r="V734" s="317" t="str" cm="1">
        <f t="array" aca="1" ref="V734" ca="1">IFERROR(IF(AA734&lt;&gt;"ja",_xlfn.IFNA(_xlfn.IFS(AND(P734&lt;&gt;"",R734&lt;&gt;"",RIGHT($N734,6)="tarief",F734="Vergoeding"),SUM(P734)*FLOOR(SUM(R734),0.0001),AND(P734&lt;&gt;"",R734&lt;&gt;"",RIGHT($N734,6)="tarief"),P734*FLOOR(R734,0.01),T734&gt;0,FLOOR(SUM(T734),0.01)),""),""),"")</f>
        <v/>
      </c>
      <c r="W734" s="317" t="str" cm="1">
        <f t="array" aca="1" ref="W734" ca="1">IFERROR(_xlfn.IFS(OR(F734="",LEFT(Methode_Keuze,4)="Geen",Methode_Keuze=""),"",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17" t="str" cm="1">
        <f t="array" aca="1" ref="X734" ca="1">IFERROR(_xlfn.IFS(OR(F734="",LEFT(Methode_Keuze,4)="Geen",Methode_Keuze=""),"",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26"/>
      <c r="Z734" s="319"/>
      <c r="AA734" s="32" t="str" cm="1">
        <f t="array" ref="AA734">IFERROR(IF(INDEX(SubsidieTabel!$AD$1:$AG$12,MATCH($F734,SubsidieTabel!$AD$1:$AD$12,0),IFERROR(MATCH(Methode_Keuze,SubsidieTabel!$AD$1:$AG$1,0),2))&lt;&gt;1=TRUE,"ja",""),"")</f>
        <v/>
      </c>
    </row>
    <row r="735" spans="1:27" x14ac:dyDescent="0.25">
      <c r="A735" s="320"/>
      <c r="B735" s="321" t="str">
        <f>IF(A735&lt;&gt;"",_xlfn.MAXIFS($B$1:B734,$A$1:A734,A735)+1,"")</f>
        <v/>
      </c>
      <c r="C735" s="299"/>
      <c r="D735" s="299"/>
      <c r="E735" s="299"/>
      <c r="F735" s="299"/>
      <c r="G735" s="330"/>
      <c r="H735" s="328"/>
      <c r="I735" s="329"/>
      <c r="J735" s="329"/>
      <c r="K735" s="322"/>
      <c r="L735" s="322"/>
      <c r="M735" s="323" t="str">
        <f>IFERROR(VLOOKUP(H735,Lijsten!$H$1:$I$100,2,0),"")</f>
        <v/>
      </c>
      <c r="N735" s="323" t="str">
        <f ca="1">IFERROR(IF(VLOOKUP(F735,Kostentypen!$A$3:$E$21,3,0)=0,"",IF(OR(F735="Arbeidskosten",F735="Vergoeding"),VLOOKUP(G735,Tb_KostenTypen[],2,0),VLOOKUP(F735,Kostentypen!$A$3:$E$20,3,0))),"")</f>
        <v/>
      </c>
      <c r="O735" s="324"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4"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3"/>
      <c r="R735" s="363"/>
      <c r="S735" s="325"/>
      <c r="T735" s="325"/>
      <c r="U735" s="317" t="str" cm="1">
        <f t="array" aca="1" ref="U735" ca="1">IFERROR(IF(AA735&lt;&gt;"ja",_xlfn.IFNA(_xlfn.IFS(AND(O735&lt;&gt;"",F735&lt;&gt;"",RIGHT($N735,6)="tarief",F735="Vergoeding"),SUM(O735)*FLOOR(SUM(Q735),0.0001),AND(O735&lt;&gt;"",F735&lt;&gt;"",RIGHT($N735,6)="tarief"),SUM(O735)*FLOOR(SUM(Q735),0.01),S735&gt;0,IF(F735&lt;&gt;"",FLOOR(SUM(S735),0.01),"")),""),""),"")</f>
        <v/>
      </c>
      <c r="V735" s="317" t="str" cm="1">
        <f t="array" aca="1" ref="V735" ca="1">IFERROR(IF(AA735&lt;&gt;"ja",_xlfn.IFNA(_xlfn.IFS(AND(P735&lt;&gt;"",R735&lt;&gt;"",RIGHT($N735,6)="tarief",F735="Vergoeding"),SUM(P735)*FLOOR(SUM(R735),0.0001),AND(P735&lt;&gt;"",R735&lt;&gt;"",RIGHT($N735,6)="tarief"),P735*FLOOR(R735,0.01),T735&gt;0,FLOOR(SUM(T735),0.01)),""),""),"")</f>
        <v/>
      </c>
      <c r="W735" s="317" t="str" cm="1">
        <f t="array" aca="1" ref="W735" ca="1">IFERROR(_xlfn.IFS(OR(F735="",LEFT(Methode_Keuze,4)="Geen",Methode_Keuze=""),"",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17" t="str" cm="1">
        <f t="array" aca="1" ref="X735" ca="1">IFERROR(_xlfn.IFS(OR(F735="",LEFT(Methode_Keuze,4)="Geen",Methode_Keuze=""),"",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26"/>
      <c r="Z735" s="319"/>
      <c r="AA735" s="32" t="str" cm="1">
        <f t="array" ref="AA735">IFERROR(IF(INDEX(SubsidieTabel!$AD$1:$AG$12,MATCH($F735,SubsidieTabel!$AD$1:$AD$12,0),IFERROR(MATCH(Methode_Keuze,SubsidieTabel!$AD$1:$AG$1,0),2))&lt;&gt;1=TRUE,"ja",""),"")</f>
        <v/>
      </c>
    </row>
    <row r="736" spans="1:27" x14ac:dyDescent="0.25">
      <c r="A736" s="320"/>
      <c r="B736" s="321" t="str">
        <f>IF(A736&lt;&gt;"",_xlfn.MAXIFS($B$1:B735,$A$1:A735,A736)+1,"")</f>
        <v/>
      </c>
      <c r="C736" s="299"/>
      <c r="D736" s="299"/>
      <c r="E736" s="299"/>
      <c r="F736" s="299"/>
      <c r="G736" s="330"/>
      <c r="H736" s="328"/>
      <c r="I736" s="329"/>
      <c r="J736" s="329"/>
      <c r="K736" s="322"/>
      <c r="L736" s="322"/>
      <c r="M736" s="323" t="str">
        <f>IFERROR(VLOOKUP(H736,Lijsten!$H$1:$I$100,2,0),"")</f>
        <v/>
      </c>
      <c r="N736" s="323" t="str">
        <f ca="1">IFERROR(IF(VLOOKUP(F736,Kostentypen!$A$3:$E$21,3,0)=0,"",IF(OR(F736="Arbeidskosten",F736="Vergoeding"),VLOOKUP(G736,Tb_KostenTypen[],2,0),VLOOKUP(F736,Kostentypen!$A$3:$E$20,3,0))),"")</f>
        <v/>
      </c>
      <c r="O736" s="324"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4"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3"/>
      <c r="R736" s="363"/>
      <c r="S736" s="325"/>
      <c r="T736" s="325"/>
      <c r="U736" s="317" t="str" cm="1">
        <f t="array" aca="1" ref="U736" ca="1">IFERROR(IF(AA736&lt;&gt;"ja",_xlfn.IFNA(_xlfn.IFS(AND(O736&lt;&gt;"",F736&lt;&gt;"",RIGHT($N736,6)="tarief",F736="Vergoeding"),SUM(O736)*FLOOR(SUM(Q736),0.0001),AND(O736&lt;&gt;"",F736&lt;&gt;"",RIGHT($N736,6)="tarief"),SUM(O736)*FLOOR(SUM(Q736),0.01),S736&gt;0,IF(F736&lt;&gt;"",FLOOR(SUM(S736),0.01),"")),""),""),"")</f>
        <v/>
      </c>
      <c r="V736" s="317" t="str" cm="1">
        <f t="array" aca="1" ref="V736" ca="1">IFERROR(IF(AA736&lt;&gt;"ja",_xlfn.IFNA(_xlfn.IFS(AND(P736&lt;&gt;"",R736&lt;&gt;"",RIGHT($N736,6)="tarief",F736="Vergoeding"),SUM(P736)*FLOOR(SUM(R736),0.0001),AND(P736&lt;&gt;"",R736&lt;&gt;"",RIGHT($N736,6)="tarief"),P736*FLOOR(R736,0.01),T736&gt;0,FLOOR(SUM(T736),0.01)),""),""),"")</f>
        <v/>
      </c>
      <c r="W736" s="317" t="str" cm="1">
        <f t="array" aca="1" ref="W736" ca="1">IFERROR(_xlfn.IFS(OR(F736="",LEFT(Methode_Keuze,4)="Geen",Methode_Keuze=""),"",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17" t="str" cm="1">
        <f t="array" aca="1" ref="X736" ca="1">IFERROR(_xlfn.IFS(OR(F736="",LEFT(Methode_Keuze,4)="Geen",Methode_Keuze=""),"",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26"/>
      <c r="Z736" s="319"/>
      <c r="AA736" s="32" t="str" cm="1">
        <f t="array" ref="AA736">IFERROR(IF(INDEX(SubsidieTabel!$AD$1:$AG$12,MATCH($F736,SubsidieTabel!$AD$1:$AD$12,0),IFERROR(MATCH(Methode_Keuze,SubsidieTabel!$AD$1:$AG$1,0),2))&lt;&gt;1=TRUE,"ja",""),"")</f>
        <v/>
      </c>
    </row>
    <row r="737" spans="1:27" x14ac:dyDescent="0.25">
      <c r="A737" s="320"/>
      <c r="B737" s="321" t="str">
        <f>IF(A737&lt;&gt;"",_xlfn.MAXIFS($B$1:B736,$A$1:A736,A737)+1,"")</f>
        <v/>
      </c>
      <c r="C737" s="299"/>
      <c r="D737" s="299"/>
      <c r="E737" s="299"/>
      <c r="F737" s="299"/>
      <c r="G737" s="330"/>
      <c r="H737" s="328"/>
      <c r="I737" s="329"/>
      <c r="J737" s="329"/>
      <c r="K737" s="322"/>
      <c r="L737" s="322"/>
      <c r="M737" s="323" t="str">
        <f>IFERROR(VLOOKUP(H737,Lijsten!$H$1:$I$100,2,0),"")</f>
        <v/>
      </c>
      <c r="N737" s="323" t="str">
        <f ca="1">IFERROR(IF(VLOOKUP(F737,Kostentypen!$A$3:$E$21,3,0)=0,"",IF(OR(F737="Arbeidskosten",F737="Vergoeding"),VLOOKUP(G737,Tb_KostenTypen[],2,0),VLOOKUP(F737,Kostentypen!$A$3:$E$20,3,0))),"")</f>
        <v/>
      </c>
      <c r="O737" s="324"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4"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3"/>
      <c r="R737" s="363"/>
      <c r="S737" s="325"/>
      <c r="T737" s="325"/>
      <c r="U737" s="317" t="str" cm="1">
        <f t="array" aca="1" ref="U737" ca="1">IFERROR(IF(AA737&lt;&gt;"ja",_xlfn.IFNA(_xlfn.IFS(AND(O737&lt;&gt;"",F737&lt;&gt;"",RIGHT($N737,6)="tarief",F737="Vergoeding"),SUM(O737)*FLOOR(SUM(Q737),0.0001),AND(O737&lt;&gt;"",F737&lt;&gt;"",RIGHT($N737,6)="tarief"),SUM(O737)*FLOOR(SUM(Q737),0.01),S737&gt;0,IF(F737&lt;&gt;"",FLOOR(SUM(S737),0.01),"")),""),""),"")</f>
        <v/>
      </c>
      <c r="V737" s="317" t="str" cm="1">
        <f t="array" aca="1" ref="V737" ca="1">IFERROR(IF(AA737&lt;&gt;"ja",_xlfn.IFNA(_xlfn.IFS(AND(P737&lt;&gt;"",R737&lt;&gt;"",RIGHT($N737,6)="tarief",F737="Vergoeding"),SUM(P737)*FLOOR(SUM(R737),0.0001),AND(P737&lt;&gt;"",R737&lt;&gt;"",RIGHT($N737,6)="tarief"),P737*FLOOR(R737,0.01),T737&gt;0,FLOOR(SUM(T737),0.01)),""),""),"")</f>
        <v/>
      </c>
      <c r="W737" s="317" t="str" cm="1">
        <f t="array" aca="1" ref="W737" ca="1">IFERROR(_xlfn.IFS(OR(F737="",LEFT(Methode_Keuze,4)="Geen",Methode_Keuze=""),"",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17" t="str" cm="1">
        <f t="array" aca="1" ref="X737" ca="1">IFERROR(_xlfn.IFS(OR(F737="",LEFT(Methode_Keuze,4)="Geen",Methode_Keuze=""),"",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26"/>
      <c r="Z737" s="319"/>
      <c r="AA737" s="32" t="str" cm="1">
        <f t="array" ref="AA737">IFERROR(IF(INDEX(SubsidieTabel!$AD$1:$AG$12,MATCH($F737,SubsidieTabel!$AD$1:$AD$12,0),IFERROR(MATCH(Methode_Keuze,SubsidieTabel!$AD$1:$AG$1,0),2))&lt;&gt;1=TRUE,"ja",""),"")</f>
        <v/>
      </c>
    </row>
    <row r="738" spans="1:27" x14ac:dyDescent="0.25">
      <c r="A738" s="320"/>
      <c r="B738" s="321" t="str">
        <f>IF(A738&lt;&gt;"",_xlfn.MAXIFS($B$1:B737,$A$1:A737,A738)+1,"")</f>
        <v/>
      </c>
      <c r="C738" s="299"/>
      <c r="D738" s="299"/>
      <c r="E738" s="299"/>
      <c r="F738" s="299"/>
      <c r="G738" s="330"/>
      <c r="H738" s="328"/>
      <c r="I738" s="329"/>
      <c r="J738" s="329"/>
      <c r="K738" s="322"/>
      <c r="L738" s="322"/>
      <c r="M738" s="323" t="str">
        <f>IFERROR(VLOOKUP(H738,Lijsten!$H$1:$I$100,2,0),"")</f>
        <v/>
      </c>
      <c r="N738" s="323" t="str">
        <f ca="1">IFERROR(IF(VLOOKUP(F738,Kostentypen!$A$3:$E$21,3,0)=0,"",IF(OR(F738="Arbeidskosten",F738="Vergoeding"),VLOOKUP(G738,Tb_KostenTypen[],2,0),VLOOKUP(F738,Kostentypen!$A$3:$E$20,3,0))),"")</f>
        <v/>
      </c>
      <c r="O738" s="324"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4"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3"/>
      <c r="R738" s="363"/>
      <c r="S738" s="325"/>
      <c r="T738" s="325"/>
      <c r="U738" s="317" t="str" cm="1">
        <f t="array" aca="1" ref="U738" ca="1">IFERROR(IF(AA738&lt;&gt;"ja",_xlfn.IFNA(_xlfn.IFS(AND(O738&lt;&gt;"",F738&lt;&gt;"",RIGHT($N738,6)="tarief",F738="Vergoeding"),SUM(O738)*FLOOR(SUM(Q738),0.0001),AND(O738&lt;&gt;"",F738&lt;&gt;"",RIGHT($N738,6)="tarief"),SUM(O738)*FLOOR(SUM(Q738),0.01),S738&gt;0,IF(F738&lt;&gt;"",FLOOR(SUM(S738),0.01),"")),""),""),"")</f>
        <v/>
      </c>
      <c r="V738" s="317" t="str" cm="1">
        <f t="array" aca="1" ref="V738" ca="1">IFERROR(IF(AA738&lt;&gt;"ja",_xlfn.IFNA(_xlfn.IFS(AND(P738&lt;&gt;"",R738&lt;&gt;"",RIGHT($N738,6)="tarief",F738="Vergoeding"),SUM(P738)*FLOOR(SUM(R738),0.0001),AND(P738&lt;&gt;"",R738&lt;&gt;"",RIGHT($N738,6)="tarief"),P738*FLOOR(R738,0.01),T738&gt;0,FLOOR(SUM(T738),0.01)),""),""),"")</f>
        <v/>
      </c>
      <c r="W738" s="317" t="str" cm="1">
        <f t="array" aca="1" ref="W738" ca="1">IFERROR(_xlfn.IFS(OR(F738="",LEFT(Methode_Keuze,4)="Geen",Methode_Keuze=""),"",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17" t="str" cm="1">
        <f t="array" aca="1" ref="X738" ca="1">IFERROR(_xlfn.IFS(OR(F738="",LEFT(Methode_Keuze,4)="Geen",Methode_Keuze=""),"",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26"/>
      <c r="Z738" s="319"/>
      <c r="AA738" s="32" t="str" cm="1">
        <f t="array" ref="AA738">IFERROR(IF(INDEX(SubsidieTabel!$AD$1:$AG$12,MATCH($F738,SubsidieTabel!$AD$1:$AD$12,0),IFERROR(MATCH(Methode_Keuze,SubsidieTabel!$AD$1:$AG$1,0),2))&lt;&gt;1=TRUE,"ja",""),"")</f>
        <v/>
      </c>
    </row>
    <row r="739" spans="1:27" x14ac:dyDescent="0.25">
      <c r="A739" s="320"/>
      <c r="B739" s="321" t="str">
        <f>IF(A739&lt;&gt;"",_xlfn.MAXIFS($B$1:B738,$A$1:A738,A739)+1,"")</f>
        <v/>
      </c>
      <c r="C739" s="299"/>
      <c r="D739" s="299"/>
      <c r="E739" s="299"/>
      <c r="F739" s="299"/>
      <c r="G739" s="330"/>
      <c r="H739" s="328"/>
      <c r="I739" s="329"/>
      <c r="J739" s="329"/>
      <c r="K739" s="322"/>
      <c r="L739" s="322"/>
      <c r="M739" s="323" t="str">
        <f>IFERROR(VLOOKUP(H739,Lijsten!$H$1:$I$100,2,0),"")</f>
        <v/>
      </c>
      <c r="N739" s="323" t="str">
        <f ca="1">IFERROR(IF(VLOOKUP(F739,Kostentypen!$A$3:$E$21,3,0)=0,"",IF(OR(F739="Arbeidskosten",F739="Vergoeding"),VLOOKUP(G739,Tb_KostenTypen[],2,0),VLOOKUP(F739,Kostentypen!$A$3:$E$20,3,0))),"")</f>
        <v/>
      </c>
      <c r="O739" s="324"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4"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3"/>
      <c r="R739" s="363"/>
      <c r="S739" s="325"/>
      <c r="T739" s="325"/>
      <c r="U739" s="317" t="str" cm="1">
        <f t="array" aca="1" ref="U739" ca="1">IFERROR(IF(AA739&lt;&gt;"ja",_xlfn.IFNA(_xlfn.IFS(AND(O739&lt;&gt;"",F739&lt;&gt;"",RIGHT($N739,6)="tarief",F739="Vergoeding"),SUM(O739)*FLOOR(SUM(Q739),0.0001),AND(O739&lt;&gt;"",F739&lt;&gt;"",RIGHT($N739,6)="tarief"),SUM(O739)*FLOOR(SUM(Q739),0.01),S739&gt;0,IF(F739&lt;&gt;"",FLOOR(SUM(S739),0.01),"")),""),""),"")</f>
        <v/>
      </c>
      <c r="V739" s="317" t="str" cm="1">
        <f t="array" aca="1" ref="V739" ca="1">IFERROR(IF(AA739&lt;&gt;"ja",_xlfn.IFNA(_xlfn.IFS(AND(P739&lt;&gt;"",R739&lt;&gt;"",RIGHT($N739,6)="tarief",F739="Vergoeding"),SUM(P739)*FLOOR(SUM(R739),0.0001),AND(P739&lt;&gt;"",R739&lt;&gt;"",RIGHT($N739,6)="tarief"),P739*FLOOR(R739,0.01),T739&gt;0,FLOOR(SUM(T739),0.01)),""),""),"")</f>
        <v/>
      </c>
      <c r="W739" s="317" t="str" cm="1">
        <f t="array" aca="1" ref="W739" ca="1">IFERROR(_xlfn.IFS(OR(F739="",LEFT(Methode_Keuze,4)="Geen",Methode_Keuze=""),"",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17" t="str" cm="1">
        <f t="array" aca="1" ref="X739" ca="1">IFERROR(_xlfn.IFS(OR(F739="",LEFT(Methode_Keuze,4)="Geen",Methode_Keuze=""),"",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26"/>
      <c r="Z739" s="319"/>
      <c r="AA739" s="32" t="str" cm="1">
        <f t="array" ref="AA739">IFERROR(IF(INDEX(SubsidieTabel!$AD$1:$AG$12,MATCH($F739,SubsidieTabel!$AD$1:$AD$12,0),IFERROR(MATCH(Methode_Keuze,SubsidieTabel!$AD$1:$AG$1,0),2))&lt;&gt;1=TRUE,"ja",""),"")</f>
        <v/>
      </c>
    </row>
    <row r="740" spans="1:27" x14ac:dyDescent="0.25">
      <c r="A740" s="320"/>
      <c r="B740" s="321" t="str">
        <f>IF(A740&lt;&gt;"",_xlfn.MAXIFS($B$1:B739,$A$1:A739,A740)+1,"")</f>
        <v/>
      </c>
      <c r="C740" s="299"/>
      <c r="D740" s="299"/>
      <c r="E740" s="299"/>
      <c r="F740" s="299"/>
      <c r="G740" s="330"/>
      <c r="H740" s="328"/>
      <c r="I740" s="329"/>
      <c r="J740" s="329"/>
      <c r="K740" s="322"/>
      <c r="L740" s="322"/>
      <c r="M740" s="323" t="str">
        <f>IFERROR(VLOOKUP(H740,Lijsten!$H$1:$I$100,2,0),"")</f>
        <v/>
      </c>
      <c r="N740" s="323" t="str">
        <f ca="1">IFERROR(IF(VLOOKUP(F740,Kostentypen!$A$3:$E$21,3,0)=0,"",IF(OR(F740="Arbeidskosten",F740="Vergoeding"),VLOOKUP(G740,Tb_KostenTypen[],2,0),VLOOKUP(F740,Kostentypen!$A$3:$E$20,3,0))),"")</f>
        <v/>
      </c>
      <c r="O740" s="324"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4"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3"/>
      <c r="R740" s="363"/>
      <c r="S740" s="325"/>
      <c r="T740" s="325"/>
      <c r="U740" s="317" t="str" cm="1">
        <f t="array" aca="1" ref="U740" ca="1">IFERROR(IF(AA740&lt;&gt;"ja",_xlfn.IFNA(_xlfn.IFS(AND(O740&lt;&gt;"",F740&lt;&gt;"",RIGHT($N740,6)="tarief",F740="Vergoeding"),SUM(O740)*FLOOR(SUM(Q740),0.0001),AND(O740&lt;&gt;"",F740&lt;&gt;"",RIGHT($N740,6)="tarief"),SUM(O740)*FLOOR(SUM(Q740),0.01),S740&gt;0,IF(F740&lt;&gt;"",FLOOR(SUM(S740),0.01),"")),""),""),"")</f>
        <v/>
      </c>
      <c r="V740" s="317" t="str" cm="1">
        <f t="array" aca="1" ref="V740" ca="1">IFERROR(IF(AA740&lt;&gt;"ja",_xlfn.IFNA(_xlfn.IFS(AND(P740&lt;&gt;"",R740&lt;&gt;"",RIGHT($N740,6)="tarief",F740="Vergoeding"),SUM(P740)*FLOOR(SUM(R740),0.0001),AND(P740&lt;&gt;"",R740&lt;&gt;"",RIGHT($N740,6)="tarief"),P740*FLOOR(R740,0.01),T740&gt;0,FLOOR(SUM(T740),0.01)),""),""),"")</f>
        <v/>
      </c>
      <c r="W740" s="317" t="str" cm="1">
        <f t="array" aca="1" ref="W740" ca="1">IFERROR(_xlfn.IFS(OR(F740="",LEFT(Methode_Keuze,4)="Geen",Methode_Keuze=""),"",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17" t="str" cm="1">
        <f t="array" aca="1" ref="X740" ca="1">IFERROR(_xlfn.IFS(OR(F740="",LEFT(Methode_Keuze,4)="Geen",Methode_Keuze=""),"",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26"/>
      <c r="Z740" s="319"/>
      <c r="AA740" s="32" t="str" cm="1">
        <f t="array" ref="AA740">IFERROR(IF(INDEX(SubsidieTabel!$AD$1:$AG$12,MATCH($F740,SubsidieTabel!$AD$1:$AD$12,0),IFERROR(MATCH(Methode_Keuze,SubsidieTabel!$AD$1:$AG$1,0),2))&lt;&gt;1=TRUE,"ja",""),"")</f>
        <v/>
      </c>
    </row>
    <row r="741" spans="1:27" x14ac:dyDescent="0.25">
      <c r="A741" s="320"/>
      <c r="B741" s="321" t="str">
        <f>IF(A741&lt;&gt;"",_xlfn.MAXIFS($B$1:B740,$A$1:A740,A741)+1,"")</f>
        <v/>
      </c>
      <c r="C741" s="299"/>
      <c r="D741" s="299"/>
      <c r="E741" s="299"/>
      <c r="F741" s="299"/>
      <c r="G741" s="330"/>
      <c r="H741" s="328"/>
      <c r="I741" s="329"/>
      <c r="J741" s="329"/>
      <c r="K741" s="322"/>
      <c r="L741" s="322"/>
      <c r="M741" s="323" t="str">
        <f>IFERROR(VLOOKUP(H741,Lijsten!$H$1:$I$100,2,0),"")</f>
        <v/>
      </c>
      <c r="N741" s="323" t="str">
        <f ca="1">IFERROR(IF(VLOOKUP(F741,Kostentypen!$A$3:$E$21,3,0)=0,"",IF(OR(F741="Arbeidskosten",F741="Vergoeding"),VLOOKUP(G741,Tb_KostenTypen[],2,0),VLOOKUP(F741,Kostentypen!$A$3:$E$20,3,0))),"")</f>
        <v/>
      </c>
      <c r="O741" s="324"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4"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3"/>
      <c r="R741" s="363"/>
      <c r="S741" s="325"/>
      <c r="T741" s="325"/>
      <c r="U741" s="317" t="str" cm="1">
        <f t="array" aca="1" ref="U741" ca="1">IFERROR(IF(AA741&lt;&gt;"ja",_xlfn.IFNA(_xlfn.IFS(AND(O741&lt;&gt;"",F741&lt;&gt;"",RIGHT($N741,6)="tarief",F741="Vergoeding"),SUM(O741)*FLOOR(SUM(Q741),0.0001),AND(O741&lt;&gt;"",F741&lt;&gt;"",RIGHT($N741,6)="tarief"),SUM(O741)*FLOOR(SUM(Q741),0.01),S741&gt;0,IF(F741&lt;&gt;"",FLOOR(SUM(S741),0.01),"")),""),""),"")</f>
        <v/>
      </c>
      <c r="V741" s="317" t="str" cm="1">
        <f t="array" aca="1" ref="V741" ca="1">IFERROR(IF(AA741&lt;&gt;"ja",_xlfn.IFNA(_xlfn.IFS(AND(P741&lt;&gt;"",R741&lt;&gt;"",RIGHT($N741,6)="tarief",F741="Vergoeding"),SUM(P741)*FLOOR(SUM(R741),0.0001),AND(P741&lt;&gt;"",R741&lt;&gt;"",RIGHT($N741,6)="tarief"),P741*FLOOR(R741,0.01),T741&gt;0,FLOOR(SUM(T741),0.01)),""),""),"")</f>
        <v/>
      </c>
      <c r="W741" s="317" t="str" cm="1">
        <f t="array" aca="1" ref="W741" ca="1">IFERROR(_xlfn.IFS(OR(F741="",LEFT(Methode_Keuze,4)="Geen",Methode_Keuze=""),"",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17" t="str" cm="1">
        <f t="array" aca="1" ref="X741" ca="1">IFERROR(_xlfn.IFS(OR(F741="",LEFT(Methode_Keuze,4)="Geen",Methode_Keuze=""),"",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26"/>
      <c r="Z741" s="319"/>
      <c r="AA741" s="32" t="str" cm="1">
        <f t="array" ref="AA741">IFERROR(IF(INDEX(SubsidieTabel!$AD$1:$AG$12,MATCH($F741,SubsidieTabel!$AD$1:$AD$12,0),IFERROR(MATCH(Methode_Keuze,SubsidieTabel!$AD$1:$AG$1,0),2))&lt;&gt;1=TRUE,"ja",""),"")</f>
        <v/>
      </c>
    </row>
    <row r="742" spans="1:27" x14ac:dyDescent="0.25">
      <c r="A742" s="320"/>
      <c r="B742" s="321" t="str">
        <f>IF(A742&lt;&gt;"",_xlfn.MAXIFS($B$1:B741,$A$1:A741,A742)+1,"")</f>
        <v/>
      </c>
      <c r="C742" s="299"/>
      <c r="D742" s="299"/>
      <c r="E742" s="299"/>
      <c r="F742" s="299"/>
      <c r="G742" s="330"/>
      <c r="H742" s="328"/>
      <c r="I742" s="329"/>
      <c r="J742" s="329"/>
      <c r="K742" s="322"/>
      <c r="L742" s="322"/>
      <c r="M742" s="323" t="str">
        <f>IFERROR(VLOOKUP(H742,Lijsten!$H$1:$I$100,2,0),"")</f>
        <v/>
      </c>
      <c r="N742" s="323" t="str">
        <f ca="1">IFERROR(IF(VLOOKUP(F742,Kostentypen!$A$3:$E$21,3,0)=0,"",IF(OR(F742="Arbeidskosten",F742="Vergoeding"),VLOOKUP(G742,Tb_KostenTypen[],2,0),VLOOKUP(F742,Kostentypen!$A$3:$E$20,3,0))),"")</f>
        <v/>
      </c>
      <c r="O742" s="324"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4"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3"/>
      <c r="R742" s="363"/>
      <c r="S742" s="325"/>
      <c r="T742" s="325"/>
      <c r="U742" s="317" t="str" cm="1">
        <f t="array" aca="1" ref="U742" ca="1">IFERROR(IF(AA742&lt;&gt;"ja",_xlfn.IFNA(_xlfn.IFS(AND(O742&lt;&gt;"",F742&lt;&gt;"",RIGHT($N742,6)="tarief",F742="Vergoeding"),SUM(O742)*FLOOR(SUM(Q742),0.0001),AND(O742&lt;&gt;"",F742&lt;&gt;"",RIGHT($N742,6)="tarief"),SUM(O742)*FLOOR(SUM(Q742),0.01),S742&gt;0,IF(F742&lt;&gt;"",FLOOR(SUM(S742),0.01),"")),""),""),"")</f>
        <v/>
      </c>
      <c r="V742" s="317" t="str" cm="1">
        <f t="array" aca="1" ref="V742" ca="1">IFERROR(IF(AA742&lt;&gt;"ja",_xlfn.IFNA(_xlfn.IFS(AND(P742&lt;&gt;"",R742&lt;&gt;"",RIGHT($N742,6)="tarief",F742="Vergoeding"),SUM(P742)*FLOOR(SUM(R742),0.0001),AND(P742&lt;&gt;"",R742&lt;&gt;"",RIGHT($N742,6)="tarief"),P742*FLOOR(R742,0.01),T742&gt;0,FLOOR(SUM(T742),0.01)),""),""),"")</f>
        <v/>
      </c>
      <c r="W742" s="317" t="str" cm="1">
        <f t="array" aca="1" ref="W742" ca="1">IFERROR(_xlfn.IFS(OR(F742="",LEFT(Methode_Keuze,4)="Geen",Methode_Keuze=""),"",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17" t="str" cm="1">
        <f t="array" aca="1" ref="X742" ca="1">IFERROR(_xlfn.IFS(OR(F742="",LEFT(Methode_Keuze,4)="Geen",Methode_Keuze=""),"",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26"/>
      <c r="Z742" s="319"/>
      <c r="AA742" s="32" t="str" cm="1">
        <f t="array" ref="AA742">IFERROR(IF(INDEX(SubsidieTabel!$AD$1:$AG$12,MATCH($F742,SubsidieTabel!$AD$1:$AD$12,0),IFERROR(MATCH(Methode_Keuze,SubsidieTabel!$AD$1:$AG$1,0),2))&lt;&gt;1=TRUE,"ja",""),"")</f>
        <v/>
      </c>
    </row>
    <row r="743" spans="1:27" x14ac:dyDescent="0.25">
      <c r="A743" s="320"/>
      <c r="B743" s="321" t="str">
        <f>IF(A743&lt;&gt;"",_xlfn.MAXIFS($B$1:B742,$A$1:A742,A743)+1,"")</f>
        <v/>
      </c>
      <c r="C743" s="299"/>
      <c r="D743" s="299"/>
      <c r="E743" s="299"/>
      <c r="F743" s="299"/>
      <c r="G743" s="330"/>
      <c r="H743" s="328"/>
      <c r="I743" s="329"/>
      <c r="J743" s="329"/>
      <c r="K743" s="322"/>
      <c r="L743" s="322"/>
      <c r="M743" s="323" t="str">
        <f>IFERROR(VLOOKUP(H743,Lijsten!$H$1:$I$100,2,0),"")</f>
        <v/>
      </c>
      <c r="N743" s="323" t="str">
        <f ca="1">IFERROR(IF(VLOOKUP(F743,Kostentypen!$A$3:$E$21,3,0)=0,"",IF(OR(F743="Arbeidskosten",F743="Vergoeding"),VLOOKUP(G743,Tb_KostenTypen[],2,0),VLOOKUP(F743,Kostentypen!$A$3:$E$20,3,0))),"")</f>
        <v/>
      </c>
      <c r="O743" s="324"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4"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3"/>
      <c r="R743" s="363"/>
      <c r="S743" s="325"/>
      <c r="T743" s="325"/>
      <c r="U743" s="317" t="str" cm="1">
        <f t="array" aca="1" ref="U743" ca="1">IFERROR(IF(AA743&lt;&gt;"ja",_xlfn.IFNA(_xlfn.IFS(AND(O743&lt;&gt;"",F743&lt;&gt;"",RIGHT($N743,6)="tarief",F743="Vergoeding"),SUM(O743)*FLOOR(SUM(Q743),0.0001),AND(O743&lt;&gt;"",F743&lt;&gt;"",RIGHT($N743,6)="tarief"),SUM(O743)*FLOOR(SUM(Q743),0.01),S743&gt;0,IF(F743&lt;&gt;"",FLOOR(SUM(S743),0.01),"")),""),""),"")</f>
        <v/>
      </c>
      <c r="V743" s="317" t="str" cm="1">
        <f t="array" aca="1" ref="V743" ca="1">IFERROR(IF(AA743&lt;&gt;"ja",_xlfn.IFNA(_xlfn.IFS(AND(P743&lt;&gt;"",R743&lt;&gt;"",RIGHT($N743,6)="tarief",F743="Vergoeding"),SUM(P743)*FLOOR(SUM(R743),0.0001),AND(P743&lt;&gt;"",R743&lt;&gt;"",RIGHT($N743,6)="tarief"),P743*FLOOR(R743,0.01),T743&gt;0,FLOOR(SUM(T743),0.01)),""),""),"")</f>
        <v/>
      </c>
      <c r="W743" s="317" t="str" cm="1">
        <f t="array" aca="1" ref="W743" ca="1">IFERROR(_xlfn.IFS(OR(F743="",LEFT(Methode_Keuze,4)="Geen",Methode_Keuze=""),"",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17" t="str" cm="1">
        <f t="array" aca="1" ref="X743" ca="1">IFERROR(_xlfn.IFS(OR(F743="",LEFT(Methode_Keuze,4)="Geen",Methode_Keuze=""),"",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26"/>
      <c r="Z743" s="319"/>
      <c r="AA743" s="32" t="str" cm="1">
        <f t="array" ref="AA743">IFERROR(IF(INDEX(SubsidieTabel!$AD$1:$AG$12,MATCH($F743,SubsidieTabel!$AD$1:$AD$12,0),IFERROR(MATCH(Methode_Keuze,SubsidieTabel!$AD$1:$AG$1,0),2))&lt;&gt;1=TRUE,"ja",""),"")</f>
        <v/>
      </c>
    </row>
    <row r="744" spans="1:27" x14ac:dyDescent="0.25">
      <c r="A744" s="320"/>
      <c r="B744" s="321" t="str">
        <f>IF(A744&lt;&gt;"",_xlfn.MAXIFS($B$1:B743,$A$1:A743,A744)+1,"")</f>
        <v/>
      </c>
      <c r="C744" s="299"/>
      <c r="D744" s="299"/>
      <c r="E744" s="299"/>
      <c r="F744" s="299"/>
      <c r="G744" s="330"/>
      <c r="H744" s="328"/>
      <c r="I744" s="329"/>
      <c r="J744" s="329"/>
      <c r="K744" s="322"/>
      <c r="L744" s="322"/>
      <c r="M744" s="323" t="str">
        <f>IFERROR(VLOOKUP(H744,Lijsten!$H$1:$I$100,2,0),"")</f>
        <v/>
      </c>
      <c r="N744" s="323" t="str">
        <f ca="1">IFERROR(IF(VLOOKUP(F744,Kostentypen!$A$3:$E$21,3,0)=0,"",IF(OR(F744="Arbeidskosten",F744="Vergoeding"),VLOOKUP(G744,Tb_KostenTypen[],2,0),VLOOKUP(F744,Kostentypen!$A$3:$E$20,3,0))),"")</f>
        <v/>
      </c>
      <c r="O744" s="324"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4"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3"/>
      <c r="R744" s="363"/>
      <c r="S744" s="325"/>
      <c r="T744" s="325"/>
      <c r="U744" s="317" t="str" cm="1">
        <f t="array" aca="1" ref="U744" ca="1">IFERROR(IF(AA744&lt;&gt;"ja",_xlfn.IFNA(_xlfn.IFS(AND(O744&lt;&gt;"",F744&lt;&gt;"",RIGHT($N744,6)="tarief",F744="Vergoeding"),SUM(O744)*FLOOR(SUM(Q744),0.0001),AND(O744&lt;&gt;"",F744&lt;&gt;"",RIGHT($N744,6)="tarief"),SUM(O744)*FLOOR(SUM(Q744),0.01),S744&gt;0,IF(F744&lt;&gt;"",FLOOR(SUM(S744),0.01),"")),""),""),"")</f>
        <v/>
      </c>
      <c r="V744" s="317" t="str" cm="1">
        <f t="array" aca="1" ref="V744" ca="1">IFERROR(IF(AA744&lt;&gt;"ja",_xlfn.IFNA(_xlfn.IFS(AND(P744&lt;&gt;"",R744&lt;&gt;"",RIGHT($N744,6)="tarief",F744="Vergoeding"),SUM(P744)*FLOOR(SUM(R744),0.0001),AND(P744&lt;&gt;"",R744&lt;&gt;"",RIGHT($N744,6)="tarief"),P744*FLOOR(R744,0.01),T744&gt;0,FLOOR(SUM(T744),0.01)),""),""),"")</f>
        <v/>
      </c>
      <c r="W744" s="317" t="str" cm="1">
        <f t="array" aca="1" ref="W744" ca="1">IFERROR(_xlfn.IFS(OR(F744="",LEFT(Methode_Keuze,4)="Geen",Methode_Keuze=""),"",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17" t="str" cm="1">
        <f t="array" aca="1" ref="X744" ca="1">IFERROR(_xlfn.IFS(OR(F744="",LEFT(Methode_Keuze,4)="Geen",Methode_Keuze=""),"",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26"/>
      <c r="Z744" s="319"/>
      <c r="AA744" s="32" t="str" cm="1">
        <f t="array" ref="AA744">IFERROR(IF(INDEX(SubsidieTabel!$AD$1:$AG$12,MATCH($F744,SubsidieTabel!$AD$1:$AD$12,0),IFERROR(MATCH(Methode_Keuze,SubsidieTabel!$AD$1:$AG$1,0),2))&lt;&gt;1=TRUE,"ja",""),"")</f>
        <v/>
      </c>
    </row>
    <row r="745" spans="1:27" x14ac:dyDescent="0.25">
      <c r="A745" s="320"/>
      <c r="B745" s="321" t="str">
        <f>IF(A745&lt;&gt;"",_xlfn.MAXIFS($B$1:B744,$A$1:A744,A745)+1,"")</f>
        <v/>
      </c>
      <c r="C745" s="299"/>
      <c r="D745" s="299"/>
      <c r="E745" s="299"/>
      <c r="F745" s="299"/>
      <c r="G745" s="330"/>
      <c r="H745" s="328"/>
      <c r="I745" s="329"/>
      <c r="J745" s="329"/>
      <c r="K745" s="322"/>
      <c r="L745" s="322"/>
      <c r="M745" s="323" t="str">
        <f>IFERROR(VLOOKUP(H745,Lijsten!$H$1:$I$100,2,0),"")</f>
        <v/>
      </c>
      <c r="N745" s="323" t="str">
        <f ca="1">IFERROR(IF(VLOOKUP(F745,Kostentypen!$A$3:$E$21,3,0)=0,"",IF(OR(F745="Arbeidskosten",F745="Vergoeding"),VLOOKUP(G745,Tb_KostenTypen[],2,0),VLOOKUP(F745,Kostentypen!$A$3:$E$20,3,0))),"")</f>
        <v/>
      </c>
      <c r="O745" s="324"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4"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3"/>
      <c r="R745" s="363"/>
      <c r="S745" s="325"/>
      <c r="T745" s="325"/>
      <c r="U745" s="317" t="str" cm="1">
        <f t="array" aca="1" ref="U745" ca="1">IFERROR(IF(AA745&lt;&gt;"ja",_xlfn.IFNA(_xlfn.IFS(AND(O745&lt;&gt;"",F745&lt;&gt;"",RIGHT($N745,6)="tarief",F745="Vergoeding"),SUM(O745)*FLOOR(SUM(Q745),0.0001),AND(O745&lt;&gt;"",F745&lt;&gt;"",RIGHT($N745,6)="tarief"),SUM(O745)*FLOOR(SUM(Q745),0.01),S745&gt;0,IF(F745&lt;&gt;"",FLOOR(SUM(S745),0.01),"")),""),""),"")</f>
        <v/>
      </c>
      <c r="V745" s="317" t="str" cm="1">
        <f t="array" aca="1" ref="V745" ca="1">IFERROR(IF(AA745&lt;&gt;"ja",_xlfn.IFNA(_xlfn.IFS(AND(P745&lt;&gt;"",R745&lt;&gt;"",RIGHT($N745,6)="tarief",F745="Vergoeding"),SUM(P745)*FLOOR(SUM(R745),0.0001),AND(P745&lt;&gt;"",R745&lt;&gt;"",RIGHT($N745,6)="tarief"),P745*FLOOR(R745,0.01),T745&gt;0,FLOOR(SUM(T745),0.01)),""),""),"")</f>
        <v/>
      </c>
      <c r="W745" s="317" t="str" cm="1">
        <f t="array" aca="1" ref="W745" ca="1">IFERROR(_xlfn.IFS(OR(F745="",LEFT(Methode_Keuze,4)="Geen",Methode_Keuze=""),"",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17" t="str" cm="1">
        <f t="array" aca="1" ref="X745" ca="1">IFERROR(_xlfn.IFS(OR(F745="",LEFT(Methode_Keuze,4)="Geen",Methode_Keuze=""),"",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26"/>
      <c r="Z745" s="319"/>
      <c r="AA745" s="32" t="str" cm="1">
        <f t="array" ref="AA745">IFERROR(IF(INDEX(SubsidieTabel!$AD$1:$AG$12,MATCH($F745,SubsidieTabel!$AD$1:$AD$12,0),IFERROR(MATCH(Methode_Keuze,SubsidieTabel!$AD$1:$AG$1,0),2))&lt;&gt;1=TRUE,"ja",""),"")</f>
        <v/>
      </c>
    </row>
    <row r="746" spans="1:27" x14ac:dyDescent="0.25">
      <c r="A746" s="320"/>
      <c r="B746" s="321" t="str">
        <f>IF(A746&lt;&gt;"",_xlfn.MAXIFS($B$1:B745,$A$1:A745,A746)+1,"")</f>
        <v/>
      </c>
      <c r="C746" s="299"/>
      <c r="D746" s="299"/>
      <c r="E746" s="299"/>
      <c r="F746" s="299"/>
      <c r="G746" s="330"/>
      <c r="H746" s="328"/>
      <c r="I746" s="329"/>
      <c r="J746" s="329"/>
      <c r="K746" s="322"/>
      <c r="L746" s="322"/>
      <c r="M746" s="323" t="str">
        <f>IFERROR(VLOOKUP(H746,Lijsten!$H$1:$I$100,2,0),"")</f>
        <v/>
      </c>
      <c r="N746" s="323" t="str">
        <f ca="1">IFERROR(IF(VLOOKUP(F746,Kostentypen!$A$3:$E$21,3,0)=0,"",IF(OR(F746="Arbeidskosten",F746="Vergoeding"),VLOOKUP(G746,Tb_KostenTypen[],2,0),VLOOKUP(F746,Kostentypen!$A$3:$E$20,3,0))),"")</f>
        <v/>
      </c>
      <c r="O746" s="324"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4"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3"/>
      <c r="R746" s="363"/>
      <c r="S746" s="325"/>
      <c r="T746" s="325"/>
      <c r="U746" s="317" t="str" cm="1">
        <f t="array" aca="1" ref="U746" ca="1">IFERROR(IF(AA746&lt;&gt;"ja",_xlfn.IFNA(_xlfn.IFS(AND(O746&lt;&gt;"",F746&lt;&gt;"",RIGHT($N746,6)="tarief",F746="Vergoeding"),SUM(O746)*FLOOR(SUM(Q746),0.0001),AND(O746&lt;&gt;"",F746&lt;&gt;"",RIGHT($N746,6)="tarief"),SUM(O746)*FLOOR(SUM(Q746),0.01),S746&gt;0,IF(F746&lt;&gt;"",FLOOR(SUM(S746),0.01),"")),""),""),"")</f>
        <v/>
      </c>
      <c r="V746" s="317" t="str" cm="1">
        <f t="array" aca="1" ref="V746" ca="1">IFERROR(IF(AA746&lt;&gt;"ja",_xlfn.IFNA(_xlfn.IFS(AND(P746&lt;&gt;"",R746&lt;&gt;"",RIGHT($N746,6)="tarief",F746="Vergoeding"),SUM(P746)*FLOOR(SUM(R746),0.0001),AND(P746&lt;&gt;"",R746&lt;&gt;"",RIGHT($N746,6)="tarief"),P746*FLOOR(R746,0.01),T746&gt;0,FLOOR(SUM(T746),0.01)),""),""),"")</f>
        <v/>
      </c>
      <c r="W746" s="317" t="str" cm="1">
        <f t="array" aca="1" ref="W746" ca="1">IFERROR(_xlfn.IFS(OR(F746="",LEFT(Methode_Keuze,4)="Geen",Methode_Keuze=""),"",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17" t="str" cm="1">
        <f t="array" aca="1" ref="X746" ca="1">IFERROR(_xlfn.IFS(OR(F746="",LEFT(Methode_Keuze,4)="Geen",Methode_Keuze=""),"",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26"/>
      <c r="Z746" s="319"/>
      <c r="AA746" s="32" t="str" cm="1">
        <f t="array" ref="AA746">IFERROR(IF(INDEX(SubsidieTabel!$AD$1:$AG$12,MATCH($F746,SubsidieTabel!$AD$1:$AD$12,0),IFERROR(MATCH(Methode_Keuze,SubsidieTabel!$AD$1:$AG$1,0),2))&lt;&gt;1=TRUE,"ja",""),"")</f>
        <v/>
      </c>
    </row>
    <row r="747" spans="1:27" x14ac:dyDescent="0.25">
      <c r="A747" s="320"/>
      <c r="B747" s="321" t="str">
        <f>IF(A747&lt;&gt;"",_xlfn.MAXIFS($B$1:B746,$A$1:A746,A747)+1,"")</f>
        <v/>
      </c>
      <c r="C747" s="299"/>
      <c r="D747" s="299"/>
      <c r="E747" s="299"/>
      <c r="F747" s="299"/>
      <c r="G747" s="330"/>
      <c r="H747" s="328"/>
      <c r="I747" s="329"/>
      <c r="J747" s="329"/>
      <c r="K747" s="322"/>
      <c r="L747" s="322"/>
      <c r="M747" s="323" t="str">
        <f>IFERROR(VLOOKUP(H747,Lijsten!$H$1:$I$100,2,0),"")</f>
        <v/>
      </c>
      <c r="N747" s="323" t="str">
        <f ca="1">IFERROR(IF(VLOOKUP(F747,Kostentypen!$A$3:$E$21,3,0)=0,"",IF(OR(F747="Arbeidskosten",F747="Vergoeding"),VLOOKUP(G747,Tb_KostenTypen[],2,0),VLOOKUP(F747,Kostentypen!$A$3:$E$20,3,0))),"")</f>
        <v/>
      </c>
      <c r="O747" s="324"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4"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3"/>
      <c r="R747" s="363"/>
      <c r="S747" s="325"/>
      <c r="T747" s="325"/>
      <c r="U747" s="317" t="str" cm="1">
        <f t="array" aca="1" ref="U747" ca="1">IFERROR(IF(AA747&lt;&gt;"ja",_xlfn.IFNA(_xlfn.IFS(AND(O747&lt;&gt;"",F747&lt;&gt;"",RIGHT($N747,6)="tarief",F747="Vergoeding"),SUM(O747)*FLOOR(SUM(Q747),0.0001),AND(O747&lt;&gt;"",F747&lt;&gt;"",RIGHT($N747,6)="tarief"),SUM(O747)*FLOOR(SUM(Q747),0.01),S747&gt;0,IF(F747&lt;&gt;"",FLOOR(SUM(S747),0.01),"")),""),""),"")</f>
        <v/>
      </c>
      <c r="V747" s="317" t="str" cm="1">
        <f t="array" aca="1" ref="V747" ca="1">IFERROR(IF(AA747&lt;&gt;"ja",_xlfn.IFNA(_xlfn.IFS(AND(P747&lt;&gt;"",R747&lt;&gt;"",RIGHT($N747,6)="tarief",F747="Vergoeding"),SUM(P747)*FLOOR(SUM(R747),0.0001),AND(P747&lt;&gt;"",R747&lt;&gt;"",RIGHT($N747,6)="tarief"),P747*FLOOR(R747,0.01),T747&gt;0,FLOOR(SUM(T747),0.01)),""),""),"")</f>
        <v/>
      </c>
      <c r="W747" s="317" t="str" cm="1">
        <f t="array" aca="1" ref="W747" ca="1">IFERROR(_xlfn.IFS(OR(F747="",LEFT(Methode_Keuze,4)="Geen",Methode_Keuze=""),"",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17" t="str" cm="1">
        <f t="array" aca="1" ref="X747" ca="1">IFERROR(_xlfn.IFS(OR(F747="",LEFT(Methode_Keuze,4)="Geen",Methode_Keuze=""),"",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26"/>
      <c r="Z747" s="319"/>
      <c r="AA747" s="32" t="str" cm="1">
        <f t="array" ref="AA747">IFERROR(IF(INDEX(SubsidieTabel!$AD$1:$AG$12,MATCH($F747,SubsidieTabel!$AD$1:$AD$12,0),IFERROR(MATCH(Methode_Keuze,SubsidieTabel!$AD$1:$AG$1,0),2))&lt;&gt;1=TRUE,"ja",""),"")</f>
        <v/>
      </c>
    </row>
    <row r="748" spans="1:27" x14ac:dyDescent="0.25">
      <c r="A748" s="320"/>
      <c r="B748" s="321" t="str">
        <f>IF(A748&lt;&gt;"",_xlfn.MAXIFS($B$1:B747,$A$1:A747,A748)+1,"")</f>
        <v/>
      </c>
      <c r="C748" s="299"/>
      <c r="D748" s="299"/>
      <c r="E748" s="299"/>
      <c r="F748" s="299"/>
      <c r="G748" s="330"/>
      <c r="H748" s="328"/>
      <c r="I748" s="329"/>
      <c r="J748" s="329"/>
      <c r="K748" s="322"/>
      <c r="L748" s="322"/>
      <c r="M748" s="323" t="str">
        <f>IFERROR(VLOOKUP(H748,Lijsten!$H$1:$I$100,2,0),"")</f>
        <v/>
      </c>
      <c r="N748" s="323" t="str">
        <f ca="1">IFERROR(IF(VLOOKUP(F748,Kostentypen!$A$3:$E$21,3,0)=0,"",IF(OR(F748="Arbeidskosten",F748="Vergoeding"),VLOOKUP(G748,Tb_KostenTypen[],2,0),VLOOKUP(F748,Kostentypen!$A$3:$E$20,3,0))),"")</f>
        <v/>
      </c>
      <c r="O748" s="324"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4"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3"/>
      <c r="R748" s="363"/>
      <c r="S748" s="325"/>
      <c r="T748" s="325"/>
      <c r="U748" s="317" t="str" cm="1">
        <f t="array" aca="1" ref="U748" ca="1">IFERROR(IF(AA748&lt;&gt;"ja",_xlfn.IFNA(_xlfn.IFS(AND(O748&lt;&gt;"",F748&lt;&gt;"",RIGHT($N748,6)="tarief",F748="Vergoeding"),SUM(O748)*FLOOR(SUM(Q748),0.0001),AND(O748&lt;&gt;"",F748&lt;&gt;"",RIGHT($N748,6)="tarief"),SUM(O748)*FLOOR(SUM(Q748),0.01),S748&gt;0,IF(F748&lt;&gt;"",FLOOR(SUM(S748),0.01),"")),""),""),"")</f>
        <v/>
      </c>
      <c r="V748" s="317" t="str" cm="1">
        <f t="array" aca="1" ref="V748" ca="1">IFERROR(IF(AA748&lt;&gt;"ja",_xlfn.IFNA(_xlfn.IFS(AND(P748&lt;&gt;"",R748&lt;&gt;"",RIGHT($N748,6)="tarief",F748="Vergoeding"),SUM(P748)*FLOOR(SUM(R748),0.0001),AND(P748&lt;&gt;"",R748&lt;&gt;"",RIGHT($N748,6)="tarief"),P748*FLOOR(R748,0.01),T748&gt;0,FLOOR(SUM(T748),0.01)),""),""),"")</f>
        <v/>
      </c>
      <c r="W748" s="317" t="str" cm="1">
        <f t="array" aca="1" ref="W748" ca="1">IFERROR(_xlfn.IFS(OR(F748="",LEFT(Methode_Keuze,4)="Geen",Methode_Keuze=""),"",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17" t="str" cm="1">
        <f t="array" aca="1" ref="X748" ca="1">IFERROR(_xlfn.IFS(OR(F748="",LEFT(Methode_Keuze,4)="Geen",Methode_Keuze=""),"",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26"/>
      <c r="Z748" s="319"/>
      <c r="AA748" s="32" t="str" cm="1">
        <f t="array" ref="AA748">IFERROR(IF(INDEX(SubsidieTabel!$AD$1:$AG$12,MATCH($F748,SubsidieTabel!$AD$1:$AD$12,0),IFERROR(MATCH(Methode_Keuze,SubsidieTabel!$AD$1:$AG$1,0),2))&lt;&gt;1=TRUE,"ja",""),"")</f>
        <v/>
      </c>
    </row>
    <row r="749" spans="1:27" x14ac:dyDescent="0.25">
      <c r="A749" s="320"/>
      <c r="B749" s="321" t="str">
        <f>IF(A749&lt;&gt;"",_xlfn.MAXIFS($B$1:B748,$A$1:A748,A749)+1,"")</f>
        <v/>
      </c>
      <c r="C749" s="299"/>
      <c r="D749" s="299"/>
      <c r="E749" s="299"/>
      <c r="F749" s="299"/>
      <c r="G749" s="330"/>
      <c r="H749" s="328"/>
      <c r="I749" s="329"/>
      <c r="J749" s="329"/>
      <c r="K749" s="322"/>
      <c r="L749" s="322"/>
      <c r="M749" s="323" t="str">
        <f>IFERROR(VLOOKUP(H749,Lijsten!$H$1:$I$100,2,0),"")</f>
        <v/>
      </c>
      <c r="N749" s="323" t="str">
        <f ca="1">IFERROR(IF(VLOOKUP(F749,Kostentypen!$A$3:$E$21,3,0)=0,"",IF(OR(F749="Arbeidskosten",F749="Vergoeding"),VLOOKUP(G749,Tb_KostenTypen[],2,0),VLOOKUP(F749,Kostentypen!$A$3:$E$20,3,0))),"")</f>
        <v/>
      </c>
      <c r="O749" s="324"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4"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3"/>
      <c r="R749" s="363"/>
      <c r="S749" s="325"/>
      <c r="T749" s="325"/>
      <c r="U749" s="317" t="str" cm="1">
        <f t="array" aca="1" ref="U749" ca="1">IFERROR(IF(AA749&lt;&gt;"ja",_xlfn.IFNA(_xlfn.IFS(AND(O749&lt;&gt;"",F749&lt;&gt;"",RIGHT($N749,6)="tarief",F749="Vergoeding"),SUM(O749)*FLOOR(SUM(Q749),0.0001),AND(O749&lt;&gt;"",F749&lt;&gt;"",RIGHT($N749,6)="tarief"),SUM(O749)*FLOOR(SUM(Q749),0.01),S749&gt;0,IF(F749&lt;&gt;"",FLOOR(SUM(S749),0.01),"")),""),""),"")</f>
        <v/>
      </c>
      <c r="V749" s="317" t="str" cm="1">
        <f t="array" aca="1" ref="V749" ca="1">IFERROR(IF(AA749&lt;&gt;"ja",_xlfn.IFNA(_xlfn.IFS(AND(P749&lt;&gt;"",R749&lt;&gt;"",RIGHT($N749,6)="tarief",F749="Vergoeding"),SUM(P749)*FLOOR(SUM(R749),0.0001),AND(P749&lt;&gt;"",R749&lt;&gt;"",RIGHT($N749,6)="tarief"),P749*FLOOR(R749,0.01),T749&gt;0,FLOOR(SUM(T749),0.01)),""),""),"")</f>
        <v/>
      </c>
      <c r="W749" s="317" t="str" cm="1">
        <f t="array" aca="1" ref="W749" ca="1">IFERROR(_xlfn.IFS(OR(F749="",LEFT(Methode_Keuze,4)="Geen",Methode_Keuze=""),"",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17" t="str" cm="1">
        <f t="array" aca="1" ref="X749" ca="1">IFERROR(_xlfn.IFS(OR(F749="",LEFT(Methode_Keuze,4)="Geen",Methode_Keuze=""),"",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26"/>
      <c r="Z749" s="319"/>
      <c r="AA749" s="32" t="str" cm="1">
        <f t="array" ref="AA749">IFERROR(IF(INDEX(SubsidieTabel!$AD$1:$AG$12,MATCH($F749,SubsidieTabel!$AD$1:$AD$12,0),IFERROR(MATCH(Methode_Keuze,SubsidieTabel!$AD$1:$AG$1,0),2))&lt;&gt;1=TRUE,"ja",""),"")</f>
        <v/>
      </c>
    </row>
    <row r="750" spans="1:27" x14ac:dyDescent="0.25">
      <c r="A750" s="320"/>
      <c r="B750" s="321" t="str">
        <f>IF(A750&lt;&gt;"",_xlfn.MAXIFS($B$1:B749,$A$1:A749,A750)+1,"")</f>
        <v/>
      </c>
      <c r="C750" s="299"/>
      <c r="D750" s="299"/>
      <c r="E750" s="299"/>
      <c r="F750" s="299"/>
      <c r="G750" s="330"/>
      <c r="H750" s="328"/>
      <c r="I750" s="329"/>
      <c r="J750" s="329"/>
      <c r="K750" s="322"/>
      <c r="L750" s="322"/>
      <c r="M750" s="323" t="str">
        <f>IFERROR(VLOOKUP(H750,Lijsten!$H$1:$I$100,2,0),"")</f>
        <v/>
      </c>
      <c r="N750" s="323" t="str">
        <f ca="1">IFERROR(IF(VLOOKUP(F750,Kostentypen!$A$3:$E$21,3,0)=0,"",IF(OR(F750="Arbeidskosten",F750="Vergoeding"),VLOOKUP(G750,Tb_KostenTypen[],2,0),VLOOKUP(F750,Kostentypen!$A$3:$E$20,3,0))),"")</f>
        <v/>
      </c>
      <c r="O750" s="324"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4"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3"/>
      <c r="R750" s="363"/>
      <c r="S750" s="325"/>
      <c r="T750" s="325"/>
      <c r="U750" s="317" t="str" cm="1">
        <f t="array" aca="1" ref="U750" ca="1">IFERROR(IF(AA750&lt;&gt;"ja",_xlfn.IFNA(_xlfn.IFS(AND(O750&lt;&gt;"",F750&lt;&gt;"",RIGHT($N750,6)="tarief",F750="Vergoeding"),SUM(O750)*FLOOR(SUM(Q750),0.0001),AND(O750&lt;&gt;"",F750&lt;&gt;"",RIGHT($N750,6)="tarief"),SUM(O750)*FLOOR(SUM(Q750),0.01),S750&gt;0,IF(F750&lt;&gt;"",FLOOR(SUM(S750),0.01),"")),""),""),"")</f>
        <v/>
      </c>
      <c r="V750" s="317" t="str" cm="1">
        <f t="array" aca="1" ref="V750" ca="1">IFERROR(IF(AA750&lt;&gt;"ja",_xlfn.IFNA(_xlfn.IFS(AND(P750&lt;&gt;"",R750&lt;&gt;"",RIGHT($N750,6)="tarief",F750="Vergoeding"),SUM(P750)*FLOOR(SUM(R750),0.0001),AND(P750&lt;&gt;"",R750&lt;&gt;"",RIGHT($N750,6)="tarief"),P750*FLOOR(R750,0.01),T750&gt;0,FLOOR(SUM(T750),0.01)),""),""),"")</f>
        <v/>
      </c>
      <c r="W750" s="317" t="str" cm="1">
        <f t="array" aca="1" ref="W750" ca="1">IFERROR(_xlfn.IFS(OR(F750="",LEFT(Methode_Keuze,4)="Geen",Methode_Keuze=""),"",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17" t="str" cm="1">
        <f t="array" aca="1" ref="X750" ca="1">IFERROR(_xlfn.IFS(OR(F750="",LEFT(Methode_Keuze,4)="Geen",Methode_Keuze=""),"",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26"/>
      <c r="Z750" s="319"/>
      <c r="AA750" s="32" t="str" cm="1">
        <f t="array" ref="AA750">IFERROR(IF(INDEX(SubsidieTabel!$AD$1:$AG$12,MATCH($F750,SubsidieTabel!$AD$1:$AD$12,0),IFERROR(MATCH(Methode_Keuze,SubsidieTabel!$AD$1:$AG$1,0),2))&lt;&gt;1=TRUE,"ja",""),"")</f>
        <v/>
      </c>
    </row>
    <row r="751" spans="1:27" x14ac:dyDescent="0.25">
      <c r="A751" s="320"/>
      <c r="B751" s="321" t="str">
        <f>IF(A751&lt;&gt;"",_xlfn.MAXIFS($B$1:B750,$A$1:A750,A751)+1,"")</f>
        <v/>
      </c>
      <c r="C751" s="299"/>
      <c r="D751" s="299"/>
      <c r="E751" s="299"/>
      <c r="F751" s="299"/>
      <c r="G751" s="330"/>
      <c r="H751" s="328"/>
      <c r="I751" s="329"/>
      <c r="J751" s="329"/>
      <c r="K751" s="322"/>
      <c r="L751" s="322"/>
      <c r="M751" s="323" t="str">
        <f>IFERROR(VLOOKUP(H751,Lijsten!$H$1:$I$100,2,0),"")</f>
        <v/>
      </c>
      <c r="N751" s="323" t="str">
        <f ca="1">IFERROR(IF(VLOOKUP(F751,Kostentypen!$A$3:$E$21,3,0)=0,"",IF(OR(F751="Arbeidskosten",F751="Vergoeding"),VLOOKUP(G751,Tb_KostenTypen[],2,0),VLOOKUP(F751,Kostentypen!$A$3:$E$20,3,0))),"")</f>
        <v/>
      </c>
      <c r="O751" s="324"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4"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3"/>
      <c r="R751" s="363"/>
      <c r="S751" s="325"/>
      <c r="T751" s="325"/>
      <c r="U751" s="317" t="str" cm="1">
        <f t="array" aca="1" ref="U751" ca="1">IFERROR(IF(AA751&lt;&gt;"ja",_xlfn.IFNA(_xlfn.IFS(AND(O751&lt;&gt;"",F751&lt;&gt;"",RIGHT($N751,6)="tarief",F751="Vergoeding"),SUM(O751)*FLOOR(SUM(Q751),0.0001),AND(O751&lt;&gt;"",F751&lt;&gt;"",RIGHT($N751,6)="tarief"),SUM(O751)*FLOOR(SUM(Q751),0.01),S751&gt;0,IF(F751&lt;&gt;"",FLOOR(SUM(S751),0.01),"")),""),""),"")</f>
        <v/>
      </c>
      <c r="V751" s="317" t="str" cm="1">
        <f t="array" aca="1" ref="V751" ca="1">IFERROR(IF(AA751&lt;&gt;"ja",_xlfn.IFNA(_xlfn.IFS(AND(P751&lt;&gt;"",R751&lt;&gt;"",RIGHT($N751,6)="tarief",F751="Vergoeding"),SUM(P751)*FLOOR(SUM(R751),0.0001),AND(P751&lt;&gt;"",R751&lt;&gt;"",RIGHT($N751,6)="tarief"),P751*FLOOR(R751,0.01),T751&gt;0,FLOOR(SUM(T751),0.01)),""),""),"")</f>
        <v/>
      </c>
      <c r="W751" s="317" t="str" cm="1">
        <f t="array" aca="1" ref="W751" ca="1">IFERROR(_xlfn.IFS(OR(F751="",LEFT(Methode_Keuze,4)="Geen",Methode_Keuze=""),"",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17" t="str" cm="1">
        <f t="array" aca="1" ref="X751" ca="1">IFERROR(_xlfn.IFS(OR(F751="",LEFT(Methode_Keuze,4)="Geen",Methode_Keuze=""),"",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26"/>
      <c r="Z751" s="319"/>
      <c r="AA751" s="32" t="str" cm="1">
        <f t="array" ref="AA751">IFERROR(IF(INDEX(SubsidieTabel!$AD$1:$AG$12,MATCH($F751,SubsidieTabel!$AD$1:$AD$12,0),IFERROR(MATCH(Methode_Keuze,SubsidieTabel!$AD$1:$AG$1,0),2))&lt;&gt;1=TRUE,"ja",""),"")</f>
        <v/>
      </c>
    </row>
    <row r="752" spans="1:27" x14ac:dyDescent="0.25">
      <c r="A752" s="320"/>
      <c r="B752" s="321" t="str">
        <f>IF(A752&lt;&gt;"",_xlfn.MAXIFS($B$1:B751,$A$1:A751,A752)+1,"")</f>
        <v/>
      </c>
      <c r="C752" s="299"/>
      <c r="D752" s="299"/>
      <c r="E752" s="299"/>
      <c r="F752" s="299"/>
      <c r="G752" s="330"/>
      <c r="H752" s="328"/>
      <c r="I752" s="329"/>
      <c r="J752" s="329"/>
      <c r="K752" s="322"/>
      <c r="L752" s="322"/>
      <c r="M752" s="323" t="str">
        <f>IFERROR(VLOOKUP(H752,Lijsten!$H$1:$I$100,2,0),"")</f>
        <v/>
      </c>
      <c r="N752" s="323" t="str">
        <f ca="1">IFERROR(IF(VLOOKUP(F752,Kostentypen!$A$3:$E$21,3,0)=0,"",IF(OR(F752="Arbeidskosten",F752="Vergoeding"),VLOOKUP(G752,Tb_KostenTypen[],2,0),VLOOKUP(F752,Kostentypen!$A$3:$E$20,3,0))),"")</f>
        <v/>
      </c>
      <c r="O752" s="324"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4"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3"/>
      <c r="R752" s="363"/>
      <c r="S752" s="325"/>
      <c r="T752" s="325"/>
      <c r="U752" s="317" t="str" cm="1">
        <f t="array" aca="1" ref="U752" ca="1">IFERROR(IF(AA752&lt;&gt;"ja",_xlfn.IFNA(_xlfn.IFS(AND(O752&lt;&gt;"",F752&lt;&gt;"",RIGHT($N752,6)="tarief",F752="Vergoeding"),SUM(O752)*FLOOR(SUM(Q752),0.0001),AND(O752&lt;&gt;"",F752&lt;&gt;"",RIGHT($N752,6)="tarief"),SUM(O752)*FLOOR(SUM(Q752),0.01),S752&gt;0,IF(F752&lt;&gt;"",FLOOR(SUM(S752),0.01),"")),""),""),"")</f>
        <v/>
      </c>
      <c r="V752" s="317" t="str" cm="1">
        <f t="array" aca="1" ref="V752" ca="1">IFERROR(IF(AA752&lt;&gt;"ja",_xlfn.IFNA(_xlfn.IFS(AND(P752&lt;&gt;"",R752&lt;&gt;"",RIGHT($N752,6)="tarief",F752="Vergoeding"),SUM(P752)*FLOOR(SUM(R752),0.0001),AND(P752&lt;&gt;"",R752&lt;&gt;"",RIGHT($N752,6)="tarief"),P752*FLOOR(R752,0.01),T752&gt;0,FLOOR(SUM(T752),0.01)),""),""),"")</f>
        <v/>
      </c>
      <c r="W752" s="317" t="str" cm="1">
        <f t="array" aca="1" ref="W752" ca="1">IFERROR(_xlfn.IFS(OR(F752="",LEFT(Methode_Keuze,4)="Geen",Methode_Keuze=""),"",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17" t="str" cm="1">
        <f t="array" aca="1" ref="X752" ca="1">IFERROR(_xlfn.IFS(OR(F752="",LEFT(Methode_Keuze,4)="Geen",Methode_Keuze=""),"",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26"/>
      <c r="Z752" s="319"/>
      <c r="AA752" s="32" t="str" cm="1">
        <f t="array" ref="AA752">IFERROR(IF(INDEX(SubsidieTabel!$AD$1:$AG$12,MATCH($F752,SubsidieTabel!$AD$1:$AD$12,0),IFERROR(MATCH(Methode_Keuze,SubsidieTabel!$AD$1:$AG$1,0),2))&lt;&gt;1=TRUE,"ja",""),"")</f>
        <v/>
      </c>
    </row>
    <row r="753" spans="1:27" x14ac:dyDescent="0.25">
      <c r="A753" s="320"/>
      <c r="B753" s="321" t="str">
        <f>IF(A753&lt;&gt;"",_xlfn.MAXIFS($B$1:B752,$A$1:A752,A753)+1,"")</f>
        <v/>
      </c>
      <c r="C753" s="299"/>
      <c r="D753" s="299"/>
      <c r="E753" s="299"/>
      <c r="F753" s="299"/>
      <c r="G753" s="330"/>
      <c r="H753" s="328"/>
      <c r="I753" s="329"/>
      <c r="J753" s="329"/>
      <c r="K753" s="322"/>
      <c r="L753" s="322"/>
      <c r="M753" s="323" t="str">
        <f>IFERROR(VLOOKUP(H753,Lijsten!$H$1:$I$100,2,0),"")</f>
        <v/>
      </c>
      <c r="N753" s="323" t="str">
        <f ca="1">IFERROR(IF(VLOOKUP(F753,Kostentypen!$A$3:$E$21,3,0)=0,"",IF(OR(F753="Arbeidskosten",F753="Vergoeding"),VLOOKUP(G753,Tb_KostenTypen[],2,0),VLOOKUP(F753,Kostentypen!$A$3:$E$20,3,0))),"")</f>
        <v/>
      </c>
      <c r="O753" s="324"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4"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3"/>
      <c r="R753" s="363"/>
      <c r="S753" s="325"/>
      <c r="T753" s="325"/>
      <c r="U753" s="317" t="str" cm="1">
        <f t="array" aca="1" ref="U753" ca="1">IFERROR(IF(AA753&lt;&gt;"ja",_xlfn.IFNA(_xlfn.IFS(AND(O753&lt;&gt;"",F753&lt;&gt;"",RIGHT($N753,6)="tarief",F753="Vergoeding"),SUM(O753)*FLOOR(SUM(Q753),0.0001),AND(O753&lt;&gt;"",F753&lt;&gt;"",RIGHT($N753,6)="tarief"),SUM(O753)*FLOOR(SUM(Q753),0.01),S753&gt;0,IF(F753&lt;&gt;"",FLOOR(SUM(S753),0.01),"")),""),""),"")</f>
        <v/>
      </c>
      <c r="V753" s="317" t="str" cm="1">
        <f t="array" aca="1" ref="V753" ca="1">IFERROR(IF(AA753&lt;&gt;"ja",_xlfn.IFNA(_xlfn.IFS(AND(P753&lt;&gt;"",R753&lt;&gt;"",RIGHT($N753,6)="tarief",F753="Vergoeding"),SUM(P753)*FLOOR(SUM(R753),0.0001),AND(P753&lt;&gt;"",R753&lt;&gt;"",RIGHT($N753,6)="tarief"),P753*FLOOR(R753,0.01),T753&gt;0,FLOOR(SUM(T753),0.01)),""),""),"")</f>
        <v/>
      </c>
      <c r="W753" s="317" t="str" cm="1">
        <f t="array" aca="1" ref="W753" ca="1">IFERROR(_xlfn.IFS(OR(F753="",LEFT(Methode_Keuze,4)="Geen",Methode_Keuze=""),"",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17" t="str" cm="1">
        <f t="array" aca="1" ref="X753" ca="1">IFERROR(_xlfn.IFS(OR(F753="",LEFT(Methode_Keuze,4)="Geen",Methode_Keuze=""),"",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26"/>
      <c r="Z753" s="319"/>
      <c r="AA753" s="32" t="str" cm="1">
        <f t="array" ref="AA753">IFERROR(IF(INDEX(SubsidieTabel!$AD$1:$AG$12,MATCH($F753,SubsidieTabel!$AD$1:$AD$12,0),IFERROR(MATCH(Methode_Keuze,SubsidieTabel!$AD$1:$AG$1,0),2))&lt;&gt;1=TRUE,"ja",""),"")</f>
        <v/>
      </c>
    </row>
    <row r="754" spans="1:27" x14ac:dyDescent="0.25">
      <c r="A754" s="320"/>
      <c r="B754" s="321" t="str">
        <f>IF(A754&lt;&gt;"",_xlfn.MAXIFS($B$1:B753,$A$1:A753,A754)+1,"")</f>
        <v/>
      </c>
      <c r="C754" s="299"/>
      <c r="D754" s="299"/>
      <c r="E754" s="299"/>
      <c r="F754" s="299"/>
      <c r="G754" s="330"/>
      <c r="H754" s="328"/>
      <c r="I754" s="329"/>
      <c r="J754" s="329"/>
      <c r="K754" s="322"/>
      <c r="L754" s="322"/>
      <c r="M754" s="323" t="str">
        <f>IFERROR(VLOOKUP(H754,Lijsten!$H$1:$I$100,2,0),"")</f>
        <v/>
      </c>
      <c r="N754" s="323" t="str">
        <f ca="1">IFERROR(IF(VLOOKUP(F754,Kostentypen!$A$3:$E$21,3,0)=0,"",IF(OR(F754="Arbeidskosten",F754="Vergoeding"),VLOOKUP(G754,Tb_KostenTypen[],2,0),VLOOKUP(F754,Kostentypen!$A$3:$E$20,3,0))),"")</f>
        <v/>
      </c>
      <c r="O754" s="324"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4"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3"/>
      <c r="R754" s="363"/>
      <c r="S754" s="325"/>
      <c r="T754" s="325"/>
      <c r="U754" s="317" t="str" cm="1">
        <f t="array" aca="1" ref="U754" ca="1">IFERROR(IF(AA754&lt;&gt;"ja",_xlfn.IFNA(_xlfn.IFS(AND(O754&lt;&gt;"",F754&lt;&gt;"",RIGHT($N754,6)="tarief",F754="Vergoeding"),SUM(O754)*FLOOR(SUM(Q754),0.0001),AND(O754&lt;&gt;"",F754&lt;&gt;"",RIGHT($N754,6)="tarief"),SUM(O754)*FLOOR(SUM(Q754),0.01),S754&gt;0,IF(F754&lt;&gt;"",FLOOR(SUM(S754),0.01),"")),""),""),"")</f>
        <v/>
      </c>
      <c r="V754" s="317" t="str" cm="1">
        <f t="array" aca="1" ref="V754" ca="1">IFERROR(IF(AA754&lt;&gt;"ja",_xlfn.IFNA(_xlfn.IFS(AND(P754&lt;&gt;"",R754&lt;&gt;"",RIGHT($N754,6)="tarief",F754="Vergoeding"),SUM(P754)*FLOOR(SUM(R754),0.0001),AND(P754&lt;&gt;"",R754&lt;&gt;"",RIGHT($N754,6)="tarief"),P754*FLOOR(R754,0.01),T754&gt;0,FLOOR(SUM(T754),0.01)),""),""),"")</f>
        <v/>
      </c>
      <c r="W754" s="317" t="str" cm="1">
        <f t="array" aca="1" ref="W754" ca="1">IFERROR(_xlfn.IFS(OR(F754="",LEFT(Methode_Keuze,4)="Geen",Methode_Keuze=""),"",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17" t="str" cm="1">
        <f t="array" aca="1" ref="X754" ca="1">IFERROR(_xlfn.IFS(OR(F754="",LEFT(Methode_Keuze,4)="Geen",Methode_Keuze=""),"",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26"/>
      <c r="Z754" s="319"/>
      <c r="AA754" s="32" t="str" cm="1">
        <f t="array" ref="AA754">IFERROR(IF(INDEX(SubsidieTabel!$AD$1:$AG$12,MATCH($F754,SubsidieTabel!$AD$1:$AD$12,0),IFERROR(MATCH(Methode_Keuze,SubsidieTabel!$AD$1:$AG$1,0),2))&lt;&gt;1=TRUE,"ja",""),"")</f>
        <v/>
      </c>
    </row>
    <row r="755" spans="1:27" x14ac:dyDescent="0.25">
      <c r="A755" s="320"/>
      <c r="B755" s="321" t="str">
        <f>IF(A755&lt;&gt;"",_xlfn.MAXIFS($B$1:B754,$A$1:A754,A755)+1,"")</f>
        <v/>
      </c>
      <c r="C755" s="299"/>
      <c r="D755" s="299"/>
      <c r="E755" s="299"/>
      <c r="F755" s="299"/>
      <c r="G755" s="330"/>
      <c r="H755" s="328"/>
      <c r="I755" s="329"/>
      <c r="J755" s="329"/>
      <c r="K755" s="322"/>
      <c r="L755" s="322"/>
      <c r="M755" s="323" t="str">
        <f>IFERROR(VLOOKUP(H755,Lijsten!$H$1:$I$100,2,0),"")</f>
        <v/>
      </c>
      <c r="N755" s="323" t="str">
        <f ca="1">IFERROR(IF(VLOOKUP(F755,Kostentypen!$A$3:$E$21,3,0)=0,"",IF(OR(F755="Arbeidskosten",F755="Vergoeding"),VLOOKUP(G755,Tb_KostenTypen[],2,0),VLOOKUP(F755,Kostentypen!$A$3:$E$20,3,0))),"")</f>
        <v/>
      </c>
      <c r="O755" s="324"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4"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3"/>
      <c r="R755" s="363"/>
      <c r="S755" s="325"/>
      <c r="T755" s="325"/>
      <c r="U755" s="317" t="str" cm="1">
        <f t="array" aca="1" ref="U755" ca="1">IFERROR(IF(AA755&lt;&gt;"ja",_xlfn.IFNA(_xlfn.IFS(AND(O755&lt;&gt;"",F755&lt;&gt;"",RIGHT($N755,6)="tarief",F755="Vergoeding"),SUM(O755)*FLOOR(SUM(Q755),0.0001),AND(O755&lt;&gt;"",F755&lt;&gt;"",RIGHT($N755,6)="tarief"),SUM(O755)*FLOOR(SUM(Q755),0.01),S755&gt;0,IF(F755&lt;&gt;"",FLOOR(SUM(S755),0.01),"")),""),""),"")</f>
        <v/>
      </c>
      <c r="V755" s="317" t="str" cm="1">
        <f t="array" aca="1" ref="V755" ca="1">IFERROR(IF(AA755&lt;&gt;"ja",_xlfn.IFNA(_xlfn.IFS(AND(P755&lt;&gt;"",R755&lt;&gt;"",RIGHT($N755,6)="tarief",F755="Vergoeding"),SUM(P755)*FLOOR(SUM(R755),0.0001),AND(P755&lt;&gt;"",R755&lt;&gt;"",RIGHT($N755,6)="tarief"),P755*FLOOR(R755,0.01),T755&gt;0,FLOOR(SUM(T755),0.01)),""),""),"")</f>
        <v/>
      </c>
      <c r="W755" s="317" t="str" cm="1">
        <f t="array" aca="1" ref="W755" ca="1">IFERROR(_xlfn.IFS(OR(F755="",LEFT(Methode_Keuze,4)="Geen",Methode_Keuze=""),"",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17" t="str" cm="1">
        <f t="array" aca="1" ref="X755" ca="1">IFERROR(_xlfn.IFS(OR(F755="",LEFT(Methode_Keuze,4)="Geen",Methode_Keuze=""),"",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26"/>
      <c r="Z755" s="319"/>
      <c r="AA755" s="32" t="str" cm="1">
        <f t="array" ref="AA755">IFERROR(IF(INDEX(SubsidieTabel!$AD$1:$AG$12,MATCH($F755,SubsidieTabel!$AD$1:$AD$12,0),IFERROR(MATCH(Methode_Keuze,SubsidieTabel!$AD$1:$AG$1,0),2))&lt;&gt;1=TRUE,"ja",""),"")</f>
        <v/>
      </c>
    </row>
    <row r="756" spans="1:27" x14ac:dyDescent="0.25">
      <c r="A756" s="320"/>
      <c r="B756" s="321" t="str">
        <f>IF(A756&lt;&gt;"",_xlfn.MAXIFS($B$1:B755,$A$1:A755,A756)+1,"")</f>
        <v/>
      </c>
      <c r="C756" s="299"/>
      <c r="D756" s="299"/>
      <c r="E756" s="299"/>
      <c r="F756" s="299"/>
      <c r="G756" s="330"/>
      <c r="H756" s="328"/>
      <c r="I756" s="329"/>
      <c r="J756" s="329"/>
      <c r="K756" s="322"/>
      <c r="L756" s="322"/>
      <c r="M756" s="323" t="str">
        <f>IFERROR(VLOOKUP(H756,Lijsten!$H$1:$I$100,2,0),"")</f>
        <v/>
      </c>
      <c r="N756" s="323" t="str">
        <f ca="1">IFERROR(IF(VLOOKUP(F756,Kostentypen!$A$3:$E$21,3,0)=0,"",IF(OR(F756="Arbeidskosten",F756="Vergoeding"),VLOOKUP(G756,Tb_KostenTypen[],2,0),VLOOKUP(F756,Kostentypen!$A$3:$E$20,3,0))),"")</f>
        <v/>
      </c>
      <c r="O756" s="324"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4"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3"/>
      <c r="R756" s="363"/>
      <c r="S756" s="325"/>
      <c r="T756" s="325"/>
      <c r="U756" s="317" t="str" cm="1">
        <f t="array" aca="1" ref="U756" ca="1">IFERROR(IF(AA756&lt;&gt;"ja",_xlfn.IFNA(_xlfn.IFS(AND(O756&lt;&gt;"",F756&lt;&gt;"",RIGHT($N756,6)="tarief",F756="Vergoeding"),SUM(O756)*FLOOR(SUM(Q756),0.0001),AND(O756&lt;&gt;"",F756&lt;&gt;"",RIGHT($N756,6)="tarief"),SUM(O756)*FLOOR(SUM(Q756),0.01),S756&gt;0,IF(F756&lt;&gt;"",FLOOR(SUM(S756),0.01),"")),""),""),"")</f>
        <v/>
      </c>
      <c r="V756" s="317" t="str" cm="1">
        <f t="array" aca="1" ref="V756" ca="1">IFERROR(IF(AA756&lt;&gt;"ja",_xlfn.IFNA(_xlfn.IFS(AND(P756&lt;&gt;"",R756&lt;&gt;"",RIGHT($N756,6)="tarief",F756="Vergoeding"),SUM(P756)*FLOOR(SUM(R756),0.0001),AND(P756&lt;&gt;"",R756&lt;&gt;"",RIGHT($N756,6)="tarief"),P756*FLOOR(R756,0.01),T756&gt;0,FLOOR(SUM(T756),0.01)),""),""),"")</f>
        <v/>
      </c>
      <c r="W756" s="317" t="str" cm="1">
        <f t="array" aca="1" ref="W756" ca="1">IFERROR(_xlfn.IFS(OR(F756="",LEFT(Methode_Keuze,4)="Geen",Methode_Keuze=""),"",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17" t="str" cm="1">
        <f t="array" aca="1" ref="X756" ca="1">IFERROR(_xlfn.IFS(OR(F756="",LEFT(Methode_Keuze,4)="Geen",Methode_Keuze=""),"",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26"/>
      <c r="Z756" s="319"/>
      <c r="AA756" s="32" t="str" cm="1">
        <f t="array" ref="AA756">IFERROR(IF(INDEX(SubsidieTabel!$AD$1:$AG$12,MATCH($F756,SubsidieTabel!$AD$1:$AD$12,0),IFERROR(MATCH(Methode_Keuze,SubsidieTabel!$AD$1:$AG$1,0),2))&lt;&gt;1=TRUE,"ja",""),"")</f>
        <v/>
      </c>
    </row>
    <row r="757" spans="1:27" x14ac:dyDescent="0.25">
      <c r="A757" s="320"/>
      <c r="B757" s="321" t="str">
        <f>IF(A757&lt;&gt;"",_xlfn.MAXIFS($B$1:B756,$A$1:A756,A757)+1,"")</f>
        <v/>
      </c>
      <c r="C757" s="299"/>
      <c r="D757" s="299"/>
      <c r="E757" s="299"/>
      <c r="F757" s="299"/>
      <c r="G757" s="330"/>
      <c r="H757" s="328"/>
      <c r="I757" s="329"/>
      <c r="J757" s="329"/>
      <c r="K757" s="322"/>
      <c r="L757" s="322"/>
      <c r="M757" s="323" t="str">
        <f>IFERROR(VLOOKUP(H757,Lijsten!$H$1:$I$100,2,0),"")</f>
        <v/>
      </c>
      <c r="N757" s="323" t="str">
        <f ca="1">IFERROR(IF(VLOOKUP(F757,Kostentypen!$A$3:$E$21,3,0)=0,"",IF(OR(F757="Arbeidskosten",F757="Vergoeding"),VLOOKUP(G757,Tb_KostenTypen[],2,0),VLOOKUP(F757,Kostentypen!$A$3:$E$20,3,0))),"")</f>
        <v/>
      </c>
      <c r="O757" s="324"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4"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3"/>
      <c r="R757" s="363"/>
      <c r="S757" s="325"/>
      <c r="T757" s="325"/>
      <c r="U757" s="317" t="str" cm="1">
        <f t="array" aca="1" ref="U757" ca="1">IFERROR(IF(AA757&lt;&gt;"ja",_xlfn.IFNA(_xlfn.IFS(AND(O757&lt;&gt;"",F757&lt;&gt;"",RIGHT($N757,6)="tarief",F757="Vergoeding"),SUM(O757)*FLOOR(SUM(Q757),0.0001),AND(O757&lt;&gt;"",F757&lt;&gt;"",RIGHT($N757,6)="tarief"),SUM(O757)*FLOOR(SUM(Q757),0.01),S757&gt;0,IF(F757&lt;&gt;"",FLOOR(SUM(S757),0.01),"")),""),""),"")</f>
        <v/>
      </c>
      <c r="V757" s="317" t="str" cm="1">
        <f t="array" aca="1" ref="V757" ca="1">IFERROR(IF(AA757&lt;&gt;"ja",_xlfn.IFNA(_xlfn.IFS(AND(P757&lt;&gt;"",R757&lt;&gt;"",RIGHT($N757,6)="tarief",F757="Vergoeding"),SUM(P757)*FLOOR(SUM(R757),0.0001),AND(P757&lt;&gt;"",R757&lt;&gt;"",RIGHT($N757,6)="tarief"),P757*FLOOR(R757,0.01),T757&gt;0,FLOOR(SUM(T757),0.01)),""),""),"")</f>
        <v/>
      </c>
      <c r="W757" s="317" t="str" cm="1">
        <f t="array" aca="1" ref="W757" ca="1">IFERROR(_xlfn.IFS(OR(F757="",LEFT(Methode_Keuze,4)="Geen",Methode_Keuze=""),"",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17" t="str" cm="1">
        <f t="array" aca="1" ref="X757" ca="1">IFERROR(_xlfn.IFS(OR(F757="",LEFT(Methode_Keuze,4)="Geen",Methode_Keuze=""),"",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26"/>
      <c r="Z757" s="319"/>
      <c r="AA757" s="32" t="str" cm="1">
        <f t="array" ref="AA757">IFERROR(IF(INDEX(SubsidieTabel!$AD$1:$AG$12,MATCH($F757,SubsidieTabel!$AD$1:$AD$12,0),IFERROR(MATCH(Methode_Keuze,SubsidieTabel!$AD$1:$AG$1,0),2))&lt;&gt;1=TRUE,"ja",""),"")</f>
        <v/>
      </c>
    </row>
    <row r="758" spans="1:27" x14ac:dyDescent="0.25">
      <c r="A758" s="320"/>
      <c r="B758" s="321" t="str">
        <f>IF(A758&lt;&gt;"",_xlfn.MAXIFS($B$1:B757,$A$1:A757,A758)+1,"")</f>
        <v/>
      </c>
      <c r="C758" s="299"/>
      <c r="D758" s="299"/>
      <c r="E758" s="299"/>
      <c r="F758" s="299"/>
      <c r="G758" s="330"/>
      <c r="H758" s="328"/>
      <c r="I758" s="329"/>
      <c r="J758" s="329"/>
      <c r="K758" s="322"/>
      <c r="L758" s="322"/>
      <c r="M758" s="323" t="str">
        <f>IFERROR(VLOOKUP(H758,Lijsten!$H$1:$I$100,2,0),"")</f>
        <v/>
      </c>
      <c r="N758" s="323" t="str">
        <f ca="1">IFERROR(IF(VLOOKUP(F758,Kostentypen!$A$3:$E$21,3,0)=0,"",IF(OR(F758="Arbeidskosten",F758="Vergoeding"),VLOOKUP(G758,Tb_KostenTypen[],2,0),VLOOKUP(F758,Kostentypen!$A$3:$E$20,3,0))),"")</f>
        <v/>
      </c>
      <c r="O758" s="324"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4"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3"/>
      <c r="R758" s="363"/>
      <c r="S758" s="325"/>
      <c r="T758" s="325"/>
      <c r="U758" s="317" t="str" cm="1">
        <f t="array" aca="1" ref="U758" ca="1">IFERROR(IF(AA758&lt;&gt;"ja",_xlfn.IFNA(_xlfn.IFS(AND(O758&lt;&gt;"",F758&lt;&gt;"",RIGHT($N758,6)="tarief",F758="Vergoeding"),SUM(O758)*FLOOR(SUM(Q758),0.0001),AND(O758&lt;&gt;"",F758&lt;&gt;"",RIGHT($N758,6)="tarief"),SUM(O758)*FLOOR(SUM(Q758),0.01),S758&gt;0,IF(F758&lt;&gt;"",FLOOR(SUM(S758),0.01),"")),""),""),"")</f>
        <v/>
      </c>
      <c r="V758" s="317" t="str" cm="1">
        <f t="array" aca="1" ref="V758" ca="1">IFERROR(IF(AA758&lt;&gt;"ja",_xlfn.IFNA(_xlfn.IFS(AND(P758&lt;&gt;"",R758&lt;&gt;"",RIGHT($N758,6)="tarief",F758="Vergoeding"),SUM(P758)*FLOOR(SUM(R758),0.0001),AND(P758&lt;&gt;"",R758&lt;&gt;"",RIGHT($N758,6)="tarief"),P758*FLOOR(R758,0.01),T758&gt;0,FLOOR(SUM(T758),0.01)),""),""),"")</f>
        <v/>
      </c>
      <c r="W758" s="317" t="str" cm="1">
        <f t="array" aca="1" ref="W758" ca="1">IFERROR(_xlfn.IFS(OR(F758="",LEFT(Methode_Keuze,4)="Geen",Methode_Keuze=""),"",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17" t="str" cm="1">
        <f t="array" aca="1" ref="X758" ca="1">IFERROR(_xlfn.IFS(OR(F758="",LEFT(Methode_Keuze,4)="Geen",Methode_Keuze=""),"",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26"/>
      <c r="Z758" s="319"/>
      <c r="AA758" s="32" t="str" cm="1">
        <f t="array" ref="AA758">IFERROR(IF(INDEX(SubsidieTabel!$AD$1:$AG$12,MATCH($F758,SubsidieTabel!$AD$1:$AD$12,0),IFERROR(MATCH(Methode_Keuze,SubsidieTabel!$AD$1:$AG$1,0),2))&lt;&gt;1=TRUE,"ja",""),"")</f>
        <v/>
      </c>
    </row>
    <row r="759" spans="1:27" x14ac:dyDescent="0.25">
      <c r="A759" s="320"/>
      <c r="B759" s="321" t="str">
        <f>IF(A759&lt;&gt;"",_xlfn.MAXIFS($B$1:B758,$A$1:A758,A759)+1,"")</f>
        <v/>
      </c>
      <c r="C759" s="299"/>
      <c r="D759" s="299"/>
      <c r="E759" s="299"/>
      <c r="F759" s="299"/>
      <c r="G759" s="330"/>
      <c r="H759" s="328"/>
      <c r="I759" s="329"/>
      <c r="J759" s="329"/>
      <c r="K759" s="322"/>
      <c r="L759" s="322"/>
      <c r="M759" s="323" t="str">
        <f>IFERROR(VLOOKUP(H759,Lijsten!$H$1:$I$100,2,0),"")</f>
        <v/>
      </c>
      <c r="N759" s="323" t="str">
        <f ca="1">IFERROR(IF(VLOOKUP(F759,Kostentypen!$A$3:$E$21,3,0)=0,"",IF(OR(F759="Arbeidskosten",F759="Vergoeding"),VLOOKUP(G759,Tb_KostenTypen[],2,0),VLOOKUP(F759,Kostentypen!$A$3:$E$20,3,0))),"")</f>
        <v/>
      </c>
      <c r="O759" s="324"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4"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3"/>
      <c r="R759" s="363"/>
      <c r="S759" s="325"/>
      <c r="T759" s="325"/>
      <c r="U759" s="317" t="str" cm="1">
        <f t="array" aca="1" ref="U759" ca="1">IFERROR(IF(AA759&lt;&gt;"ja",_xlfn.IFNA(_xlfn.IFS(AND(O759&lt;&gt;"",F759&lt;&gt;"",RIGHT($N759,6)="tarief",F759="Vergoeding"),SUM(O759)*FLOOR(SUM(Q759),0.0001),AND(O759&lt;&gt;"",F759&lt;&gt;"",RIGHT($N759,6)="tarief"),SUM(O759)*FLOOR(SUM(Q759),0.01),S759&gt;0,IF(F759&lt;&gt;"",FLOOR(SUM(S759),0.01),"")),""),""),"")</f>
        <v/>
      </c>
      <c r="V759" s="317" t="str" cm="1">
        <f t="array" aca="1" ref="V759" ca="1">IFERROR(IF(AA759&lt;&gt;"ja",_xlfn.IFNA(_xlfn.IFS(AND(P759&lt;&gt;"",R759&lt;&gt;"",RIGHT($N759,6)="tarief",F759="Vergoeding"),SUM(P759)*FLOOR(SUM(R759),0.0001),AND(P759&lt;&gt;"",R759&lt;&gt;"",RIGHT($N759,6)="tarief"),P759*FLOOR(R759,0.01),T759&gt;0,FLOOR(SUM(T759),0.01)),""),""),"")</f>
        <v/>
      </c>
      <c r="W759" s="317" t="str" cm="1">
        <f t="array" aca="1" ref="W759" ca="1">IFERROR(_xlfn.IFS(OR(F759="",LEFT(Methode_Keuze,4)="Geen",Methode_Keuze=""),"",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17" t="str" cm="1">
        <f t="array" aca="1" ref="X759" ca="1">IFERROR(_xlfn.IFS(OR(F759="",LEFT(Methode_Keuze,4)="Geen",Methode_Keuze=""),"",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26"/>
      <c r="Z759" s="319"/>
      <c r="AA759" s="32" t="str" cm="1">
        <f t="array" ref="AA759">IFERROR(IF(INDEX(SubsidieTabel!$AD$1:$AG$12,MATCH($F759,SubsidieTabel!$AD$1:$AD$12,0),IFERROR(MATCH(Methode_Keuze,SubsidieTabel!$AD$1:$AG$1,0),2))&lt;&gt;1=TRUE,"ja",""),"")</f>
        <v/>
      </c>
    </row>
    <row r="760" spans="1:27" x14ac:dyDescent="0.25">
      <c r="A760" s="320"/>
      <c r="B760" s="321" t="str">
        <f>IF(A760&lt;&gt;"",_xlfn.MAXIFS($B$1:B759,$A$1:A759,A760)+1,"")</f>
        <v/>
      </c>
      <c r="C760" s="299"/>
      <c r="D760" s="299"/>
      <c r="E760" s="299"/>
      <c r="F760" s="299"/>
      <c r="G760" s="330"/>
      <c r="H760" s="328"/>
      <c r="I760" s="329"/>
      <c r="J760" s="329"/>
      <c r="K760" s="322"/>
      <c r="L760" s="322"/>
      <c r="M760" s="323" t="str">
        <f>IFERROR(VLOOKUP(H760,Lijsten!$H$1:$I$100,2,0),"")</f>
        <v/>
      </c>
      <c r="N760" s="323" t="str">
        <f ca="1">IFERROR(IF(VLOOKUP(F760,Kostentypen!$A$3:$E$21,3,0)=0,"",IF(OR(F760="Arbeidskosten",F760="Vergoeding"),VLOOKUP(G760,Tb_KostenTypen[],2,0),VLOOKUP(F760,Kostentypen!$A$3:$E$20,3,0))),"")</f>
        <v/>
      </c>
      <c r="O760" s="324"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4"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3"/>
      <c r="R760" s="363"/>
      <c r="S760" s="325"/>
      <c r="T760" s="325"/>
      <c r="U760" s="317" t="str" cm="1">
        <f t="array" aca="1" ref="U760" ca="1">IFERROR(IF(AA760&lt;&gt;"ja",_xlfn.IFNA(_xlfn.IFS(AND(O760&lt;&gt;"",F760&lt;&gt;"",RIGHT($N760,6)="tarief",F760="Vergoeding"),SUM(O760)*FLOOR(SUM(Q760),0.0001),AND(O760&lt;&gt;"",F760&lt;&gt;"",RIGHT($N760,6)="tarief"),SUM(O760)*FLOOR(SUM(Q760),0.01),S760&gt;0,IF(F760&lt;&gt;"",FLOOR(SUM(S760),0.01),"")),""),""),"")</f>
        <v/>
      </c>
      <c r="V760" s="317" t="str" cm="1">
        <f t="array" aca="1" ref="V760" ca="1">IFERROR(IF(AA760&lt;&gt;"ja",_xlfn.IFNA(_xlfn.IFS(AND(P760&lt;&gt;"",R760&lt;&gt;"",RIGHT($N760,6)="tarief",F760="Vergoeding"),SUM(P760)*FLOOR(SUM(R760),0.0001),AND(P760&lt;&gt;"",R760&lt;&gt;"",RIGHT($N760,6)="tarief"),P760*FLOOR(R760,0.01),T760&gt;0,FLOOR(SUM(T760),0.01)),""),""),"")</f>
        <v/>
      </c>
      <c r="W760" s="317" t="str" cm="1">
        <f t="array" aca="1" ref="W760" ca="1">IFERROR(_xlfn.IFS(OR(F760="",LEFT(Methode_Keuze,4)="Geen",Methode_Keuze=""),"",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17" t="str" cm="1">
        <f t="array" aca="1" ref="X760" ca="1">IFERROR(_xlfn.IFS(OR(F760="",LEFT(Methode_Keuze,4)="Geen",Methode_Keuze=""),"",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26"/>
      <c r="Z760" s="319"/>
      <c r="AA760" s="32" t="str" cm="1">
        <f t="array" ref="AA760">IFERROR(IF(INDEX(SubsidieTabel!$AD$1:$AG$12,MATCH($F760,SubsidieTabel!$AD$1:$AD$12,0),IFERROR(MATCH(Methode_Keuze,SubsidieTabel!$AD$1:$AG$1,0),2))&lt;&gt;1=TRUE,"ja",""),"")</f>
        <v/>
      </c>
    </row>
    <row r="761" spans="1:27" x14ac:dyDescent="0.25">
      <c r="A761" s="320"/>
      <c r="B761" s="321" t="str">
        <f>IF(A761&lt;&gt;"",_xlfn.MAXIFS($B$1:B760,$A$1:A760,A761)+1,"")</f>
        <v/>
      </c>
      <c r="C761" s="299"/>
      <c r="D761" s="299"/>
      <c r="E761" s="299"/>
      <c r="F761" s="299"/>
      <c r="G761" s="330"/>
      <c r="H761" s="328"/>
      <c r="I761" s="329"/>
      <c r="J761" s="329"/>
      <c r="K761" s="322"/>
      <c r="L761" s="322"/>
      <c r="M761" s="323" t="str">
        <f>IFERROR(VLOOKUP(H761,Lijsten!$H$1:$I$100,2,0),"")</f>
        <v/>
      </c>
      <c r="N761" s="323" t="str">
        <f ca="1">IFERROR(IF(VLOOKUP(F761,Kostentypen!$A$3:$E$21,3,0)=0,"",IF(OR(F761="Arbeidskosten",F761="Vergoeding"),VLOOKUP(G761,Tb_KostenTypen[],2,0),VLOOKUP(F761,Kostentypen!$A$3:$E$20,3,0))),"")</f>
        <v/>
      </c>
      <c r="O761" s="324"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4"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3"/>
      <c r="R761" s="363"/>
      <c r="S761" s="325"/>
      <c r="T761" s="325"/>
      <c r="U761" s="317" t="str" cm="1">
        <f t="array" aca="1" ref="U761" ca="1">IFERROR(IF(AA761&lt;&gt;"ja",_xlfn.IFNA(_xlfn.IFS(AND(O761&lt;&gt;"",F761&lt;&gt;"",RIGHT($N761,6)="tarief",F761="Vergoeding"),SUM(O761)*FLOOR(SUM(Q761),0.0001),AND(O761&lt;&gt;"",F761&lt;&gt;"",RIGHT($N761,6)="tarief"),SUM(O761)*FLOOR(SUM(Q761),0.01),S761&gt;0,IF(F761&lt;&gt;"",FLOOR(SUM(S761),0.01),"")),""),""),"")</f>
        <v/>
      </c>
      <c r="V761" s="317" t="str" cm="1">
        <f t="array" aca="1" ref="V761" ca="1">IFERROR(IF(AA761&lt;&gt;"ja",_xlfn.IFNA(_xlfn.IFS(AND(P761&lt;&gt;"",R761&lt;&gt;"",RIGHT($N761,6)="tarief",F761="Vergoeding"),SUM(P761)*FLOOR(SUM(R761),0.0001),AND(P761&lt;&gt;"",R761&lt;&gt;"",RIGHT($N761,6)="tarief"),P761*FLOOR(R761,0.01),T761&gt;0,FLOOR(SUM(T761),0.01)),""),""),"")</f>
        <v/>
      </c>
      <c r="W761" s="317" t="str" cm="1">
        <f t="array" aca="1" ref="W761" ca="1">IFERROR(_xlfn.IFS(OR(F761="",LEFT(Methode_Keuze,4)="Geen",Methode_Keuze=""),"",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17" t="str" cm="1">
        <f t="array" aca="1" ref="X761" ca="1">IFERROR(_xlfn.IFS(OR(F761="",LEFT(Methode_Keuze,4)="Geen",Methode_Keuze=""),"",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26"/>
      <c r="Z761" s="319"/>
      <c r="AA761" s="32" t="str" cm="1">
        <f t="array" ref="AA761">IFERROR(IF(INDEX(SubsidieTabel!$AD$1:$AG$12,MATCH($F761,SubsidieTabel!$AD$1:$AD$12,0),IFERROR(MATCH(Methode_Keuze,SubsidieTabel!$AD$1:$AG$1,0),2))&lt;&gt;1=TRUE,"ja",""),"")</f>
        <v/>
      </c>
    </row>
    <row r="762" spans="1:27" x14ac:dyDescent="0.25">
      <c r="A762" s="320"/>
      <c r="B762" s="321" t="str">
        <f>IF(A762&lt;&gt;"",_xlfn.MAXIFS($B$1:B761,$A$1:A761,A762)+1,"")</f>
        <v/>
      </c>
      <c r="C762" s="299"/>
      <c r="D762" s="299"/>
      <c r="E762" s="299"/>
      <c r="F762" s="299"/>
      <c r="G762" s="330"/>
      <c r="H762" s="328"/>
      <c r="I762" s="329"/>
      <c r="J762" s="329"/>
      <c r="K762" s="322"/>
      <c r="L762" s="322"/>
      <c r="M762" s="323" t="str">
        <f>IFERROR(VLOOKUP(H762,Lijsten!$H$1:$I$100,2,0),"")</f>
        <v/>
      </c>
      <c r="N762" s="323" t="str">
        <f ca="1">IFERROR(IF(VLOOKUP(F762,Kostentypen!$A$3:$E$21,3,0)=0,"",IF(OR(F762="Arbeidskosten",F762="Vergoeding"),VLOOKUP(G762,Tb_KostenTypen[],2,0),VLOOKUP(F762,Kostentypen!$A$3:$E$20,3,0))),"")</f>
        <v/>
      </c>
      <c r="O762" s="324"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4"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3"/>
      <c r="R762" s="363"/>
      <c r="S762" s="325"/>
      <c r="T762" s="325"/>
      <c r="U762" s="317" t="str" cm="1">
        <f t="array" aca="1" ref="U762" ca="1">IFERROR(IF(AA762&lt;&gt;"ja",_xlfn.IFNA(_xlfn.IFS(AND(O762&lt;&gt;"",F762&lt;&gt;"",RIGHT($N762,6)="tarief",F762="Vergoeding"),SUM(O762)*FLOOR(SUM(Q762),0.0001),AND(O762&lt;&gt;"",F762&lt;&gt;"",RIGHT($N762,6)="tarief"),SUM(O762)*FLOOR(SUM(Q762),0.01),S762&gt;0,IF(F762&lt;&gt;"",FLOOR(SUM(S762),0.01),"")),""),""),"")</f>
        <v/>
      </c>
      <c r="V762" s="317" t="str" cm="1">
        <f t="array" aca="1" ref="V762" ca="1">IFERROR(IF(AA762&lt;&gt;"ja",_xlfn.IFNA(_xlfn.IFS(AND(P762&lt;&gt;"",R762&lt;&gt;"",RIGHT($N762,6)="tarief",F762="Vergoeding"),SUM(P762)*FLOOR(SUM(R762),0.0001),AND(P762&lt;&gt;"",R762&lt;&gt;"",RIGHT($N762,6)="tarief"),P762*FLOOR(R762,0.01),T762&gt;0,FLOOR(SUM(T762),0.01)),""),""),"")</f>
        <v/>
      </c>
      <c r="W762" s="317" t="str" cm="1">
        <f t="array" aca="1" ref="W762" ca="1">IFERROR(_xlfn.IFS(OR(F762="",LEFT(Methode_Keuze,4)="Geen",Methode_Keuze=""),"",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17" t="str" cm="1">
        <f t="array" aca="1" ref="X762" ca="1">IFERROR(_xlfn.IFS(OR(F762="",LEFT(Methode_Keuze,4)="Geen",Methode_Keuze=""),"",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26"/>
      <c r="Z762" s="319"/>
      <c r="AA762" s="32" t="str" cm="1">
        <f t="array" ref="AA762">IFERROR(IF(INDEX(SubsidieTabel!$AD$1:$AG$12,MATCH($F762,SubsidieTabel!$AD$1:$AD$12,0),IFERROR(MATCH(Methode_Keuze,SubsidieTabel!$AD$1:$AG$1,0),2))&lt;&gt;1=TRUE,"ja",""),"")</f>
        <v/>
      </c>
    </row>
    <row r="763" spans="1:27" x14ac:dyDescent="0.25">
      <c r="A763" s="320"/>
      <c r="B763" s="321" t="str">
        <f>IF(A763&lt;&gt;"",_xlfn.MAXIFS($B$1:B762,$A$1:A762,A763)+1,"")</f>
        <v/>
      </c>
      <c r="C763" s="299"/>
      <c r="D763" s="299"/>
      <c r="E763" s="299"/>
      <c r="F763" s="299"/>
      <c r="G763" s="330"/>
      <c r="H763" s="328"/>
      <c r="I763" s="329"/>
      <c r="J763" s="329"/>
      <c r="K763" s="322"/>
      <c r="L763" s="322"/>
      <c r="M763" s="323" t="str">
        <f>IFERROR(VLOOKUP(H763,Lijsten!$H$1:$I$100,2,0),"")</f>
        <v/>
      </c>
      <c r="N763" s="323" t="str">
        <f ca="1">IFERROR(IF(VLOOKUP(F763,Kostentypen!$A$3:$E$21,3,0)=0,"",IF(OR(F763="Arbeidskosten",F763="Vergoeding"),VLOOKUP(G763,Tb_KostenTypen[],2,0),VLOOKUP(F763,Kostentypen!$A$3:$E$20,3,0))),"")</f>
        <v/>
      </c>
      <c r="O763" s="324"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4"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3"/>
      <c r="R763" s="363"/>
      <c r="S763" s="325"/>
      <c r="T763" s="325"/>
      <c r="U763" s="317" t="str" cm="1">
        <f t="array" aca="1" ref="U763" ca="1">IFERROR(IF(AA763&lt;&gt;"ja",_xlfn.IFNA(_xlfn.IFS(AND(O763&lt;&gt;"",F763&lt;&gt;"",RIGHT($N763,6)="tarief",F763="Vergoeding"),SUM(O763)*FLOOR(SUM(Q763),0.0001),AND(O763&lt;&gt;"",F763&lt;&gt;"",RIGHT($N763,6)="tarief"),SUM(O763)*FLOOR(SUM(Q763),0.01),S763&gt;0,IF(F763&lt;&gt;"",FLOOR(SUM(S763),0.01),"")),""),""),"")</f>
        <v/>
      </c>
      <c r="V763" s="317" t="str" cm="1">
        <f t="array" aca="1" ref="V763" ca="1">IFERROR(IF(AA763&lt;&gt;"ja",_xlfn.IFNA(_xlfn.IFS(AND(P763&lt;&gt;"",R763&lt;&gt;"",RIGHT($N763,6)="tarief",F763="Vergoeding"),SUM(P763)*FLOOR(SUM(R763),0.0001),AND(P763&lt;&gt;"",R763&lt;&gt;"",RIGHT($N763,6)="tarief"),P763*FLOOR(R763,0.01),T763&gt;0,FLOOR(SUM(T763),0.01)),""),""),"")</f>
        <v/>
      </c>
      <c r="W763" s="317" t="str" cm="1">
        <f t="array" aca="1" ref="W763" ca="1">IFERROR(_xlfn.IFS(OR(F763="",LEFT(Methode_Keuze,4)="Geen",Methode_Keuze=""),"",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17" t="str" cm="1">
        <f t="array" aca="1" ref="X763" ca="1">IFERROR(_xlfn.IFS(OR(F763="",LEFT(Methode_Keuze,4)="Geen",Methode_Keuze=""),"",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26"/>
      <c r="Z763" s="319"/>
      <c r="AA763" s="32" t="str" cm="1">
        <f t="array" ref="AA763">IFERROR(IF(INDEX(SubsidieTabel!$AD$1:$AG$12,MATCH($F763,SubsidieTabel!$AD$1:$AD$12,0),IFERROR(MATCH(Methode_Keuze,SubsidieTabel!$AD$1:$AG$1,0),2))&lt;&gt;1=TRUE,"ja",""),"")</f>
        <v/>
      </c>
    </row>
    <row r="764" spans="1:27" x14ac:dyDescent="0.25">
      <c r="A764" s="320"/>
      <c r="B764" s="321" t="str">
        <f>IF(A764&lt;&gt;"",_xlfn.MAXIFS($B$1:B763,$A$1:A763,A764)+1,"")</f>
        <v/>
      </c>
      <c r="C764" s="299"/>
      <c r="D764" s="299"/>
      <c r="E764" s="299"/>
      <c r="F764" s="299"/>
      <c r="G764" s="330"/>
      <c r="H764" s="328"/>
      <c r="I764" s="329"/>
      <c r="J764" s="329"/>
      <c r="K764" s="322"/>
      <c r="L764" s="322"/>
      <c r="M764" s="323" t="str">
        <f>IFERROR(VLOOKUP(H764,Lijsten!$H$1:$I$100,2,0),"")</f>
        <v/>
      </c>
      <c r="N764" s="323" t="str">
        <f ca="1">IFERROR(IF(VLOOKUP(F764,Kostentypen!$A$3:$E$21,3,0)=0,"",IF(OR(F764="Arbeidskosten",F764="Vergoeding"),VLOOKUP(G764,Tb_KostenTypen[],2,0),VLOOKUP(F764,Kostentypen!$A$3:$E$20,3,0))),"")</f>
        <v/>
      </c>
      <c r="O764" s="324"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4"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3"/>
      <c r="R764" s="363"/>
      <c r="S764" s="325"/>
      <c r="T764" s="325"/>
      <c r="U764" s="317" t="str" cm="1">
        <f t="array" aca="1" ref="U764" ca="1">IFERROR(IF(AA764&lt;&gt;"ja",_xlfn.IFNA(_xlfn.IFS(AND(O764&lt;&gt;"",F764&lt;&gt;"",RIGHT($N764,6)="tarief",F764="Vergoeding"),SUM(O764)*FLOOR(SUM(Q764),0.0001),AND(O764&lt;&gt;"",F764&lt;&gt;"",RIGHT($N764,6)="tarief"),SUM(O764)*FLOOR(SUM(Q764),0.01),S764&gt;0,IF(F764&lt;&gt;"",FLOOR(SUM(S764),0.01),"")),""),""),"")</f>
        <v/>
      </c>
      <c r="V764" s="317" t="str" cm="1">
        <f t="array" aca="1" ref="V764" ca="1">IFERROR(IF(AA764&lt;&gt;"ja",_xlfn.IFNA(_xlfn.IFS(AND(P764&lt;&gt;"",R764&lt;&gt;"",RIGHT($N764,6)="tarief",F764="Vergoeding"),SUM(P764)*FLOOR(SUM(R764),0.0001),AND(P764&lt;&gt;"",R764&lt;&gt;"",RIGHT($N764,6)="tarief"),P764*FLOOR(R764,0.01),T764&gt;0,FLOOR(SUM(T764),0.01)),""),""),"")</f>
        <v/>
      </c>
      <c r="W764" s="317" t="str" cm="1">
        <f t="array" aca="1" ref="W764" ca="1">IFERROR(_xlfn.IFS(OR(F764="",LEFT(Methode_Keuze,4)="Geen",Methode_Keuze=""),"",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17" t="str" cm="1">
        <f t="array" aca="1" ref="X764" ca="1">IFERROR(_xlfn.IFS(OR(F764="",LEFT(Methode_Keuze,4)="Geen",Methode_Keuze=""),"",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26"/>
      <c r="Z764" s="319"/>
      <c r="AA764" s="32" t="str" cm="1">
        <f t="array" ref="AA764">IFERROR(IF(INDEX(SubsidieTabel!$AD$1:$AG$12,MATCH($F764,SubsidieTabel!$AD$1:$AD$12,0),IFERROR(MATCH(Methode_Keuze,SubsidieTabel!$AD$1:$AG$1,0),2))&lt;&gt;1=TRUE,"ja",""),"")</f>
        <v/>
      </c>
    </row>
    <row r="765" spans="1:27" x14ac:dyDescent="0.25">
      <c r="A765" s="320"/>
      <c r="B765" s="321" t="str">
        <f>IF(A765&lt;&gt;"",_xlfn.MAXIFS($B$1:B764,$A$1:A764,A765)+1,"")</f>
        <v/>
      </c>
      <c r="C765" s="299"/>
      <c r="D765" s="299"/>
      <c r="E765" s="299"/>
      <c r="F765" s="299"/>
      <c r="G765" s="330"/>
      <c r="H765" s="328"/>
      <c r="I765" s="329"/>
      <c r="J765" s="329"/>
      <c r="K765" s="322"/>
      <c r="L765" s="322"/>
      <c r="M765" s="323" t="str">
        <f>IFERROR(VLOOKUP(H765,Lijsten!$H$1:$I$100,2,0),"")</f>
        <v/>
      </c>
      <c r="N765" s="323" t="str">
        <f ca="1">IFERROR(IF(VLOOKUP(F765,Kostentypen!$A$3:$E$21,3,0)=0,"",IF(OR(F765="Arbeidskosten",F765="Vergoeding"),VLOOKUP(G765,Tb_KostenTypen[],2,0),VLOOKUP(F765,Kostentypen!$A$3:$E$20,3,0))),"")</f>
        <v/>
      </c>
      <c r="O765" s="324"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4"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3"/>
      <c r="R765" s="363"/>
      <c r="S765" s="325"/>
      <c r="T765" s="325"/>
      <c r="U765" s="317" t="str" cm="1">
        <f t="array" aca="1" ref="U765" ca="1">IFERROR(IF(AA765&lt;&gt;"ja",_xlfn.IFNA(_xlfn.IFS(AND(O765&lt;&gt;"",F765&lt;&gt;"",RIGHT($N765,6)="tarief",F765="Vergoeding"),SUM(O765)*FLOOR(SUM(Q765),0.0001),AND(O765&lt;&gt;"",F765&lt;&gt;"",RIGHT($N765,6)="tarief"),SUM(O765)*FLOOR(SUM(Q765),0.01),S765&gt;0,IF(F765&lt;&gt;"",FLOOR(SUM(S765),0.01),"")),""),""),"")</f>
        <v/>
      </c>
      <c r="V765" s="317" t="str" cm="1">
        <f t="array" aca="1" ref="V765" ca="1">IFERROR(IF(AA765&lt;&gt;"ja",_xlfn.IFNA(_xlfn.IFS(AND(P765&lt;&gt;"",R765&lt;&gt;"",RIGHT($N765,6)="tarief",F765="Vergoeding"),SUM(P765)*FLOOR(SUM(R765),0.0001),AND(P765&lt;&gt;"",R765&lt;&gt;"",RIGHT($N765,6)="tarief"),P765*FLOOR(R765,0.01),T765&gt;0,FLOOR(SUM(T765),0.01)),""),""),"")</f>
        <v/>
      </c>
      <c r="W765" s="317" t="str" cm="1">
        <f t="array" aca="1" ref="W765" ca="1">IFERROR(_xlfn.IFS(OR(F765="",LEFT(Methode_Keuze,4)="Geen",Methode_Keuze=""),"",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17" t="str" cm="1">
        <f t="array" aca="1" ref="X765" ca="1">IFERROR(_xlfn.IFS(OR(F765="",LEFT(Methode_Keuze,4)="Geen",Methode_Keuze=""),"",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26"/>
      <c r="Z765" s="319"/>
      <c r="AA765" s="32" t="str" cm="1">
        <f t="array" ref="AA765">IFERROR(IF(INDEX(SubsidieTabel!$AD$1:$AG$12,MATCH($F765,SubsidieTabel!$AD$1:$AD$12,0),IFERROR(MATCH(Methode_Keuze,SubsidieTabel!$AD$1:$AG$1,0),2))&lt;&gt;1=TRUE,"ja",""),"")</f>
        <v/>
      </c>
    </row>
    <row r="766" spans="1:27" x14ac:dyDescent="0.25">
      <c r="A766" s="320"/>
      <c r="B766" s="321" t="str">
        <f>IF(A766&lt;&gt;"",_xlfn.MAXIFS($B$1:B765,$A$1:A765,A766)+1,"")</f>
        <v/>
      </c>
      <c r="C766" s="299"/>
      <c r="D766" s="299"/>
      <c r="E766" s="299"/>
      <c r="F766" s="299"/>
      <c r="G766" s="330"/>
      <c r="H766" s="328"/>
      <c r="I766" s="329"/>
      <c r="J766" s="329"/>
      <c r="K766" s="322"/>
      <c r="L766" s="322"/>
      <c r="M766" s="323" t="str">
        <f>IFERROR(VLOOKUP(H766,Lijsten!$H$1:$I$100,2,0),"")</f>
        <v/>
      </c>
      <c r="N766" s="323" t="str">
        <f ca="1">IFERROR(IF(VLOOKUP(F766,Kostentypen!$A$3:$E$21,3,0)=0,"",IF(OR(F766="Arbeidskosten",F766="Vergoeding"),VLOOKUP(G766,Tb_KostenTypen[],2,0),VLOOKUP(F766,Kostentypen!$A$3:$E$20,3,0))),"")</f>
        <v/>
      </c>
      <c r="O766" s="324"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4"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3"/>
      <c r="R766" s="363"/>
      <c r="S766" s="325"/>
      <c r="T766" s="325"/>
      <c r="U766" s="317" t="str" cm="1">
        <f t="array" aca="1" ref="U766" ca="1">IFERROR(IF(AA766&lt;&gt;"ja",_xlfn.IFNA(_xlfn.IFS(AND(O766&lt;&gt;"",F766&lt;&gt;"",RIGHT($N766,6)="tarief",F766="Vergoeding"),SUM(O766)*FLOOR(SUM(Q766),0.0001),AND(O766&lt;&gt;"",F766&lt;&gt;"",RIGHT($N766,6)="tarief"),SUM(O766)*FLOOR(SUM(Q766),0.01),S766&gt;0,IF(F766&lt;&gt;"",FLOOR(SUM(S766),0.01),"")),""),""),"")</f>
        <v/>
      </c>
      <c r="V766" s="317" t="str" cm="1">
        <f t="array" aca="1" ref="V766" ca="1">IFERROR(IF(AA766&lt;&gt;"ja",_xlfn.IFNA(_xlfn.IFS(AND(P766&lt;&gt;"",R766&lt;&gt;"",RIGHT($N766,6)="tarief",F766="Vergoeding"),SUM(P766)*FLOOR(SUM(R766),0.0001),AND(P766&lt;&gt;"",R766&lt;&gt;"",RIGHT($N766,6)="tarief"),P766*FLOOR(R766,0.01),T766&gt;0,FLOOR(SUM(T766),0.01)),""),""),"")</f>
        <v/>
      </c>
      <c r="W766" s="317" t="str" cm="1">
        <f t="array" aca="1" ref="W766" ca="1">IFERROR(_xlfn.IFS(OR(F766="",LEFT(Methode_Keuze,4)="Geen",Methode_Keuze=""),"",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17" t="str" cm="1">
        <f t="array" aca="1" ref="X766" ca="1">IFERROR(_xlfn.IFS(OR(F766="",LEFT(Methode_Keuze,4)="Geen",Methode_Keuze=""),"",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26"/>
      <c r="Z766" s="319"/>
      <c r="AA766" s="32" t="str" cm="1">
        <f t="array" ref="AA766">IFERROR(IF(INDEX(SubsidieTabel!$AD$1:$AG$12,MATCH($F766,SubsidieTabel!$AD$1:$AD$12,0),IFERROR(MATCH(Methode_Keuze,SubsidieTabel!$AD$1:$AG$1,0),2))&lt;&gt;1=TRUE,"ja",""),"")</f>
        <v/>
      </c>
    </row>
    <row r="767" spans="1:27" x14ac:dyDescent="0.25">
      <c r="A767" s="320"/>
      <c r="B767" s="321" t="str">
        <f>IF(A767&lt;&gt;"",_xlfn.MAXIFS($B$1:B766,$A$1:A766,A767)+1,"")</f>
        <v/>
      </c>
      <c r="C767" s="299"/>
      <c r="D767" s="299"/>
      <c r="E767" s="299"/>
      <c r="F767" s="299"/>
      <c r="G767" s="330"/>
      <c r="H767" s="328"/>
      <c r="I767" s="329"/>
      <c r="J767" s="329"/>
      <c r="K767" s="322"/>
      <c r="L767" s="322"/>
      <c r="M767" s="323" t="str">
        <f>IFERROR(VLOOKUP(H767,Lijsten!$H$1:$I$100,2,0),"")</f>
        <v/>
      </c>
      <c r="N767" s="323" t="str">
        <f ca="1">IFERROR(IF(VLOOKUP(F767,Kostentypen!$A$3:$E$21,3,0)=0,"",IF(OR(F767="Arbeidskosten",F767="Vergoeding"),VLOOKUP(G767,Tb_KostenTypen[],2,0),VLOOKUP(F767,Kostentypen!$A$3:$E$20,3,0))),"")</f>
        <v/>
      </c>
      <c r="O767" s="324"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4"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3"/>
      <c r="R767" s="363"/>
      <c r="S767" s="325"/>
      <c r="T767" s="325"/>
      <c r="U767" s="317" t="str" cm="1">
        <f t="array" aca="1" ref="U767" ca="1">IFERROR(IF(AA767&lt;&gt;"ja",_xlfn.IFNA(_xlfn.IFS(AND(O767&lt;&gt;"",F767&lt;&gt;"",RIGHT($N767,6)="tarief",F767="Vergoeding"),SUM(O767)*FLOOR(SUM(Q767),0.0001),AND(O767&lt;&gt;"",F767&lt;&gt;"",RIGHT($N767,6)="tarief"),SUM(O767)*FLOOR(SUM(Q767),0.01),S767&gt;0,IF(F767&lt;&gt;"",FLOOR(SUM(S767),0.01),"")),""),""),"")</f>
        <v/>
      </c>
      <c r="V767" s="317" t="str" cm="1">
        <f t="array" aca="1" ref="V767" ca="1">IFERROR(IF(AA767&lt;&gt;"ja",_xlfn.IFNA(_xlfn.IFS(AND(P767&lt;&gt;"",R767&lt;&gt;"",RIGHT($N767,6)="tarief",F767="Vergoeding"),SUM(P767)*FLOOR(SUM(R767),0.0001),AND(P767&lt;&gt;"",R767&lt;&gt;"",RIGHT($N767,6)="tarief"),P767*FLOOR(R767,0.01),T767&gt;0,FLOOR(SUM(T767),0.01)),""),""),"")</f>
        <v/>
      </c>
      <c r="W767" s="317" t="str" cm="1">
        <f t="array" aca="1" ref="W767" ca="1">IFERROR(_xlfn.IFS(OR(F767="",LEFT(Methode_Keuze,4)="Geen",Methode_Keuze=""),"",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17" t="str" cm="1">
        <f t="array" aca="1" ref="X767" ca="1">IFERROR(_xlfn.IFS(OR(F767="",LEFT(Methode_Keuze,4)="Geen",Methode_Keuze=""),"",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26"/>
      <c r="Z767" s="319"/>
      <c r="AA767" s="32" t="str" cm="1">
        <f t="array" ref="AA767">IFERROR(IF(INDEX(SubsidieTabel!$AD$1:$AG$12,MATCH($F767,SubsidieTabel!$AD$1:$AD$12,0),IFERROR(MATCH(Methode_Keuze,SubsidieTabel!$AD$1:$AG$1,0),2))&lt;&gt;1=TRUE,"ja",""),"")</f>
        <v/>
      </c>
    </row>
    <row r="768" spans="1:27" x14ac:dyDescent="0.25">
      <c r="A768" s="320"/>
      <c r="B768" s="321" t="str">
        <f>IF(A768&lt;&gt;"",_xlfn.MAXIFS($B$1:B767,$A$1:A767,A768)+1,"")</f>
        <v/>
      </c>
      <c r="C768" s="299"/>
      <c r="D768" s="299"/>
      <c r="E768" s="299"/>
      <c r="F768" s="299"/>
      <c r="G768" s="330"/>
      <c r="H768" s="328"/>
      <c r="I768" s="329"/>
      <c r="J768" s="329"/>
      <c r="K768" s="322"/>
      <c r="L768" s="322"/>
      <c r="M768" s="323" t="str">
        <f>IFERROR(VLOOKUP(H768,Lijsten!$H$1:$I$100,2,0),"")</f>
        <v/>
      </c>
      <c r="N768" s="323" t="str">
        <f ca="1">IFERROR(IF(VLOOKUP(F768,Kostentypen!$A$3:$E$21,3,0)=0,"",IF(OR(F768="Arbeidskosten",F768="Vergoeding"),VLOOKUP(G768,Tb_KostenTypen[],2,0),VLOOKUP(F768,Kostentypen!$A$3:$E$20,3,0))),"")</f>
        <v/>
      </c>
      <c r="O768" s="324"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4"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3"/>
      <c r="R768" s="363"/>
      <c r="S768" s="325"/>
      <c r="T768" s="325"/>
      <c r="U768" s="317" t="str" cm="1">
        <f t="array" aca="1" ref="U768" ca="1">IFERROR(IF(AA768&lt;&gt;"ja",_xlfn.IFNA(_xlfn.IFS(AND(O768&lt;&gt;"",F768&lt;&gt;"",RIGHT($N768,6)="tarief",F768="Vergoeding"),SUM(O768)*FLOOR(SUM(Q768),0.0001),AND(O768&lt;&gt;"",F768&lt;&gt;"",RIGHT($N768,6)="tarief"),SUM(O768)*FLOOR(SUM(Q768),0.01),S768&gt;0,IF(F768&lt;&gt;"",FLOOR(SUM(S768),0.01),"")),""),""),"")</f>
        <v/>
      </c>
      <c r="V768" s="317" t="str" cm="1">
        <f t="array" aca="1" ref="V768" ca="1">IFERROR(IF(AA768&lt;&gt;"ja",_xlfn.IFNA(_xlfn.IFS(AND(P768&lt;&gt;"",R768&lt;&gt;"",RIGHT($N768,6)="tarief",F768="Vergoeding"),SUM(P768)*FLOOR(SUM(R768),0.0001),AND(P768&lt;&gt;"",R768&lt;&gt;"",RIGHT($N768,6)="tarief"),P768*FLOOR(R768,0.01),T768&gt;0,FLOOR(SUM(T768),0.01)),""),""),"")</f>
        <v/>
      </c>
      <c r="W768" s="317" t="str" cm="1">
        <f t="array" aca="1" ref="W768" ca="1">IFERROR(_xlfn.IFS(OR(F768="",LEFT(Methode_Keuze,4)="Geen",Methode_Keuze=""),"",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17" t="str" cm="1">
        <f t="array" aca="1" ref="X768" ca="1">IFERROR(_xlfn.IFS(OR(F768="",LEFT(Methode_Keuze,4)="Geen",Methode_Keuze=""),"",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26"/>
      <c r="Z768" s="319"/>
      <c r="AA768" s="32" t="str" cm="1">
        <f t="array" ref="AA768">IFERROR(IF(INDEX(SubsidieTabel!$AD$1:$AG$12,MATCH($F768,SubsidieTabel!$AD$1:$AD$12,0),IFERROR(MATCH(Methode_Keuze,SubsidieTabel!$AD$1:$AG$1,0),2))&lt;&gt;1=TRUE,"ja",""),"")</f>
        <v/>
      </c>
    </row>
    <row r="769" spans="1:27" x14ac:dyDescent="0.25">
      <c r="A769" s="320"/>
      <c r="B769" s="321" t="str">
        <f>IF(A769&lt;&gt;"",_xlfn.MAXIFS($B$1:B768,$A$1:A768,A769)+1,"")</f>
        <v/>
      </c>
      <c r="C769" s="299"/>
      <c r="D769" s="299"/>
      <c r="E769" s="299"/>
      <c r="F769" s="299"/>
      <c r="G769" s="330"/>
      <c r="H769" s="328"/>
      <c r="I769" s="329"/>
      <c r="J769" s="329"/>
      <c r="K769" s="322"/>
      <c r="L769" s="322"/>
      <c r="M769" s="323" t="str">
        <f>IFERROR(VLOOKUP(H769,Lijsten!$H$1:$I$100,2,0),"")</f>
        <v/>
      </c>
      <c r="N769" s="323" t="str">
        <f ca="1">IFERROR(IF(VLOOKUP(F769,Kostentypen!$A$3:$E$21,3,0)=0,"",IF(OR(F769="Arbeidskosten",F769="Vergoeding"),VLOOKUP(G769,Tb_KostenTypen[],2,0),VLOOKUP(F769,Kostentypen!$A$3:$E$20,3,0))),"")</f>
        <v/>
      </c>
      <c r="O769" s="324"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4"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3"/>
      <c r="R769" s="363"/>
      <c r="S769" s="325"/>
      <c r="T769" s="325"/>
      <c r="U769" s="317" t="str" cm="1">
        <f t="array" aca="1" ref="U769" ca="1">IFERROR(IF(AA769&lt;&gt;"ja",_xlfn.IFNA(_xlfn.IFS(AND(O769&lt;&gt;"",F769&lt;&gt;"",RIGHT($N769,6)="tarief",F769="Vergoeding"),SUM(O769)*FLOOR(SUM(Q769),0.0001),AND(O769&lt;&gt;"",F769&lt;&gt;"",RIGHT($N769,6)="tarief"),SUM(O769)*FLOOR(SUM(Q769),0.01),S769&gt;0,IF(F769&lt;&gt;"",FLOOR(SUM(S769),0.01),"")),""),""),"")</f>
        <v/>
      </c>
      <c r="V769" s="317" t="str" cm="1">
        <f t="array" aca="1" ref="V769" ca="1">IFERROR(IF(AA769&lt;&gt;"ja",_xlfn.IFNA(_xlfn.IFS(AND(P769&lt;&gt;"",R769&lt;&gt;"",RIGHT($N769,6)="tarief",F769="Vergoeding"),SUM(P769)*FLOOR(SUM(R769),0.0001),AND(P769&lt;&gt;"",R769&lt;&gt;"",RIGHT($N769,6)="tarief"),P769*FLOOR(R769,0.01),T769&gt;0,FLOOR(SUM(T769),0.01)),""),""),"")</f>
        <v/>
      </c>
      <c r="W769" s="317" t="str" cm="1">
        <f t="array" aca="1" ref="W769" ca="1">IFERROR(_xlfn.IFS(OR(F769="",LEFT(Methode_Keuze,4)="Geen",Methode_Keuze=""),"",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17" t="str" cm="1">
        <f t="array" aca="1" ref="X769" ca="1">IFERROR(_xlfn.IFS(OR(F769="",LEFT(Methode_Keuze,4)="Geen",Methode_Keuze=""),"",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26"/>
      <c r="Z769" s="319"/>
      <c r="AA769" s="32" t="str" cm="1">
        <f t="array" ref="AA769">IFERROR(IF(INDEX(SubsidieTabel!$AD$1:$AG$12,MATCH($F769,SubsidieTabel!$AD$1:$AD$12,0),IFERROR(MATCH(Methode_Keuze,SubsidieTabel!$AD$1:$AG$1,0),2))&lt;&gt;1=TRUE,"ja",""),"")</f>
        <v/>
      </c>
    </row>
    <row r="770" spans="1:27" x14ac:dyDescent="0.25">
      <c r="A770" s="320"/>
      <c r="B770" s="321" t="str">
        <f>IF(A770&lt;&gt;"",_xlfn.MAXIFS($B$1:B769,$A$1:A769,A770)+1,"")</f>
        <v/>
      </c>
      <c r="C770" s="299"/>
      <c r="D770" s="299"/>
      <c r="E770" s="299"/>
      <c r="F770" s="299"/>
      <c r="G770" s="330"/>
      <c r="H770" s="328"/>
      <c r="I770" s="329"/>
      <c r="J770" s="329"/>
      <c r="K770" s="322"/>
      <c r="L770" s="322"/>
      <c r="M770" s="323" t="str">
        <f>IFERROR(VLOOKUP(H770,Lijsten!$H$1:$I$100,2,0),"")</f>
        <v/>
      </c>
      <c r="N770" s="323" t="str">
        <f ca="1">IFERROR(IF(VLOOKUP(F770,Kostentypen!$A$3:$E$21,3,0)=0,"",IF(OR(F770="Arbeidskosten",F770="Vergoeding"),VLOOKUP(G770,Tb_KostenTypen[],2,0),VLOOKUP(F770,Kostentypen!$A$3:$E$20,3,0))),"")</f>
        <v/>
      </c>
      <c r="O770" s="324"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4"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3"/>
      <c r="R770" s="363"/>
      <c r="S770" s="325"/>
      <c r="T770" s="325"/>
      <c r="U770" s="317" t="str" cm="1">
        <f t="array" aca="1" ref="U770" ca="1">IFERROR(IF(AA770&lt;&gt;"ja",_xlfn.IFNA(_xlfn.IFS(AND(O770&lt;&gt;"",F770&lt;&gt;"",RIGHT($N770,6)="tarief",F770="Vergoeding"),SUM(O770)*FLOOR(SUM(Q770),0.0001),AND(O770&lt;&gt;"",F770&lt;&gt;"",RIGHT($N770,6)="tarief"),SUM(O770)*FLOOR(SUM(Q770),0.01),S770&gt;0,IF(F770&lt;&gt;"",FLOOR(SUM(S770),0.01),"")),""),""),"")</f>
        <v/>
      </c>
      <c r="V770" s="317" t="str" cm="1">
        <f t="array" aca="1" ref="V770" ca="1">IFERROR(IF(AA770&lt;&gt;"ja",_xlfn.IFNA(_xlfn.IFS(AND(P770&lt;&gt;"",R770&lt;&gt;"",RIGHT($N770,6)="tarief",F770="Vergoeding"),SUM(P770)*FLOOR(SUM(R770),0.0001),AND(P770&lt;&gt;"",R770&lt;&gt;"",RIGHT($N770,6)="tarief"),P770*FLOOR(R770,0.01),T770&gt;0,FLOOR(SUM(T770),0.01)),""),""),"")</f>
        <v/>
      </c>
      <c r="W770" s="317" t="str" cm="1">
        <f t="array" aca="1" ref="W770" ca="1">IFERROR(_xlfn.IFS(OR(F770="",LEFT(Methode_Keuze,4)="Geen",Methode_Keuze=""),"",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17" t="str" cm="1">
        <f t="array" aca="1" ref="X770" ca="1">IFERROR(_xlfn.IFS(OR(F770="",LEFT(Methode_Keuze,4)="Geen",Methode_Keuze=""),"",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26"/>
      <c r="Z770" s="319"/>
      <c r="AA770" s="32" t="str" cm="1">
        <f t="array" ref="AA770">IFERROR(IF(INDEX(SubsidieTabel!$AD$1:$AG$12,MATCH($F770,SubsidieTabel!$AD$1:$AD$12,0),IFERROR(MATCH(Methode_Keuze,SubsidieTabel!$AD$1:$AG$1,0),2))&lt;&gt;1=TRUE,"ja",""),"")</f>
        <v/>
      </c>
    </row>
    <row r="771" spans="1:27" x14ac:dyDescent="0.25">
      <c r="A771" s="320"/>
      <c r="B771" s="321" t="str">
        <f>IF(A771&lt;&gt;"",_xlfn.MAXIFS($B$1:B770,$A$1:A770,A771)+1,"")</f>
        <v/>
      </c>
      <c r="C771" s="299"/>
      <c r="D771" s="299"/>
      <c r="E771" s="299"/>
      <c r="F771" s="299"/>
      <c r="G771" s="330"/>
      <c r="H771" s="328"/>
      <c r="I771" s="329"/>
      <c r="J771" s="329"/>
      <c r="K771" s="322"/>
      <c r="L771" s="322"/>
      <c r="M771" s="323" t="str">
        <f>IFERROR(VLOOKUP(H771,Lijsten!$H$1:$I$100,2,0),"")</f>
        <v/>
      </c>
      <c r="N771" s="323" t="str">
        <f ca="1">IFERROR(IF(VLOOKUP(F771,Kostentypen!$A$3:$E$21,3,0)=0,"",IF(OR(F771="Arbeidskosten",F771="Vergoeding"),VLOOKUP(G771,Tb_KostenTypen[],2,0),VLOOKUP(F771,Kostentypen!$A$3:$E$20,3,0))),"")</f>
        <v/>
      </c>
      <c r="O771" s="324"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4"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3"/>
      <c r="R771" s="363"/>
      <c r="S771" s="325"/>
      <c r="T771" s="325"/>
      <c r="U771" s="317" t="str" cm="1">
        <f t="array" aca="1" ref="U771" ca="1">IFERROR(IF(AA771&lt;&gt;"ja",_xlfn.IFNA(_xlfn.IFS(AND(O771&lt;&gt;"",F771&lt;&gt;"",RIGHT($N771,6)="tarief",F771="Vergoeding"),SUM(O771)*FLOOR(SUM(Q771),0.0001),AND(O771&lt;&gt;"",F771&lt;&gt;"",RIGHT($N771,6)="tarief"),SUM(O771)*FLOOR(SUM(Q771),0.01),S771&gt;0,IF(F771&lt;&gt;"",FLOOR(SUM(S771),0.01),"")),""),""),"")</f>
        <v/>
      </c>
      <c r="V771" s="317" t="str" cm="1">
        <f t="array" aca="1" ref="V771" ca="1">IFERROR(IF(AA771&lt;&gt;"ja",_xlfn.IFNA(_xlfn.IFS(AND(P771&lt;&gt;"",R771&lt;&gt;"",RIGHT($N771,6)="tarief",F771="Vergoeding"),SUM(P771)*FLOOR(SUM(R771),0.0001),AND(P771&lt;&gt;"",R771&lt;&gt;"",RIGHT($N771,6)="tarief"),P771*FLOOR(R771,0.01),T771&gt;0,FLOOR(SUM(T771),0.01)),""),""),"")</f>
        <v/>
      </c>
      <c r="W771" s="317" t="str" cm="1">
        <f t="array" aca="1" ref="W771" ca="1">IFERROR(_xlfn.IFS(OR(F771="",LEFT(Methode_Keuze,4)="Geen",Methode_Keuze=""),"",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17" t="str" cm="1">
        <f t="array" aca="1" ref="X771" ca="1">IFERROR(_xlfn.IFS(OR(F771="",LEFT(Methode_Keuze,4)="Geen",Methode_Keuze=""),"",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26"/>
      <c r="Z771" s="319"/>
      <c r="AA771" s="32" t="str" cm="1">
        <f t="array" ref="AA771">IFERROR(IF(INDEX(SubsidieTabel!$AD$1:$AG$12,MATCH($F771,SubsidieTabel!$AD$1:$AD$12,0),IFERROR(MATCH(Methode_Keuze,SubsidieTabel!$AD$1:$AG$1,0),2))&lt;&gt;1=TRUE,"ja",""),"")</f>
        <v/>
      </c>
    </row>
    <row r="772" spans="1:27" x14ac:dyDescent="0.25">
      <c r="A772" s="320"/>
      <c r="B772" s="321" t="str">
        <f>IF(A772&lt;&gt;"",_xlfn.MAXIFS($B$1:B771,$A$1:A771,A772)+1,"")</f>
        <v/>
      </c>
      <c r="C772" s="299"/>
      <c r="D772" s="299"/>
      <c r="E772" s="299"/>
      <c r="F772" s="299"/>
      <c r="G772" s="330"/>
      <c r="H772" s="328"/>
      <c r="I772" s="329"/>
      <c r="J772" s="329"/>
      <c r="K772" s="322"/>
      <c r="L772" s="322"/>
      <c r="M772" s="323" t="str">
        <f>IFERROR(VLOOKUP(H772,Lijsten!$H$1:$I$100,2,0),"")</f>
        <v/>
      </c>
      <c r="N772" s="323" t="str">
        <f ca="1">IFERROR(IF(VLOOKUP(F772,Kostentypen!$A$3:$E$21,3,0)=0,"",IF(OR(F772="Arbeidskosten",F772="Vergoeding"),VLOOKUP(G772,Tb_KostenTypen[],2,0),VLOOKUP(F772,Kostentypen!$A$3:$E$20,3,0))),"")</f>
        <v/>
      </c>
      <c r="O772" s="324"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4"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3"/>
      <c r="R772" s="363"/>
      <c r="S772" s="325"/>
      <c r="T772" s="325"/>
      <c r="U772" s="317" t="str" cm="1">
        <f t="array" aca="1" ref="U772" ca="1">IFERROR(IF(AA772&lt;&gt;"ja",_xlfn.IFNA(_xlfn.IFS(AND(O772&lt;&gt;"",F772&lt;&gt;"",RIGHT($N772,6)="tarief",F772="Vergoeding"),SUM(O772)*FLOOR(SUM(Q772),0.0001),AND(O772&lt;&gt;"",F772&lt;&gt;"",RIGHT($N772,6)="tarief"),SUM(O772)*FLOOR(SUM(Q772),0.01),S772&gt;0,IF(F772&lt;&gt;"",FLOOR(SUM(S772),0.01),"")),""),""),"")</f>
        <v/>
      </c>
      <c r="V772" s="317" t="str" cm="1">
        <f t="array" aca="1" ref="V772" ca="1">IFERROR(IF(AA772&lt;&gt;"ja",_xlfn.IFNA(_xlfn.IFS(AND(P772&lt;&gt;"",R772&lt;&gt;"",RIGHT($N772,6)="tarief",F772="Vergoeding"),SUM(P772)*FLOOR(SUM(R772),0.0001),AND(P772&lt;&gt;"",R772&lt;&gt;"",RIGHT($N772,6)="tarief"),P772*FLOOR(R772,0.01),T772&gt;0,FLOOR(SUM(T772),0.01)),""),""),"")</f>
        <v/>
      </c>
      <c r="W772" s="317" t="str" cm="1">
        <f t="array" aca="1" ref="W772" ca="1">IFERROR(_xlfn.IFS(OR(F772="",LEFT(Methode_Keuze,4)="Geen",Methode_Keuze=""),"",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17" t="str" cm="1">
        <f t="array" aca="1" ref="X772" ca="1">IFERROR(_xlfn.IFS(OR(F772="",LEFT(Methode_Keuze,4)="Geen",Methode_Keuze=""),"",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26"/>
      <c r="Z772" s="319"/>
      <c r="AA772" s="32" t="str" cm="1">
        <f t="array" ref="AA772">IFERROR(IF(INDEX(SubsidieTabel!$AD$1:$AG$12,MATCH($F772,SubsidieTabel!$AD$1:$AD$12,0),IFERROR(MATCH(Methode_Keuze,SubsidieTabel!$AD$1:$AG$1,0),2))&lt;&gt;1=TRUE,"ja",""),"")</f>
        <v/>
      </c>
    </row>
    <row r="773" spans="1:27" x14ac:dyDescent="0.25">
      <c r="A773" s="320"/>
      <c r="B773" s="321" t="str">
        <f>IF(A773&lt;&gt;"",_xlfn.MAXIFS($B$1:B772,$A$1:A772,A773)+1,"")</f>
        <v/>
      </c>
      <c r="C773" s="299"/>
      <c r="D773" s="299"/>
      <c r="E773" s="299"/>
      <c r="F773" s="299"/>
      <c r="G773" s="330"/>
      <c r="H773" s="328"/>
      <c r="I773" s="329"/>
      <c r="J773" s="329"/>
      <c r="K773" s="322"/>
      <c r="L773" s="322"/>
      <c r="M773" s="323" t="str">
        <f>IFERROR(VLOOKUP(H773,Lijsten!$H$1:$I$100,2,0),"")</f>
        <v/>
      </c>
      <c r="N773" s="323" t="str">
        <f ca="1">IFERROR(IF(VLOOKUP(F773,Kostentypen!$A$3:$E$21,3,0)=0,"",IF(OR(F773="Arbeidskosten",F773="Vergoeding"),VLOOKUP(G773,Tb_KostenTypen[],2,0),VLOOKUP(F773,Kostentypen!$A$3:$E$20,3,0))),"")</f>
        <v/>
      </c>
      <c r="O773" s="324"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4"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3"/>
      <c r="R773" s="363"/>
      <c r="S773" s="325"/>
      <c r="T773" s="325"/>
      <c r="U773" s="317" t="str" cm="1">
        <f t="array" aca="1" ref="U773" ca="1">IFERROR(IF(AA773&lt;&gt;"ja",_xlfn.IFNA(_xlfn.IFS(AND(O773&lt;&gt;"",F773&lt;&gt;"",RIGHT($N773,6)="tarief",F773="Vergoeding"),SUM(O773)*FLOOR(SUM(Q773),0.0001),AND(O773&lt;&gt;"",F773&lt;&gt;"",RIGHT($N773,6)="tarief"),SUM(O773)*FLOOR(SUM(Q773),0.01),S773&gt;0,IF(F773&lt;&gt;"",FLOOR(SUM(S773),0.01),"")),""),""),"")</f>
        <v/>
      </c>
      <c r="V773" s="317" t="str" cm="1">
        <f t="array" aca="1" ref="V773" ca="1">IFERROR(IF(AA773&lt;&gt;"ja",_xlfn.IFNA(_xlfn.IFS(AND(P773&lt;&gt;"",R773&lt;&gt;"",RIGHT($N773,6)="tarief",F773="Vergoeding"),SUM(P773)*FLOOR(SUM(R773),0.0001),AND(P773&lt;&gt;"",R773&lt;&gt;"",RIGHT($N773,6)="tarief"),P773*FLOOR(R773,0.01),T773&gt;0,FLOOR(SUM(T773),0.01)),""),""),"")</f>
        <v/>
      </c>
      <c r="W773" s="317" t="str" cm="1">
        <f t="array" aca="1" ref="W773" ca="1">IFERROR(_xlfn.IFS(OR(F773="",LEFT(Methode_Keuze,4)="Geen",Methode_Keuze=""),"",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17" t="str" cm="1">
        <f t="array" aca="1" ref="X773" ca="1">IFERROR(_xlfn.IFS(OR(F773="",LEFT(Methode_Keuze,4)="Geen",Methode_Keuze=""),"",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26"/>
      <c r="Z773" s="319"/>
      <c r="AA773" s="32" t="str" cm="1">
        <f t="array" ref="AA773">IFERROR(IF(INDEX(SubsidieTabel!$AD$1:$AG$12,MATCH($F773,SubsidieTabel!$AD$1:$AD$12,0),IFERROR(MATCH(Methode_Keuze,SubsidieTabel!$AD$1:$AG$1,0),2))&lt;&gt;1=TRUE,"ja",""),"")</f>
        <v/>
      </c>
    </row>
    <row r="774" spans="1:27" x14ac:dyDescent="0.25">
      <c r="A774" s="320"/>
      <c r="B774" s="321" t="str">
        <f>IF(A774&lt;&gt;"",_xlfn.MAXIFS($B$1:B773,$A$1:A773,A774)+1,"")</f>
        <v/>
      </c>
      <c r="C774" s="299"/>
      <c r="D774" s="299"/>
      <c r="E774" s="299"/>
      <c r="F774" s="299"/>
      <c r="G774" s="330"/>
      <c r="H774" s="328"/>
      <c r="I774" s="329"/>
      <c r="J774" s="329"/>
      <c r="K774" s="322"/>
      <c r="L774" s="322"/>
      <c r="M774" s="323" t="str">
        <f>IFERROR(VLOOKUP(H774,Lijsten!$H$1:$I$100,2,0),"")</f>
        <v/>
      </c>
      <c r="N774" s="323" t="str">
        <f ca="1">IFERROR(IF(VLOOKUP(F774,Kostentypen!$A$3:$E$21,3,0)=0,"",IF(OR(F774="Arbeidskosten",F774="Vergoeding"),VLOOKUP(G774,Tb_KostenTypen[],2,0),VLOOKUP(F774,Kostentypen!$A$3:$E$20,3,0))),"")</f>
        <v/>
      </c>
      <c r="O774" s="324"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4"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3"/>
      <c r="R774" s="363"/>
      <c r="S774" s="325"/>
      <c r="T774" s="325"/>
      <c r="U774" s="317" t="str" cm="1">
        <f t="array" aca="1" ref="U774" ca="1">IFERROR(IF(AA774&lt;&gt;"ja",_xlfn.IFNA(_xlfn.IFS(AND(O774&lt;&gt;"",F774&lt;&gt;"",RIGHT($N774,6)="tarief",F774="Vergoeding"),SUM(O774)*FLOOR(SUM(Q774),0.0001),AND(O774&lt;&gt;"",F774&lt;&gt;"",RIGHT($N774,6)="tarief"),SUM(O774)*FLOOR(SUM(Q774),0.01),S774&gt;0,IF(F774&lt;&gt;"",FLOOR(SUM(S774),0.01),"")),""),""),"")</f>
        <v/>
      </c>
      <c r="V774" s="317" t="str" cm="1">
        <f t="array" aca="1" ref="V774" ca="1">IFERROR(IF(AA774&lt;&gt;"ja",_xlfn.IFNA(_xlfn.IFS(AND(P774&lt;&gt;"",R774&lt;&gt;"",RIGHT($N774,6)="tarief",F774="Vergoeding"),SUM(P774)*FLOOR(SUM(R774),0.0001),AND(P774&lt;&gt;"",R774&lt;&gt;"",RIGHT($N774,6)="tarief"),P774*FLOOR(R774,0.01),T774&gt;0,FLOOR(SUM(T774),0.01)),""),""),"")</f>
        <v/>
      </c>
      <c r="W774" s="317" t="str" cm="1">
        <f t="array" aca="1" ref="W774" ca="1">IFERROR(_xlfn.IFS(OR(F774="",LEFT(Methode_Keuze,4)="Geen",Methode_Keuze=""),"",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17" t="str" cm="1">
        <f t="array" aca="1" ref="X774" ca="1">IFERROR(_xlfn.IFS(OR(F774="",LEFT(Methode_Keuze,4)="Geen",Methode_Keuze=""),"",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26"/>
      <c r="Z774" s="319"/>
      <c r="AA774" s="32" t="str" cm="1">
        <f t="array" ref="AA774">IFERROR(IF(INDEX(SubsidieTabel!$AD$1:$AG$12,MATCH($F774,SubsidieTabel!$AD$1:$AD$12,0),IFERROR(MATCH(Methode_Keuze,SubsidieTabel!$AD$1:$AG$1,0),2))&lt;&gt;1=TRUE,"ja",""),"")</f>
        <v/>
      </c>
    </row>
    <row r="775" spans="1:27" x14ac:dyDescent="0.25">
      <c r="A775" s="320"/>
      <c r="B775" s="321" t="str">
        <f>IF(A775&lt;&gt;"",_xlfn.MAXIFS($B$1:B774,$A$1:A774,A775)+1,"")</f>
        <v/>
      </c>
      <c r="C775" s="299"/>
      <c r="D775" s="299"/>
      <c r="E775" s="299"/>
      <c r="F775" s="299"/>
      <c r="G775" s="330"/>
      <c r="H775" s="328"/>
      <c r="I775" s="329"/>
      <c r="J775" s="329"/>
      <c r="K775" s="322"/>
      <c r="L775" s="322"/>
      <c r="M775" s="323" t="str">
        <f>IFERROR(VLOOKUP(H775,Lijsten!$H$1:$I$100,2,0),"")</f>
        <v/>
      </c>
      <c r="N775" s="323" t="str">
        <f ca="1">IFERROR(IF(VLOOKUP(F775,Kostentypen!$A$3:$E$21,3,0)=0,"",IF(OR(F775="Arbeidskosten",F775="Vergoeding"),VLOOKUP(G775,Tb_KostenTypen[],2,0),VLOOKUP(F775,Kostentypen!$A$3:$E$20,3,0))),"")</f>
        <v/>
      </c>
      <c r="O775" s="324"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4"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3"/>
      <c r="R775" s="363"/>
      <c r="S775" s="325"/>
      <c r="T775" s="325"/>
      <c r="U775" s="317" t="str" cm="1">
        <f t="array" aca="1" ref="U775" ca="1">IFERROR(IF(AA775&lt;&gt;"ja",_xlfn.IFNA(_xlfn.IFS(AND(O775&lt;&gt;"",F775&lt;&gt;"",RIGHT($N775,6)="tarief",F775="Vergoeding"),SUM(O775)*FLOOR(SUM(Q775),0.0001),AND(O775&lt;&gt;"",F775&lt;&gt;"",RIGHT($N775,6)="tarief"),SUM(O775)*FLOOR(SUM(Q775),0.01),S775&gt;0,IF(F775&lt;&gt;"",FLOOR(SUM(S775),0.01),"")),""),""),"")</f>
        <v/>
      </c>
      <c r="V775" s="317" t="str" cm="1">
        <f t="array" aca="1" ref="V775" ca="1">IFERROR(IF(AA775&lt;&gt;"ja",_xlfn.IFNA(_xlfn.IFS(AND(P775&lt;&gt;"",R775&lt;&gt;"",RIGHT($N775,6)="tarief",F775="Vergoeding"),SUM(P775)*FLOOR(SUM(R775),0.0001),AND(P775&lt;&gt;"",R775&lt;&gt;"",RIGHT($N775,6)="tarief"),P775*FLOOR(R775,0.01),T775&gt;0,FLOOR(SUM(T775),0.01)),""),""),"")</f>
        <v/>
      </c>
      <c r="W775" s="317" t="str" cm="1">
        <f t="array" aca="1" ref="W775" ca="1">IFERROR(_xlfn.IFS(OR(F775="",LEFT(Methode_Keuze,4)="Geen",Methode_Keuze=""),"",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17" t="str" cm="1">
        <f t="array" aca="1" ref="X775" ca="1">IFERROR(_xlfn.IFS(OR(F775="",LEFT(Methode_Keuze,4)="Geen",Methode_Keuze=""),"",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26"/>
      <c r="Z775" s="319"/>
      <c r="AA775" s="32" t="str" cm="1">
        <f t="array" ref="AA775">IFERROR(IF(INDEX(SubsidieTabel!$AD$1:$AG$12,MATCH($F775,SubsidieTabel!$AD$1:$AD$12,0),IFERROR(MATCH(Methode_Keuze,SubsidieTabel!$AD$1:$AG$1,0),2))&lt;&gt;1=TRUE,"ja",""),"")</f>
        <v/>
      </c>
    </row>
    <row r="776" spans="1:27" x14ac:dyDescent="0.25">
      <c r="A776" s="320"/>
      <c r="B776" s="321" t="str">
        <f>IF(A776&lt;&gt;"",_xlfn.MAXIFS($B$1:B775,$A$1:A775,A776)+1,"")</f>
        <v/>
      </c>
      <c r="C776" s="299"/>
      <c r="D776" s="299"/>
      <c r="E776" s="299"/>
      <c r="F776" s="299"/>
      <c r="G776" s="330"/>
      <c r="H776" s="328"/>
      <c r="I776" s="329"/>
      <c r="J776" s="329"/>
      <c r="K776" s="322"/>
      <c r="L776" s="322"/>
      <c r="M776" s="323" t="str">
        <f>IFERROR(VLOOKUP(H776,Lijsten!$H$1:$I$100,2,0),"")</f>
        <v/>
      </c>
      <c r="N776" s="323" t="str">
        <f ca="1">IFERROR(IF(VLOOKUP(F776,Kostentypen!$A$3:$E$21,3,0)=0,"",IF(OR(F776="Arbeidskosten",F776="Vergoeding"),VLOOKUP(G776,Tb_KostenTypen[],2,0),VLOOKUP(F776,Kostentypen!$A$3:$E$20,3,0))),"")</f>
        <v/>
      </c>
      <c r="O776" s="324"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4"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3"/>
      <c r="R776" s="363"/>
      <c r="S776" s="325"/>
      <c r="T776" s="325"/>
      <c r="U776" s="317" t="str" cm="1">
        <f t="array" aca="1" ref="U776" ca="1">IFERROR(IF(AA776&lt;&gt;"ja",_xlfn.IFNA(_xlfn.IFS(AND(O776&lt;&gt;"",F776&lt;&gt;"",RIGHT($N776,6)="tarief",F776="Vergoeding"),SUM(O776)*FLOOR(SUM(Q776),0.0001),AND(O776&lt;&gt;"",F776&lt;&gt;"",RIGHT($N776,6)="tarief"),SUM(O776)*FLOOR(SUM(Q776),0.01),S776&gt;0,IF(F776&lt;&gt;"",FLOOR(SUM(S776),0.01),"")),""),""),"")</f>
        <v/>
      </c>
      <c r="V776" s="317" t="str" cm="1">
        <f t="array" aca="1" ref="V776" ca="1">IFERROR(IF(AA776&lt;&gt;"ja",_xlfn.IFNA(_xlfn.IFS(AND(P776&lt;&gt;"",R776&lt;&gt;"",RIGHT($N776,6)="tarief",F776="Vergoeding"),SUM(P776)*FLOOR(SUM(R776),0.0001),AND(P776&lt;&gt;"",R776&lt;&gt;"",RIGHT($N776,6)="tarief"),P776*FLOOR(R776,0.01),T776&gt;0,FLOOR(SUM(T776),0.01)),""),""),"")</f>
        <v/>
      </c>
      <c r="W776" s="317" t="str" cm="1">
        <f t="array" aca="1" ref="W776" ca="1">IFERROR(_xlfn.IFS(OR(F776="",LEFT(Methode_Keuze,4)="Geen",Methode_Keuze=""),"",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17" t="str" cm="1">
        <f t="array" aca="1" ref="X776" ca="1">IFERROR(_xlfn.IFS(OR(F776="",LEFT(Methode_Keuze,4)="Geen",Methode_Keuze=""),"",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26"/>
      <c r="Z776" s="319"/>
      <c r="AA776" s="32" t="str" cm="1">
        <f t="array" ref="AA776">IFERROR(IF(INDEX(SubsidieTabel!$AD$1:$AG$12,MATCH($F776,SubsidieTabel!$AD$1:$AD$12,0),IFERROR(MATCH(Methode_Keuze,SubsidieTabel!$AD$1:$AG$1,0),2))&lt;&gt;1=TRUE,"ja",""),"")</f>
        <v/>
      </c>
    </row>
    <row r="777" spans="1:27" x14ac:dyDescent="0.25">
      <c r="A777" s="320"/>
      <c r="B777" s="321" t="str">
        <f>IF(A777&lt;&gt;"",_xlfn.MAXIFS($B$1:B776,$A$1:A776,A777)+1,"")</f>
        <v/>
      </c>
      <c r="C777" s="299"/>
      <c r="D777" s="299"/>
      <c r="E777" s="299"/>
      <c r="F777" s="299"/>
      <c r="G777" s="330"/>
      <c r="H777" s="328"/>
      <c r="I777" s="329"/>
      <c r="J777" s="329"/>
      <c r="K777" s="322"/>
      <c r="L777" s="322"/>
      <c r="M777" s="323" t="str">
        <f>IFERROR(VLOOKUP(H777,Lijsten!$H$1:$I$100,2,0),"")</f>
        <v/>
      </c>
      <c r="N777" s="323" t="str">
        <f ca="1">IFERROR(IF(VLOOKUP(F777,Kostentypen!$A$3:$E$21,3,0)=0,"",IF(OR(F777="Arbeidskosten",F777="Vergoeding"),VLOOKUP(G777,Tb_KostenTypen[],2,0),VLOOKUP(F777,Kostentypen!$A$3:$E$20,3,0))),"")</f>
        <v/>
      </c>
      <c r="O777" s="324"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4"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3"/>
      <c r="R777" s="363"/>
      <c r="S777" s="325"/>
      <c r="T777" s="325"/>
      <c r="U777" s="317" t="str" cm="1">
        <f t="array" aca="1" ref="U777" ca="1">IFERROR(IF(AA777&lt;&gt;"ja",_xlfn.IFNA(_xlfn.IFS(AND(O777&lt;&gt;"",F777&lt;&gt;"",RIGHT($N777,6)="tarief",F777="Vergoeding"),SUM(O777)*FLOOR(SUM(Q777),0.0001),AND(O777&lt;&gt;"",F777&lt;&gt;"",RIGHT($N777,6)="tarief"),SUM(O777)*FLOOR(SUM(Q777),0.01),S777&gt;0,IF(F777&lt;&gt;"",FLOOR(SUM(S777),0.01),"")),""),""),"")</f>
        <v/>
      </c>
      <c r="V777" s="317" t="str" cm="1">
        <f t="array" aca="1" ref="V777" ca="1">IFERROR(IF(AA777&lt;&gt;"ja",_xlfn.IFNA(_xlfn.IFS(AND(P777&lt;&gt;"",R777&lt;&gt;"",RIGHT($N777,6)="tarief",F777="Vergoeding"),SUM(P777)*FLOOR(SUM(R777),0.0001),AND(P777&lt;&gt;"",R777&lt;&gt;"",RIGHT($N777,6)="tarief"),P777*FLOOR(R777,0.01),T777&gt;0,FLOOR(SUM(T777),0.01)),""),""),"")</f>
        <v/>
      </c>
      <c r="W777" s="317" t="str" cm="1">
        <f t="array" aca="1" ref="W777" ca="1">IFERROR(_xlfn.IFS(OR(F777="",LEFT(Methode_Keuze,4)="Geen",Methode_Keuze=""),"",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17" t="str" cm="1">
        <f t="array" aca="1" ref="X777" ca="1">IFERROR(_xlfn.IFS(OR(F777="",LEFT(Methode_Keuze,4)="Geen",Methode_Keuze=""),"",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26"/>
      <c r="Z777" s="319"/>
      <c r="AA777" s="32" t="str" cm="1">
        <f t="array" ref="AA777">IFERROR(IF(INDEX(SubsidieTabel!$AD$1:$AG$12,MATCH($F777,SubsidieTabel!$AD$1:$AD$12,0),IFERROR(MATCH(Methode_Keuze,SubsidieTabel!$AD$1:$AG$1,0),2))&lt;&gt;1=TRUE,"ja",""),"")</f>
        <v/>
      </c>
    </row>
    <row r="778" spans="1:27" x14ac:dyDescent="0.25">
      <c r="A778" s="320"/>
      <c r="B778" s="321" t="str">
        <f>IF(A778&lt;&gt;"",_xlfn.MAXIFS($B$1:B777,$A$1:A777,A778)+1,"")</f>
        <v/>
      </c>
      <c r="C778" s="299"/>
      <c r="D778" s="299"/>
      <c r="E778" s="299"/>
      <c r="F778" s="299"/>
      <c r="G778" s="330"/>
      <c r="H778" s="328"/>
      <c r="I778" s="329"/>
      <c r="J778" s="329"/>
      <c r="K778" s="322"/>
      <c r="L778" s="322"/>
      <c r="M778" s="323" t="str">
        <f>IFERROR(VLOOKUP(H778,Lijsten!$H$1:$I$100,2,0),"")</f>
        <v/>
      </c>
      <c r="N778" s="323" t="str">
        <f ca="1">IFERROR(IF(VLOOKUP(F778,Kostentypen!$A$3:$E$21,3,0)=0,"",IF(OR(F778="Arbeidskosten",F778="Vergoeding"),VLOOKUP(G778,Tb_KostenTypen[],2,0),VLOOKUP(F778,Kostentypen!$A$3:$E$20,3,0))),"")</f>
        <v/>
      </c>
      <c r="O778" s="324"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4"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3"/>
      <c r="R778" s="363"/>
      <c r="S778" s="325"/>
      <c r="T778" s="325"/>
      <c r="U778" s="317" t="str" cm="1">
        <f t="array" aca="1" ref="U778" ca="1">IFERROR(IF(AA778&lt;&gt;"ja",_xlfn.IFNA(_xlfn.IFS(AND(O778&lt;&gt;"",F778&lt;&gt;"",RIGHT($N778,6)="tarief",F778="Vergoeding"),SUM(O778)*FLOOR(SUM(Q778),0.0001),AND(O778&lt;&gt;"",F778&lt;&gt;"",RIGHT($N778,6)="tarief"),SUM(O778)*FLOOR(SUM(Q778),0.01),S778&gt;0,IF(F778&lt;&gt;"",FLOOR(SUM(S778),0.01),"")),""),""),"")</f>
        <v/>
      </c>
      <c r="V778" s="317" t="str" cm="1">
        <f t="array" aca="1" ref="V778" ca="1">IFERROR(IF(AA778&lt;&gt;"ja",_xlfn.IFNA(_xlfn.IFS(AND(P778&lt;&gt;"",R778&lt;&gt;"",RIGHT($N778,6)="tarief",F778="Vergoeding"),SUM(P778)*FLOOR(SUM(R778),0.0001),AND(P778&lt;&gt;"",R778&lt;&gt;"",RIGHT($N778,6)="tarief"),P778*FLOOR(R778,0.01),T778&gt;0,FLOOR(SUM(T778),0.01)),""),""),"")</f>
        <v/>
      </c>
      <c r="W778" s="317" t="str" cm="1">
        <f t="array" aca="1" ref="W778" ca="1">IFERROR(_xlfn.IFS(OR(F778="",LEFT(Methode_Keuze,4)="Geen",Methode_Keuze=""),"",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17" t="str" cm="1">
        <f t="array" aca="1" ref="X778" ca="1">IFERROR(_xlfn.IFS(OR(F778="",LEFT(Methode_Keuze,4)="Geen",Methode_Keuze=""),"",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26"/>
      <c r="Z778" s="319"/>
      <c r="AA778" s="32" t="str" cm="1">
        <f t="array" ref="AA778">IFERROR(IF(INDEX(SubsidieTabel!$AD$1:$AG$12,MATCH($F778,SubsidieTabel!$AD$1:$AD$12,0),IFERROR(MATCH(Methode_Keuze,SubsidieTabel!$AD$1:$AG$1,0),2))&lt;&gt;1=TRUE,"ja",""),"")</f>
        <v/>
      </c>
    </row>
    <row r="779" spans="1:27" x14ac:dyDescent="0.25">
      <c r="A779" s="320"/>
      <c r="B779" s="321" t="str">
        <f>IF(A779&lt;&gt;"",_xlfn.MAXIFS($B$1:B778,$A$1:A778,A779)+1,"")</f>
        <v/>
      </c>
      <c r="C779" s="299"/>
      <c r="D779" s="299"/>
      <c r="E779" s="299"/>
      <c r="F779" s="299"/>
      <c r="G779" s="330"/>
      <c r="H779" s="328"/>
      <c r="I779" s="329"/>
      <c r="J779" s="329"/>
      <c r="K779" s="322"/>
      <c r="L779" s="322"/>
      <c r="M779" s="323" t="str">
        <f>IFERROR(VLOOKUP(H779,Lijsten!$H$1:$I$100,2,0),"")</f>
        <v/>
      </c>
      <c r="N779" s="323" t="str">
        <f ca="1">IFERROR(IF(VLOOKUP(F779,Kostentypen!$A$3:$E$21,3,0)=0,"",IF(OR(F779="Arbeidskosten",F779="Vergoeding"),VLOOKUP(G779,Tb_KostenTypen[],2,0),VLOOKUP(F779,Kostentypen!$A$3:$E$20,3,0))),"")</f>
        <v/>
      </c>
      <c r="O779" s="324"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4"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3"/>
      <c r="R779" s="363"/>
      <c r="S779" s="325"/>
      <c r="T779" s="325"/>
      <c r="U779" s="317" t="str" cm="1">
        <f t="array" aca="1" ref="U779" ca="1">IFERROR(IF(AA779&lt;&gt;"ja",_xlfn.IFNA(_xlfn.IFS(AND(O779&lt;&gt;"",F779&lt;&gt;"",RIGHT($N779,6)="tarief",F779="Vergoeding"),SUM(O779)*FLOOR(SUM(Q779),0.0001),AND(O779&lt;&gt;"",F779&lt;&gt;"",RIGHT($N779,6)="tarief"),SUM(O779)*FLOOR(SUM(Q779),0.01),S779&gt;0,IF(F779&lt;&gt;"",FLOOR(SUM(S779),0.01),"")),""),""),"")</f>
        <v/>
      </c>
      <c r="V779" s="317" t="str" cm="1">
        <f t="array" aca="1" ref="V779" ca="1">IFERROR(IF(AA779&lt;&gt;"ja",_xlfn.IFNA(_xlfn.IFS(AND(P779&lt;&gt;"",R779&lt;&gt;"",RIGHT($N779,6)="tarief",F779="Vergoeding"),SUM(P779)*FLOOR(SUM(R779),0.0001),AND(P779&lt;&gt;"",R779&lt;&gt;"",RIGHT($N779,6)="tarief"),P779*FLOOR(R779,0.01),T779&gt;0,FLOOR(SUM(T779),0.01)),""),""),"")</f>
        <v/>
      </c>
      <c r="W779" s="317" t="str" cm="1">
        <f t="array" aca="1" ref="W779" ca="1">IFERROR(_xlfn.IFS(OR(F779="",LEFT(Methode_Keuze,4)="Geen",Methode_Keuze=""),"",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17" t="str" cm="1">
        <f t="array" aca="1" ref="X779" ca="1">IFERROR(_xlfn.IFS(OR(F779="",LEFT(Methode_Keuze,4)="Geen",Methode_Keuze=""),"",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26"/>
      <c r="Z779" s="319"/>
      <c r="AA779" s="32" t="str" cm="1">
        <f t="array" ref="AA779">IFERROR(IF(INDEX(SubsidieTabel!$AD$1:$AG$12,MATCH($F779,SubsidieTabel!$AD$1:$AD$12,0),IFERROR(MATCH(Methode_Keuze,SubsidieTabel!$AD$1:$AG$1,0),2))&lt;&gt;1=TRUE,"ja",""),"")</f>
        <v/>
      </c>
    </row>
    <row r="780" spans="1:27" x14ac:dyDescent="0.25">
      <c r="A780" s="320"/>
      <c r="B780" s="321" t="str">
        <f>IF(A780&lt;&gt;"",_xlfn.MAXIFS($B$1:B779,$A$1:A779,A780)+1,"")</f>
        <v/>
      </c>
      <c r="C780" s="299"/>
      <c r="D780" s="299"/>
      <c r="E780" s="299"/>
      <c r="F780" s="299"/>
      <c r="G780" s="330"/>
      <c r="H780" s="328"/>
      <c r="I780" s="329"/>
      <c r="J780" s="329"/>
      <c r="K780" s="322"/>
      <c r="L780" s="322"/>
      <c r="M780" s="323" t="str">
        <f>IFERROR(VLOOKUP(H780,Lijsten!$H$1:$I$100,2,0),"")</f>
        <v/>
      </c>
      <c r="N780" s="323" t="str">
        <f ca="1">IFERROR(IF(VLOOKUP(F780,Kostentypen!$A$3:$E$21,3,0)=0,"",IF(OR(F780="Arbeidskosten",F780="Vergoeding"),VLOOKUP(G780,Tb_KostenTypen[],2,0),VLOOKUP(F780,Kostentypen!$A$3:$E$20,3,0))),"")</f>
        <v/>
      </c>
      <c r="O780" s="324"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4"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3"/>
      <c r="R780" s="363"/>
      <c r="S780" s="325"/>
      <c r="T780" s="325"/>
      <c r="U780" s="317" t="str" cm="1">
        <f t="array" aca="1" ref="U780" ca="1">IFERROR(IF(AA780&lt;&gt;"ja",_xlfn.IFNA(_xlfn.IFS(AND(O780&lt;&gt;"",F780&lt;&gt;"",RIGHT($N780,6)="tarief",F780="Vergoeding"),SUM(O780)*FLOOR(SUM(Q780),0.0001),AND(O780&lt;&gt;"",F780&lt;&gt;"",RIGHT($N780,6)="tarief"),SUM(O780)*FLOOR(SUM(Q780),0.01),S780&gt;0,IF(F780&lt;&gt;"",FLOOR(SUM(S780),0.01),"")),""),""),"")</f>
        <v/>
      </c>
      <c r="V780" s="317" t="str" cm="1">
        <f t="array" aca="1" ref="V780" ca="1">IFERROR(IF(AA780&lt;&gt;"ja",_xlfn.IFNA(_xlfn.IFS(AND(P780&lt;&gt;"",R780&lt;&gt;"",RIGHT($N780,6)="tarief",F780="Vergoeding"),SUM(P780)*FLOOR(SUM(R780),0.0001),AND(P780&lt;&gt;"",R780&lt;&gt;"",RIGHT($N780,6)="tarief"),P780*FLOOR(R780,0.01),T780&gt;0,FLOOR(SUM(T780),0.01)),""),""),"")</f>
        <v/>
      </c>
      <c r="W780" s="317" t="str" cm="1">
        <f t="array" aca="1" ref="W780" ca="1">IFERROR(_xlfn.IFS(OR(F780="",LEFT(Methode_Keuze,4)="Geen",Methode_Keuze=""),"",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17" t="str" cm="1">
        <f t="array" aca="1" ref="X780" ca="1">IFERROR(_xlfn.IFS(OR(F780="",LEFT(Methode_Keuze,4)="Geen",Methode_Keuze=""),"",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26"/>
      <c r="Z780" s="319"/>
      <c r="AA780" s="32" t="str" cm="1">
        <f t="array" ref="AA780">IFERROR(IF(INDEX(SubsidieTabel!$AD$1:$AG$12,MATCH($F780,SubsidieTabel!$AD$1:$AD$12,0),IFERROR(MATCH(Methode_Keuze,SubsidieTabel!$AD$1:$AG$1,0),2))&lt;&gt;1=TRUE,"ja",""),"")</f>
        <v/>
      </c>
    </row>
    <row r="781" spans="1:27" x14ac:dyDescent="0.25">
      <c r="A781" s="320"/>
      <c r="B781" s="321" t="str">
        <f>IF(A781&lt;&gt;"",_xlfn.MAXIFS($B$1:B780,$A$1:A780,A781)+1,"")</f>
        <v/>
      </c>
      <c r="C781" s="299"/>
      <c r="D781" s="299"/>
      <c r="E781" s="299"/>
      <c r="F781" s="299"/>
      <c r="G781" s="330"/>
      <c r="H781" s="328"/>
      <c r="I781" s="329"/>
      <c r="J781" s="329"/>
      <c r="K781" s="322"/>
      <c r="L781" s="322"/>
      <c r="M781" s="323" t="str">
        <f>IFERROR(VLOOKUP(H781,Lijsten!$H$1:$I$100,2,0),"")</f>
        <v/>
      </c>
      <c r="N781" s="323" t="str">
        <f ca="1">IFERROR(IF(VLOOKUP(F781,Kostentypen!$A$3:$E$21,3,0)=0,"",IF(OR(F781="Arbeidskosten",F781="Vergoeding"),VLOOKUP(G781,Tb_KostenTypen[],2,0),VLOOKUP(F781,Kostentypen!$A$3:$E$20,3,0))),"")</f>
        <v/>
      </c>
      <c r="O781" s="324"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4"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3"/>
      <c r="R781" s="363"/>
      <c r="S781" s="325"/>
      <c r="T781" s="325"/>
      <c r="U781" s="317" t="str" cm="1">
        <f t="array" aca="1" ref="U781" ca="1">IFERROR(IF(AA781&lt;&gt;"ja",_xlfn.IFNA(_xlfn.IFS(AND(O781&lt;&gt;"",F781&lt;&gt;"",RIGHT($N781,6)="tarief",F781="Vergoeding"),SUM(O781)*FLOOR(SUM(Q781),0.0001),AND(O781&lt;&gt;"",F781&lt;&gt;"",RIGHT($N781,6)="tarief"),SUM(O781)*FLOOR(SUM(Q781),0.01),S781&gt;0,IF(F781&lt;&gt;"",FLOOR(SUM(S781),0.01),"")),""),""),"")</f>
        <v/>
      </c>
      <c r="V781" s="317" t="str" cm="1">
        <f t="array" aca="1" ref="V781" ca="1">IFERROR(IF(AA781&lt;&gt;"ja",_xlfn.IFNA(_xlfn.IFS(AND(P781&lt;&gt;"",R781&lt;&gt;"",RIGHT($N781,6)="tarief",F781="Vergoeding"),SUM(P781)*FLOOR(SUM(R781),0.0001),AND(P781&lt;&gt;"",R781&lt;&gt;"",RIGHT($N781,6)="tarief"),P781*FLOOR(R781,0.01),T781&gt;0,FLOOR(SUM(T781),0.01)),""),""),"")</f>
        <v/>
      </c>
      <c r="W781" s="317" t="str" cm="1">
        <f t="array" aca="1" ref="W781" ca="1">IFERROR(_xlfn.IFS(OR(F781="",LEFT(Methode_Keuze,4)="Geen",Methode_Keuze=""),"",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17" t="str" cm="1">
        <f t="array" aca="1" ref="X781" ca="1">IFERROR(_xlfn.IFS(OR(F781="",LEFT(Methode_Keuze,4)="Geen",Methode_Keuze=""),"",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26"/>
      <c r="Z781" s="319"/>
      <c r="AA781" s="32" t="str" cm="1">
        <f t="array" ref="AA781">IFERROR(IF(INDEX(SubsidieTabel!$AD$1:$AG$12,MATCH($F781,SubsidieTabel!$AD$1:$AD$12,0),IFERROR(MATCH(Methode_Keuze,SubsidieTabel!$AD$1:$AG$1,0),2))&lt;&gt;1=TRUE,"ja",""),"")</f>
        <v/>
      </c>
    </row>
    <row r="782" spans="1:27" x14ac:dyDescent="0.25">
      <c r="A782" s="320"/>
      <c r="B782" s="321" t="str">
        <f>IF(A782&lt;&gt;"",_xlfn.MAXIFS($B$1:B781,$A$1:A781,A782)+1,"")</f>
        <v/>
      </c>
      <c r="C782" s="299"/>
      <c r="D782" s="299"/>
      <c r="E782" s="299"/>
      <c r="F782" s="299"/>
      <c r="G782" s="330"/>
      <c r="H782" s="328"/>
      <c r="I782" s="329"/>
      <c r="J782" s="329"/>
      <c r="K782" s="322"/>
      <c r="L782" s="322"/>
      <c r="M782" s="323" t="str">
        <f>IFERROR(VLOOKUP(H782,Lijsten!$H$1:$I$100,2,0),"")</f>
        <v/>
      </c>
      <c r="N782" s="323" t="str">
        <f ca="1">IFERROR(IF(VLOOKUP(F782,Kostentypen!$A$3:$E$21,3,0)=0,"",IF(OR(F782="Arbeidskosten",F782="Vergoeding"),VLOOKUP(G782,Tb_KostenTypen[],2,0),VLOOKUP(F782,Kostentypen!$A$3:$E$20,3,0))),"")</f>
        <v/>
      </c>
      <c r="O782" s="324"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4"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3"/>
      <c r="R782" s="363"/>
      <c r="S782" s="325"/>
      <c r="T782" s="325"/>
      <c r="U782" s="317" t="str" cm="1">
        <f t="array" aca="1" ref="U782" ca="1">IFERROR(IF(AA782&lt;&gt;"ja",_xlfn.IFNA(_xlfn.IFS(AND(O782&lt;&gt;"",F782&lt;&gt;"",RIGHT($N782,6)="tarief",F782="Vergoeding"),SUM(O782)*FLOOR(SUM(Q782),0.0001),AND(O782&lt;&gt;"",F782&lt;&gt;"",RIGHT($N782,6)="tarief"),SUM(O782)*FLOOR(SUM(Q782),0.01),S782&gt;0,IF(F782&lt;&gt;"",FLOOR(SUM(S782),0.01),"")),""),""),"")</f>
        <v/>
      </c>
      <c r="V782" s="317" t="str" cm="1">
        <f t="array" aca="1" ref="V782" ca="1">IFERROR(IF(AA782&lt;&gt;"ja",_xlfn.IFNA(_xlfn.IFS(AND(P782&lt;&gt;"",R782&lt;&gt;"",RIGHT($N782,6)="tarief",F782="Vergoeding"),SUM(P782)*FLOOR(SUM(R782),0.0001),AND(P782&lt;&gt;"",R782&lt;&gt;"",RIGHT($N782,6)="tarief"),P782*FLOOR(R782,0.01),T782&gt;0,FLOOR(SUM(T782),0.01)),""),""),"")</f>
        <v/>
      </c>
      <c r="W782" s="317" t="str" cm="1">
        <f t="array" aca="1" ref="W782" ca="1">IFERROR(_xlfn.IFS(OR(F782="",LEFT(Methode_Keuze,4)="Geen",Methode_Keuze=""),"",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17" t="str" cm="1">
        <f t="array" aca="1" ref="X782" ca="1">IFERROR(_xlfn.IFS(OR(F782="",LEFT(Methode_Keuze,4)="Geen",Methode_Keuze=""),"",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26"/>
      <c r="Z782" s="319"/>
      <c r="AA782" s="32" t="str" cm="1">
        <f t="array" ref="AA782">IFERROR(IF(INDEX(SubsidieTabel!$AD$1:$AG$12,MATCH($F782,SubsidieTabel!$AD$1:$AD$12,0),IFERROR(MATCH(Methode_Keuze,SubsidieTabel!$AD$1:$AG$1,0),2))&lt;&gt;1=TRUE,"ja",""),"")</f>
        <v/>
      </c>
    </row>
    <row r="783" spans="1:27" x14ac:dyDescent="0.25">
      <c r="A783" s="320"/>
      <c r="B783" s="321" t="str">
        <f>IF(A783&lt;&gt;"",_xlfn.MAXIFS($B$1:B782,$A$1:A782,A783)+1,"")</f>
        <v/>
      </c>
      <c r="C783" s="299"/>
      <c r="D783" s="299"/>
      <c r="E783" s="299"/>
      <c r="F783" s="299"/>
      <c r="G783" s="330"/>
      <c r="H783" s="328"/>
      <c r="I783" s="329"/>
      <c r="J783" s="329"/>
      <c r="K783" s="322"/>
      <c r="L783" s="322"/>
      <c r="M783" s="323" t="str">
        <f>IFERROR(VLOOKUP(H783,Lijsten!$H$1:$I$100,2,0),"")</f>
        <v/>
      </c>
      <c r="N783" s="323" t="str">
        <f ca="1">IFERROR(IF(VLOOKUP(F783,Kostentypen!$A$3:$E$21,3,0)=0,"",IF(OR(F783="Arbeidskosten",F783="Vergoeding"),VLOOKUP(G783,Tb_KostenTypen[],2,0),VLOOKUP(F783,Kostentypen!$A$3:$E$20,3,0))),"")</f>
        <v/>
      </c>
      <c r="O783" s="324"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4"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3"/>
      <c r="R783" s="363"/>
      <c r="S783" s="325"/>
      <c r="T783" s="325"/>
      <c r="U783" s="317" t="str" cm="1">
        <f t="array" aca="1" ref="U783" ca="1">IFERROR(IF(AA783&lt;&gt;"ja",_xlfn.IFNA(_xlfn.IFS(AND(O783&lt;&gt;"",F783&lt;&gt;"",RIGHT($N783,6)="tarief",F783="Vergoeding"),SUM(O783)*FLOOR(SUM(Q783),0.0001),AND(O783&lt;&gt;"",F783&lt;&gt;"",RIGHT($N783,6)="tarief"),SUM(O783)*FLOOR(SUM(Q783),0.01),S783&gt;0,IF(F783&lt;&gt;"",FLOOR(SUM(S783),0.01),"")),""),""),"")</f>
        <v/>
      </c>
      <c r="V783" s="317" t="str" cm="1">
        <f t="array" aca="1" ref="V783" ca="1">IFERROR(IF(AA783&lt;&gt;"ja",_xlfn.IFNA(_xlfn.IFS(AND(P783&lt;&gt;"",R783&lt;&gt;"",RIGHT($N783,6)="tarief",F783="Vergoeding"),SUM(P783)*FLOOR(SUM(R783),0.0001),AND(P783&lt;&gt;"",R783&lt;&gt;"",RIGHT($N783,6)="tarief"),P783*FLOOR(R783,0.01),T783&gt;0,FLOOR(SUM(T783),0.01)),""),""),"")</f>
        <v/>
      </c>
      <c r="W783" s="317" t="str" cm="1">
        <f t="array" aca="1" ref="W783" ca="1">IFERROR(_xlfn.IFS(OR(F783="",LEFT(Methode_Keuze,4)="Geen",Methode_Keuze=""),"",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17" t="str" cm="1">
        <f t="array" aca="1" ref="X783" ca="1">IFERROR(_xlfn.IFS(OR(F783="",LEFT(Methode_Keuze,4)="Geen",Methode_Keuze=""),"",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26"/>
      <c r="Z783" s="319"/>
      <c r="AA783" s="32" t="str" cm="1">
        <f t="array" ref="AA783">IFERROR(IF(INDEX(SubsidieTabel!$AD$1:$AG$12,MATCH($F783,SubsidieTabel!$AD$1:$AD$12,0),IFERROR(MATCH(Methode_Keuze,SubsidieTabel!$AD$1:$AG$1,0),2))&lt;&gt;1=TRUE,"ja",""),"")</f>
        <v/>
      </c>
    </row>
    <row r="784" spans="1:27" x14ac:dyDescent="0.25">
      <c r="A784" s="320"/>
      <c r="B784" s="321" t="str">
        <f>IF(A784&lt;&gt;"",_xlfn.MAXIFS($B$1:B783,$A$1:A783,A784)+1,"")</f>
        <v/>
      </c>
      <c r="C784" s="299"/>
      <c r="D784" s="299"/>
      <c r="E784" s="299"/>
      <c r="F784" s="299"/>
      <c r="G784" s="330"/>
      <c r="H784" s="328"/>
      <c r="I784" s="329"/>
      <c r="J784" s="329"/>
      <c r="K784" s="322"/>
      <c r="L784" s="322"/>
      <c r="M784" s="323" t="str">
        <f>IFERROR(VLOOKUP(H784,Lijsten!$H$1:$I$100,2,0),"")</f>
        <v/>
      </c>
      <c r="N784" s="323" t="str">
        <f ca="1">IFERROR(IF(VLOOKUP(F784,Kostentypen!$A$3:$E$21,3,0)=0,"",IF(OR(F784="Arbeidskosten",F784="Vergoeding"),VLOOKUP(G784,Tb_KostenTypen[],2,0),VLOOKUP(F784,Kostentypen!$A$3:$E$20,3,0))),"")</f>
        <v/>
      </c>
      <c r="O784" s="324"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4"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3"/>
      <c r="R784" s="363"/>
      <c r="S784" s="325"/>
      <c r="T784" s="325"/>
      <c r="U784" s="317" t="str" cm="1">
        <f t="array" aca="1" ref="U784" ca="1">IFERROR(IF(AA784&lt;&gt;"ja",_xlfn.IFNA(_xlfn.IFS(AND(O784&lt;&gt;"",F784&lt;&gt;"",RIGHT($N784,6)="tarief",F784="Vergoeding"),SUM(O784)*FLOOR(SUM(Q784),0.0001),AND(O784&lt;&gt;"",F784&lt;&gt;"",RIGHT($N784,6)="tarief"),SUM(O784)*FLOOR(SUM(Q784),0.01),S784&gt;0,IF(F784&lt;&gt;"",FLOOR(SUM(S784),0.01),"")),""),""),"")</f>
        <v/>
      </c>
      <c r="V784" s="317" t="str" cm="1">
        <f t="array" aca="1" ref="V784" ca="1">IFERROR(IF(AA784&lt;&gt;"ja",_xlfn.IFNA(_xlfn.IFS(AND(P784&lt;&gt;"",R784&lt;&gt;"",RIGHT($N784,6)="tarief",F784="Vergoeding"),SUM(P784)*FLOOR(SUM(R784),0.0001),AND(P784&lt;&gt;"",R784&lt;&gt;"",RIGHT($N784,6)="tarief"),P784*FLOOR(R784,0.01),T784&gt;0,FLOOR(SUM(T784),0.01)),""),""),"")</f>
        <v/>
      </c>
      <c r="W784" s="317" t="str" cm="1">
        <f t="array" aca="1" ref="W784" ca="1">IFERROR(_xlfn.IFS(OR(F784="",LEFT(Methode_Keuze,4)="Geen",Methode_Keuze=""),"",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17" t="str" cm="1">
        <f t="array" aca="1" ref="X784" ca="1">IFERROR(_xlfn.IFS(OR(F784="",LEFT(Methode_Keuze,4)="Geen",Methode_Keuze=""),"",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26"/>
      <c r="Z784" s="319"/>
      <c r="AA784" s="32" t="str" cm="1">
        <f t="array" ref="AA784">IFERROR(IF(INDEX(SubsidieTabel!$AD$1:$AG$12,MATCH($F784,SubsidieTabel!$AD$1:$AD$12,0),IFERROR(MATCH(Methode_Keuze,SubsidieTabel!$AD$1:$AG$1,0),2))&lt;&gt;1=TRUE,"ja",""),"")</f>
        <v/>
      </c>
    </row>
    <row r="785" spans="1:27" x14ac:dyDescent="0.25">
      <c r="A785" s="320"/>
      <c r="B785" s="321" t="str">
        <f>IF(A785&lt;&gt;"",_xlfn.MAXIFS($B$1:B784,$A$1:A784,A785)+1,"")</f>
        <v/>
      </c>
      <c r="C785" s="299"/>
      <c r="D785" s="299"/>
      <c r="E785" s="299"/>
      <c r="F785" s="299"/>
      <c r="G785" s="330"/>
      <c r="H785" s="328"/>
      <c r="I785" s="329"/>
      <c r="J785" s="329"/>
      <c r="K785" s="322"/>
      <c r="L785" s="322"/>
      <c r="M785" s="323" t="str">
        <f>IFERROR(VLOOKUP(H785,Lijsten!$H$1:$I$100,2,0),"")</f>
        <v/>
      </c>
      <c r="N785" s="323" t="str">
        <f ca="1">IFERROR(IF(VLOOKUP(F785,Kostentypen!$A$3:$E$21,3,0)=0,"",IF(OR(F785="Arbeidskosten",F785="Vergoeding"),VLOOKUP(G785,Tb_KostenTypen[],2,0),VLOOKUP(F785,Kostentypen!$A$3:$E$20,3,0))),"")</f>
        <v/>
      </c>
      <c r="O785" s="324"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4"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3"/>
      <c r="R785" s="363"/>
      <c r="S785" s="325"/>
      <c r="T785" s="325"/>
      <c r="U785" s="317" t="str" cm="1">
        <f t="array" aca="1" ref="U785" ca="1">IFERROR(IF(AA785&lt;&gt;"ja",_xlfn.IFNA(_xlfn.IFS(AND(O785&lt;&gt;"",F785&lt;&gt;"",RIGHT($N785,6)="tarief",F785="Vergoeding"),SUM(O785)*FLOOR(SUM(Q785),0.0001),AND(O785&lt;&gt;"",F785&lt;&gt;"",RIGHT($N785,6)="tarief"),SUM(O785)*FLOOR(SUM(Q785),0.01),S785&gt;0,IF(F785&lt;&gt;"",FLOOR(SUM(S785),0.01),"")),""),""),"")</f>
        <v/>
      </c>
      <c r="V785" s="317" t="str" cm="1">
        <f t="array" aca="1" ref="V785" ca="1">IFERROR(IF(AA785&lt;&gt;"ja",_xlfn.IFNA(_xlfn.IFS(AND(P785&lt;&gt;"",R785&lt;&gt;"",RIGHT($N785,6)="tarief",F785="Vergoeding"),SUM(P785)*FLOOR(SUM(R785),0.0001),AND(P785&lt;&gt;"",R785&lt;&gt;"",RIGHT($N785,6)="tarief"),P785*FLOOR(R785,0.01),T785&gt;0,FLOOR(SUM(T785),0.01)),""),""),"")</f>
        <v/>
      </c>
      <c r="W785" s="317" t="str" cm="1">
        <f t="array" aca="1" ref="W785" ca="1">IFERROR(_xlfn.IFS(OR(F785="",LEFT(Methode_Keuze,4)="Geen",Methode_Keuze=""),"",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17" t="str" cm="1">
        <f t="array" aca="1" ref="X785" ca="1">IFERROR(_xlfn.IFS(OR(F785="",LEFT(Methode_Keuze,4)="Geen",Methode_Keuze=""),"",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26"/>
      <c r="Z785" s="319"/>
      <c r="AA785" s="32" t="str" cm="1">
        <f t="array" ref="AA785">IFERROR(IF(INDEX(SubsidieTabel!$AD$1:$AG$12,MATCH($F785,SubsidieTabel!$AD$1:$AD$12,0),IFERROR(MATCH(Methode_Keuze,SubsidieTabel!$AD$1:$AG$1,0),2))&lt;&gt;1=TRUE,"ja",""),"")</f>
        <v/>
      </c>
    </row>
    <row r="786" spans="1:27" x14ac:dyDescent="0.25">
      <c r="A786" s="320"/>
      <c r="B786" s="321" t="str">
        <f>IF(A786&lt;&gt;"",_xlfn.MAXIFS($B$1:B785,$A$1:A785,A786)+1,"")</f>
        <v/>
      </c>
      <c r="C786" s="299"/>
      <c r="D786" s="299"/>
      <c r="E786" s="299"/>
      <c r="F786" s="299"/>
      <c r="G786" s="330"/>
      <c r="H786" s="328"/>
      <c r="I786" s="329"/>
      <c r="J786" s="329"/>
      <c r="K786" s="322"/>
      <c r="L786" s="322"/>
      <c r="M786" s="323" t="str">
        <f>IFERROR(VLOOKUP(H786,Lijsten!$H$1:$I$100,2,0),"")</f>
        <v/>
      </c>
      <c r="N786" s="323" t="str">
        <f ca="1">IFERROR(IF(VLOOKUP(F786,Kostentypen!$A$3:$E$21,3,0)=0,"",IF(OR(F786="Arbeidskosten",F786="Vergoeding"),VLOOKUP(G786,Tb_KostenTypen[],2,0),VLOOKUP(F786,Kostentypen!$A$3:$E$20,3,0))),"")</f>
        <v/>
      </c>
      <c r="O786" s="324"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4"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3"/>
      <c r="R786" s="363"/>
      <c r="S786" s="325"/>
      <c r="T786" s="325"/>
      <c r="U786" s="317" t="str" cm="1">
        <f t="array" aca="1" ref="U786" ca="1">IFERROR(IF(AA786&lt;&gt;"ja",_xlfn.IFNA(_xlfn.IFS(AND(O786&lt;&gt;"",F786&lt;&gt;"",RIGHT($N786,6)="tarief",F786="Vergoeding"),SUM(O786)*FLOOR(SUM(Q786),0.0001),AND(O786&lt;&gt;"",F786&lt;&gt;"",RIGHT($N786,6)="tarief"),SUM(O786)*FLOOR(SUM(Q786),0.01),S786&gt;0,IF(F786&lt;&gt;"",FLOOR(SUM(S786),0.01),"")),""),""),"")</f>
        <v/>
      </c>
      <c r="V786" s="317" t="str" cm="1">
        <f t="array" aca="1" ref="V786" ca="1">IFERROR(IF(AA786&lt;&gt;"ja",_xlfn.IFNA(_xlfn.IFS(AND(P786&lt;&gt;"",R786&lt;&gt;"",RIGHT($N786,6)="tarief",F786="Vergoeding"),SUM(P786)*FLOOR(SUM(R786),0.0001),AND(P786&lt;&gt;"",R786&lt;&gt;"",RIGHT($N786,6)="tarief"),P786*FLOOR(R786,0.01),T786&gt;0,FLOOR(SUM(T786),0.01)),""),""),"")</f>
        <v/>
      </c>
      <c r="W786" s="317" t="str" cm="1">
        <f t="array" aca="1" ref="W786" ca="1">IFERROR(_xlfn.IFS(OR(F786="",LEFT(Methode_Keuze,4)="Geen",Methode_Keuze=""),"",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17" t="str" cm="1">
        <f t="array" aca="1" ref="X786" ca="1">IFERROR(_xlfn.IFS(OR(F786="",LEFT(Methode_Keuze,4)="Geen",Methode_Keuze=""),"",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26"/>
      <c r="Z786" s="319"/>
      <c r="AA786" s="32" t="str" cm="1">
        <f t="array" ref="AA786">IFERROR(IF(INDEX(SubsidieTabel!$AD$1:$AG$12,MATCH($F786,SubsidieTabel!$AD$1:$AD$12,0),IFERROR(MATCH(Methode_Keuze,SubsidieTabel!$AD$1:$AG$1,0),2))&lt;&gt;1=TRUE,"ja",""),"")</f>
        <v/>
      </c>
    </row>
    <row r="787" spans="1:27" x14ac:dyDescent="0.25">
      <c r="A787" s="320"/>
      <c r="B787" s="321" t="str">
        <f>IF(A787&lt;&gt;"",_xlfn.MAXIFS($B$1:B786,$A$1:A786,A787)+1,"")</f>
        <v/>
      </c>
      <c r="C787" s="299"/>
      <c r="D787" s="299"/>
      <c r="E787" s="299"/>
      <c r="F787" s="299"/>
      <c r="G787" s="330"/>
      <c r="H787" s="328"/>
      <c r="I787" s="329"/>
      <c r="J787" s="329"/>
      <c r="K787" s="322"/>
      <c r="L787" s="322"/>
      <c r="M787" s="323" t="str">
        <f>IFERROR(VLOOKUP(H787,Lijsten!$H$1:$I$100,2,0),"")</f>
        <v/>
      </c>
      <c r="N787" s="323" t="str">
        <f ca="1">IFERROR(IF(VLOOKUP(F787,Kostentypen!$A$3:$E$21,3,0)=0,"",IF(OR(F787="Arbeidskosten",F787="Vergoeding"),VLOOKUP(G787,Tb_KostenTypen[],2,0),VLOOKUP(F787,Kostentypen!$A$3:$E$20,3,0))),"")</f>
        <v/>
      </c>
      <c r="O787" s="324"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4"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3"/>
      <c r="R787" s="363"/>
      <c r="S787" s="325"/>
      <c r="T787" s="325"/>
      <c r="U787" s="317" t="str" cm="1">
        <f t="array" aca="1" ref="U787" ca="1">IFERROR(IF(AA787&lt;&gt;"ja",_xlfn.IFNA(_xlfn.IFS(AND(O787&lt;&gt;"",F787&lt;&gt;"",RIGHT($N787,6)="tarief",F787="Vergoeding"),SUM(O787)*FLOOR(SUM(Q787),0.0001),AND(O787&lt;&gt;"",F787&lt;&gt;"",RIGHT($N787,6)="tarief"),SUM(O787)*FLOOR(SUM(Q787),0.01),S787&gt;0,IF(F787&lt;&gt;"",FLOOR(SUM(S787),0.01),"")),""),""),"")</f>
        <v/>
      </c>
      <c r="V787" s="317" t="str" cm="1">
        <f t="array" aca="1" ref="V787" ca="1">IFERROR(IF(AA787&lt;&gt;"ja",_xlfn.IFNA(_xlfn.IFS(AND(P787&lt;&gt;"",R787&lt;&gt;"",RIGHT($N787,6)="tarief",F787="Vergoeding"),SUM(P787)*FLOOR(SUM(R787),0.0001),AND(P787&lt;&gt;"",R787&lt;&gt;"",RIGHT($N787,6)="tarief"),P787*FLOOR(R787,0.01),T787&gt;0,FLOOR(SUM(T787),0.01)),""),""),"")</f>
        <v/>
      </c>
      <c r="W787" s="317" t="str" cm="1">
        <f t="array" aca="1" ref="W787" ca="1">IFERROR(_xlfn.IFS(OR(F787="",LEFT(Methode_Keuze,4)="Geen",Methode_Keuze=""),"",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17" t="str" cm="1">
        <f t="array" aca="1" ref="X787" ca="1">IFERROR(_xlfn.IFS(OR(F787="",LEFT(Methode_Keuze,4)="Geen",Methode_Keuze=""),"",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26"/>
      <c r="Z787" s="319"/>
      <c r="AA787" s="32" t="str" cm="1">
        <f t="array" ref="AA787">IFERROR(IF(INDEX(SubsidieTabel!$AD$1:$AG$12,MATCH($F787,SubsidieTabel!$AD$1:$AD$12,0),IFERROR(MATCH(Methode_Keuze,SubsidieTabel!$AD$1:$AG$1,0),2))&lt;&gt;1=TRUE,"ja",""),"")</f>
        <v/>
      </c>
    </row>
    <row r="788" spans="1:27" x14ac:dyDescent="0.25">
      <c r="A788" s="320"/>
      <c r="B788" s="321" t="str">
        <f>IF(A788&lt;&gt;"",_xlfn.MAXIFS($B$1:B787,$A$1:A787,A788)+1,"")</f>
        <v/>
      </c>
      <c r="C788" s="299"/>
      <c r="D788" s="299"/>
      <c r="E788" s="299"/>
      <c r="F788" s="299"/>
      <c r="G788" s="330"/>
      <c r="H788" s="328"/>
      <c r="I788" s="329"/>
      <c r="J788" s="329"/>
      <c r="K788" s="322"/>
      <c r="L788" s="322"/>
      <c r="M788" s="323" t="str">
        <f>IFERROR(VLOOKUP(H788,Lijsten!$H$1:$I$100,2,0),"")</f>
        <v/>
      </c>
      <c r="N788" s="323" t="str">
        <f ca="1">IFERROR(IF(VLOOKUP(F788,Kostentypen!$A$3:$E$21,3,0)=0,"",IF(OR(F788="Arbeidskosten",F788="Vergoeding"),VLOOKUP(G788,Tb_KostenTypen[],2,0),VLOOKUP(F788,Kostentypen!$A$3:$E$20,3,0))),"")</f>
        <v/>
      </c>
      <c r="O788" s="324"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4"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3"/>
      <c r="R788" s="363"/>
      <c r="S788" s="325"/>
      <c r="T788" s="325"/>
      <c r="U788" s="317" t="str" cm="1">
        <f t="array" aca="1" ref="U788" ca="1">IFERROR(IF(AA788&lt;&gt;"ja",_xlfn.IFNA(_xlfn.IFS(AND(O788&lt;&gt;"",F788&lt;&gt;"",RIGHT($N788,6)="tarief",F788="Vergoeding"),SUM(O788)*FLOOR(SUM(Q788),0.0001),AND(O788&lt;&gt;"",F788&lt;&gt;"",RIGHT($N788,6)="tarief"),SUM(O788)*FLOOR(SUM(Q788),0.01),S788&gt;0,IF(F788&lt;&gt;"",FLOOR(SUM(S788),0.01),"")),""),""),"")</f>
        <v/>
      </c>
      <c r="V788" s="317" t="str" cm="1">
        <f t="array" aca="1" ref="V788" ca="1">IFERROR(IF(AA788&lt;&gt;"ja",_xlfn.IFNA(_xlfn.IFS(AND(P788&lt;&gt;"",R788&lt;&gt;"",RIGHT($N788,6)="tarief",F788="Vergoeding"),SUM(P788)*FLOOR(SUM(R788),0.0001),AND(P788&lt;&gt;"",R788&lt;&gt;"",RIGHT($N788,6)="tarief"),P788*FLOOR(R788,0.01),T788&gt;0,FLOOR(SUM(T788),0.01)),""),""),"")</f>
        <v/>
      </c>
      <c r="W788" s="317" t="str" cm="1">
        <f t="array" aca="1" ref="W788" ca="1">IFERROR(_xlfn.IFS(OR(F788="",LEFT(Methode_Keuze,4)="Geen",Methode_Keuze=""),"",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17" t="str" cm="1">
        <f t="array" aca="1" ref="X788" ca="1">IFERROR(_xlfn.IFS(OR(F788="",LEFT(Methode_Keuze,4)="Geen",Methode_Keuze=""),"",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26"/>
      <c r="Z788" s="319"/>
      <c r="AA788" s="32" t="str" cm="1">
        <f t="array" ref="AA788">IFERROR(IF(INDEX(SubsidieTabel!$AD$1:$AG$12,MATCH($F788,SubsidieTabel!$AD$1:$AD$12,0),IFERROR(MATCH(Methode_Keuze,SubsidieTabel!$AD$1:$AG$1,0),2))&lt;&gt;1=TRUE,"ja",""),"")</f>
        <v/>
      </c>
    </row>
    <row r="789" spans="1:27" x14ac:dyDescent="0.25">
      <c r="A789" s="320"/>
      <c r="B789" s="321" t="str">
        <f>IF(A789&lt;&gt;"",_xlfn.MAXIFS($B$1:B788,$A$1:A788,A789)+1,"")</f>
        <v/>
      </c>
      <c r="C789" s="299"/>
      <c r="D789" s="299"/>
      <c r="E789" s="299"/>
      <c r="F789" s="299"/>
      <c r="G789" s="330"/>
      <c r="H789" s="328"/>
      <c r="I789" s="329"/>
      <c r="J789" s="329"/>
      <c r="K789" s="322"/>
      <c r="L789" s="322"/>
      <c r="M789" s="323" t="str">
        <f>IFERROR(VLOOKUP(H789,Lijsten!$H$1:$I$100,2,0),"")</f>
        <v/>
      </c>
      <c r="N789" s="323" t="str">
        <f ca="1">IFERROR(IF(VLOOKUP(F789,Kostentypen!$A$3:$E$21,3,0)=0,"",IF(OR(F789="Arbeidskosten",F789="Vergoeding"),VLOOKUP(G789,Tb_KostenTypen[],2,0),VLOOKUP(F789,Kostentypen!$A$3:$E$20,3,0))),"")</f>
        <v/>
      </c>
      <c r="O789" s="324"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4"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3"/>
      <c r="R789" s="363"/>
      <c r="S789" s="325"/>
      <c r="T789" s="325"/>
      <c r="U789" s="317" t="str" cm="1">
        <f t="array" aca="1" ref="U789" ca="1">IFERROR(IF(AA789&lt;&gt;"ja",_xlfn.IFNA(_xlfn.IFS(AND(O789&lt;&gt;"",F789&lt;&gt;"",RIGHT($N789,6)="tarief",F789="Vergoeding"),SUM(O789)*FLOOR(SUM(Q789),0.0001),AND(O789&lt;&gt;"",F789&lt;&gt;"",RIGHT($N789,6)="tarief"),SUM(O789)*FLOOR(SUM(Q789),0.01),S789&gt;0,IF(F789&lt;&gt;"",FLOOR(SUM(S789),0.01),"")),""),""),"")</f>
        <v/>
      </c>
      <c r="V789" s="317" t="str" cm="1">
        <f t="array" aca="1" ref="V789" ca="1">IFERROR(IF(AA789&lt;&gt;"ja",_xlfn.IFNA(_xlfn.IFS(AND(P789&lt;&gt;"",R789&lt;&gt;"",RIGHT($N789,6)="tarief",F789="Vergoeding"),SUM(P789)*FLOOR(SUM(R789),0.0001),AND(P789&lt;&gt;"",R789&lt;&gt;"",RIGHT($N789,6)="tarief"),P789*FLOOR(R789,0.01),T789&gt;0,FLOOR(SUM(T789),0.01)),""),""),"")</f>
        <v/>
      </c>
      <c r="W789" s="317" t="str" cm="1">
        <f t="array" aca="1" ref="W789" ca="1">IFERROR(_xlfn.IFS(OR(F789="",LEFT(Methode_Keuze,4)="Geen",Methode_Keuze=""),"",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17" t="str" cm="1">
        <f t="array" aca="1" ref="X789" ca="1">IFERROR(_xlfn.IFS(OR(F789="",LEFT(Methode_Keuze,4)="Geen",Methode_Keuze=""),"",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26"/>
      <c r="Z789" s="319"/>
      <c r="AA789" s="32" t="str" cm="1">
        <f t="array" ref="AA789">IFERROR(IF(INDEX(SubsidieTabel!$AD$1:$AG$12,MATCH($F789,SubsidieTabel!$AD$1:$AD$12,0),IFERROR(MATCH(Methode_Keuze,SubsidieTabel!$AD$1:$AG$1,0),2))&lt;&gt;1=TRUE,"ja",""),"")</f>
        <v/>
      </c>
    </row>
    <row r="790" spans="1:27" x14ac:dyDescent="0.25">
      <c r="A790" s="320"/>
      <c r="B790" s="321" t="str">
        <f>IF(A790&lt;&gt;"",_xlfn.MAXIFS($B$1:B789,$A$1:A789,A790)+1,"")</f>
        <v/>
      </c>
      <c r="C790" s="299"/>
      <c r="D790" s="299"/>
      <c r="E790" s="299"/>
      <c r="F790" s="299"/>
      <c r="G790" s="330"/>
      <c r="H790" s="328"/>
      <c r="I790" s="329"/>
      <c r="J790" s="329"/>
      <c r="K790" s="322"/>
      <c r="L790" s="322"/>
      <c r="M790" s="323" t="str">
        <f>IFERROR(VLOOKUP(H790,Lijsten!$H$1:$I$100,2,0),"")</f>
        <v/>
      </c>
      <c r="N790" s="323" t="str">
        <f ca="1">IFERROR(IF(VLOOKUP(F790,Kostentypen!$A$3:$E$21,3,0)=0,"",IF(OR(F790="Arbeidskosten",F790="Vergoeding"),VLOOKUP(G790,Tb_KostenTypen[],2,0),VLOOKUP(F790,Kostentypen!$A$3:$E$20,3,0))),"")</f>
        <v/>
      </c>
      <c r="O790" s="324"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4"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3"/>
      <c r="R790" s="363"/>
      <c r="S790" s="325"/>
      <c r="T790" s="325"/>
      <c r="U790" s="317" t="str" cm="1">
        <f t="array" aca="1" ref="U790" ca="1">IFERROR(IF(AA790&lt;&gt;"ja",_xlfn.IFNA(_xlfn.IFS(AND(O790&lt;&gt;"",F790&lt;&gt;"",RIGHT($N790,6)="tarief",F790="Vergoeding"),SUM(O790)*FLOOR(SUM(Q790),0.0001),AND(O790&lt;&gt;"",F790&lt;&gt;"",RIGHT($N790,6)="tarief"),SUM(O790)*FLOOR(SUM(Q790),0.01),S790&gt;0,IF(F790&lt;&gt;"",FLOOR(SUM(S790),0.01),"")),""),""),"")</f>
        <v/>
      </c>
      <c r="V790" s="317" t="str" cm="1">
        <f t="array" aca="1" ref="V790" ca="1">IFERROR(IF(AA790&lt;&gt;"ja",_xlfn.IFNA(_xlfn.IFS(AND(P790&lt;&gt;"",R790&lt;&gt;"",RIGHT($N790,6)="tarief",F790="Vergoeding"),SUM(P790)*FLOOR(SUM(R790),0.0001),AND(P790&lt;&gt;"",R790&lt;&gt;"",RIGHT($N790,6)="tarief"),P790*FLOOR(R790,0.01),T790&gt;0,FLOOR(SUM(T790),0.01)),""),""),"")</f>
        <v/>
      </c>
      <c r="W790" s="317" t="str" cm="1">
        <f t="array" aca="1" ref="W790" ca="1">IFERROR(_xlfn.IFS(OR(F790="",LEFT(Methode_Keuze,4)="Geen",Methode_Keuze=""),"",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17" t="str" cm="1">
        <f t="array" aca="1" ref="X790" ca="1">IFERROR(_xlfn.IFS(OR(F790="",LEFT(Methode_Keuze,4)="Geen",Methode_Keuze=""),"",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26"/>
      <c r="Z790" s="319"/>
      <c r="AA790" s="32" t="str" cm="1">
        <f t="array" ref="AA790">IFERROR(IF(INDEX(SubsidieTabel!$AD$1:$AG$12,MATCH($F790,SubsidieTabel!$AD$1:$AD$12,0),IFERROR(MATCH(Methode_Keuze,SubsidieTabel!$AD$1:$AG$1,0),2))&lt;&gt;1=TRUE,"ja",""),"")</f>
        <v/>
      </c>
    </row>
    <row r="791" spans="1:27" x14ac:dyDescent="0.25">
      <c r="A791" s="320"/>
      <c r="B791" s="321" t="str">
        <f>IF(A791&lt;&gt;"",_xlfn.MAXIFS($B$1:B790,$A$1:A790,A791)+1,"")</f>
        <v/>
      </c>
      <c r="C791" s="299"/>
      <c r="D791" s="299"/>
      <c r="E791" s="299"/>
      <c r="F791" s="299"/>
      <c r="G791" s="330"/>
      <c r="H791" s="328"/>
      <c r="I791" s="329"/>
      <c r="J791" s="329"/>
      <c r="K791" s="322"/>
      <c r="L791" s="322"/>
      <c r="M791" s="323" t="str">
        <f>IFERROR(VLOOKUP(H791,Lijsten!$H$1:$I$100,2,0),"")</f>
        <v/>
      </c>
      <c r="N791" s="323" t="str">
        <f ca="1">IFERROR(IF(VLOOKUP(F791,Kostentypen!$A$3:$E$21,3,0)=0,"",IF(OR(F791="Arbeidskosten",F791="Vergoeding"),VLOOKUP(G791,Tb_KostenTypen[],2,0),VLOOKUP(F791,Kostentypen!$A$3:$E$20,3,0))),"")</f>
        <v/>
      </c>
      <c r="O791" s="324"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4"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3"/>
      <c r="R791" s="363"/>
      <c r="S791" s="325"/>
      <c r="T791" s="325"/>
      <c r="U791" s="317" t="str" cm="1">
        <f t="array" aca="1" ref="U791" ca="1">IFERROR(IF(AA791&lt;&gt;"ja",_xlfn.IFNA(_xlfn.IFS(AND(O791&lt;&gt;"",F791&lt;&gt;"",RIGHT($N791,6)="tarief",F791="Vergoeding"),SUM(O791)*FLOOR(SUM(Q791),0.0001),AND(O791&lt;&gt;"",F791&lt;&gt;"",RIGHT($N791,6)="tarief"),SUM(O791)*FLOOR(SUM(Q791),0.01),S791&gt;0,IF(F791&lt;&gt;"",FLOOR(SUM(S791),0.01),"")),""),""),"")</f>
        <v/>
      </c>
      <c r="V791" s="317" t="str" cm="1">
        <f t="array" aca="1" ref="V791" ca="1">IFERROR(IF(AA791&lt;&gt;"ja",_xlfn.IFNA(_xlfn.IFS(AND(P791&lt;&gt;"",R791&lt;&gt;"",RIGHT($N791,6)="tarief",F791="Vergoeding"),SUM(P791)*FLOOR(SUM(R791),0.0001),AND(P791&lt;&gt;"",R791&lt;&gt;"",RIGHT($N791,6)="tarief"),P791*FLOOR(R791,0.01),T791&gt;0,FLOOR(SUM(T791),0.01)),""),""),"")</f>
        <v/>
      </c>
      <c r="W791" s="317" t="str" cm="1">
        <f t="array" aca="1" ref="W791" ca="1">IFERROR(_xlfn.IFS(OR(F791="",LEFT(Methode_Keuze,4)="Geen",Methode_Keuze=""),"",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17" t="str" cm="1">
        <f t="array" aca="1" ref="X791" ca="1">IFERROR(_xlfn.IFS(OR(F791="",LEFT(Methode_Keuze,4)="Geen",Methode_Keuze=""),"",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26"/>
      <c r="Z791" s="319"/>
      <c r="AA791" s="32" t="str" cm="1">
        <f t="array" ref="AA791">IFERROR(IF(INDEX(SubsidieTabel!$AD$1:$AG$12,MATCH($F791,SubsidieTabel!$AD$1:$AD$12,0),IFERROR(MATCH(Methode_Keuze,SubsidieTabel!$AD$1:$AG$1,0),2))&lt;&gt;1=TRUE,"ja",""),"")</f>
        <v/>
      </c>
    </row>
    <row r="792" spans="1:27" x14ac:dyDescent="0.25">
      <c r="A792" s="320"/>
      <c r="B792" s="321" t="str">
        <f>IF(A792&lt;&gt;"",_xlfn.MAXIFS($B$1:B791,$A$1:A791,A792)+1,"")</f>
        <v/>
      </c>
      <c r="C792" s="299"/>
      <c r="D792" s="299"/>
      <c r="E792" s="299"/>
      <c r="F792" s="299"/>
      <c r="G792" s="330"/>
      <c r="H792" s="328"/>
      <c r="I792" s="329"/>
      <c r="J792" s="329"/>
      <c r="K792" s="322"/>
      <c r="L792" s="322"/>
      <c r="M792" s="323" t="str">
        <f>IFERROR(VLOOKUP(H792,Lijsten!$H$1:$I$100,2,0),"")</f>
        <v/>
      </c>
      <c r="N792" s="323" t="str">
        <f ca="1">IFERROR(IF(VLOOKUP(F792,Kostentypen!$A$3:$E$21,3,0)=0,"",IF(OR(F792="Arbeidskosten",F792="Vergoeding"),VLOOKUP(G792,Tb_KostenTypen[],2,0),VLOOKUP(F792,Kostentypen!$A$3:$E$20,3,0))),"")</f>
        <v/>
      </c>
      <c r="O792" s="324"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4"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3"/>
      <c r="R792" s="363"/>
      <c r="S792" s="325"/>
      <c r="T792" s="325"/>
      <c r="U792" s="317" t="str" cm="1">
        <f t="array" aca="1" ref="U792" ca="1">IFERROR(IF(AA792&lt;&gt;"ja",_xlfn.IFNA(_xlfn.IFS(AND(O792&lt;&gt;"",F792&lt;&gt;"",RIGHT($N792,6)="tarief",F792="Vergoeding"),SUM(O792)*FLOOR(SUM(Q792),0.0001),AND(O792&lt;&gt;"",F792&lt;&gt;"",RIGHT($N792,6)="tarief"),SUM(O792)*FLOOR(SUM(Q792),0.01),S792&gt;0,IF(F792&lt;&gt;"",FLOOR(SUM(S792),0.01),"")),""),""),"")</f>
        <v/>
      </c>
      <c r="V792" s="317" t="str" cm="1">
        <f t="array" aca="1" ref="V792" ca="1">IFERROR(IF(AA792&lt;&gt;"ja",_xlfn.IFNA(_xlfn.IFS(AND(P792&lt;&gt;"",R792&lt;&gt;"",RIGHT($N792,6)="tarief",F792="Vergoeding"),SUM(P792)*FLOOR(SUM(R792),0.0001),AND(P792&lt;&gt;"",R792&lt;&gt;"",RIGHT($N792,6)="tarief"),P792*FLOOR(R792,0.01),T792&gt;0,FLOOR(SUM(T792),0.01)),""),""),"")</f>
        <v/>
      </c>
      <c r="W792" s="317" t="str" cm="1">
        <f t="array" aca="1" ref="W792" ca="1">IFERROR(_xlfn.IFS(OR(F792="",LEFT(Methode_Keuze,4)="Geen",Methode_Keuze=""),"",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17" t="str" cm="1">
        <f t="array" aca="1" ref="X792" ca="1">IFERROR(_xlfn.IFS(OR(F792="",LEFT(Methode_Keuze,4)="Geen",Methode_Keuze=""),"",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26"/>
      <c r="Z792" s="319"/>
      <c r="AA792" s="32" t="str" cm="1">
        <f t="array" ref="AA792">IFERROR(IF(INDEX(SubsidieTabel!$AD$1:$AG$12,MATCH($F792,SubsidieTabel!$AD$1:$AD$12,0),IFERROR(MATCH(Methode_Keuze,SubsidieTabel!$AD$1:$AG$1,0),2))&lt;&gt;1=TRUE,"ja",""),"")</f>
        <v/>
      </c>
    </row>
    <row r="793" spans="1:27" x14ac:dyDescent="0.25">
      <c r="A793" s="320"/>
      <c r="B793" s="321" t="str">
        <f>IF(A793&lt;&gt;"",_xlfn.MAXIFS($B$1:B792,$A$1:A792,A793)+1,"")</f>
        <v/>
      </c>
      <c r="C793" s="299"/>
      <c r="D793" s="299"/>
      <c r="E793" s="299"/>
      <c r="F793" s="299"/>
      <c r="G793" s="330"/>
      <c r="H793" s="328"/>
      <c r="I793" s="329"/>
      <c r="J793" s="329"/>
      <c r="K793" s="322"/>
      <c r="L793" s="322"/>
      <c r="M793" s="323" t="str">
        <f>IFERROR(VLOOKUP(H793,Lijsten!$H$1:$I$100,2,0),"")</f>
        <v/>
      </c>
      <c r="N793" s="323" t="str">
        <f ca="1">IFERROR(IF(VLOOKUP(F793,Kostentypen!$A$3:$E$21,3,0)=0,"",IF(OR(F793="Arbeidskosten",F793="Vergoeding"),VLOOKUP(G793,Tb_KostenTypen[],2,0),VLOOKUP(F793,Kostentypen!$A$3:$E$20,3,0))),"")</f>
        <v/>
      </c>
      <c r="O793" s="324"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4"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3"/>
      <c r="R793" s="363"/>
      <c r="S793" s="325"/>
      <c r="T793" s="325"/>
      <c r="U793" s="317" t="str" cm="1">
        <f t="array" aca="1" ref="U793" ca="1">IFERROR(IF(AA793&lt;&gt;"ja",_xlfn.IFNA(_xlfn.IFS(AND(O793&lt;&gt;"",F793&lt;&gt;"",RIGHT($N793,6)="tarief",F793="Vergoeding"),SUM(O793)*FLOOR(SUM(Q793),0.0001),AND(O793&lt;&gt;"",F793&lt;&gt;"",RIGHT($N793,6)="tarief"),SUM(O793)*FLOOR(SUM(Q793),0.01),S793&gt;0,IF(F793&lt;&gt;"",FLOOR(SUM(S793),0.01),"")),""),""),"")</f>
        <v/>
      </c>
      <c r="V793" s="317" t="str" cm="1">
        <f t="array" aca="1" ref="V793" ca="1">IFERROR(IF(AA793&lt;&gt;"ja",_xlfn.IFNA(_xlfn.IFS(AND(P793&lt;&gt;"",R793&lt;&gt;"",RIGHT($N793,6)="tarief",F793="Vergoeding"),SUM(P793)*FLOOR(SUM(R793),0.0001),AND(P793&lt;&gt;"",R793&lt;&gt;"",RIGHT($N793,6)="tarief"),P793*FLOOR(R793,0.01),T793&gt;0,FLOOR(SUM(T793),0.01)),""),""),"")</f>
        <v/>
      </c>
      <c r="W793" s="317" t="str" cm="1">
        <f t="array" aca="1" ref="W793" ca="1">IFERROR(_xlfn.IFS(OR(F793="",LEFT(Methode_Keuze,4)="Geen",Methode_Keuze=""),"",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17" t="str" cm="1">
        <f t="array" aca="1" ref="X793" ca="1">IFERROR(_xlfn.IFS(OR(F793="",LEFT(Methode_Keuze,4)="Geen",Methode_Keuze=""),"",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26"/>
      <c r="Z793" s="319"/>
      <c r="AA793" s="32" t="str" cm="1">
        <f t="array" ref="AA793">IFERROR(IF(INDEX(SubsidieTabel!$AD$1:$AG$12,MATCH($F793,SubsidieTabel!$AD$1:$AD$12,0),IFERROR(MATCH(Methode_Keuze,SubsidieTabel!$AD$1:$AG$1,0),2))&lt;&gt;1=TRUE,"ja",""),"")</f>
        <v/>
      </c>
    </row>
    <row r="794" spans="1:27" x14ac:dyDescent="0.25">
      <c r="A794" s="320"/>
      <c r="B794" s="321" t="str">
        <f>IF(A794&lt;&gt;"",_xlfn.MAXIFS($B$1:B793,$A$1:A793,A794)+1,"")</f>
        <v/>
      </c>
      <c r="C794" s="299"/>
      <c r="D794" s="299"/>
      <c r="E794" s="299"/>
      <c r="F794" s="299"/>
      <c r="G794" s="330"/>
      <c r="H794" s="328"/>
      <c r="I794" s="329"/>
      <c r="J794" s="329"/>
      <c r="K794" s="322"/>
      <c r="L794" s="322"/>
      <c r="M794" s="323" t="str">
        <f>IFERROR(VLOOKUP(H794,Lijsten!$H$1:$I$100,2,0),"")</f>
        <v/>
      </c>
      <c r="N794" s="323" t="str">
        <f ca="1">IFERROR(IF(VLOOKUP(F794,Kostentypen!$A$3:$E$21,3,0)=0,"",IF(OR(F794="Arbeidskosten",F794="Vergoeding"),VLOOKUP(G794,Tb_KostenTypen[],2,0),VLOOKUP(F794,Kostentypen!$A$3:$E$20,3,0))),"")</f>
        <v/>
      </c>
      <c r="O794" s="324"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4"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3"/>
      <c r="R794" s="363"/>
      <c r="S794" s="325"/>
      <c r="T794" s="325"/>
      <c r="U794" s="317" t="str" cm="1">
        <f t="array" aca="1" ref="U794" ca="1">IFERROR(IF(AA794&lt;&gt;"ja",_xlfn.IFNA(_xlfn.IFS(AND(O794&lt;&gt;"",F794&lt;&gt;"",RIGHT($N794,6)="tarief",F794="Vergoeding"),SUM(O794)*FLOOR(SUM(Q794),0.0001),AND(O794&lt;&gt;"",F794&lt;&gt;"",RIGHT($N794,6)="tarief"),SUM(O794)*FLOOR(SUM(Q794),0.01),S794&gt;0,IF(F794&lt;&gt;"",FLOOR(SUM(S794),0.01),"")),""),""),"")</f>
        <v/>
      </c>
      <c r="V794" s="317" t="str" cm="1">
        <f t="array" aca="1" ref="V794" ca="1">IFERROR(IF(AA794&lt;&gt;"ja",_xlfn.IFNA(_xlfn.IFS(AND(P794&lt;&gt;"",R794&lt;&gt;"",RIGHT($N794,6)="tarief",F794="Vergoeding"),SUM(P794)*FLOOR(SUM(R794),0.0001),AND(P794&lt;&gt;"",R794&lt;&gt;"",RIGHT($N794,6)="tarief"),P794*FLOOR(R794,0.01),T794&gt;0,FLOOR(SUM(T794),0.01)),""),""),"")</f>
        <v/>
      </c>
      <c r="W794" s="317" t="str" cm="1">
        <f t="array" aca="1" ref="W794" ca="1">IFERROR(_xlfn.IFS(OR(F794="",LEFT(Methode_Keuze,4)="Geen",Methode_Keuze=""),"",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17" t="str" cm="1">
        <f t="array" aca="1" ref="X794" ca="1">IFERROR(_xlfn.IFS(OR(F794="",LEFT(Methode_Keuze,4)="Geen",Methode_Keuze=""),"",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26"/>
      <c r="Z794" s="319"/>
      <c r="AA794" s="32" t="str" cm="1">
        <f t="array" ref="AA794">IFERROR(IF(INDEX(SubsidieTabel!$AD$1:$AG$12,MATCH($F794,SubsidieTabel!$AD$1:$AD$12,0),IFERROR(MATCH(Methode_Keuze,SubsidieTabel!$AD$1:$AG$1,0),2))&lt;&gt;1=TRUE,"ja",""),"")</f>
        <v/>
      </c>
    </row>
    <row r="795" spans="1:27" x14ac:dyDescent="0.25">
      <c r="A795" s="320"/>
      <c r="B795" s="321" t="str">
        <f>IF(A795&lt;&gt;"",_xlfn.MAXIFS($B$1:B794,$A$1:A794,A795)+1,"")</f>
        <v/>
      </c>
      <c r="C795" s="299"/>
      <c r="D795" s="299"/>
      <c r="E795" s="299"/>
      <c r="F795" s="299"/>
      <c r="G795" s="330"/>
      <c r="H795" s="328"/>
      <c r="I795" s="329"/>
      <c r="J795" s="329"/>
      <c r="K795" s="322"/>
      <c r="L795" s="322"/>
      <c r="M795" s="323" t="str">
        <f>IFERROR(VLOOKUP(H795,Lijsten!$H$1:$I$100,2,0),"")</f>
        <v/>
      </c>
      <c r="N795" s="323" t="str">
        <f ca="1">IFERROR(IF(VLOOKUP(F795,Kostentypen!$A$3:$E$21,3,0)=0,"",IF(OR(F795="Arbeidskosten",F795="Vergoeding"),VLOOKUP(G795,Tb_KostenTypen[],2,0),VLOOKUP(F795,Kostentypen!$A$3:$E$20,3,0))),"")</f>
        <v/>
      </c>
      <c r="O795" s="324"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4"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3"/>
      <c r="R795" s="363"/>
      <c r="S795" s="325"/>
      <c r="T795" s="325"/>
      <c r="U795" s="317" t="str" cm="1">
        <f t="array" aca="1" ref="U795" ca="1">IFERROR(IF(AA795&lt;&gt;"ja",_xlfn.IFNA(_xlfn.IFS(AND(O795&lt;&gt;"",F795&lt;&gt;"",RIGHT($N795,6)="tarief",F795="Vergoeding"),SUM(O795)*FLOOR(SUM(Q795),0.0001),AND(O795&lt;&gt;"",F795&lt;&gt;"",RIGHT($N795,6)="tarief"),SUM(O795)*FLOOR(SUM(Q795),0.01),S795&gt;0,IF(F795&lt;&gt;"",FLOOR(SUM(S795),0.01),"")),""),""),"")</f>
        <v/>
      </c>
      <c r="V795" s="317" t="str" cm="1">
        <f t="array" aca="1" ref="V795" ca="1">IFERROR(IF(AA795&lt;&gt;"ja",_xlfn.IFNA(_xlfn.IFS(AND(P795&lt;&gt;"",R795&lt;&gt;"",RIGHT($N795,6)="tarief",F795="Vergoeding"),SUM(P795)*FLOOR(SUM(R795),0.0001),AND(P795&lt;&gt;"",R795&lt;&gt;"",RIGHT($N795,6)="tarief"),P795*FLOOR(R795,0.01),T795&gt;0,FLOOR(SUM(T795),0.01)),""),""),"")</f>
        <v/>
      </c>
      <c r="W795" s="317" t="str" cm="1">
        <f t="array" aca="1" ref="W795" ca="1">IFERROR(_xlfn.IFS(OR(F795="",LEFT(Methode_Keuze,4)="Geen",Methode_Keuze=""),"",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17" t="str" cm="1">
        <f t="array" aca="1" ref="X795" ca="1">IFERROR(_xlfn.IFS(OR(F795="",LEFT(Methode_Keuze,4)="Geen",Methode_Keuze=""),"",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26"/>
      <c r="Z795" s="319"/>
      <c r="AA795" s="32" t="str" cm="1">
        <f t="array" ref="AA795">IFERROR(IF(INDEX(SubsidieTabel!$AD$1:$AG$12,MATCH($F795,SubsidieTabel!$AD$1:$AD$12,0),IFERROR(MATCH(Methode_Keuze,SubsidieTabel!$AD$1:$AG$1,0),2))&lt;&gt;1=TRUE,"ja",""),"")</f>
        <v/>
      </c>
    </row>
    <row r="796" spans="1:27" x14ac:dyDescent="0.25">
      <c r="A796" s="320"/>
      <c r="B796" s="321" t="str">
        <f>IF(A796&lt;&gt;"",_xlfn.MAXIFS($B$1:B795,$A$1:A795,A796)+1,"")</f>
        <v/>
      </c>
      <c r="C796" s="299"/>
      <c r="D796" s="299"/>
      <c r="E796" s="299"/>
      <c r="F796" s="299"/>
      <c r="G796" s="330"/>
      <c r="H796" s="328"/>
      <c r="I796" s="329"/>
      <c r="J796" s="329"/>
      <c r="K796" s="322"/>
      <c r="L796" s="322"/>
      <c r="M796" s="323" t="str">
        <f>IFERROR(VLOOKUP(H796,Lijsten!$H$1:$I$100,2,0),"")</f>
        <v/>
      </c>
      <c r="N796" s="323" t="str">
        <f ca="1">IFERROR(IF(VLOOKUP(F796,Kostentypen!$A$3:$E$21,3,0)=0,"",IF(OR(F796="Arbeidskosten",F796="Vergoeding"),VLOOKUP(G796,Tb_KostenTypen[],2,0),VLOOKUP(F796,Kostentypen!$A$3:$E$20,3,0))),"")</f>
        <v/>
      </c>
      <c r="O796" s="324"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4"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3"/>
      <c r="R796" s="363"/>
      <c r="S796" s="325"/>
      <c r="T796" s="325"/>
      <c r="U796" s="317" t="str" cm="1">
        <f t="array" aca="1" ref="U796" ca="1">IFERROR(IF(AA796&lt;&gt;"ja",_xlfn.IFNA(_xlfn.IFS(AND(O796&lt;&gt;"",F796&lt;&gt;"",RIGHT($N796,6)="tarief",F796="Vergoeding"),SUM(O796)*FLOOR(SUM(Q796),0.0001),AND(O796&lt;&gt;"",F796&lt;&gt;"",RIGHT($N796,6)="tarief"),SUM(O796)*FLOOR(SUM(Q796),0.01),S796&gt;0,IF(F796&lt;&gt;"",FLOOR(SUM(S796),0.01),"")),""),""),"")</f>
        <v/>
      </c>
      <c r="V796" s="317" t="str" cm="1">
        <f t="array" aca="1" ref="V796" ca="1">IFERROR(IF(AA796&lt;&gt;"ja",_xlfn.IFNA(_xlfn.IFS(AND(P796&lt;&gt;"",R796&lt;&gt;"",RIGHT($N796,6)="tarief",F796="Vergoeding"),SUM(P796)*FLOOR(SUM(R796),0.0001),AND(P796&lt;&gt;"",R796&lt;&gt;"",RIGHT($N796,6)="tarief"),P796*FLOOR(R796,0.01),T796&gt;0,FLOOR(SUM(T796),0.01)),""),""),"")</f>
        <v/>
      </c>
      <c r="W796" s="317" t="str" cm="1">
        <f t="array" aca="1" ref="W796" ca="1">IFERROR(_xlfn.IFS(OR(F796="",LEFT(Methode_Keuze,4)="Geen",Methode_Keuze=""),"",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17" t="str" cm="1">
        <f t="array" aca="1" ref="X796" ca="1">IFERROR(_xlfn.IFS(OR(F796="",LEFT(Methode_Keuze,4)="Geen",Methode_Keuze=""),"",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26"/>
      <c r="Z796" s="319"/>
      <c r="AA796" s="32" t="str" cm="1">
        <f t="array" ref="AA796">IFERROR(IF(INDEX(SubsidieTabel!$AD$1:$AG$12,MATCH($F796,SubsidieTabel!$AD$1:$AD$12,0),IFERROR(MATCH(Methode_Keuze,SubsidieTabel!$AD$1:$AG$1,0),2))&lt;&gt;1=TRUE,"ja",""),"")</f>
        <v/>
      </c>
    </row>
    <row r="797" spans="1:27" x14ac:dyDescent="0.25">
      <c r="A797" s="320"/>
      <c r="B797" s="321" t="str">
        <f>IF(A797&lt;&gt;"",_xlfn.MAXIFS($B$1:B796,$A$1:A796,A797)+1,"")</f>
        <v/>
      </c>
      <c r="C797" s="299"/>
      <c r="D797" s="299"/>
      <c r="E797" s="299"/>
      <c r="F797" s="299"/>
      <c r="G797" s="330"/>
      <c r="H797" s="328"/>
      <c r="I797" s="329"/>
      <c r="J797" s="329"/>
      <c r="K797" s="322"/>
      <c r="L797" s="322"/>
      <c r="M797" s="323" t="str">
        <f>IFERROR(VLOOKUP(H797,Lijsten!$H$1:$I$100,2,0),"")</f>
        <v/>
      </c>
      <c r="N797" s="323" t="str">
        <f ca="1">IFERROR(IF(VLOOKUP(F797,Kostentypen!$A$3:$E$21,3,0)=0,"",IF(OR(F797="Arbeidskosten",F797="Vergoeding"),VLOOKUP(G797,Tb_KostenTypen[],2,0),VLOOKUP(F797,Kostentypen!$A$3:$E$20,3,0))),"")</f>
        <v/>
      </c>
      <c r="O797" s="324"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4"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3"/>
      <c r="R797" s="363"/>
      <c r="S797" s="325"/>
      <c r="T797" s="325"/>
      <c r="U797" s="317" t="str" cm="1">
        <f t="array" aca="1" ref="U797" ca="1">IFERROR(IF(AA797&lt;&gt;"ja",_xlfn.IFNA(_xlfn.IFS(AND(O797&lt;&gt;"",F797&lt;&gt;"",RIGHT($N797,6)="tarief",F797="Vergoeding"),SUM(O797)*FLOOR(SUM(Q797),0.0001),AND(O797&lt;&gt;"",F797&lt;&gt;"",RIGHT($N797,6)="tarief"),SUM(O797)*FLOOR(SUM(Q797),0.01),S797&gt;0,IF(F797&lt;&gt;"",FLOOR(SUM(S797),0.01),"")),""),""),"")</f>
        <v/>
      </c>
      <c r="V797" s="317" t="str" cm="1">
        <f t="array" aca="1" ref="V797" ca="1">IFERROR(IF(AA797&lt;&gt;"ja",_xlfn.IFNA(_xlfn.IFS(AND(P797&lt;&gt;"",R797&lt;&gt;"",RIGHT($N797,6)="tarief",F797="Vergoeding"),SUM(P797)*FLOOR(SUM(R797),0.0001),AND(P797&lt;&gt;"",R797&lt;&gt;"",RIGHT($N797,6)="tarief"),P797*FLOOR(R797,0.01),T797&gt;0,FLOOR(SUM(T797),0.01)),""),""),"")</f>
        <v/>
      </c>
      <c r="W797" s="317" t="str" cm="1">
        <f t="array" aca="1" ref="W797" ca="1">IFERROR(_xlfn.IFS(OR(F797="",LEFT(Methode_Keuze,4)="Geen",Methode_Keuze=""),"",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17" t="str" cm="1">
        <f t="array" aca="1" ref="X797" ca="1">IFERROR(_xlfn.IFS(OR(F797="",LEFT(Methode_Keuze,4)="Geen",Methode_Keuze=""),"",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26"/>
      <c r="Z797" s="319"/>
      <c r="AA797" s="32" t="str" cm="1">
        <f t="array" ref="AA797">IFERROR(IF(INDEX(SubsidieTabel!$AD$1:$AG$12,MATCH($F797,SubsidieTabel!$AD$1:$AD$12,0),IFERROR(MATCH(Methode_Keuze,SubsidieTabel!$AD$1:$AG$1,0),2))&lt;&gt;1=TRUE,"ja",""),"")</f>
        <v/>
      </c>
    </row>
    <row r="798" spans="1:27" x14ac:dyDescent="0.25">
      <c r="A798" s="320"/>
      <c r="B798" s="321" t="str">
        <f>IF(A798&lt;&gt;"",_xlfn.MAXIFS($B$1:B797,$A$1:A797,A798)+1,"")</f>
        <v/>
      </c>
      <c r="C798" s="299"/>
      <c r="D798" s="299"/>
      <c r="E798" s="299"/>
      <c r="F798" s="299"/>
      <c r="G798" s="330"/>
      <c r="H798" s="328"/>
      <c r="I798" s="329"/>
      <c r="J798" s="329"/>
      <c r="K798" s="322"/>
      <c r="L798" s="322"/>
      <c r="M798" s="323" t="str">
        <f>IFERROR(VLOOKUP(H798,Lijsten!$H$1:$I$100,2,0),"")</f>
        <v/>
      </c>
      <c r="N798" s="323" t="str">
        <f ca="1">IFERROR(IF(VLOOKUP(F798,Kostentypen!$A$3:$E$21,3,0)=0,"",IF(OR(F798="Arbeidskosten",F798="Vergoeding"),VLOOKUP(G798,Tb_KostenTypen[],2,0),VLOOKUP(F798,Kostentypen!$A$3:$E$20,3,0))),"")</f>
        <v/>
      </c>
      <c r="O798" s="324"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4"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3"/>
      <c r="R798" s="363"/>
      <c r="S798" s="325"/>
      <c r="T798" s="325"/>
      <c r="U798" s="317" t="str" cm="1">
        <f t="array" aca="1" ref="U798" ca="1">IFERROR(IF(AA798&lt;&gt;"ja",_xlfn.IFNA(_xlfn.IFS(AND(O798&lt;&gt;"",F798&lt;&gt;"",RIGHT($N798,6)="tarief",F798="Vergoeding"),SUM(O798)*FLOOR(SUM(Q798),0.0001),AND(O798&lt;&gt;"",F798&lt;&gt;"",RIGHT($N798,6)="tarief"),SUM(O798)*FLOOR(SUM(Q798),0.01),S798&gt;0,IF(F798&lt;&gt;"",FLOOR(SUM(S798),0.01),"")),""),""),"")</f>
        <v/>
      </c>
      <c r="V798" s="317" t="str" cm="1">
        <f t="array" aca="1" ref="V798" ca="1">IFERROR(IF(AA798&lt;&gt;"ja",_xlfn.IFNA(_xlfn.IFS(AND(P798&lt;&gt;"",R798&lt;&gt;"",RIGHT($N798,6)="tarief",F798="Vergoeding"),SUM(P798)*FLOOR(SUM(R798),0.0001),AND(P798&lt;&gt;"",R798&lt;&gt;"",RIGHT($N798,6)="tarief"),P798*FLOOR(R798,0.01),T798&gt;0,FLOOR(SUM(T798),0.01)),""),""),"")</f>
        <v/>
      </c>
      <c r="W798" s="317" t="str" cm="1">
        <f t="array" aca="1" ref="W798" ca="1">IFERROR(_xlfn.IFS(OR(F798="",LEFT(Methode_Keuze,4)="Geen",Methode_Keuze=""),"",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17" t="str" cm="1">
        <f t="array" aca="1" ref="X798" ca="1">IFERROR(_xlfn.IFS(OR(F798="",LEFT(Methode_Keuze,4)="Geen",Methode_Keuze=""),"",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26"/>
      <c r="Z798" s="319"/>
      <c r="AA798" s="32" t="str" cm="1">
        <f t="array" ref="AA798">IFERROR(IF(INDEX(SubsidieTabel!$AD$1:$AG$12,MATCH($F798,SubsidieTabel!$AD$1:$AD$12,0),IFERROR(MATCH(Methode_Keuze,SubsidieTabel!$AD$1:$AG$1,0),2))&lt;&gt;1=TRUE,"ja",""),"")</f>
        <v/>
      </c>
    </row>
    <row r="799" spans="1:27" x14ac:dyDescent="0.25">
      <c r="A799" s="320"/>
      <c r="B799" s="321" t="str">
        <f>IF(A799&lt;&gt;"",_xlfn.MAXIFS($B$1:B798,$A$1:A798,A799)+1,"")</f>
        <v/>
      </c>
      <c r="C799" s="299"/>
      <c r="D799" s="299"/>
      <c r="E799" s="299"/>
      <c r="F799" s="299"/>
      <c r="G799" s="330"/>
      <c r="H799" s="328"/>
      <c r="I799" s="329"/>
      <c r="J799" s="329"/>
      <c r="K799" s="322"/>
      <c r="L799" s="322"/>
      <c r="M799" s="323" t="str">
        <f>IFERROR(VLOOKUP(H799,Lijsten!$H$1:$I$100,2,0),"")</f>
        <v/>
      </c>
      <c r="N799" s="323" t="str">
        <f ca="1">IFERROR(IF(VLOOKUP(F799,Kostentypen!$A$3:$E$21,3,0)=0,"",IF(OR(F799="Arbeidskosten",F799="Vergoeding"),VLOOKUP(G799,Tb_KostenTypen[],2,0),VLOOKUP(F799,Kostentypen!$A$3:$E$20,3,0))),"")</f>
        <v/>
      </c>
      <c r="O799" s="324"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4"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3"/>
      <c r="R799" s="363"/>
      <c r="S799" s="325"/>
      <c r="T799" s="325"/>
      <c r="U799" s="317" t="str" cm="1">
        <f t="array" aca="1" ref="U799" ca="1">IFERROR(IF(AA799&lt;&gt;"ja",_xlfn.IFNA(_xlfn.IFS(AND(O799&lt;&gt;"",F799&lt;&gt;"",RIGHT($N799,6)="tarief",F799="Vergoeding"),SUM(O799)*FLOOR(SUM(Q799),0.0001),AND(O799&lt;&gt;"",F799&lt;&gt;"",RIGHT($N799,6)="tarief"),SUM(O799)*FLOOR(SUM(Q799),0.01),S799&gt;0,IF(F799&lt;&gt;"",FLOOR(SUM(S799),0.01),"")),""),""),"")</f>
        <v/>
      </c>
      <c r="V799" s="317" t="str" cm="1">
        <f t="array" aca="1" ref="V799" ca="1">IFERROR(IF(AA799&lt;&gt;"ja",_xlfn.IFNA(_xlfn.IFS(AND(P799&lt;&gt;"",R799&lt;&gt;"",RIGHT($N799,6)="tarief",F799="Vergoeding"),SUM(P799)*FLOOR(SUM(R799),0.0001),AND(P799&lt;&gt;"",R799&lt;&gt;"",RIGHT($N799,6)="tarief"),P799*FLOOR(R799,0.01),T799&gt;0,FLOOR(SUM(T799),0.01)),""),""),"")</f>
        <v/>
      </c>
      <c r="W799" s="317" t="str" cm="1">
        <f t="array" aca="1" ref="W799" ca="1">IFERROR(_xlfn.IFS(OR(F799="",LEFT(Methode_Keuze,4)="Geen",Methode_Keuze=""),"",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17" t="str" cm="1">
        <f t="array" aca="1" ref="X799" ca="1">IFERROR(_xlfn.IFS(OR(F799="",LEFT(Methode_Keuze,4)="Geen",Methode_Keuze=""),"",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26"/>
      <c r="Z799" s="319"/>
      <c r="AA799" s="32" t="str" cm="1">
        <f t="array" ref="AA799">IFERROR(IF(INDEX(SubsidieTabel!$AD$1:$AG$12,MATCH($F799,SubsidieTabel!$AD$1:$AD$12,0),IFERROR(MATCH(Methode_Keuze,SubsidieTabel!$AD$1:$AG$1,0),2))&lt;&gt;1=TRUE,"ja",""),"")</f>
        <v/>
      </c>
    </row>
    <row r="800" spans="1:27" x14ac:dyDescent="0.25">
      <c r="A800" s="320"/>
      <c r="B800" s="321" t="str">
        <f>IF(A800&lt;&gt;"",_xlfn.MAXIFS($B$1:B799,$A$1:A799,A800)+1,"")</f>
        <v/>
      </c>
      <c r="C800" s="299"/>
      <c r="D800" s="299"/>
      <c r="E800" s="299"/>
      <c r="F800" s="299"/>
      <c r="G800" s="330"/>
      <c r="H800" s="328"/>
      <c r="I800" s="329"/>
      <c r="J800" s="329"/>
      <c r="K800" s="322"/>
      <c r="L800" s="322"/>
      <c r="M800" s="323" t="str">
        <f>IFERROR(VLOOKUP(H800,Lijsten!$H$1:$I$100,2,0),"")</f>
        <v/>
      </c>
      <c r="N800" s="323" t="str">
        <f ca="1">IFERROR(IF(VLOOKUP(F800,Kostentypen!$A$3:$E$21,3,0)=0,"",IF(OR(F800="Arbeidskosten",F800="Vergoeding"),VLOOKUP(G800,Tb_KostenTypen[],2,0),VLOOKUP(F800,Kostentypen!$A$3:$E$20,3,0))),"")</f>
        <v/>
      </c>
      <c r="O800" s="324"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4"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3"/>
      <c r="R800" s="363"/>
      <c r="S800" s="325"/>
      <c r="T800" s="325"/>
      <c r="U800" s="317" t="str" cm="1">
        <f t="array" aca="1" ref="U800" ca="1">IFERROR(IF(AA800&lt;&gt;"ja",_xlfn.IFNA(_xlfn.IFS(AND(O800&lt;&gt;"",F800&lt;&gt;"",RIGHT($N800,6)="tarief",F800="Vergoeding"),SUM(O800)*FLOOR(SUM(Q800),0.0001),AND(O800&lt;&gt;"",F800&lt;&gt;"",RIGHT($N800,6)="tarief"),SUM(O800)*FLOOR(SUM(Q800),0.01),S800&gt;0,IF(F800&lt;&gt;"",FLOOR(SUM(S800),0.01),"")),""),""),"")</f>
        <v/>
      </c>
      <c r="V800" s="317" t="str" cm="1">
        <f t="array" aca="1" ref="V800" ca="1">IFERROR(IF(AA800&lt;&gt;"ja",_xlfn.IFNA(_xlfn.IFS(AND(P800&lt;&gt;"",R800&lt;&gt;"",RIGHT($N800,6)="tarief",F800="Vergoeding"),SUM(P800)*FLOOR(SUM(R800),0.0001),AND(P800&lt;&gt;"",R800&lt;&gt;"",RIGHT($N800,6)="tarief"),P800*FLOOR(R800,0.01),T800&gt;0,FLOOR(SUM(T800),0.01)),""),""),"")</f>
        <v/>
      </c>
      <c r="W800" s="317" t="str" cm="1">
        <f t="array" aca="1" ref="W800" ca="1">IFERROR(_xlfn.IFS(OR(F800="",LEFT(Methode_Keuze,4)="Geen",Methode_Keuze=""),"",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17" t="str" cm="1">
        <f t="array" aca="1" ref="X800" ca="1">IFERROR(_xlfn.IFS(OR(F800="",LEFT(Methode_Keuze,4)="Geen",Methode_Keuze=""),"",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26"/>
      <c r="Z800" s="319"/>
      <c r="AA800" s="32" t="str" cm="1">
        <f t="array" ref="AA800">IFERROR(IF(INDEX(SubsidieTabel!$AD$1:$AG$12,MATCH($F800,SubsidieTabel!$AD$1:$AD$12,0),IFERROR(MATCH(Methode_Keuze,SubsidieTabel!$AD$1:$AG$1,0),2))&lt;&gt;1=TRUE,"ja",""),"")</f>
        <v/>
      </c>
    </row>
    <row r="801" spans="1:27" x14ac:dyDescent="0.25">
      <c r="A801" s="320"/>
      <c r="B801" s="321" t="str">
        <f>IF(A801&lt;&gt;"",_xlfn.MAXIFS($B$1:B800,$A$1:A800,A801)+1,"")</f>
        <v/>
      </c>
      <c r="C801" s="299"/>
      <c r="D801" s="299"/>
      <c r="E801" s="299"/>
      <c r="F801" s="299"/>
      <c r="G801" s="330"/>
      <c r="H801" s="328"/>
      <c r="I801" s="329"/>
      <c r="J801" s="329"/>
      <c r="K801" s="322"/>
      <c r="L801" s="322"/>
      <c r="M801" s="323" t="str">
        <f>IFERROR(VLOOKUP(H801,Lijsten!$H$1:$I$100,2,0),"")</f>
        <v/>
      </c>
      <c r="N801" s="323" t="str">
        <f ca="1">IFERROR(IF(VLOOKUP(F801,Kostentypen!$A$3:$E$21,3,0)=0,"",IF(OR(F801="Arbeidskosten",F801="Vergoeding"),VLOOKUP(G801,Tb_KostenTypen[],2,0),VLOOKUP(F801,Kostentypen!$A$3:$E$20,3,0))),"")</f>
        <v/>
      </c>
      <c r="O801" s="324"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4"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3"/>
      <c r="R801" s="363"/>
      <c r="S801" s="325"/>
      <c r="T801" s="325"/>
      <c r="U801" s="317" t="str" cm="1">
        <f t="array" aca="1" ref="U801" ca="1">IFERROR(IF(AA801&lt;&gt;"ja",_xlfn.IFNA(_xlfn.IFS(AND(O801&lt;&gt;"",F801&lt;&gt;"",RIGHT($N801,6)="tarief",F801="Vergoeding"),SUM(O801)*FLOOR(SUM(Q801),0.0001),AND(O801&lt;&gt;"",F801&lt;&gt;"",RIGHT($N801,6)="tarief"),SUM(O801)*FLOOR(SUM(Q801),0.01),S801&gt;0,IF(F801&lt;&gt;"",FLOOR(SUM(S801),0.01),"")),""),""),"")</f>
        <v/>
      </c>
      <c r="V801" s="317" t="str" cm="1">
        <f t="array" aca="1" ref="V801" ca="1">IFERROR(IF(AA801&lt;&gt;"ja",_xlfn.IFNA(_xlfn.IFS(AND(P801&lt;&gt;"",R801&lt;&gt;"",RIGHT($N801,6)="tarief",F801="Vergoeding"),SUM(P801)*FLOOR(SUM(R801),0.0001),AND(P801&lt;&gt;"",R801&lt;&gt;"",RIGHT($N801,6)="tarief"),P801*FLOOR(R801,0.01),T801&gt;0,FLOOR(SUM(T801),0.01)),""),""),"")</f>
        <v/>
      </c>
      <c r="W801" s="317" t="str" cm="1">
        <f t="array" aca="1" ref="W801" ca="1">IFERROR(_xlfn.IFS(OR(F801="",LEFT(Methode_Keuze,4)="Geen",Methode_Keuze=""),"",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17" t="str" cm="1">
        <f t="array" aca="1" ref="X801" ca="1">IFERROR(_xlfn.IFS(OR(F801="",LEFT(Methode_Keuze,4)="Geen",Methode_Keuze=""),"",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26"/>
      <c r="Z801" s="319"/>
      <c r="AA801" s="32" t="str" cm="1">
        <f t="array" ref="AA801">IFERROR(IF(INDEX(SubsidieTabel!$AD$1:$AG$12,MATCH($F801,SubsidieTabel!$AD$1:$AD$12,0),IFERROR(MATCH(Methode_Keuze,SubsidieTabel!$AD$1:$AG$1,0),2))&lt;&gt;1=TRUE,"ja",""),"")</f>
        <v/>
      </c>
    </row>
    <row r="802" spans="1:27" x14ac:dyDescent="0.25">
      <c r="A802" s="320"/>
      <c r="B802" s="321" t="str">
        <f>IF(A802&lt;&gt;"",_xlfn.MAXIFS($B$1:B801,$A$1:A801,A802)+1,"")</f>
        <v/>
      </c>
      <c r="C802" s="299"/>
      <c r="D802" s="299"/>
      <c r="E802" s="299"/>
      <c r="F802" s="299"/>
      <c r="G802" s="330"/>
      <c r="H802" s="328"/>
      <c r="I802" s="329"/>
      <c r="J802" s="329"/>
      <c r="K802" s="322"/>
      <c r="L802" s="322"/>
      <c r="M802" s="323" t="str">
        <f>IFERROR(VLOOKUP(H802,Lijsten!$H$1:$I$100,2,0),"")</f>
        <v/>
      </c>
      <c r="N802" s="323" t="str">
        <f ca="1">IFERROR(IF(VLOOKUP(F802,Kostentypen!$A$3:$E$21,3,0)=0,"",IF(OR(F802="Arbeidskosten",F802="Vergoeding"),VLOOKUP(G802,Tb_KostenTypen[],2,0),VLOOKUP(F802,Kostentypen!$A$3:$E$20,3,0))),"")</f>
        <v/>
      </c>
      <c r="O802" s="324"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4"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3"/>
      <c r="R802" s="363"/>
      <c r="S802" s="325"/>
      <c r="T802" s="325"/>
      <c r="U802" s="317" t="str" cm="1">
        <f t="array" aca="1" ref="U802" ca="1">IFERROR(IF(AA802&lt;&gt;"ja",_xlfn.IFNA(_xlfn.IFS(AND(O802&lt;&gt;"",F802&lt;&gt;"",RIGHT($N802,6)="tarief",F802="Vergoeding"),SUM(O802)*FLOOR(SUM(Q802),0.0001),AND(O802&lt;&gt;"",F802&lt;&gt;"",RIGHT($N802,6)="tarief"),SUM(O802)*FLOOR(SUM(Q802),0.01),S802&gt;0,IF(F802&lt;&gt;"",FLOOR(SUM(S802),0.01),"")),""),""),"")</f>
        <v/>
      </c>
      <c r="V802" s="317" t="str" cm="1">
        <f t="array" aca="1" ref="V802" ca="1">IFERROR(IF(AA802&lt;&gt;"ja",_xlfn.IFNA(_xlfn.IFS(AND(P802&lt;&gt;"",R802&lt;&gt;"",RIGHT($N802,6)="tarief",F802="Vergoeding"),SUM(P802)*FLOOR(SUM(R802),0.0001),AND(P802&lt;&gt;"",R802&lt;&gt;"",RIGHT($N802,6)="tarief"),P802*FLOOR(R802,0.01),T802&gt;0,FLOOR(SUM(T802),0.01)),""),""),"")</f>
        <v/>
      </c>
      <c r="W802" s="317" t="str" cm="1">
        <f t="array" aca="1" ref="W802" ca="1">IFERROR(_xlfn.IFS(OR(F802="",LEFT(Methode_Keuze,4)="Geen",Methode_Keuze=""),"",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17" t="str" cm="1">
        <f t="array" aca="1" ref="X802" ca="1">IFERROR(_xlfn.IFS(OR(F802="",LEFT(Methode_Keuze,4)="Geen",Methode_Keuze=""),"",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26"/>
      <c r="Z802" s="319"/>
      <c r="AA802" s="32" t="str" cm="1">
        <f t="array" ref="AA802">IFERROR(IF(INDEX(SubsidieTabel!$AD$1:$AG$12,MATCH($F802,SubsidieTabel!$AD$1:$AD$12,0),IFERROR(MATCH(Methode_Keuze,SubsidieTabel!$AD$1:$AG$1,0),2))&lt;&gt;1=TRUE,"ja",""),"")</f>
        <v/>
      </c>
    </row>
    <row r="803" spans="1:27" x14ac:dyDescent="0.25">
      <c r="A803" s="320"/>
      <c r="B803" s="321" t="str">
        <f>IF(A803&lt;&gt;"",_xlfn.MAXIFS($B$1:B802,$A$1:A802,A803)+1,"")</f>
        <v/>
      </c>
      <c r="C803" s="299"/>
      <c r="D803" s="299"/>
      <c r="E803" s="299"/>
      <c r="F803" s="299"/>
      <c r="G803" s="330"/>
      <c r="H803" s="328"/>
      <c r="I803" s="329"/>
      <c r="J803" s="329"/>
      <c r="K803" s="322"/>
      <c r="L803" s="322"/>
      <c r="M803" s="323" t="str">
        <f>IFERROR(VLOOKUP(H803,Lijsten!$H$1:$I$100,2,0),"")</f>
        <v/>
      </c>
      <c r="N803" s="323" t="str">
        <f ca="1">IFERROR(IF(VLOOKUP(F803,Kostentypen!$A$3:$E$21,3,0)=0,"",IF(OR(F803="Arbeidskosten",F803="Vergoeding"),VLOOKUP(G803,Tb_KostenTypen[],2,0),VLOOKUP(F803,Kostentypen!$A$3:$E$20,3,0))),"")</f>
        <v/>
      </c>
      <c r="O803" s="324"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4"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3"/>
      <c r="R803" s="363"/>
      <c r="S803" s="325"/>
      <c r="T803" s="325"/>
      <c r="U803" s="317" t="str" cm="1">
        <f t="array" aca="1" ref="U803" ca="1">IFERROR(IF(AA803&lt;&gt;"ja",_xlfn.IFNA(_xlfn.IFS(AND(O803&lt;&gt;"",F803&lt;&gt;"",RIGHT($N803,6)="tarief",F803="Vergoeding"),SUM(O803)*FLOOR(SUM(Q803),0.0001),AND(O803&lt;&gt;"",F803&lt;&gt;"",RIGHT($N803,6)="tarief"),SUM(O803)*FLOOR(SUM(Q803),0.01),S803&gt;0,IF(F803&lt;&gt;"",FLOOR(SUM(S803),0.01),"")),""),""),"")</f>
        <v/>
      </c>
      <c r="V803" s="317" t="str" cm="1">
        <f t="array" aca="1" ref="V803" ca="1">IFERROR(IF(AA803&lt;&gt;"ja",_xlfn.IFNA(_xlfn.IFS(AND(P803&lt;&gt;"",R803&lt;&gt;"",RIGHT($N803,6)="tarief",F803="Vergoeding"),SUM(P803)*FLOOR(SUM(R803),0.0001),AND(P803&lt;&gt;"",R803&lt;&gt;"",RIGHT($N803,6)="tarief"),P803*FLOOR(R803,0.01),T803&gt;0,FLOOR(SUM(T803),0.01)),""),""),"")</f>
        <v/>
      </c>
      <c r="W803" s="317" t="str" cm="1">
        <f t="array" aca="1" ref="W803" ca="1">IFERROR(_xlfn.IFS(OR(F803="",LEFT(Methode_Keuze,4)="Geen",Methode_Keuze=""),"",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17" t="str" cm="1">
        <f t="array" aca="1" ref="X803" ca="1">IFERROR(_xlfn.IFS(OR(F803="",LEFT(Methode_Keuze,4)="Geen",Methode_Keuze=""),"",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26"/>
      <c r="Z803" s="319"/>
      <c r="AA803" s="32" t="str" cm="1">
        <f t="array" ref="AA803">IFERROR(IF(INDEX(SubsidieTabel!$AD$1:$AG$12,MATCH($F803,SubsidieTabel!$AD$1:$AD$12,0),IFERROR(MATCH(Methode_Keuze,SubsidieTabel!$AD$1:$AG$1,0),2))&lt;&gt;1=TRUE,"ja",""),"")</f>
        <v/>
      </c>
    </row>
    <row r="804" spans="1:27" x14ac:dyDescent="0.25">
      <c r="A804" s="320"/>
      <c r="B804" s="321" t="str">
        <f>IF(A804&lt;&gt;"",_xlfn.MAXIFS($B$1:B803,$A$1:A803,A804)+1,"")</f>
        <v/>
      </c>
      <c r="C804" s="299"/>
      <c r="D804" s="299"/>
      <c r="E804" s="299"/>
      <c r="F804" s="299"/>
      <c r="G804" s="330"/>
      <c r="H804" s="328"/>
      <c r="I804" s="329"/>
      <c r="J804" s="329"/>
      <c r="K804" s="322"/>
      <c r="L804" s="322"/>
      <c r="M804" s="323" t="str">
        <f>IFERROR(VLOOKUP(H804,Lijsten!$H$1:$I$100,2,0),"")</f>
        <v/>
      </c>
      <c r="N804" s="323" t="str">
        <f ca="1">IFERROR(IF(VLOOKUP(F804,Kostentypen!$A$3:$E$21,3,0)=0,"",IF(OR(F804="Arbeidskosten",F804="Vergoeding"),VLOOKUP(G804,Tb_KostenTypen[],2,0),VLOOKUP(F804,Kostentypen!$A$3:$E$20,3,0))),"")</f>
        <v/>
      </c>
      <c r="O804" s="324"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4"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3"/>
      <c r="R804" s="363"/>
      <c r="S804" s="325"/>
      <c r="T804" s="325"/>
      <c r="U804" s="317" t="str" cm="1">
        <f t="array" aca="1" ref="U804" ca="1">IFERROR(IF(AA804&lt;&gt;"ja",_xlfn.IFNA(_xlfn.IFS(AND(O804&lt;&gt;"",F804&lt;&gt;"",RIGHT($N804,6)="tarief",F804="Vergoeding"),SUM(O804)*FLOOR(SUM(Q804),0.0001),AND(O804&lt;&gt;"",F804&lt;&gt;"",RIGHT($N804,6)="tarief"),SUM(O804)*FLOOR(SUM(Q804),0.01),S804&gt;0,IF(F804&lt;&gt;"",FLOOR(SUM(S804),0.01),"")),""),""),"")</f>
        <v/>
      </c>
      <c r="V804" s="317" t="str" cm="1">
        <f t="array" aca="1" ref="V804" ca="1">IFERROR(IF(AA804&lt;&gt;"ja",_xlfn.IFNA(_xlfn.IFS(AND(P804&lt;&gt;"",R804&lt;&gt;"",RIGHT($N804,6)="tarief",F804="Vergoeding"),SUM(P804)*FLOOR(SUM(R804),0.0001),AND(P804&lt;&gt;"",R804&lt;&gt;"",RIGHT($N804,6)="tarief"),P804*FLOOR(R804,0.01),T804&gt;0,FLOOR(SUM(T804),0.01)),""),""),"")</f>
        <v/>
      </c>
      <c r="W804" s="317" t="str" cm="1">
        <f t="array" aca="1" ref="W804" ca="1">IFERROR(_xlfn.IFS(OR(F804="",LEFT(Methode_Keuze,4)="Geen",Methode_Keuze=""),"",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17" t="str" cm="1">
        <f t="array" aca="1" ref="X804" ca="1">IFERROR(_xlfn.IFS(OR(F804="",LEFT(Methode_Keuze,4)="Geen",Methode_Keuze=""),"",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26"/>
      <c r="Z804" s="319"/>
      <c r="AA804" s="32" t="str" cm="1">
        <f t="array" ref="AA804">IFERROR(IF(INDEX(SubsidieTabel!$AD$1:$AG$12,MATCH($F804,SubsidieTabel!$AD$1:$AD$12,0),IFERROR(MATCH(Methode_Keuze,SubsidieTabel!$AD$1:$AG$1,0),2))&lt;&gt;1=TRUE,"ja",""),"")</f>
        <v/>
      </c>
    </row>
    <row r="805" spans="1:27" x14ac:dyDescent="0.25">
      <c r="A805" s="320"/>
      <c r="B805" s="321" t="str">
        <f>IF(A805&lt;&gt;"",_xlfn.MAXIFS($B$1:B804,$A$1:A804,A805)+1,"")</f>
        <v/>
      </c>
      <c r="C805" s="299"/>
      <c r="D805" s="299"/>
      <c r="E805" s="299"/>
      <c r="F805" s="299"/>
      <c r="G805" s="330"/>
      <c r="H805" s="328"/>
      <c r="I805" s="329"/>
      <c r="J805" s="329"/>
      <c r="K805" s="322"/>
      <c r="L805" s="322"/>
      <c r="M805" s="323" t="str">
        <f>IFERROR(VLOOKUP(H805,Lijsten!$H$1:$I$100,2,0),"")</f>
        <v/>
      </c>
      <c r="N805" s="323" t="str">
        <f ca="1">IFERROR(IF(VLOOKUP(F805,Kostentypen!$A$3:$E$21,3,0)=0,"",IF(OR(F805="Arbeidskosten",F805="Vergoeding"),VLOOKUP(G805,Tb_KostenTypen[],2,0),VLOOKUP(F805,Kostentypen!$A$3:$E$20,3,0))),"")</f>
        <v/>
      </c>
      <c r="O805" s="324"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4"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3"/>
      <c r="R805" s="363"/>
      <c r="S805" s="325"/>
      <c r="T805" s="325"/>
      <c r="U805" s="317" t="str" cm="1">
        <f t="array" aca="1" ref="U805" ca="1">IFERROR(IF(AA805&lt;&gt;"ja",_xlfn.IFNA(_xlfn.IFS(AND(O805&lt;&gt;"",F805&lt;&gt;"",RIGHT($N805,6)="tarief",F805="Vergoeding"),SUM(O805)*FLOOR(SUM(Q805),0.0001),AND(O805&lt;&gt;"",F805&lt;&gt;"",RIGHT($N805,6)="tarief"),SUM(O805)*FLOOR(SUM(Q805),0.01),S805&gt;0,IF(F805&lt;&gt;"",FLOOR(SUM(S805),0.01),"")),""),""),"")</f>
        <v/>
      </c>
      <c r="V805" s="317" t="str" cm="1">
        <f t="array" aca="1" ref="V805" ca="1">IFERROR(IF(AA805&lt;&gt;"ja",_xlfn.IFNA(_xlfn.IFS(AND(P805&lt;&gt;"",R805&lt;&gt;"",RIGHT($N805,6)="tarief",F805="Vergoeding"),SUM(P805)*FLOOR(SUM(R805),0.0001),AND(P805&lt;&gt;"",R805&lt;&gt;"",RIGHT($N805,6)="tarief"),P805*FLOOR(R805,0.01),T805&gt;0,FLOOR(SUM(T805),0.01)),""),""),"")</f>
        <v/>
      </c>
      <c r="W805" s="317" t="str" cm="1">
        <f t="array" aca="1" ref="W805" ca="1">IFERROR(_xlfn.IFS(OR(F805="",LEFT(Methode_Keuze,4)="Geen",Methode_Keuze=""),"",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17" t="str" cm="1">
        <f t="array" aca="1" ref="X805" ca="1">IFERROR(_xlfn.IFS(OR(F805="",LEFT(Methode_Keuze,4)="Geen",Methode_Keuze=""),"",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26"/>
      <c r="Z805" s="319"/>
      <c r="AA805" s="32" t="str" cm="1">
        <f t="array" ref="AA805">IFERROR(IF(INDEX(SubsidieTabel!$AD$1:$AG$12,MATCH($F805,SubsidieTabel!$AD$1:$AD$12,0),IFERROR(MATCH(Methode_Keuze,SubsidieTabel!$AD$1:$AG$1,0),2))&lt;&gt;1=TRUE,"ja",""),"")</f>
        <v/>
      </c>
    </row>
    <row r="806" spans="1:27" x14ac:dyDescent="0.25">
      <c r="A806" s="320"/>
      <c r="B806" s="321" t="str">
        <f>IF(A806&lt;&gt;"",_xlfn.MAXIFS($B$1:B805,$A$1:A805,A806)+1,"")</f>
        <v/>
      </c>
      <c r="C806" s="299"/>
      <c r="D806" s="299"/>
      <c r="E806" s="299"/>
      <c r="F806" s="299"/>
      <c r="G806" s="330"/>
      <c r="H806" s="328"/>
      <c r="I806" s="329"/>
      <c r="J806" s="329"/>
      <c r="K806" s="322"/>
      <c r="L806" s="322"/>
      <c r="M806" s="323" t="str">
        <f>IFERROR(VLOOKUP(H806,Lijsten!$H$1:$I$100,2,0),"")</f>
        <v/>
      </c>
      <c r="N806" s="323" t="str">
        <f ca="1">IFERROR(IF(VLOOKUP(F806,Kostentypen!$A$3:$E$21,3,0)=0,"",IF(OR(F806="Arbeidskosten",F806="Vergoeding"),VLOOKUP(G806,Tb_KostenTypen[],2,0),VLOOKUP(F806,Kostentypen!$A$3:$E$20,3,0))),"")</f>
        <v/>
      </c>
      <c r="O806" s="324"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4"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3"/>
      <c r="R806" s="363"/>
      <c r="S806" s="325"/>
      <c r="T806" s="325"/>
      <c r="U806" s="317" t="str" cm="1">
        <f t="array" aca="1" ref="U806" ca="1">IFERROR(IF(AA806&lt;&gt;"ja",_xlfn.IFNA(_xlfn.IFS(AND(O806&lt;&gt;"",F806&lt;&gt;"",RIGHT($N806,6)="tarief",F806="Vergoeding"),SUM(O806)*FLOOR(SUM(Q806),0.0001),AND(O806&lt;&gt;"",F806&lt;&gt;"",RIGHT($N806,6)="tarief"),SUM(O806)*FLOOR(SUM(Q806),0.01),S806&gt;0,IF(F806&lt;&gt;"",FLOOR(SUM(S806),0.01),"")),""),""),"")</f>
        <v/>
      </c>
      <c r="V806" s="317" t="str" cm="1">
        <f t="array" aca="1" ref="V806" ca="1">IFERROR(IF(AA806&lt;&gt;"ja",_xlfn.IFNA(_xlfn.IFS(AND(P806&lt;&gt;"",R806&lt;&gt;"",RIGHT($N806,6)="tarief",F806="Vergoeding"),SUM(P806)*FLOOR(SUM(R806),0.0001),AND(P806&lt;&gt;"",R806&lt;&gt;"",RIGHT($N806,6)="tarief"),P806*FLOOR(R806,0.01),T806&gt;0,FLOOR(SUM(T806),0.01)),""),""),"")</f>
        <v/>
      </c>
      <c r="W806" s="317" t="str" cm="1">
        <f t="array" aca="1" ref="W806" ca="1">IFERROR(_xlfn.IFS(OR(F806="",LEFT(Methode_Keuze,4)="Geen",Methode_Keuze=""),"",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17" t="str" cm="1">
        <f t="array" aca="1" ref="X806" ca="1">IFERROR(_xlfn.IFS(OR(F806="",LEFT(Methode_Keuze,4)="Geen",Methode_Keuze=""),"",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26"/>
      <c r="Z806" s="319"/>
      <c r="AA806" s="32" t="str" cm="1">
        <f t="array" ref="AA806">IFERROR(IF(INDEX(SubsidieTabel!$AD$1:$AG$12,MATCH($F806,SubsidieTabel!$AD$1:$AD$12,0),IFERROR(MATCH(Methode_Keuze,SubsidieTabel!$AD$1:$AG$1,0),2))&lt;&gt;1=TRUE,"ja",""),"")</f>
        <v/>
      </c>
    </row>
    <row r="807" spans="1:27" x14ac:dyDescent="0.25">
      <c r="A807" s="320"/>
      <c r="B807" s="321" t="str">
        <f>IF(A807&lt;&gt;"",_xlfn.MAXIFS($B$1:B806,$A$1:A806,A807)+1,"")</f>
        <v/>
      </c>
      <c r="C807" s="299"/>
      <c r="D807" s="299"/>
      <c r="E807" s="299"/>
      <c r="F807" s="299"/>
      <c r="G807" s="330"/>
      <c r="H807" s="328"/>
      <c r="I807" s="329"/>
      <c r="J807" s="329"/>
      <c r="K807" s="322"/>
      <c r="L807" s="322"/>
      <c r="M807" s="323" t="str">
        <f>IFERROR(VLOOKUP(H807,Lijsten!$H$1:$I$100,2,0),"")</f>
        <v/>
      </c>
      <c r="N807" s="323" t="str">
        <f ca="1">IFERROR(IF(VLOOKUP(F807,Kostentypen!$A$3:$E$21,3,0)=0,"",IF(OR(F807="Arbeidskosten",F807="Vergoeding"),VLOOKUP(G807,Tb_KostenTypen[],2,0),VLOOKUP(F807,Kostentypen!$A$3:$E$20,3,0))),"")</f>
        <v/>
      </c>
      <c r="O807" s="324"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4"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3"/>
      <c r="R807" s="363"/>
      <c r="S807" s="325"/>
      <c r="T807" s="325"/>
      <c r="U807" s="317" t="str" cm="1">
        <f t="array" aca="1" ref="U807" ca="1">IFERROR(IF(AA807&lt;&gt;"ja",_xlfn.IFNA(_xlfn.IFS(AND(O807&lt;&gt;"",F807&lt;&gt;"",RIGHT($N807,6)="tarief",F807="Vergoeding"),SUM(O807)*FLOOR(SUM(Q807),0.0001),AND(O807&lt;&gt;"",F807&lt;&gt;"",RIGHT($N807,6)="tarief"),SUM(O807)*FLOOR(SUM(Q807),0.01),S807&gt;0,IF(F807&lt;&gt;"",FLOOR(SUM(S807),0.01),"")),""),""),"")</f>
        <v/>
      </c>
      <c r="V807" s="317" t="str" cm="1">
        <f t="array" aca="1" ref="V807" ca="1">IFERROR(IF(AA807&lt;&gt;"ja",_xlfn.IFNA(_xlfn.IFS(AND(P807&lt;&gt;"",R807&lt;&gt;"",RIGHT($N807,6)="tarief",F807="Vergoeding"),SUM(P807)*FLOOR(SUM(R807),0.0001),AND(P807&lt;&gt;"",R807&lt;&gt;"",RIGHT($N807,6)="tarief"),P807*FLOOR(R807,0.01),T807&gt;0,FLOOR(SUM(T807),0.01)),""),""),"")</f>
        <v/>
      </c>
      <c r="W807" s="317" t="str" cm="1">
        <f t="array" aca="1" ref="W807" ca="1">IFERROR(_xlfn.IFS(OR(F807="",LEFT(Methode_Keuze,4)="Geen",Methode_Keuze=""),"",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17" t="str" cm="1">
        <f t="array" aca="1" ref="X807" ca="1">IFERROR(_xlfn.IFS(OR(F807="",LEFT(Methode_Keuze,4)="Geen",Methode_Keuze=""),"",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26"/>
      <c r="Z807" s="319"/>
      <c r="AA807" s="32" t="str" cm="1">
        <f t="array" ref="AA807">IFERROR(IF(INDEX(SubsidieTabel!$AD$1:$AG$12,MATCH($F807,SubsidieTabel!$AD$1:$AD$12,0),IFERROR(MATCH(Methode_Keuze,SubsidieTabel!$AD$1:$AG$1,0),2))&lt;&gt;1=TRUE,"ja",""),"")</f>
        <v/>
      </c>
    </row>
    <row r="808" spans="1:27" x14ac:dyDescent="0.25">
      <c r="A808" s="320"/>
      <c r="B808" s="321" t="str">
        <f>IF(A808&lt;&gt;"",_xlfn.MAXIFS($B$1:B807,$A$1:A807,A808)+1,"")</f>
        <v/>
      </c>
      <c r="C808" s="299"/>
      <c r="D808" s="299"/>
      <c r="E808" s="299"/>
      <c r="F808" s="299"/>
      <c r="G808" s="330"/>
      <c r="H808" s="328"/>
      <c r="I808" s="329"/>
      <c r="J808" s="329"/>
      <c r="K808" s="322"/>
      <c r="L808" s="322"/>
      <c r="M808" s="323" t="str">
        <f>IFERROR(VLOOKUP(H808,Lijsten!$H$1:$I$100,2,0),"")</f>
        <v/>
      </c>
      <c r="N808" s="323" t="str">
        <f ca="1">IFERROR(IF(VLOOKUP(F808,Kostentypen!$A$3:$E$21,3,0)=0,"",IF(OR(F808="Arbeidskosten",F808="Vergoeding"),VLOOKUP(G808,Tb_KostenTypen[],2,0),VLOOKUP(F808,Kostentypen!$A$3:$E$20,3,0))),"")</f>
        <v/>
      </c>
      <c r="O808" s="324"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4"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3"/>
      <c r="R808" s="363"/>
      <c r="S808" s="325"/>
      <c r="T808" s="325"/>
      <c r="U808" s="317" t="str" cm="1">
        <f t="array" aca="1" ref="U808" ca="1">IFERROR(IF(AA808&lt;&gt;"ja",_xlfn.IFNA(_xlfn.IFS(AND(O808&lt;&gt;"",F808&lt;&gt;"",RIGHT($N808,6)="tarief",F808="Vergoeding"),SUM(O808)*FLOOR(SUM(Q808),0.0001),AND(O808&lt;&gt;"",F808&lt;&gt;"",RIGHT($N808,6)="tarief"),SUM(O808)*FLOOR(SUM(Q808),0.01),S808&gt;0,IF(F808&lt;&gt;"",FLOOR(SUM(S808),0.01),"")),""),""),"")</f>
        <v/>
      </c>
      <c r="V808" s="317" t="str" cm="1">
        <f t="array" aca="1" ref="V808" ca="1">IFERROR(IF(AA808&lt;&gt;"ja",_xlfn.IFNA(_xlfn.IFS(AND(P808&lt;&gt;"",R808&lt;&gt;"",RIGHT($N808,6)="tarief",F808="Vergoeding"),SUM(P808)*FLOOR(SUM(R808),0.0001),AND(P808&lt;&gt;"",R808&lt;&gt;"",RIGHT($N808,6)="tarief"),P808*FLOOR(R808,0.01),T808&gt;0,FLOOR(SUM(T808),0.01)),""),""),"")</f>
        <v/>
      </c>
      <c r="W808" s="317" t="str" cm="1">
        <f t="array" aca="1" ref="W808" ca="1">IFERROR(_xlfn.IFS(OR(F808="",LEFT(Methode_Keuze,4)="Geen",Methode_Keuze=""),"",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17" t="str" cm="1">
        <f t="array" aca="1" ref="X808" ca="1">IFERROR(_xlfn.IFS(OR(F808="",LEFT(Methode_Keuze,4)="Geen",Methode_Keuze=""),"",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26"/>
      <c r="Z808" s="319"/>
      <c r="AA808" s="32" t="str" cm="1">
        <f t="array" ref="AA808">IFERROR(IF(INDEX(SubsidieTabel!$AD$1:$AG$12,MATCH($F808,SubsidieTabel!$AD$1:$AD$12,0),IFERROR(MATCH(Methode_Keuze,SubsidieTabel!$AD$1:$AG$1,0),2))&lt;&gt;1=TRUE,"ja",""),"")</f>
        <v/>
      </c>
    </row>
    <row r="809" spans="1:27" x14ac:dyDescent="0.25">
      <c r="A809" s="320"/>
      <c r="B809" s="321" t="str">
        <f>IF(A809&lt;&gt;"",_xlfn.MAXIFS($B$1:B808,$A$1:A808,A809)+1,"")</f>
        <v/>
      </c>
      <c r="C809" s="299"/>
      <c r="D809" s="299"/>
      <c r="E809" s="299"/>
      <c r="F809" s="299"/>
      <c r="G809" s="330"/>
      <c r="H809" s="328"/>
      <c r="I809" s="329"/>
      <c r="J809" s="329"/>
      <c r="K809" s="322"/>
      <c r="L809" s="322"/>
      <c r="M809" s="323" t="str">
        <f>IFERROR(VLOOKUP(H809,Lijsten!$H$1:$I$100,2,0),"")</f>
        <v/>
      </c>
      <c r="N809" s="323" t="str">
        <f ca="1">IFERROR(IF(VLOOKUP(F809,Kostentypen!$A$3:$E$21,3,0)=0,"",IF(OR(F809="Arbeidskosten",F809="Vergoeding"),VLOOKUP(G809,Tb_KostenTypen[],2,0),VLOOKUP(F809,Kostentypen!$A$3:$E$20,3,0))),"")</f>
        <v/>
      </c>
      <c r="O809" s="324"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4"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3"/>
      <c r="R809" s="363"/>
      <c r="S809" s="325"/>
      <c r="T809" s="325"/>
      <c r="U809" s="317" t="str" cm="1">
        <f t="array" aca="1" ref="U809" ca="1">IFERROR(IF(AA809&lt;&gt;"ja",_xlfn.IFNA(_xlfn.IFS(AND(O809&lt;&gt;"",F809&lt;&gt;"",RIGHT($N809,6)="tarief",F809="Vergoeding"),SUM(O809)*FLOOR(SUM(Q809),0.0001),AND(O809&lt;&gt;"",F809&lt;&gt;"",RIGHT($N809,6)="tarief"),SUM(O809)*FLOOR(SUM(Q809),0.01),S809&gt;0,IF(F809&lt;&gt;"",FLOOR(SUM(S809),0.01),"")),""),""),"")</f>
        <v/>
      </c>
      <c r="V809" s="317" t="str" cm="1">
        <f t="array" aca="1" ref="V809" ca="1">IFERROR(IF(AA809&lt;&gt;"ja",_xlfn.IFNA(_xlfn.IFS(AND(P809&lt;&gt;"",R809&lt;&gt;"",RIGHT($N809,6)="tarief",F809="Vergoeding"),SUM(P809)*FLOOR(SUM(R809),0.0001),AND(P809&lt;&gt;"",R809&lt;&gt;"",RIGHT($N809,6)="tarief"),P809*FLOOR(R809,0.01),T809&gt;0,FLOOR(SUM(T809),0.01)),""),""),"")</f>
        <v/>
      </c>
      <c r="W809" s="317" t="str" cm="1">
        <f t="array" aca="1" ref="W809" ca="1">IFERROR(_xlfn.IFS(OR(F809="",LEFT(Methode_Keuze,4)="Geen",Methode_Keuze=""),"",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17" t="str" cm="1">
        <f t="array" aca="1" ref="X809" ca="1">IFERROR(_xlfn.IFS(OR(F809="",LEFT(Methode_Keuze,4)="Geen",Methode_Keuze=""),"",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26"/>
      <c r="Z809" s="319"/>
      <c r="AA809" s="32" t="str" cm="1">
        <f t="array" ref="AA809">IFERROR(IF(INDEX(SubsidieTabel!$AD$1:$AG$12,MATCH($F809,SubsidieTabel!$AD$1:$AD$12,0),IFERROR(MATCH(Methode_Keuze,SubsidieTabel!$AD$1:$AG$1,0),2))&lt;&gt;1=TRUE,"ja",""),"")</f>
        <v/>
      </c>
    </row>
    <row r="810" spans="1:27" x14ac:dyDescent="0.25">
      <c r="A810" s="320"/>
      <c r="B810" s="321" t="str">
        <f>IF(A810&lt;&gt;"",_xlfn.MAXIFS($B$1:B809,$A$1:A809,A810)+1,"")</f>
        <v/>
      </c>
      <c r="C810" s="299"/>
      <c r="D810" s="299"/>
      <c r="E810" s="299"/>
      <c r="F810" s="299"/>
      <c r="G810" s="330"/>
      <c r="H810" s="328"/>
      <c r="I810" s="329"/>
      <c r="J810" s="329"/>
      <c r="K810" s="322"/>
      <c r="L810" s="322"/>
      <c r="M810" s="323" t="str">
        <f>IFERROR(VLOOKUP(H810,Lijsten!$H$1:$I$100,2,0),"")</f>
        <v/>
      </c>
      <c r="N810" s="323" t="str">
        <f ca="1">IFERROR(IF(VLOOKUP(F810,Kostentypen!$A$3:$E$21,3,0)=0,"",IF(OR(F810="Arbeidskosten",F810="Vergoeding"),VLOOKUP(G810,Tb_KostenTypen[],2,0),VLOOKUP(F810,Kostentypen!$A$3:$E$20,3,0))),"")</f>
        <v/>
      </c>
      <c r="O810" s="324"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4"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3"/>
      <c r="R810" s="363"/>
      <c r="S810" s="325"/>
      <c r="T810" s="325"/>
      <c r="U810" s="317" t="str" cm="1">
        <f t="array" aca="1" ref="U810" ca="1">IFERROR(IF(AA810&lt;&gt;"ja",_xlfn.IFNA(_xlfn.IFS(AND(O810&lt;&gt;"",F810&lt;&gt;"",RIGHT($N810,6)="tarief",F810="Vergoeding"),SUM(O810)*FLOOR(SUM(Q810),0.0001),AND(O810&lt;&gt;"",F810&lt;&gt;"",RIGHT($N810,6)="tarief"),SUM(O810)*FLOOR(SUM(Q810),0.01),S810&gt;0,IF(F810&lt;&gt;"",FLOOR(SUM(S810),0.01),"")),""),""),"")</f>
        <v/>
      </c>
      <c r="V810" s="317" t="str" cm="1">
        <f t="array" aca="1" ref="V810" ca="1">IFERROR(IF(AA810&lt;&gt;"ja",_xlfn.IFNA(_xlfn.IFS(AND(P810&lt;&gt;"",R810&lt;&gt;"",RIGHT($N810,6)="tarief",F810="Vergoeding"),SUM(P810)*FLOOR(SUM(R810),0.0001),AND(P810&lt;&gt;"",R810&lt;&gt;"",RIGHT($N810,6)="tarief"),P810*FLOOR(R810,0.01),T810&gt;0,FLOOR(SUM(T810),0.01)),""),""),"")</f>
        <v/>
      </c>
      <c r="W810" s="317" t="str" cm="1">
        <f t="array" aca="1" ref="W810" ca="1">IFERROR(_xlfn.IFS(OR(F810="",LEFT(Methode_Keuze,4)="Geen",Methode_Keuze=""),"",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17" t="str" cm="1">
        <f t="array" aca="1" ref="X810" ca="1">IFERROR(_xlfn.IFS(OR(F810="",LEFT(Methode_Keuze,4)="Geen",Methode_Keuze=""),"",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26"/>
      <c r="Z810" s="319"/>
      <c r="AA810" s="32" t="str" cm="1">
        <f t="array" ref="AA810">IFERROR(IF(INDEX(SubsidieTabel!$AD$1:$AG$12,MATCH($F810,SubsidieTabel!$AD$1:$AD$12,0),IFERROR(MATCH(Methode_Keuze,SubsidieTabel!$AD$1:$AG$1,0),2))&lt;&gt;1=TRUE,"ja",""),"")</f>
        <v/>
      </c>
    </row>
    <row r="811" spans="1:27" x14ac:dyDescent="0.25">
      <c r="A811" s="320"/>
      <c r="B811" s="321" t="str">
        <f>IF(A811&lt;&gt;"",_xlfn.MAXIFS($B$1:B810,$A$1:A810,A811)+1,"")</f>
        <v/>
      </c>
      <c r="C811" s="299"/>
      <c r="D811" s="299"/>
      <c r="E811" s="299"/>
      <c r="F811" s="299"/>
      <c r="G811" s="330"/>
      <c r="H811" s="328"/>
      <c r="I811" s="329"/>
      <c r="J811" s="329"/>
      <c r="K811" s="322"/>
      <c r="L811" s="322"/>
      <c r="M811" s="323" t="str">
        <f>IFERROR(VLOOKUP(H811,Lijsten!$H$1:$I$100,2,0),"")</f>
        <v/>
      </c>
      <c r="N811" s="323" t="str">
        <f ca="1">IFERROR(IF(VLOOKUP(F811,Kostentypen!$A$3:$E$21,3,0)=0,"",IF(OR(F811="Arbeidskosten",F811="Vergoeding"),VLOOKUP(G811,Tb_KostenTypen[],2,0),VLOOKUP(F811,Kostentypen!$A$3:$E$20,3,0))),"")</f>
        <v/>
      </c>
      <c r="O811" s="324"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4"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3"/>
      <c r="R811" s="363"/>
      <c r="S811" s="325"/>
      <c r="T811" s="325"/>
      <c r="U811" s="317" t="str" cm="1">
        <f t="array" aca="1" ref="U811" ca="1">IFERROR(IF(AA811&lt;&gt;"ja",_xlfn.IFNA(_xlfn.IFS(AND(O811&lt;&gt;"",F811&lt;&gt;"",RIGHT($N811,6)="tarief",F811="Vergoeding"),SUM(O811)*FLOOR(SUM(Q811),0.0001),AND(O811&lt;&gt;"",F811&lt;&gt;"",RIGHT($N811,6)="tarief"),SUM(O811)*FLOOR(SUM(Q811),0.01),S811&gt;0,IF(F811&lt;&gt;"",FLOOR(SUM(S811),0.01),"")),""),""),"")</f>
        <v/>
      </c>
      <c r="V811" s="317" t="str" cm="1">
        <f t="array" aca="1" ref="V811" ca="1">IFERROR(IF(AA811&lt;&gt;"ja",_xlfn.IFNA(_xlfn.IFS(AND(P811&lt;&gt;"",R811&lt;&gt;"",RIGHT($N811,6)="tarief",F811="Vergoeding"),SUM(P811)*FLOOR(SUM(R811),0.0001),AND(P811&lt;&gt;"",R811&lt;&gt;"",RIGHT($N811,6)="tarief"),P811*FLOOR(R811,0.01),T811&gt;0,FLOOR(SUM(T811),0.01)),""),""),"")</f>
        <v/>
      </c>
      <c r="W811" s="317" t="str" cm="1">
        <f t="array" aca="1" ref="W811" ca="1">IFERROR(_xlfn.IFS(OR(F811="",LEFT(Methode_Keuze,4)="Geen",Methode_Keuze=""),"",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17" t="str" cm="1">
        <f t="array" aca="1" ref="X811" ca="1">IFERROR(_xlfn.IFS(OR(F811="",LEFT(Methode_Keuze,4)="Geen",Methode_Keuze=""),"",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26"/>
      <c r="Z811" s="319"/>
      <c r="AA811" s="32" t="str" cm="1">
        <f t="array" ref="AA811">IFERROR(IF(INDEX(SubsidieTabel!$AD$1:$AG$12,MATCH($F811,SubsidieTabel!$AD$1:$AD$12,0),IFERROR(MATCH(Methode_Keuze,SubsidieTabel!$AD$1:$AG$1,0),2))&lt;&gt;1=TRUE,"ja",""),"")</f>
        <v/>
      </c>
    </row>
    <row r="812" spans="1:27" x14ac:dyDescent="0.25">
      <c r="A812" s="320"/>
      <c r="B812" s="321" t="str">
        <f>IF(A812&lt;&gt;"",_xlfn.MAXIFS($B$1:B811,$A$1:A811,A812)+1,"")</f>
        <v/>
      </c>
      <c r="C812" s="299"/>
      <c r="D812" s="299"/>
      <c r="E812" s="299"/>
      <c r="F812" s="299"/>
      <c r="G812" s="330"/>
      <c r="H812" s="328"/>
      <c r="I812" s="329"/>
      <c r="J812" s="329"/>
      <c r="K812" s="322"/>
      <c r="L812" s="322"/>
      <c r="M812" s="323" t="str">
        <f>IFERROR(VLOOKUP(H812,Lijsten!$H$1:$I$100,2,0),"")</f>
        <v/>
      </c>
      <c r="N812" s="323" t="str">
        <f ca="1">IFERROR(IF(VLOOKUP(F812,Kostentypen!$A$3:$E$21,3,0)=0,"",IF(OR(F812="Arbeidskosten",F812="Vergoeding"),VLOOKUP(G812,Tb_KostenTypen[],2,0),VLOOKUP(F812,Kostentypen!$A$3:$E$20,3,0))),"")</f>
        <v/>
      </c>
      <c r="O812" s="324"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4"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3"/>
      <c r="R812" s="363"/>
      <c r="S812" s="325"/>
      <c r="T812" s="325"/>
      <c r="U812" s="317" t="str" cm="1">
        <f t="array" aca="1" ref="U812" ca="1">IFERROR(IF(AA812&lt;&gt;"ja",_xlfn.IFNA(_xlfn.IFS(AND(O812&lt;&gt;"",F812&lt;&gt;"",RIGHT($N812,6)="tarief",F812="Vergoeding"),SUM(O812)*FLOOR(SUM(Q812),0.0001),AND(O812&lt;&gt;"",F812&lt;&gt;"",RIGHT($N812,6)="tarief"),SUM(O812)*FLOOR(SUM(Q812),0.01),S812&gt;0,IF(F812&lt;&gt;"",FLOOR(SUM(S812),0.01),"")),""),""),"")</f>
        <v/>
      </c>
      <c r="V812" s="317" t="str" cm="1">
        <f t="array" aca="1" ref="V812" ca="1">IFERROR(IF(AA812&lt;&gt;"ja",_xlfn.IFNA(_xlfn.IFS(AND(P812&lt;&gt;"",R812&lt;&gt;"",RIGHT($N812,6)="tarief",F812="Vergoeding"),SUM(P812)*FLOOR(SUM(R812),0.0001),AND(P812&lt;&gt;"",R812&lt;&gt;"",RIGHT($N812,6)="tarief"),P812*FLOOR(R812,0.01),T812&gt;0,FLOOR(SUM(T812),0.01)),""),""),"")</f>
        <v/>
      </c>
      <c r="W812" s="317" t="str" cm="1">
        <f t="array" aca="1" ref="W812" ca="1">IFERROR(_xlfn.IFS(OR(F812="",LEFT(Methode_Keuze,4)="Geen",Methode_Keuze=""),"",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17" t="str" cm="1">
        <f t="array" aca="1" ref="X812" ca="1">IFERROR(_xlfn.IFS(OR(F812="",LEFT(Methode_Keuze,4)="Geen",Methode_Keuze=""),"",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26"/>
      <c r="Z812" s="319"/>
      <c r="AA812" s="32" t="str" cm="1">
        <f t="array" ref="AA812">IFERROR(IF(INDEX(SubsidieTabel!$AD$1:$AG$12,MATCH($F812,SubsidieTabel!$AD$1:$AD$12,0),IFERROR(MATCH(Methode_Keuze,SubsidieTabel!$AD$1:$AG$1,0),2))&lt;&gt;1=TRUE,"ja",""),"")</f>
        <v/>
      </c>
    </row>
    <row r="813" spans="1:27" x14ac:dyDescent="0.25">
      <c r="A813" s="320"/>
      <c r="B813" s="321" t="str">
        <f>IF(A813&lt;&gt;"",_xlfn.MAXIFS($B$1:B812,$A$1:A812,A813)+1,"")</f>
        <v/>
      </c>
      <c r="C813" s="299"/>
      <c r="D813" s="299"/>
      <c r="E813" s="299"/>
      <c r="F813" s="299"/>
      <c r="G813" s="330"/>
      <c r="H813" s="328"/>
      <c r="I813" s="329"/>
      <c r="J813" s="329"/>
      <c r="K813" s="322"/>
      <c r="L813" s="322"/>
      <c r="M813" s="323" t="str">
        <f>IFERROR(VLOOKUP(H813,Lijsten!$H$1:$I$100,2,0),"")</f>
        <v/>
      </c>
      <c r="N813" s="323" t="str">
        <f ca="1">IFERROR(IF(VLOOKUP(F813,Kostentypen!$A$3:$E$21,3,0)=0,"",IF(OR(F813="Arbeidskosten",F813="Vergoeding"),VLOOKUP(G813,Tb_KostenTypen[],2,0),VLOOKUP(F813,Kostentypen!$A$3:$E$20,3,0))),"")</f>
        <v/>
      </c>
      <c r="O813" s="324"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4"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3"/>
      <c r="R813" s="363"/>
      <c r="S813" s="325"/>
      <c r="T813" s="325"/>
      <c r="U813" s="317" t="str" cm="1">
        <f t="array" aca="1" ref="U813" ca="1">IFERROR(IF(AA813&lt;&gt;"ja",_xlfn.IFNA(_xlfn.IFS(AND(O813&lt;&gt;"",F813&lt;&gt;"",RIGHT($N813,6)="tarief",F813="Vergoeding"),SUM(O813)*FLOOR(SUM(Q813),0.0001),AND(O813&lt;&gt;"",F813&lt;&gt;"",RIGHT($N813,6)="tarief"),SUM(O813)*FLOOR(SUM(Q813),0.01),S813&gt;0,IF(F813&lt;&gt;"",FLOOR(SUM(S813),0.01),"")),""),""),"")</f>
        <v/>
      </c>
      <c r="V813" s="317" t="str" cm="1">
        <f t="array" aca="1" ref="V813" ca="1">IFERROR(IF(AA813&lt;&gt;"ja",_xlfn.IFNA(_xlfn.IFS(AND(P813&lt;&gt;"",R813&lt;&gt;"",RIGHT($N813,6)="tarief",F813="Vergoeding"),SUM(P813)*FLOOR(SUM(R813),0.0001),AND(P813&lt;&gt;"",R813&lt;&gt;"",RIGHT($N813,6)="tarief"),P813*FLOOR(R813,0.01),T813&gt;0,FLOOR(SUM(T813),0.01)),""),""),"")</f>
        <v/>
      </c>
      <c r="W813" s="317" t="str" cm="1">
        <f t="array" aca="1" ref="W813" ca="1">IFERROR(_xlfn.IFS(OR(F813="",LEFT(Methode_Keuze,4)="Geen",Methode_Keuze=""),"",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17" t="str" cm="1">
        <f t="array" aca="1" ref="X813" ca="1">IFERROR(_xlfn.IFS(OR(F813="",LEFT(Methode_Keuze,4)="Geen",Methode_Keuze=""),"",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26"/>
      <c r="Z813" s="319"/>
      <c r="AA813" s="32" t="str" cm="1">
        <f t="array" ref="AA813">IFERROR(IF(INDEX(SubsidieTabel!$AD$1:$AG$12,MATCH($F813,SubsidieTabel!$AD$1:$AD$12,0),IFERROR(MATCH(Methode_Keuze,SubsidieTabel!$AD$1:$AG$1,0),2))&lt;&gt;1=TRUE,"ja",""),"")</f>
        <v/>
      </c>
    </row>
    <row r="814" spans="1:27" x14ac:dyDescent="0.25">
      <c r="A814" s="320"/>
      <c r="B814" s="321" t="str">
        <f>IF(A814&lt;&gt;"",_xlfn.MAXIFS($B$1:B813,$A$1:A813,A814)+1,"")</f>
        <v/>
      </c>
      <c r="C814" s="299"/>
      <c r="D814" s="299"/>
      <c r="E814" s="299"/>
      <c r="F814" s="299"/>
      <c r="G814" s="330"/>
      <c r="H814" s="328"/>
      <c r="I814" s="329"/>
      <c r="J814" s="329"/>
      <c r="K814" s="322"/>
      <c r="L814" s="322"/>
      <c r="M814" s="323" t="str">
        <f>IFERROR(VLOOKUP(H814,Lijsten!$H$1:$I$100,2,0),"")</f>
        <v/>
      </c>
      <c r="N814" s="323" t="str">
        <f ca="1">IFERROR(IF(VLOOKUP(F814,Kostentypen!$A$3:$E$21,3,0)=0,"",IF(OR(F814="Arbeidskosten",F814="Vergoeding"),VLOOKUP(G814,Tb_KostenTypen[],2,0),VLOOKUP(F814,Kostentypen!$A$3:$E$20,3,0))),"")</f>
        <v/>
      </c>
      <c r="O814" s="324"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4"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3"/>
      <c r="R814" s="363"/>
      <c r="S814" s="325"/>
      <c r="T814" s="325"/>
      <c r="U814" s="317" t="str" cm="1">
        <f t="array" aca="1" ref="U814" ca="1">IFERROR(IF(AA814&lt;&gt;"ja",_xlfn.IFNA(_xlfn.IFS(AND(O814&lt;&gt;"",F814&lt;&gt;"",RIGHT($N814,6)="tarief",F814="Vergoeding"),SUM(O814)*FLOOR(SUM(Q814),0.0001),AND(O814&lt;&gt;"",F814&lt;&gt;"",RIGHT($N814,6)="tarief"),SUM(O814)*FLOOR(SUM(Q814),0.01),S814&gt;0,IF(F814&lt;&gt;"",FLOOR(SUM(S814),0.01),"")),""),""),"")</f>
        <v/>
      </c>
      <c r="V814" s="317" t="str" cm="1">
        <f t="array" aca="1" ref="V814" ca="1">IFERROR(IF(AA814&lt;&gt;"ja",_xlfn.IFNA(_xlfn.IFS(AND(P814&lt;&gt;"",R814&lt;&gt;"",RIGHT($N814,6)="tarief",F814="Vergoeding"),SUM(P814)*FLOOR(SUM(R814),0.0001),AND(P814&lt;&gt;"",R814&lt;&gt;"",RIGHT($N814,6)="tarief"),P814*FLOOR(R814,0.01),T814&gt;0,FLOOR(SUM(T814),0.01)),""),""),"")</f>
        <v/>
      </c>
      <c r="W814" s="317" t="str" cm="1">
        <f t="array" aca="1" ref="W814" ca="1">IFERROR(_xlfn.IFS(OR(F814="",LEFT(Methode_Keuze,4)="Geen",Methode_Keuze=""),"",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17" t="str" cm="1">
        <f t="array" aca="1" ref="X814" ca="1">IFERROR(_xlfn.IFS(OR(F814="",LEFT(Methode_Keuze,4)="Geen",Methode_Keuze=""),"",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26"/>
      <c r="Z814" s="319"/>
      <c r="AA814" s="32" t="str" cm="1">
        <f t="array" ref="AA814">IFERROR(IF(INDEX(SubsidieTabel!$AD$1:$AG$12,MATCH($F814,SubsidieTabel!$AD$1:$AD$12,0),IFERROR(MATCH(Methode_Keuze,SubsidieTabel!$AD$1:$AG$1,0),2))&lt;&gt;1=TRUE,"ja",""),"")</f>
        <v/>
      </c>
    </row>
    <row r="815" spans="1:27" x14ac:dyDescent="0.25">
      <c r="A815" s="320"/>
      <c r="B815" s="321" t="str">
        <f>IF(A815&lt;&gt;"",_xlfn.MAXIFS($B$1:B814,$A$1:A814,A815)+1,"")</f>
        <v/>
      </c>
      <c r="C815" s="299"/>
      <c r="D815" s="299"/>
      <c r="E815" s="299"/>
      <c r="F815" s="299"/>
      <c r="G815" s="330"/>
      <c r="H815" s="328"/>
      <c r="I815" s="329"/>
      <c r="J815" s="329"/>
      <c r="K815" s="322"/>
      <c r="L815" s="322"/>
      <c r="M815" s="323" t="str">
        <f>IFERROR(VLOOKUP(H815,Lijsten!$H$1:$I$100,2,0),"")</f>
        <v/>
      </c>
      <c r="N815" s="323" t="str">
        <f ca="1">IFERROR(IF(VLOOKUP(F815,Kostentypen!$A$3:$E$21,3,0)=0,"",IF(OR(F815="Arbeidskosten",F815="Vergoeding"),VLOOKUP(G815,Tb_KostenTypen[],2,0),VLOOKUP(F815,Kostentypen!$A$3:$E$20,3,0))),"")</f>
        <v/>
      </c>
      <c r="O815" s="324"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4"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3"/>
      <c r="R815" s="363"/>
      <c r="S815" s="325"/>
      <c r="T815" s="325"/>
      <c r="U815" s="317" t="str" cm="1">
        <f t="array" aca="1" ref="U815" ca="1">IFERROR(IF(AA815&lt;&gt;"ja",_xlfn.IFNA(_xlfn.IFS(AND(O815&lt;&gt;"",F815&lt;&gt;"",RIGHT($N815,6)="tarief",F815="Vergoeding"),SUM(O815)*FLOOR(SUM(Q815),0.0001),AND(O815&lt;&gt;"",F815&lt;&gt;"",RIGHT($N815,6)="tarief"),SUM(O815)*FLOOR(SUM(Q815),0.01),S815&gt;0,IF(F815&lt;&gt;"",FLOOR(SUM(S815),0.01),"")),""),""),"")</f>
        <v/>
      </c>
      <c r="V815" s="317" t="str" cm="1">
        <f t="array" aca="1" ref="V815" ca="1">IFERROR(IF(AA815&lt;&gt;"ja",_xlfn.IFNA(_xlfn.IFS(AND(P815&lt;&gt;"",R815&lt;&gt;"",RIGHT($N815,6)="tarief",F815="Vergoeding"),SUM(P815)*FLOOR(SUM(R815),0.0001),AND(P815&lt;&gt;"",R815&lt;&gt;"",RIGHT($N815,6)="tarief"),P815*FLOOR(R815,0.01),T815&gt;0,FLOOR(SUM(T815),0.01)),""),""),"")</f>
        <v/>
      </c>
      <c r="W815" s="317" t="str" cm="1">
        <f t="array" aca="1" ref="W815" ca="1">IFERROR(_xlfn.IFS(OR(F815="",LEFT(Methode_Keuze,4)="Geen",Methode_Keuze=""),"",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17" t="str" cm="1">
        <f t="array" aca="1" ref="X815" ca="1">IFERROR(_xlfn.IFS(OR(F815="",LEFT(Methode_Keuze,4)="Geen",Methode_Keuze=""),"",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26"/>
      <c r="Z815" s="319"/>
      <c r="AA815" s="32" t="str" cm="1">
        <f t="array" ref="AA815">IFERROR(IF(INDEX(SubsidieTabel!$AD$1:$AG$12,MATCH($F815,SubsidieTabel!$AD$1:$AD$12,0),IFERROR(MATCH(Methode_Keuze,SubsidieTabel!$AD$1:$AG$1,0),2))&lt;&gt;1=TRUE,"ja",""),"")</f>
        <v/>
      </c>
    </row>
    <row r="816" spans="1:27" x14ac:dyDescent="0.25">
      <c r="A816" s="320"/>
      <c r="B816" s="321" t="str">
        <f>IF(A816&lt;&gt;"",_xlfn.MAXIFS($B$1:B815,$A$1:A815,A816)+1,"")</f>
        <v/>
      </c>
      <c r="C816" s="299"/>
      <c r="D816" s="299"/>
      <c r="E816" s="299"/>
      <c r="F816" s="299"/>
      <c r="G816" s="330"/>
      <c r="H816" s="328"/>
      <c r="I816" s="329"/>
      <c r="J816" s="329"/>
      <c r="K816" s="322"/>
      <c r="L816" s="322"/>
      <c r="M816" s="323" t="str">
        <f>IFERROR(VLOOKUP(H816,Lijsten!$H$1:$I$100,2,0),"")</f>
        <v/>
      </c>
      <c r="N816" s="323" t="str">
        <f ca="1">IFERROR(IF(VLOOKUP(F816,Kostentypen!$A$3:$E$21,3,0)=0,"",IF(OR(F816="Arbeidskosten",F816="Vergoeding"),VLOOKUP(G816,Tb_KostenTypen[],2,0),VLOOKUP(F816,Kostentypen!$A$3:$E$20,3,0))),"")</f>
        <v/>
      </c>
      <c r="O816" s="324"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4"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3"/>
      <c r="R816" s="363"/>
      <c r="S816" s="325"/>
      <c r="T816" s="325"/>
      <c r="U816" s="317" t="str" cm="1">
        <f t="array" aca="1" ref="U816" ca="1">IFERROR(IF(AA816&lt;&gt;"ja",_xlfn.IFNA(_xlfn.IFS(AND(O816&lt;&gt;"",F816&lt;&gt;"",RIGHT($N816,6)="tarief",F816="Vergoeding"),SUM(O816)*FLOOR(SUM(Q816),0.0001),AND(O816&lt;&gt;"",F816&lt;&gt;"",RIGHT($N816,6)="tarief"),SUM(O816)*FLOOR(SUM(Q816),0.01),S816&gt;0,IF(F816&lt;&gt;"",FLOOR(SUM(S816),0.01),"")),""),""),"")</f>
        <v/>
      </c>
      <c r="V816" s="317" t="str" cm="1">
        <f t="array" aca="1" ref="V816" ca="1">IFERROR(IF(AA816&lt;&gt;"ja",_xlfn.IFNA(_xlfn.IFS(AND(P816&lt;&gt;"",R816&lt;&gt;"",RIGHT($N816,6)="tarief",F816="Vergoeding"),SUM(P816)*FLOOR(SUM(R816),0.0001),AND(P816&lt;&gt;"",R816&lt;&gt;"",RIGHT($N816,6)="tarief"),P816*FLOOR(R816,0.01),T816&gt;0,FLOOR(SUM(T816),0.01)),""),""),"")</f>
        <v/>
      </c>
      <c r="W816" s="317" t="str" cm="1">
        <f t="array" aca="1" ref="W816" ca="1">IFERROR(_xlfn.IFS(OR(F816="",LEFT(Methode_Keuze,4)="Geen",Methode_Keuze=""),"",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17" t="str" cm="1">
        <f t="array" aca="1" ref="X816" ca="1">IFERROR(_xlfn.IFS(OR(F816="",LEFT(Methode_Keuze,4)="Geen",Methode_Keuze=""),"",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26"/>
      <c r="Z816" s="319"/>
      <c r="AA816" s="32" t="str" cm="1">
        <f t="array" ref="AA816">IFERROR(IF(INDEX(SubsidieTabel!$AD$1:$AG$12,MATCH($F816,SubsidieTabel!$AD$1:$AD$12,0),IFERROR(MATCH(Methode_Keuze,SubsidieTabel!$AD$1:$AG$1,0),2))&lt;&gt;1=TRUE,"ja",""),"")</f>
        <v/>
      </c>
    </row>
    <row r="817" spans="1:27" x14ac:dyDescent="0.25">
      <c r="A817" s="320"/>
      <c r="B817" s="321" t="str">
        <f>IF(A817&lt;&gt;"",_xlfn.MAXIFS($B$1:B816,$A$1:A816,A817)+1,"")</f>
        <v/>
      </c>
      <c r="C817" s="299"/>
      <c r="D817" s="299"/>
      <c r="E817" s="299"/>
      <c r="F817" s="299"/>
      <c r="G817" s="330"/>
      <c r="H817" s="328"/>
      <c r="I817" s="329"/>
      <c r="J817" s="329"/>
      <c r="K817" s="322"/>
      <c r="L817" s="322"/>
      <c r="M817" s="323" t="str">
        <f>IFERROR(VLOOKUP(H817,Lijsten!$H$1:$I$100,2,0),"")</f>
        <v/>
      </c>
      <c r="N817" s="323" t="str">
        <f ca="1">IFERROR(IF(VLOOKUP(F817,Kostentypen!$A$3:$E$21,3,0)=0,"",IF(OR(F817="Arbeidskosten",F817="Vergoeding"),VLOOKUP(G817,Tb_KostenTypen[],2,0),VLOOKUP(F817,Kostentypen!$A$3:$E$20,3,0))),"")</f>
        <v/>
      </c>
      <c r="O817" s="324"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4"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3"/>
      <c r="R817" s="363"/>
      <c r="S817" s="325"/>
      <c r="T817" s="325"/>
      <c r="U817" s="317" t="str" cm="1">
        <f t="array" aca="1" ref="U817" ca="1">IFERROR(IF(AA817&lt;&gt;"ja",_xlfn.IFNA(_xlfn.IFS(AND(O817&lt;&gt;"",F817&lt;&gt;"",RIGHT($N817,6)="tarief",F817="Vergoeding"),SUM(O817)*FLOOR(SUM(Q817),0.0001),AND(O817&lt;&gt;"",F817&lt;&gt;"",RIGHT($N817,6)="tarief"),SUM(O817)*FLOOR(SUM(Q817),0.01),S817&gt;0,IF(F817&lt;&gt;"",FLOOR(SUM(S817),0.01),"")),""),""),"")</f>
        <v/>
      </c>
      <c r="V817" s="317" t="str" cm="1">
        <f t="array" aca="1" ref="V817" ca="1">IFERROR(IF(AA817&lt;&gt;"ja",_xlfn.IFNA(_xlfn.IFS(AND(P817&lt;&gt;"",R817&lt;&gt;"",RIGHT($N817,6)="tarief",F817="Vergoeding"),SUM(P817)*FLOOR(SUM(R817),0.0001),AND(P817&lt;&gt;"",R817&lt;&gt;"",RIGHT($N817,6)="tarief"),P817*FLOOR(R817,0.01),T817&gt;0,FLOOR(SUM(T817),0.01)),""),""),"")</f>
        <v/>
      </c>
      <c r="W817" s="317" t="str" cm="1">
        <f t="array" aca="1" ref="W817" ca="1">IFERROR(_xlfn.IFS(OR(F817="",LEFT(Methode_Keuze,4)="Geen",Methode_Keuze=""),"",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17" t="str" cm="1">
        <f t="array" aca="1" ref="X817" ca="1">IFERROR(_xlfn.IFS(OR(F817="",LEFT(Methode_Keuze,4)="Geen",Methode_Keuze=""),"",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26"/>
      <c r="Z817" s="319"/>
      <c r="AA817" s="32" t="str" cm="1">
        <f t="array" ref="AA817">IFERROR(IF(INDEX(SubsidieTabel!$AD$1:$AG$12,MATCH($F817,SubsidieTabel!$AD$1:$AD$12,0),IFERROR(MATCH(Methode_Keuze,SubsidieTabel!$AD$1:$AG$1,0),2))&lt;&gt;1=TRUE,"ja",""),"")</f>
        <v/>
      </c>
    </row>
    <row r="818" spans="1:27" x14ac:dyDescent="0.25">
      <c r="A818" s="320"/>
      <c r="B818" s="321" t="str">
        <f>IF(A818&lt;&gt;"",_xlfn.MAXIFS($B$1:B817,$A$1:A817,A818)+1,"")</f>
        <v/>
      </c>
      <c r="C818" s="299"/>
      <c r="D818" s="299"/>
      <c r="E818" s="299"/>
      <c r="F818" s="299"/>
      <c r="G818" s="330"/>
      <c r="H818" s="328"/>
      <c r="I818" s="329"/>
      <c r="J818" s="329"/>
      <c r="K818" s="322"/>
      <c r="L818" s="322"/>
      <c r="M818" s="323" t="str">
        <f>IFERROR(VLOOKUP(H818,Lijsten!$H$1:$I$100,2,0),"")</f>
        <v/>
      </c>
      <c r="N818" s="323" t="str">
        <f ca="1">IFERROR(IF(VLOOKUP(F818,Kostentypen!$A$3:$E$21,3,0)=0,"",IF(OR(F818="Arbeidskosten",F818="Vergoeding"),VLOOKUP(G818,Tb_KostenTypen[],2,0),VLOOKUP(F818,Kostentypen!$A$3:$E$20,3,0))),"")</f>
        <v/>
      </c>
      <c r="O818" s="324"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4"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3"/>
      <c r="R818" s="363"/>
      <c r="S818" s="325"/>
      <c r="T818" s="325"/>
      <c r="U818" s="317" t="str" cm="1">
        <f t="array" aca="1" ref="U818" ca="1">IFERROR(IF(AA818&lt;&gt;"ja",_xlfn.IFNA(_xlfn.IFS(AND(O818&lt;&gt;"",F818&lt;&gt;"",RIGHT($N818,6)="tarief",F818="Vergoeding"),SUM(O818)*FLOOR(SUM(Q818),0.0001),AND(O818&lt;&gt;"",F818&lt;&gt;"",RIGHT($N818,6)="tarief"),SUM(O818)*FLOOR(SUM(Q818),0.01),S818&gt;0,IF(F818&lt;&gt;"",FLOOR(SUM(S818),0.01),"")),""),""),"")</f>
        <v/>
      </c>
      <c r="V818" s="317" t="str" cm="1">
        <f t="array" aca="1" ref="V818" ca="1">IFERROR(IF(AA818&lt;&gt;"ja",_xlfn.IFNA(_xlfn.IFS(AND(P818&lt;&gt;"",R818&lt;&gt;"",RIGHT($N818,6)="tarief",F818="Vergoeding"),SUM(P818)*FLOOR(SUM(R818),0.0001),AND(P818&lt;&gt;"",R818&lt;&gt;"",RIGHT($N818,6)="tarief"),P818*FLOOR(R818,0.01),T818&gt;0,FLOOR(SUM(T818),0.01)),""),""),"")</f>
        <v/>
      </c>
      <c r="W818" s="317" t="str" cm="1">
        <f t="array" aca="1" ref="W818" ca="1">IFERROR(_xlfn.IFS(OR(F818="",LEFT(Methode_Keuze,4)="Geen",Methode_Keuze=""),"",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17" t="str" cm="1">
        <f t="array" aca="1" ref="X818" ca="1">IFERROR(_xlfn.IFS(OR(F818="",LEFT(Methode_Keuze,4)="Geen",Methode_Keuze=""),"",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26"/>
      <c r="Z818" s="319"/>
      <c r="AA818" s="32" t="str" cm="1">
        <f t="array" ref="AA818">IFERROR(IF(INDEX(SubsidieTabel!$AD$1:$AG$12,MATCH($F818,SubsidieTabel!$AD$1:$AD$12,0),IFERROR(MATCH(Methode_Keuze,SubsidieTabel!$AD$1:$AG$1,0),2))&lt;&gt;1=TRUE,"ja",""),"")</f>
        <v/>
      </c>
    </row>
    <row r="819" spans="1:27" x14ac:dyDescent="0.25">
      <c r="A819" s="320"/>
      <c r="B819" s="321" t="str">
        <f>IF(A819&lt;&gt;"",_xlfn.MAXIFS($B$1:B818,$A$1:A818,A819)+1,"")</f>
        <v/>
      </c>
      <c r="C819" s="299"/>
      <c r="D819" s="299"/>
      <c r="E819" s="299"/>
      <c r="F819" s="299"/>
      <c r="G819" s="330"/>
      <c r="H819" s="328"/>
      <c r="I819" s="329"/>
      <c r="J819" s="329"/>
      <c r="K819" s="322"/>
      <c r="L819" s="322"/>
      <c r="M819" s="323" t="str">
        <f>IFERROR(VLOOKUP(H819,Lijsten!$H$1:$I$100,2,0),"")</f>
        <v/>
      </c>
      <c r="N819" s="323" t="str">
        <f ca="1">IFERROR(IF(VLOOKUP(F819,Kostentypen!$A$3:$E$21,3,0)=0,"",IF(OR(F819="Arbeidskosten",F819="Vergoeding"),VLOOKUP(G819,Tb_KostenTypen[],2,0),VLOOKUP(F819,Kostentypen!$A$3:$E$20,3,0))),"")</f>
        <v/>
      </c>
      <c r="O819" s="324"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4"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3"/>
      <c r="R819" s="363"/>
      <c r="S819" s="325"/>
      <c r="T819" s="325"/>
      <c r="U819" s="317" t="str" cm="1">
        <f t="array" aca="1" ref="U819" ca="1">IFERROR(IF(AA819&lt;&gt;"ja",_xlfn.IFNA(_xlfn.IFS(AND(O819&lt;&gt;"",F819&lt;&gt;"",RIGHT($N819,6)="tarief",F819="Vergoeding"),SUM(O819)*FLOOR(SUM(Q819),0.0001),AND(O819&lt;&gt;"",F819&lt;&gt;"",RIGHT($N819,6)="tarief"),SUM(O819)*FLOOR(SUM(Q819),0.01),S819&gt;0,IF(F819&lt;&gt;"",FLOOR(SUM(S819),0.01),"")),""),""),"")</f>
        <v/>
      </c>
      <c r="V819" s="317" t="str" cm="1">
        <f t="array" aca="1" ref="V819" ca="1">IFERROR(IF(AA819&lt;&gt;"ja",_xlfn.IFNA(_xlfn.IFS(AND(P819&lt;&gt;"",R819&lt;&gt;"",RIGHT($N819,6)="tarief",F819="Vergoeding"),SUM(P819)*FLOOR(SUM(R819),0.0001),AND(P819&lt;&gt;"",R819&lt;&gt;"",RIGHT($N819,6)="tarief"),P819*FLOOR(R819,0.01),T819&gt;0,FLOOR(SUM(T819),0.01)),""),""),"")</f>
        <v/>
      </c>
      <c r="W819" s="317" t="str" cm="1">
        <f t="array" aca="1" ref="W819" ca="1">IFERROR(_xlfn.IFS(OR(F819="",LEFT(Methode_Keuze,4)="Geen",Methode_Keuze=""),"",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17" t="str" cm="1">
        <f t="array" aca="1" ref="X819" ca="1">IFERROR(_xlfn.IFS(OR(F819="",LEFT(Methode_Keuze,4)="Geen",Methode_Keuze=""),"",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26"/>
      <c r="Z819" s="319"/>
      <c r="AA819" s="32" t="str" cm="1">
        <f t="array" ref="AA819">IFERROR(IF(INDEX(SubsidieTabel!$AD$1:$AG$12,MATCH($F819,SubsidieTabel!$AD$1:$AD$12,0),IFERROR(MATCH(Methode_Keuze,SubsidieTabel!$AD$1:$AG$1,0),2))&lt;&gt;1=TRUE,"ja",""),"")</f>
        <v/>
      </c>
    </row>
    <row r="820" spans="1:27" x14ac:dyDescent="0.25">
      <c r="A820" s="320"/>
      <c r="B820" s="321" t="str">
        <f>IF(A820&lt;&gt;"",_xlfn.MAXIFS($B$1:B819,$A$1:A819,A820)+1,"")</f>
        <v/>
      </c>
      <c r="C820" s="299"/>
      <c r="D820" s="299"/>
      <c r="E820" s="299"/>
      <c r="F820" s="299"/>
      <c r="G820" s="330"/>
      <c r="H820" s="328"/>
      <c r="I820" s="329"/>
      <c r="J820" s="329"/>
      <c r="K820" s="322"/>
      <c r="L820" s="322"/>
      <c r="M820" s="323" t="str">
        <f>IFERROR(VLOOKUP(H820,Lijsten!$H$1:$I$100,2,0),"")</f>
        <v/>
      </c>
      <c r="N820" s="323" t="str">
        <f ca="1">IFERROR(IF(VLOOKUP(F820,Kostentypen!$A$3:$E$21,3,0)=0,"",IF(OR(F820="Arbeidskosten",F820="Vergoeding"),VLOOKUP(G820,Tb_KostenTypen[],2,0),VLOOKUP(F820,Kostentypen!$A$3:$E$20,3,0))),"")</f>
        <v/>
      </c>
      <c r="O820" s="324"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4"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3"/>
      <c r="R820" s="363"/>
      <c r="S820" s="325"/>
      <c r="T820" s="325"/>
      <c r="U820" s="317" t="str" cm="1">
        <f t="array" aca="1" ref="U820" ca="1">IFERROR(IF(AA820&lt;&gt;"ja",_xlfn.IFNA(_xlfn.IFS(AND(O820&lt;&gt;"",F820&lt;&gt;"",RIGHT($N820,6)="tarief",F820="Vergoeding"),SUM(O820)*FLOOR(SUM(Q820),0.0001),AND(O820&lt;&gt;"",F820&lt;&gt;"",RIGHT($N820,6)="tarief"),SUM(O820)*FLOOR(SUM(Q820),0.01),S820&gt;0,IF(F820&lt;&gt;"",FLOOR(SUM(S820),0.01),"")),""),""),"")</f>
        <v/>
      </c>
      <c r="V820" s="317" t="str" cm="1">
        <f t="array" aca="1" ref="V820" ca="1">IFERROR(IF(AA820&lt;&gt;"ja",_xlfn.IFNA(_xlfn.IFS(AND(P820&lt;&gt;"",R820&lt;&gt;"",RIGHT($N820,6)="tarief",F820="Vergoeding"),SUM(P820)*FLOOR(SUM(R820),0.0001),AND(P820&lt;&gt;"",R820&lt;&gt;"",RIGHT($N820,6)="tarief"),P820*FLOOR(R820,0.01),T820&gt;0,FLOOR(SUM(T820),0.01)),""),""),"")</f>
        <v/>
      </c>
      <c r="W820" s="317" t="str" cm="1">
        <f t="array" aca="1" ref="W820" ca="1">IFERROR(_xlfn.IFS(OR(F820="",LEFT(Methode_Keuze,4)="Geen",Methode_Keuze=""),"",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17" t="str" cm="1">
        <f t="array" aca="1" ref="X820" ca="1">IFERROR(_xlfn.IFS(OR(F820="",LEFT(Methode_Keuze,4)="Geen",Methode_Keuze=""),"",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26"/>
      <c r="Z820" s="319"/>
      <c r="AA820" s="32" t="str" cm="1">
        <f t="array" ref="AA820">IFERROR(IF(INDEX(SubsidieTabel!$AD$1:$AG$12,MATCH($F820,SubsidieTabel!$AD$1:$AD$12,0),IFERROR(MATCH(Methode_Keuze,SubsidieTabel!$AD$1:$AG$1,0),2))&lt;&gt;1=TRUE,"ja",""),"")</f>
        <v/>
      </c>
    </row>
    <row r="821" spans="1:27" x14ac:dyDescent="0.25">
      <c r="A821" s="320"/>
      <c r="B821" s="321" t="str">
        <f>IF(A821&lt;&gt;"",_xlfn.MAXIFS($B$1:B820,$A$1:A820,A821)+1,"")</f>
        <v/>
      </c>
      <c r="C821" s="299"/>
      <c r="D821" s="299"/>
      <c r="E821" s="299"/>
      <c r="F821" s="299"/>
      <c r="G821" s="330"/>
      <c r="H821" s="328"/>
      <c r="I821" s="329"/>
      <c r="J821" s="329"/>
      <c r="K821" s="322"/>
      <c r="L821" s="322"/>
      <c r="M821" s="323" t="str">
        <f>IFERROR(VLOOKUP(H821,Lijsten!$H$1:$I$100,2,0),"")</f>
        <v/>
      </c>
      <c r="N821" s="323" t="str">
        <f ca="1">IFERROR(IF(VLOOKUP(F821,Kostentypen!$A$3:$E$21,3,0)=0,"",IF(OR(F821="Arbeidskosten",F821="Vergoeding"),VLOOKUP(G821,Tb_KostenTypen[],2,0),VLOOKUP(F821,Kostentypen!$A$3:$E$20,3,0))),"")</f>
        <v/>
      </c>
      <c r="O821" s="324"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4"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3"/>
      <c r="R821" s="363"/>
      <c r="S821" s="325"/>
      <c r="T821" s="325"/>
      <c r="U821" s="317" t="str" cm="1">
        <f t="array" aca="1" ref="U821" ca="1">IFERROR(IF(AA821&lt;&gt;"ja",_xlfn.IFNA(_xlfn.IFS(AND(O821&lt;&gt;"",F821&lt;&gt;"",RIGHT($N821,6)="tarief",F821="Vergoeding"),SUM(O821)*FLOOR(SUM(Q821),0.0001),AND(O821&lt;&gt;"",F821&lt;&gt;"",RIGHT($N821,6)="tarief"),SUM(O821)*FLOOR(SUM(Q821),0.01),S821&gt;0,IF(F821&lt;&gt;"",FLOOR(SUM(S821),0.01),"")),""),""),"")</f>
        <v/>
      </c>
      <c r="V821" s="317" t="str" cm="1">
        <f t="array" aca="1" ref="V821" ca="1">IFERROR(IF(AA821&lt;&gt;"ja",_xlfn.IFNA(_xlfn.IFS(AND(P821&lt;&gt;"",R821&lt;&gt;"",RIGHT($N821,6)="tarief",F821="Vergoeding"),SUM(P821)*FLOOR(SUM(R821),0.0001),AND(P821&lt;&gt;"",R821&lt;&gt;"",RIGHT($N821,6)="tarief"),P821*FLOOR(R821,0.01),T821&gt;0,FLOOR(SUM(T821),0.01)),""),""),"")</f>
        <v/>
      </c>
      <c r="W821" s="317" t="str" cm="1">
        <f t="array" aca="1" ref="W821" ca="1">IFERROR(_xlfn.IFS(OR(F821="",LEFT(Methode_Keuze,4)="Geen",Methode_Keuze=""),"",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17" t="str" cm="1">
        <f t="array" aca="1" ref="X821" ca="1">IFERROR(_xlfn.IFS(OR(F821="",LEFT(Methode_Keuze,4)="Geen",Methode_Keuze=""),"",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26"/>
      <c r="Z821" s="319"/>
      <c r="AA821" s="32" t="str" cm="1">
        <f t="array" ref="AA821">IFERROR(IF(INDEX(SubsidieTabel!$AD$1:$AG$12,MATCH($F821,SubsidieTabel!$AD$1:$AD$12,0),IFERROR(MATCH(Methode_Keuze,SubsidieTabel!$AD$1:$AG$1,0),2))&lt;&gt;1=TRUE,"ja",""),"")</f>
        <v/>
      </c>
    </row>
    <row r="822" spans="1:27" x14ac:dyDescent="0.25">
      <c r="A822" s="320"/>
      <c r="B822" s="321" t="str">
        <f>IF(A822&lt;&gt;"",_xlfn.MAXIFS($B$1:B821,$A$1:A821,A822)+1,"")</f>
        <v/>
      </c>
      <c r="C822" s="299"/>
      <c r="D822" s="299"/>
      <c r="E822" s="299"/>
      <c r="F822" s="299"/>
      <c r="G822" s="330"/>
      <c r="H822" s="328"/>
      <c r="I822" s="329"/>
      <c r="J822" s="329"/>
      <c r="K822" s="322"/>
      <c r="L822" s="322"/>
      <c r="M822" s="323" t="str">
        <f>IFERROR(VLOOKUP(H822,Lijsten!$H$1:$I$100,2,0),"")</f>
        <v/>
      </c>
      <c r="N822" s="323" t="str">
        <f ca="1">IFERROR(IF(VLOOKUP(F822,Kostentypen!$A$3:$E$21,3,0)=0,"",IF(OR(F822="Arbeidskosten",F822="Vergoeding"),VLOOKUP(G822,Tb_KostenTypen[],2,0),VLOOKUP(F822,Kostentypen!$A$3:$E$20,3,0))),"")</f>
        <v/>
      </c>
      <c r="O822" s="324"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4"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3"/>
      <c r="R822" s="363"/>
      <c r="S822" s="325"/>
      <c r="T822" s="325"/>
      <c r="U822" s="317" t="str" cm="1">
        <f t="array" aca="1" ref="U822" ca="1">IFERROR(IF(AA822&lt;&gt;"ja",_xlfn.IFNA(_xlfn.IFS(AND(O822&lt;&gt;"",F822&lt;&gt;"",RIGHT($N822,6)="tarief",F822="Vergoeding"),SUM(O822)*FLOOR(SUM(Q822),0.0001),AND(O822&lt;&gt;"",F822&lt;&gt;"",RIGHT($N822,6)="tarief"),SUM(O822)*FLOOR(SUM(Q822),0.01),S822&gt;0,IF(F822&lt;&gt;"",FLOOR(SUM(S822),0.01),"")),""),""),"")</f>
        <v/>
      </c>
      <c r="V822" s="317" t="str" cm="1">
        <f t="array" aca="1" ref="V822" ca="1">IFERROR(IF(AA822&lt;&gt;"ja",_xlfn.IFNA(_xlfn.IFS(AND(P822&lt;&gt;"",R822&lt;&gt;"",RIGHT($N822,6)="tarief",F822="Vergoeding"),SUM(P822)*FLOOR(SUM(R822),0.0001),AND(P822&lt;&gt;"",R822&lt;&gt;"",RIGHT($N822,6)="tarief"),P822*FLOOR(R822,0.01),T822&gt;0,FLOOR(SUM(T822),0.01)),""),""),"")</f>
        <v/>
      </c>
      <c r="W822" s="317" t="str" cm="1">
        <f t="array" aca="1" ref="W822" ca="1">IFERROR(_xlfn.IFS(OR(F822="",LEFT(Methode_Keuze,4)="Geen",Methode_Keuze=""),"",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17" t="str" cm="1">
        <f t="array" aca="1" ref="X822" ca="1">IFERROR(_xlfn.IFS(OR(F822="",LEFT(Methode_Keuze,4)="Geen",Methode_Keuze=""),"",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26"/>
      <c r="Z822" s="319"/>
      <c r="AA822" s="32" t="str" cm="1">
        <f t="array" ref="AA822">IFERROR(IF(INDEX(SubsidieTabel!$AD$1:$AG$12,MATCH($F822,SubsidieTabel!$AD$1:$AD$12,0),IFERROR(MATCH(Methode_Keuze,SubsidieTabel!$AD$1:$AG$1,0),2))&lt;&gt;1=TRUE,"ja",""),"")</f>
        <v/>
      </c>
    </row>
    <row r="823" spans="1:27" x14ac:dyDescent="0.25">
      <c r="A823" s="320"/>
      <c r="B823" s="321" t="str">
        <f>IF(A823&lt;&gt;"",_xlfn.MAXIFS($B$1:B822,$A$1:A822,A823)+1,"")</f>
        <v/>
      </c>
      <c r="C823" s="299"/>
      <c r="D823" s="299"/>
      <c r="E823" s="299"/>
      <c r="F823" s="299"/>
      <c r="G823" s="330"/>
      <c r="H823" s="328"/>
      <c r="I823" s="329"/>
      <c r="J823" s="329"/>
      <c r="K823" s="322"/>
      <c r="L823" s="322"/>
      <c r="M823" s="323" t="str">
        <f>IFERROR(VLOOKUP(H823,Lijsten!$H$1:$I$100,2,0),"")</f>
        <v/>
      </c>
      <c r="N823" s="323" t="str">
        <f ca="1">IFERROR(IF(VLOOKUP(F823,Kostentypen!$A$3:$E$21,3,0)=0,"",IF(OR(F823="Arbeidskosten",F823="Vergoeding"),VLOOKUP(G823,Tb_KostenTypen[],2,0),VLOOKUP(F823,Kostentypen!$A$3:$E$20,3,0))),"")</f>
        <v/>
      </c>
      <c r="O823" s="324"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4"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3"/>
      <c r="R823" s="363"/>
      <c r="S823" s="325"/>
      <c r="T823" s="325"/>
      <c r="U823" s="317" t="str" cm="1">
        <f t="array" aca="1" ref="U823" ca="1">IFERROR(IF(AA823&lt;&gt;"ja",_xlfn.IFNA(_xlfn.IFS(AND(O823&lt;&gt;"",F823&lt;&gt;"",RIGHT($N823,6)="tarief",F823="Vergoeding"),SUM(O823)*FLOOR(SUM(Q823),0.0001),AND(O823&lt;&gt;"",F823&lt;&gt;"",RIGHT($N823,6)="tarief"),SUM(O823)*FLOOR(SUM(Q823),0.01),S823&gt;0,IF(F823&lt;&gt;"",FLOOR(SUM(S823),0.01),"")),""),""),"")</f>
        <v/>
      </c>
      <c r="V823" s="317" t="str" cm="1">
        <f t="array" aca="1" ref="V823" ca="1">IFERROR(IF(AA823&lt;&gt;"ja",_xlfn.IFNA(_xlfn.IFS(AND(P823&lt;&gt;"",R823&lt;&gt;"",RIGHT($N823,6)="tarief",F823="Vergoeding"),SUM(P823)*FLOOR(SUM(R823),0.0001),AND(P823&lt;&gt;"",R823&lt;&gt;"",RIGHT($N823,6)="tarief"),P823*FLOOR(R823,0.01),T823&gt;0,FLOOR(SUM(T823),0.01)),""),""),"")</f>
        <v/>
      </c>
      <c r="W823" s="317" t="str" cm="1">
        <f t="array" aca="1" ref="W823" ca="1">IFERROR(_xlfn.IFS(OR(F823="",LEFT(Methode_Keuze,4)="Geen",Methode_Keuze=""),"",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17" t="str" cm="1">
        <f t="array" aca="1" ref="X823" ca="1">IFERROR(_xlfn.IFS(OR(F823="",LEFT(Methode_Keuze,4)="Geen",Methode_Keuze=""),"",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26"/>
      <c r="Z823" s="319"/>
      <c r="AA823" s="32" t="str" cm="1">
        <f t="array" ref="AA823">IFERROR(IF(INDEX(SubsidieTabel!$AD$1:$AG$12,MATCH($F823,SubsidieTabel!$AD$1:$AD$12,0),IFERROR(MATCH(Methode_Keuze,SubsidieTabel!$AD$1:$AG$1,0),2))&lt;&gt;1=TRUE,"ja",""),"")</f>
        <v/>
      </c>
    </row>
    <row r="824" spans="1:27" x14ac:dyDescent="0.25">
      <c r="A824" s="320"/>
      <c r="B824" s="321" t="str">
        <f>IF(A824&lt;&gt;"",_xlfn.MAXIFS($B$1:B823,$A$1:A823,A824)+1,"")</f>
        <v/>
      </c>
      <c r="C824" s="299"/>
      <c r="D824" s="299"/>
      <c r="E824" s="299"/>
      <c r="F824" s="299"/>
      <c r="G824" s="330"/>
      <c r="H824" s="328"/>
      <c r="I824" s="329"/>
      <c r="J824" s="329"/>
      <c r="K824" s="322"/>
      <c r="L824" s="322"/>
      <c r="M824" s="323" t="str">
        <f>IFERROR(VLOOKUP(H824,Lijsten!$H$1:$I$100,2,0),"")</f>
        <v/>
      </c>
      <c r="N824" s="323" t="str">
        <f ca="1">IFERROR(IF(VLOOKUP(F824,Kostentypen!$A$3:$E$21,3,0)=0,"",IF(OR(F824="Arbeidskosten",F824="Vergoeding"),VLOOKUP(G824,Tb_KostenTypen[],2,0),VLOOKUP(F824,Kostentypen!$A$3:$E$20,3,0))),"")</f>
        <v/>
      </c>
      <c r="O824" s="324"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4"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3"/>
      <c r="R824" s="363"/>
      <c r="S824" s="325"/>
      <c r="T824" s="325"/>
      <c r="U824" s="317" t="str" cm="1">
        <f t="array" aca="1" ref="U824" ca="1">IFERROR(IF(AA824&lt;&gt;"ja",_xlfn.IFNA(_xlfn.IFS(AND(O824&lt;&gt;"",F824&lt;&gt;"",RIGHT($N824,6)="tarief",F824="Vergoeding"),SUM(O824)*FLOOR(SUM(Q824),0.0001),AND(O824&lt;&gt;"",F824&lt;&gt;"",RIGHT($N824,6)="tarief"),SUM(O824)*FLOOR(SUM(Q824),0.01),S824&gt;0,IF(F824&lt;&gt;"",FLOOR(SUM(S824),0.01),"")),""),""),"")</f>
        <v/>
      </c>
      <c r="V824" s="317" t="str" cm="1">
        <f t="array" aca="1" ref="V824" ca="1">IFERROR(IF(AA824&lt;&gt;"ja",_xlfn.IFNA(_xlfn.IFS(AND(P824&lt;&gt;"",R824&lt;&gt;"",RIGHT($N824,6)="tarief",F824="Vergoeding"),SUM(P824)*FLOOR(SUM(R824),0.0001),AND(P824&lt;&gt;"",R824&lt;&gt;"",RIGHT($N824,6)="tarief"),P824*FLOOR(R824,0.01),T824&gt;0,FLOOR(SUM(T824),0.01)),""),""),"")</f>
        <v/>
      </c>
      <c r="W824" s="317" t="str" cm="1">
        <f t="array" aca="1" ref="W824" ca="1">IFERROR(_xlfn.IFS(OR(F824="",LEFT(Methode_Keuze,4)="Geen",Methode_Keuze=""),"",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17" t="str" cm="1">
        <f t="array" aca="1" ref="X824" ca="1">IFERROR(_xlfn.IFS(OR(F824="",LEFT(Methode_Keuze,4)="Geen",Methode_Keuze=""),"",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26"/>
      <c r="Z824" s="319"/>
      <c r="AA824" s="32" t="str" cm="1">
        <f t="array" ref="AA824">IFERROR(IF(INDEX(SubsidieTabel!$AD$1:$AG$12,MATCH($F824,SubsidieTabel!$AD$1:$AD$12,0),IFERROR(MATCH(Methode_Keuze,SubsidieTabel!$AD$1:$AG$1,0),2))&lt;&gt;1=TRUE,"ja",""),"")</f>
        <v/>
      </c>
    </row>
    <row r="825" spans="1:27" x14ac:dyDescent="0.25">
      <c r="A825" s="320"/>
      <c r="B825" s="321" t="str">
        <f>IF(A825&lt;&gt;"",_xlfn.MAXIFS($B$1:B824,$A$1:A824,A825)+1,"")</f>
        <v/>
      </c>
      <c r="C825" s="299"/>
      <c r="D825" s="299"/>
      <c r="E825" s="299"/>
      <c r="F825" s="299"/>
      <c r="G825" s="330"/>
      <c r="H825" s="328"/>
      <c r="I825" s="329"/>
      <c r="J825" s="329"/>
      <c r="K825" s="322"/>
      <c r="L825" s="322"/>
      <c r="M825" s="323" t="str">
        <f>IFERROR(VLOOKUP(H825,Lijsten!$H$1:$I$100,2,0),"")</f>
        <v/>
      </c>
      <c r="N825" s="323" t="str">
        <f ca="1">IFERROR(IF(VLOOKUP(F825,Kostentypen!$A$3:$E$21,3,0)=0,"",IF(OR(F825="Arbeidskosten",F825="Vergoeding"),VLOOKUP(G825,Tb_KostenTypen[],2,0),VLOOKUP(F825,Kostentypen!$A$3:$E$20,3,0))),"")</f>
        <v/>
      </c>
      <c r="O825" s="324"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4"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3"/>
      <c r="R825" s="363"/>
      <c r="S825" s="325"/>
      <c r="T825" s="325"/>
      <c r="U825" s="317" t="str" cm="1">
        <f t="array" aca="1" ref="U825" ca="1">IFERROR(IF(AA825&lt;&gt;"ja",_xlfn.IFNA(_xlfn.IFS(AND(O825&lt;&gt;"",F825&lt;&gt;"",RIGHT($N825,6)="tarief",F825="Vergoeding"),SUM(O825)*FLOOR(SUM(Q825),0.0001),AND(O825&lt;&gt;"",F825&lt;&gt;"",RIGHT($N825,6)="tarief"),SUM(O825)*FLOOR(SUM(Q825),0.01),S825&gt;0,IF(F825&lt;&gt;"",FLOOR(SUM(S825),0.01),"")),""),""),"")</f>
        <v/>
      </c>
      <c r="V825" s="317" t="str" cm="1">
        <f t="array" aca="1" ref="V825" ca="1">IFERROR(IF(AA825&lt;&gt;"ja",_xlfn.IFNA(_xlfn.IFS(AND(P825&lt;&gt;"",R825&lt;&gt;"",RIGHT($N825,6)="tarief",F825="Vergoeding"),SUM(P825)*FLOOR(SUM(R825),0.0001),AND(P825&lt;&gt;"",R825&lt;&gt;"",RIGHT($N825,6)="tarief"),P825*FLOOR(R825,0.01),T825&gt;0,FLOOR(SUM(T825),0.01)),""),""),"")</f>
        <v/>
      </c>
      <c r="W825" s="317" t="str" cm="1">
        <f t="array" aca="1" ref="W825" ca="1">IFERROR(_xlfn.IFS(OR(F825="",LEFT(Methode_Keuze,4)="Geen",Methode_Keuze=""),"",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17" t="str" cm="1">
        <f t="array" aca="1" ref="X825" ca="1">IFERROR(_xlfn.IFS(OR(F825="",LEFT(Methode_Keuze,4)="Geen",Methode_Keuze=""),"",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26"/>
      <c r="Z825" s="319"/>
      <c r="AA825" s="32" t="str" cm="1">
        <f t="array" ref="AA825">IFERROR(IF(INDEX(SubsidieTabel!$AD$1:$AG$12,MATCH($F825,SubsidieTabel!$AD$1:$AD$12,0),IFERROR(MATCH(Methode_Keuze,SubsidieTabel!$AD$1:$AG$1,0),2))&lt;&gt;1=TRUE,"ja",""),"")</f>
        <v/>
      </c>
    </row>
    <row r="826" spans="1:27" x14ac:dyDescent="0.25">
      <c r="A826" s="320"/>
      <c r="B826" s="321" t="str">
        <f>IF(A826&lt;&gt;"",_xlfn.MAXIFS($B$1:B825,$A$1:A825,A826)+1,"")</f>
        <v/>
      </c>
      <c r="C826" s="299"/>
      <c r="D826" s="299"/>
      <c r="E826" s="299"/>
      <c r="F826" s="299"/>
      <c r="G826" s="330"/>
      <c r="H826" s="328"/>
      <c r="I826" s="329"/>
      <c r="J826" s="329"/>
      <c r="K826" s="322"/>
      <c r="L826" s="322"/>
      <c r="M826" s="323" t="str">
        <f>IFERROR(VLOOKUP(H826,Lijsten!$H$1:$I$100,2,0),"")</f>
        <v/>
      </c>
      <c r="N826" s="323" t="str">
        <f ca="1">IFERROR(IF(VLOOKUP(F826,Kostentypen!$A$3:$E$21,3,0)=0,"",IF(OR(F826="Arbeidskosten",F826="Vergoeding"),VLOOKUP(G826,Tb_KostenTypen[],2,0),VLOOKUP(F826,Kostentypen!$A$3:$E$20,3,0))),"")</f>
        <v/>
      </c>
      <c r="O826" s="324"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4"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3"/>
      <c r="R826" s="363"/>
      <c r="S826" s="325"/>
      <c r="T826" s="325"/>
      <c r="U826" s="317" t="str" cm="1">
        <f t="array" aca="1" ref="U826" ca="1">IFERROR(IF(AA826&lt;&gt;"ja",_xlfn.IFNA(_xlfn.IFS(AND(O826&lt;&gt;"",F826&lt;&gt;"",RIGHT($N826,6)="tarief",F826="Vergoeding"),SUM(O826)*FLOOR(SUM(Q826),0.0001),AND(O826&lt;&gt;"",F826&lt;&gt;"",RIGHT($N826,6)="tarief"),SUM(O826)*FLOOR(SUM(Q826),0.01),S826&gt;0,IF(F826&lt;&gt;"",FLOOR(SUM(S826),0.01),"")),""),""),"")</f>
        <v/>
      </c>
      <c r="V826" s="317" t="str" cm="1">
        <f t="array" aca="1" ref="V826" ca="1">IFERROR(IF(AA826&lt;&gt;"ja",_xlfn.IFNA(_xlfn.IFS(AND(P826&lt;&gt;"",R826&lt;&gt;"",RIGHT($N826,6)="tarief",F826="Vergoeding"),SUM(P826)*FLOOR(SUM(R826),0.0001),AND(P826&lt;&gt;"",R826&lt;&gt;"",RIGHT($N826,6)="tarief"),P826*FLOOR(R826,0.01),T826&gt;0,FLOOR(SUM(T826),0.01)),""),""),"")</f>
        <v/>
      </c>
      <c r="W826" s="317" t="str" cm="1">
        <f t="array" aca="1" ref="W826" ca="1">IFERROR(_xlfn.IFS(OR(F826="",LEFT(Methode_Keuze,4)="Geen",Methode_Keuze=""),"",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17" t="str" cm="1">
        <f t="array" aca="1" ref="X826" ca="1">IFERROR(_xlfn.IFS(OR(F826="",LEFT(Methode_Keuze,4)="Geen",Methode_Keuze=""),"",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26"/>
      <c r="Z826" s="319"/>
      <c r="AA826" s="32" t="str" cm="1">
        <f t="array" ref="AA826">IFERROR(IF(INDEX(SubsidieTabel!$AD$1:$AG$12,MATCH($F826,SubsidieTabel!$AD$1:$AD$12,0),IFERROR(MATCH(Methode_Keuze,SubsidieTabel!$AD$1:$AG$1,0),2))&lt;&gt;1=TRUE,"ja",""),"")</f>
        <v/>
      </c>
    </row>
    <row r="827" spans="1:27" x14ac:dyDescent="0.25">
      <c r="A827" s="320"/>
      <c r="B827" s="321" t="str">
        <f>IF(A827&lt;&gt;"",_xlfn.MAXIFS($B$1:B826,$A$1:A826,A827)+1,"")</f>
        <v/>
      </c>
      <c r="C827" s="299"/>
      <c r="D827" s="299"/>
      <c r="E827" s="299"/>
      <c r="F827" s="299"/>
      <c r="G827" s="330"/>
      <c r="H827" s="328"/>
      <c r="I827" s="329"/>
      <c r="J827" s="329"/>
      <c r="K827" s="322"/>
      <c r="L827" s="322"/>
      <c r="M827" s="323" t="str">
        <f>IFERROR(VLOOKUP(H827,Lijsten!$H$1:$I$100,2,0),"")</f>
        <v/>
      </c>
      <c r="N827" s="323" t="str">
        <f ca="1">IFERROR(IF(VLOOKUP(F827,Kostentypen!$A$3:$E$21,3,0)=0,"",IF(OR(F827="Arbeidskosten",F827="Vergoeding"),VLOOKUP(G827,Tb_KostenTypen[],2,0),VLOOKUP(F827,Kostentypen!$A$3:$E$20,3,0))),"")</f>
        <v/>
      </c>
      <c r="O827" s="324"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4"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3"/>
      <c r="R827" s="363"/>
      <c r="S827" s="325"/>
      <c r="T827" s="325"/>
      <c r="U827" s="317" t="str" cm="1">
        <f t="array" aca="1" ref="U827" ca="1">IFERROR(IF(AA827&lt;&gt;"ja",_xlfn.IFNA(_xlfn.IFS(AND(O827&lt;&gt;"",F827&lt;&gt;"",RIGHT($N827,6)="tarief",F827="Vergoeding"),SUM(O827)*FLOOR(SUM(Q827),0.0001),AND(O827&lt;&gt;"",F827&lt;&gt;"",RIGHT($N827,6)="tarief"),SUM(O827)*FLOOR(SUM(Q827),0.01),S827&gt;0,IF(F827&lt;&gt;"",FLOOR(SUM(S827),0.01),"")),""),""),"")</f>
        <v/>
      </c>
      <c r="V827" s="317" t="str" cm="1">
        <f t="array" aca="1" ref="V827" ca="1">IFERROR(IF(AA827&lt;&gt;"ja",_xlfn.IFNA(_xlfn.IFS(AND(P827&lt;&gt;"",R827&lt;&gt;"",RIGHT($N827,6)="tarief",F827="Vergoeding"),SUM(P827)*FLOOR(SUM(R827),0.0001),AND(P827&lt;&gt;"",R827&lt;&gt;"",RIGHT($N827,6)="tarief"),P827*FLOOR(R827,0.01),T827&gt;0,FLOOR(SUM(T827),0.01)),""),""),"")</f>
        <v/>
      </c>
      <c r="W827" s="317" t="str" cm="1">
        <f t="array" aca="1" ref="W827" ca="1">IFERROR(_xlfn.IFS(OR(F827="",LEFT(Methode_Keuze,4)="Geen",Methode_Keuze=""),"",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17" t="str" cm="1">
        <f t="array" aca="1" ref="X827" ca="1">IFERROR(_xlfn.IFS(OR(F827="",LEFT(Methode_Keuze,4)="Geen",Methode_Keuze=""),"",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26"/>
      <c r="Z827" s="319"/>
      <c r="AA827" s="32" t="str" cm="1">
        <f t="array" ref="AA827">IFERROR(IF(INDEX(SubsidieTabel!$AD$1:$AG$12,MATCH($F827,SubsidieTabel!$AD$1:$AD$12,0),IFERROR(MATCH(Methode_Keuze,SubsidieTabel!$AD$1:$AG$1,0),2))&lt;&gt;1=TRUE,"ja",""),"")</f>
        <v/>
      </c>
    </row>
    <row r="828" spans="1:27" x14ac:dyDescent="0.25">
      <c r="A828" s="320"/>
      <c r="B828" s="321" t="str">
        <f>IF(A828&lt;&gt;"",_xlfn.MAXIFS($B$1:B827,$A$1:A827,A828)+1,"")</f>
        <v/>
      </c>
      <c r="C828" s="299"/>
      <c r="D828" s="299"/>
      <c r="E828" s="299"/>
      <c r="F828" s="299"/>
      <c r="G828" s="330"/>
      <c r="H828" s="328"/>
      <c r="I828" s="329"/>
      <c r="J828" s="329"/>
      <c r="K828" s="322"/>
      <c r="L828" s="322"/>
      <c r="M828" s="323" t="str">
        <f>IFERROR(VLOOKUP(H828,Lijsten!$H$1:$I$100,2,0),"")</f>
        <v/>
      </c>
      <c r="N828" s="323" t="str">
        <f ca="1">IFERROR(IF(VLOOKUP(F828,Kostentypen!$A$3:$E$21,3,0)=0,"",IF(OR(F828="Arbeidskosten",F828="Vergoeding"),VLOOKUP(G828,Tb_KostenTypen[],2,0),VLOOKUP(F828,Kostentypen!$A$3:$E$20,3,0))),"")</f>
        <v/>
      </c>
      <c r="O828" s="324"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4"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3"/>
      <c r="R828" s="363"/>
      <c r="S828" s="325"/>
      <c r="T828" s="325"/>
      <c r="U828" s="317" t="str" cm="1">
        <f t="array" aca="1" ref="U828" ca="1">IFERROR(IF(AA828&lt;&gt;"ja",_xlfn.IFNA(_xlfn.IFS(AND(O828&lt;&gt;"",F828&lt;&gt;"",RIGHT($N828,6)="tarief",F828="Vergoeding"),SUM(O828)*FLOOR(SUM(Q828),0.0001),AND(O828&lt;&gt;"",F828&lt;&gt;"",RIGHT($N828,6)="tarief"),SUM(O828)*FLOOR(SUM(Q828),0.01),S828&gt;0,IF(F828&lt;&gt;"",FLOOR(SUM(S828),0.01),"")),""),""),"")</f>
        <v/>
      </c>
      <c r="V828" s="317" t="str" cm="1">
        <f t="array" aca="1" ref="V828" ca="1">IFERROR(IF(AA828&lt;&gt;"ja",_xlfn.IFNA(_xlfn.IFS(AND(P828&lt;&gt;"",R828&lt;&gt;"",RIGHT($N828,6)="tarief",F828="Vergoeding"),SUM(P828)*FLOOR(SUM(R828),0.0001),AND(P828&lt;&gt;"",R828&lt;&gt;"",RIGHT($N828,6)="tarief"),P828*FLOOR(R828,0.01),T828&gt;0,FLOOR(SUM(T828),0.01)),""),""),"")</f>
        <v/>
      </c>
      <c r="W828" s="317" t="str" cm="1">
        <f t="array" aca="1" ref="W828" ca="1">IFERROR(_xlfn.IFS(OR(F828="",LEFT(Methode_Keuze,4)="Geen",Methode_Keuze=""),"",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17" t="str" cm="1">
        <f t="array" aca="1" ref="X828" ca="1">IFERROR(_xlfn.IFS(OR(F828="",LEFT(Methode_Keuze,4)="Geen",Methode_Keuze=""),"",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26"/>
      <c r="Z828" s="319"/>
      <c r="AA828" s="32" t="str" cm="1">
        <f t="array" ref="AA828">IFERROR(IF(INDEX(SubsidieTabel!$AD$1:$AG$12,MATCH($F828,SubsidieTabel!$AD$1:$AD$12,0),IFERROR(MATCH(Methode_Keuze,SubsidieTabel!$AD$1:$AG$1,0),2))&lt;&gt;1=TRUE,"ja",""),"")</f>
        <v/>
      </c>
    </row>
    <row r="829" spans="1:27" x14ac:dyDescent="0.25">
      <c r="A829" s="320"/>
      <c r="B829" s="321" t="str">
        <f>IF(A829&lt;&gt;"",_xlfn.MAXIFS($B$1:B828,$A$1:A828,A829)+1,"")</f>
        <v/>
      </c>
      <c r="C829" s="299"/>
      <c r="D829" s="299"/>
      <c r="E829" s="299"/>
      <c r="F829" s="299"/>
      <c r="G829" s="330"/>
      <c r="H829" s="328"/>
      <c r="I829" s="329"/>
      <c r="J829" s="329"/>
      <c r="K829" s="322"/>
      <c r="L829" s="322"/>
      <c r="M829" s="323" t="str">
        <f>IFERROR(VLOOKUP(H829,Lijsten!$H$1:$I$100,2,0),"")</f>
        <v/>
      </c>
      <c r="N829" s="323" t="str">
        <f ca="1">IFERROR(IF(VLOOKUP(F829,Kostentypen!$A$3:$E$21,3,0)=0,"",IF(OR(F829="Arbeidskosten",F829="Vergoeding"),VLOOKUP(G829,Tb_KostenTypen[],2,0),VLOOKUP(F829,Kostentypen!$A$3:$E$20,3,0))),"")</f>
        <v/>
      </c>
      <c r="O829" s="324"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4"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3"/>
      <c r="R829" s="363"/>
      <c r="S829" s="325"/>
      <c r="T829" s="325"/>
      <c r="U829" s="317" t="str" cm="1">
        <f t="array" aca="1" ref="U829" ca="1">IFERROR(IF(AA829&lt;&gt;"ja",_xlfn.IFNA(_xlfn.IFS(AND(O829&lt;&gt;"",F829&lt;&gt;"",RIGHT($N829,6)="tarief",F829="Vergoeding"),SUM(O829)*FLOOR(SUM(Q829),0.0001),AND(O829&lt;&gt;"",F829&lt;&gt;"",RIGHT($N829,6)="tarief"),SUM(O829)*FLOOR(SUM(Q829),0.01),S829&gt;0,IF(F829&lt;&gt;"",FLOOR(SUM(S829),0.01),"")),""),""),"")</f>
        <v/>
      </c>
      <c r="V829" s="317" t="str" cm="1">
        <f t="array" aca="1" ref="V829" ca="1">IFERROR(IF(AA829&lt;&gt;"ja",_xlfn.IFNA(_xlfn.IFS(AND(P829&lt;&gt;"",R829&lt;&gt;"",RIGHT($N829,6)="tarief",F829="Vergoeding"),SUM(P829)*FLOOR(SUM(R829),0.0001),AND(P829&lt;&gt;"",R829&lt;&gt;"",RIGHT($N829,6)="tarief"),P829*FLOOR(R829,0.01),T829&gt;0,FLOOR(SUM(T829),0.01)),""),""),"")</f>
        <v/>
      </c>
      <c r="W829" s="317" t="str" cm="1">
        <f t="array" aca="1" ref="W829" ca="1">IFERROR(_xlfn.IFS(OR(F829="",LEFT(Methode_Keuze,4)="Geen",Methode_Keuze=""),"",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17" t="str" cm="1">
        <f t="array" aca="1" ref="X829" ca="1">IFERROR(_xlfn.IFS(OR(F829="",LEFT(Methode_Keuze,4)="Geen",Methode_Keuze=""),"",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26"/>
      <c r="Z829" s="319"/>
      <c r="AA829" s="32" t="str" cm="1">
        <f t="array" ref="AA829">IFERROR(IF(INDEX(SubsidieTabel!$AD$1:$AG$12,MATCH($F829,SubsidieTabel!$AD$1:$AD$12,0),IFERROR(MATCH(Methode_Keuze,SubsidieTabel!$AD$1:$AG$1,0),2))&lt;&gt;1=TRUE,"ja",""),"")</f>
        <v/>
      </c>
    </row>
    <row r="830" spans="1:27" x14ac:dyDescent="0.25">
      <c r="A830" s="320"/>
      <c r="B830" s="321" t="str">
        <f>IF(A830&lt;&gt;"",_xlfn.MAXIFS($B$1:B829,$A$1:A829,A830)+1,"")</f>
        <v/>
      </c>
      <c r="C830" s="299"/>
      <c r="D830" s="299"/>
      <c r="E830" s="299"/>
      <c r="F830" s="299"/>
      <c r="G830" s="330"/>
      <c r="H830" s="328"/>
      <c r="I830" s="329"/>
      <c r="J830" s="329"/>
      <c r="K830" s="322"/>
      <c r="L830" s="322"/>
      <c r="M830" s="323" t="str">
        <f>IFERROR(VLOOKUP(H830,Lijsten!$H$1:$I$100,2,0),"")</f>
        <v/>
      </c>
      <c r="N830" s="323" t="str">
        <f ca="1">IFERROR(IF(VLOOKUP(F830,Kostentypen!$A$3:$E$21,3,0)=0,"",IF(OR(F830="Arbeidskosten",F830="Vergoeding"),VLOOKUP(G830,Tb_KostenTypen[],2,0),VLOOKUP(F830,Kostentypen!$A$3:$E$20,3,0))),"")</f>
        <v/>
      </c>
      <c r="O830" s="324"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4"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3"/>
      <c r="R830" s="363"/>
      <c r="S830" s="325"/>
      <c r="T830" s="325"/>
      <c r="U830" s="317" t="str" cm="1">
        <f t="array" aca="1" ref="U830" ca="1">IFERROR(IF(AA830&lt;&gt;"ja",_xlfn.IFNA(_xlfn.IFS(AND(O830&lt;&gt;"",F830&lt;&gt;"",RIGHT($N830,6)="tarief",F830="Vergoeding"),SUM(O830)*FLOOR(SUM(Q830),0.0001),AND(O830&lt;&gt;"",F830&lt;&gt;"",RIGHT($N830,6)="tarief"),SUM(O830)*FLOOR(SUM(Q830),0.01),S830&gt;0,IF(F830&lt;&gt;"",FLOOR(SUM(S830),0.01),"")),""),""),"")</f>
        <v/>
      </c>
      <c r="V830" s="317" t="str" cm="1">
        <f t="array" aca="1" ref="V830" ca="1">IFERROR(IF(AA830&lt;&gt;"ja",_xlfn.IFNA(_xlfn.IFS(AND(P830&lt;&gt;"",R830&lt;&gt;"",RIGHT($N830,6)="tarief",F830="Vergoeding"),SUM(P830)*FLOOR(SUM(R830),0.0001),AND(P830&lt;&gt;"",R830&lt;&gt;"",RIGHT($N830,6)="tarief"),P830*FLOOR(R830,0.01),T830&gt;0,FLOOR(SUM(T830),0.01)),""),""),"")</f>
        <v/>
      </c>
      <c r="W830" s="317" t="str" cm="1">
        <f t="array" aca="1" ref="W830" ca="1">IFERROR(_xlfn.IFS(OR(F830="",LEFT(Methode_Keuze,4)="Geen",Methode_Keuze=""),"",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17" t="str" cm="1">
        <f t="array" aca="1" ref="X830" ca="1">IFERROR(_xlfn.IFS(OR(F830="",LEFT(Methode_Keuze,4)="Geen",Methode_Keuze=""),"",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26"/>
      <c r="Z830" s="319"/>
      <c r="AA830" s="32" t="str" cm="1">
        <f t="array" ref="AA830">IFERROR(IF(INDEX(SubsidieTabel!$AD$1:$AG$12,MATCH($F830,SubsidieTabel!$AD$1:$AD$12,0),IFERROR(MATCH(Methode_Keuze,SubsidieTabel!$AD$1:$AG$1,0),2))&lt;&gt;1=TRUE,"ja",""),"")</f>
        <v/>
      </c>
    </row>
    <row r="831" spans="1:27" x14ac:dyDescent="0.25">
      <c r="A831" s="320"/>
      <c r="B831" s="321" t="str">
        <f>IF(A831&lt;&gt;"",_xlfn.MAXIFS($B$1:B830,$A$1:A830,A831)+1,"")</f>
        <v/>
      </c>
      <c r="C831" s="299"/>
      <c r="D831" s="299"/>
      <c r="E831" s="299"/>
      <c r="F831" s="299"/>
      <c r="G831" s="330"/>
      <c r="H831" s="328"/>
      <c r="I831" s="329"/>
      <c r="J831" s="329"/>
      <c r="K831" s="322"/>
      <c r="L831" s="322"/>
      <c r="M831" s="323" t="str">
        <f>IFERROR(VLOOKUP(H831,Lijsten!$H$1:$I$100,2,0),"")</f>
        <v/>
      </c>
      <c r="N831" s="323" t="str">
        <f ca="1">IFERROR(IF(VLOOKUP(F831,Kostentypen!$A$3:$E$21,3,0)=0,"",IF(OR(F831="Arbeidskosten",F831="Vergoeding"),VLOOKUP(G831,Tb_KostenTypen[],2,0),VLOOKUP(F831,Kostentypen!$A$3:$E$20,3,0))),"")</f>
        <v/>
      </c>
      <c r="O831" s="324"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4"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3"/>
      <c r="R831" s="363"/>
      <c r="S831" s="325"/>
      <c r="T831" s="325"/>
      <c r="U831" s="317" t="str" cm="1">
        <f t="array" aca="1" ref="U831" ca="1">IFERROR(IF(AA831&lt;&gt;"ja",_xlfn.IFNA(_xlfn.IFS(AND(O831&lt;&gt;"",F831&lt;&gt;"",RIGHT($N831,6)="tarief",F831="Vergoeding"),SUM(O831)*FLOOR(SUM(Q831),0.0001),AND(O831&lt;&gt;"",F831&lt;&gt;"",RIGHT($N831,6)="tarief"),SUM(O831)*FLOOR(SUM(Q831),0.01),S831&gt;0,IF(F831&lt;&gt;"",FLOOR(SUM(S831),0.01),"")),""),""),"")</f>
        <v/>
      </c>
      <c r="V831" s="317" t="str" cm="1">
        <f t="array" aca="1" ref="V831" ca="1">IFERROR(IF(AA831&lt;&gt;"ja",_xlfn.IFNA(_xlfn.IFS(AND(P831&lt;&gt;"",R831&lt;&gt;"",RIGHT($N831,6)="tarief",F831="Vergoeding"),SUM(P831)*FLOOR(SUM(R831),0.0001),AND(P831&lt;&gt;"",R831&lt;&gt;"",RIGHT($N831,6)="tarief"),P831*FLOOR(R831,0.01),T831&gt;0,FLOOR(SUM(T831),0.01)),""),""),"")</f>
        <v/>
      </c>
      <c r="W831" s="317" t="str" cm="1">
        <f t="array" aca="1" ref="W831" ca="1">IFERROR(_xlfn.IFS(OR(F831="",LEFT(Methode_Keuze,4)="Geen",Methode_Keuze=""),"",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17" t="str" cm="1">
        <f t="array" aca="1" ref="X831" ca="1">IFERROR(_xlfn.IFS(OR(F831="",LEFT(Methode_Keuze,4)="Geen",Methode_Keuze=""),"",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26"/>
      <c r="Z831" s="319"/>
      <c r="AA831" s="32" t="str" cm="1">
        <f t="array" ref="AA831">IFERROR(IF(INDEX(SubsidieTabel!$AD$1:$AG$12,MATCH($F831,SubsidieTabel!$AD$1:$AD$12,0),IFERROR(MATCH(Methode_Keuze,SubsidieTabel!$AD$1:$AG$1,0),2))&lt;&gt;1=TRUE,"ja",""),"")</f>
        <v/>
      </c>
    </row>
    <row r="832" spans="1:27" x14ac:dyDescent="0.25">
      <c r="A832" s="320"/>
      <c r="B832" s="321" t="str">
        <f>IF(A832&lt;&gt;"",_xlfn.MAXIFS($B$1:B831,$A$1:A831,A832)+1,"")</f>
        <v/>
      </c>
      <c r="C832" s="299"/>
      <c r="D832" s="299"/>
      <c r="E832" s="299"/>
      <c r="F832" s="299"/>
      <c r="G832" s="330"/>
      <c r="H832" s="328"/>
      <c r="I832" s="329"/>
      <c r="J832" s="329"/>
      <c r="K832" s="322"/>
      <c r="L832" s="322"/>
      <c r="M832" s="323" t="str">
        <f>IFERROR(VLOOKUP(H832,Lijsten!$H$1:$I$100,2,0),"")</f>
        <v/>
      </c>
      <c r="N832" s="323" t="str">
        <f ca="1">IFERROR(IF(VLOOKUP(F832,Kostentypen!$A$3:$E$21,3,0)=0,"",IF(OR(F832="Arbeidskosten",F832="Vergoeding"),VLOOKUP(G832,Tb_KostenTypen[],2,0),VLOOKUP(F832,Kostentypen!$A$3:$E$20,3,0))),"")</f>
        <v/>
      </c>
      <c r="O832" s="324"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4"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3"/>
      <c r="R832" s="363"/>
      <c r="S832" s="325"/>
      <c r="T832" s="325"/>
      <c r="U832" s="317" t="str" cm="1">
        <f t="array" aca="1" ref="U832" ca="1">IFERROR(IF(AA832&lt;&gt;"ja",_xlfn.IFNA(_xlfn.IFS(AND(O832&lt;&gt;"",F832&lt;&gt;"",RIGHT($N832,6)="tarief",F832="Vergoeding"),SUM(O832)*FLOOR(SUM(Q832),0.0001),AND(O832&lt;&gt;"",F832&lt;&gt;"",RIGHT($N832,6)="tarief"),SUM(O832)*FLOOR(SUM(Q832),0.01),S832&gt;0,IF(F832&lt;&gt;"",FLOOR(SUM(S832),0.01),"")),""),""),"")</f>
        <v/>
      </c>
      <c r="V832" s="317" t="str" cm="1">
        <f t="array" aca="1" ref="V832" ca="1">IFERROR(IF(AA832&lt;&gt;"ja",_xlfn.IFNA(_xlfn.IFS(AND(P832&lt;&gt;"",R832&lt;&gt;"",RIGHT($N832,6)="tarief",F832="Vergoeding"),SUM(P832)*FLOOR(SUM(R832),0.0001),AND(P832&lt;&gt;"",R832&lt;&gt;"",RIGHT($N832,6)="tarief"),P832*FLOOR(R832,0.01),T832&gt;0,FLOOR(SUM(T832),0.01)),""),""),"")</f>
        <v/>
      </c>
      <c r="W832" s="317" t="str" cm="1">
        <f t="array" aca="1" ref="W832" ca="1">IFERROR(_xlfn.IFS(OR(F832="",LEFT(Methode_Keuze,4)="Geen",Methode_Keuze=""),"",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17" t="str" cm="1">
        <f t="array" aca="1" ref="X832" ca="1">IFERROR(_xlfn.IFS(OR(F832="",LEFT(Methode_Keuze,4)="Geen",Methode_Keuze=""),"",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26"/>
      <c r="Z832" s="319"/>
      <c r="AA832" s="32" t="str" cm="1">
        <f t="array" ref="AA832">IFERROR(IF(INDEX(SubsidieTabel!$AD$1:$AG$12,MATCH($F832,SubsidieTabel!$AD$1:$AD$12,0),IFERROR(MATCH(Methode_Keuze,SubsidieTabel!$AD$1:$AG$1,0),2))&lt;&gt;1=TRUE,"ja",""),"")</f>
        <v/>
      </c>
    </row>
    <row r="833" spans="1:27" x14ac:dyDescent="0.25">
      <c r="A833" s="320"/>
      <c r="B833" s="321" t="str">
        <f>IF(A833&lt;&gt;"",_xlfn.MAXIFS($B$1:B832,$A$1:A832,A833)+1,"")</f>
        <v/>
      </c>
      <c r="C833" s="299"/>
      <c r="D833" s="299"/>
      <c r="E833" s="299"/>
      <c r="F833" s="299"/>
      <c r="G833" s="330"/>
      <c r="H833" s="328"/>
      <c r="I833" s="329"/>
      <c r="J833" s="329"/>
      <c r="K833" s="322"/>
      <c r="L833" s="322"/>
      <c r="M833" s="323" t="str">
        <f>IFERROR(VLOOKUP(H833,Lijsten!$H$1:$I$100,2,0),"")</f>
        <v/>
      </c>
      <c r="N833" s="323" t="str">
        <f ca="1">IFERROR(IF(VLOOKUP(F833,Kostentypen!$A$3:$E$21,3,0)=0,"",IF(OR(F833="Arbeidskosten",F833="Vergoeding"),VLOOKUP(G833,Tb_KostenTypen[],2,0),VLOOKUP(F833,Kostentypen!$A$3:$E$20,3,0))),"")</f>
        <v/>
      </c>
      <c r="O833" s="324"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4"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3"/>
      <c r="R833" s="363"/>
      <c r="S833" s="325"/>
      <c r="T833" s="325"/>
      <c r="U833" s="317" t="str" cm="1">
        <f t="array" aca="1" ref="U833" ca="1">IFERROR(IF(AA833&lt;&gt;"ja",_xlfn.IFNA(_xlfn.IFS(AND(O833&lt;&gt;"",F833&lt;&gt;"",RIGHT($N833,6)="tarief",F833="Vergoeding"),SUM(O833)*FLOOR(SUM(Q833),0.0001),AND(O833&lt;&gt;"",F833&lt;&gt;"",RIGHT($N833,6)="tarief"),SUM(O833)*FLOOR(SUM(Q833),0.01),S833&gt;0,IF(F833&lt;&gt;"",FLOOR(SUM(S833),0.01),"")),""),""),"")</f>
        <v/>
      </c>
      <c r="V833" s="317" t="str" cm="1">
        <f t="array" aca="1" ref="V833" ca="1">IFERROR(IF(AA833&lt;&gt;"ja",_xlfn.IFNA(_xlfn.IFS(AND(P833&lt;&gt;"",R833&lt;&gt;"",RIGHT($N833,6)="tarief",F833="Vergoeding"),SUM(P833)*FLOOR(SUM(R833),0.0001),AND(P833&lt;&gt;"",R833&lt;&gt;"",RIGHT($N833,6)="tarief"),P833*FLOOR(R833,0.01),T833&gt;0,FLOOR(SUM(T833),0.01)),""),""),"")</f>
        <v/>
      </c>
      <c r="W833" s="317" t="str" cm="1">
        <f t="array" aca="1" ref="W833" ca="1">IFERROR(_xlfn.IFS(OR(F833="",LEFT(Methode_Keuze,4)="Geen",Methode_Keuze=""),"",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17" t="str" cm="1">
        <f t="array" aca="1" ref="X833" ca="1">IFERROR(_xlfn.IFS(OR(F833="",LEFT(Methode_Keuze,4)="Geen",Methode_Keuze=""),"",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26"/>
      <c r="Z833" s="319"/>
      <c r="AA833" s="32" t="str" cm="1">
        <f t="array" ref="AA833">IFERROR(IF(INDEX(SubsidieTabel!$AD$1:$AG$12,MATCH($F833,SubsidieTabel!$AD$1:$AD$12,0),IFERROR(MATCH(Methode_Keuze,SubsidieTabel!$AD$1:$AG$1,0),2))&lt;&gt;1=TRUE,"ja",""),"")</f>
        <v/>
      </c>
    </row>
    <row r="834" spans="1:27" x14ac:dyDescent="0.25">
      <c r="A834" s="320"/>
      <c r="B834" s="321" t="str">
        <f>IF(A834&lt;&gt;"",_xlfn.MAXIFS($B$1:B833,$A$1:A833,A834)+1,"")</f>
        <v/>
      </c>
      <c r="C834" s="299"/>
      <c r="D834" s="299"/>
      <c r="E834" s="299"/>
      <c r="F834" s="299"/>
      <c r="G834" s="330"/>
      <c r="H834" s="328"/>
      <c r="I834" s="329"/>
      <c r="J834" s="329"/>
      <c r="K834" s="322"/>
      <c r="L834" s="322"/>
      <c r="M834" s="323" t="str">
        <f>IFERROR(VLOOKUP(H834,Lijsten!$H$1:$I$100,2,0),"")</f>
        <v/>
      </c>
      <c r="N834" s="323" t="str">
        <f ca="1">IFERROR(IF(VLOOKUP(F834,Kostentypen!$A$3:$E$21,3,0)=0,"",IF(OR(F834="Arbeidskosten",F834="Vergoeding"),VLOOKUP(G834,Tb_KostenTypen[],2,0),VLOOKUP(F834,Kostentypen!$A$3:$E$20,3,0))),"")</f>
        <v/>
      </c>
      <c r="O834" s="324"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4"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3"/>
      <c r="R834" s="363"/>
      <c r="S834" s="325"/>
      <c r="T834" s="325"/>
      <c r="U834" s="317" t="str" cm="1">
        <f t="array" aca="1" ref="U834" ca="1">IFERROR(IF(AA834&lt;&gt;"ja",_xlfn.IFNA(_xlfn.IFS(AND(O834&lt;&gt;"",F834&lt;&gt;"",RIGHT($N834,6)="tarief",F834="Vergoeding"),SUM(O834)*FLOOR(SUM(Q834),0.0001),AND(O834&lt;&gt;"",F834&lt;&gt;"",RIGHT($N834,6)="tarief"),SUM(O834)*FLOOR(SUM(Q834),0.01),S834&gt;0,IF(F834&lt;&gt;"",FLOOR(SUM(S834),0.01),"")),""),""),"")</f>
        <v/>
      </c>
      <c r="V834" s="317" t="str" cm="1">
        <f t="array" aca="1" ref="V834" ca="1">IFERROR(IF(AA834&lt;&gt;"ja",_xlfn.IFNA(_xlfn.IFS(AND(P834&lt;&gt;"",R834&lt;&gt;"",RIGHT($N834,6)="tarief",F834="Vergoeding"),SUM(P834)*FLOOR(SUM(R834),0.0001),AND(P834&lt;&gt;"",R834&lt;&gt;"",RIGHT($N834,6)="tarief"),P834*FLOOR(R834,0.01),T834&gt;0,FLOOR(SUM(T834),0.01)),""),""),"")</f>
        <v/>
      </c>
      <c r="W834" s="317" t="str" cm="1">
        <f t="array" aca="1" ref="W834" ca="1">IFERROR(_xlfn.IFS(OR(F834="",LEFT(Methode_Keuze,4)="Geen",Methode_Keuze=""),"",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17" t="str" cm="1">
        <f t="array" aca="1" ref="X834" ca="1">IFERROR(_xlfn.IFS(OR(F834="",LEFT(Methode_Keuze,4)="Geen",Methode_Keuze=""),"",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26"/>
      <c r="Z834" s="319"/>
      <c r="AA834" s="32" t="str" cm="1">
        <f t="array" ref="AA834">IFERROR(IF(INDEX(SubsidieTabel!$AD$1:$AG$12,MATCH($F834,SubsidieTabel!$AD$1:$AD$12,0),IFERROR(MATCH(Methode_Keuze,SubsidieTabel!$AD$1:$AG$1,0),2))&lt;&gt;1=TRUE,"ja",""),"")</f>
        <v/>
      </c>
    </row>
    <row r="835" spans="1:27" x14ac:dyDescent="0.25">
      <c r="A835" s="320"/>
      <c r="B835" s="321" t="str">
        <f>IF(A835&lt;&gt;"",_xlfn.MAXIFS($B$1:B834,$A$1:A834,A835)+1,"")</f>
        <v/>
      </c>
      <c r="C835" s="299"/>
      <c r="D835" s="299"/>
      <c r="E835" s="299"/>
      <c r="F835" s="299"/>
      <c r="G835" s="330"/>
      <c r="H835" s="328"/>
      <c r="I835" s="329"/>
      <c r="J835" s="329"/>
      <c r="K835" s="322"/>
      <c r="L835" s="322"/>
      <c r="M835" s="323" t="str">
        <f>IFERROR(VLOOKUP(H835,Lijsten!$H$1:$I$100,2,0),"")</f>
        <v/>
      </c>
      <c r="N835" s="323" t="str">
        <f ca="1">IFERROR(IF(VLOOKUP(F835,Kostentypen!$A$3:$E$21,3,0)=0,"",IF(OR(F835="Arbeidskosten",F835="Vergoeding"),VLOOKUP(G835,Tb_KostenTypen[],2,0),VLOOKUP(F835,Kostentypen!$A$3:$E$20,3,0))),"")</f>
        <v/>
      </c>
      <c r="O835" s="324"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4"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3"/>
      <c r="R835" s="363"/>
      <c r="S835" s="325"/>
      <c r="T835" s="325"/>
      <c r="U835" s="317" t="str" cm="1">
        <f t="array" aca="1" ref="U835" ca="1">IFERROR(IF(AA835&lt;&gt;"ja",_xlfn.IFNA(_xlfn.IFS(AND(O835&lt;&gt;"",F835&lt;&gt;"",RIGHT($N835,6)="tarief",F835="Vergoeding"),SUM(O835)*FLOOR(SUM(Q835),0.0001),AND(O835&lt;&gt;"",F835&lt;&gt;"",RIGHT($N835,6)="tarief"),SUM(O835)*FLOOR(SUM(Q835),0.01),S835&gt;0,IF(F835&lt;&gt;"",FLOOR(SUM(S835),0.01),"")),""),""),"")</f>
        <v/>
      </c>
      <c r="V835" s="317" t="str" cm="1">
        <f t="array" aca="1" ref="V835" ca="1">IFERROR(IF(AA835&lt;&gt;"ja",_xlfn.IFNA(_xlfn.IFS(AND(P835&lt;&gt;"",R835&lt;&gt;"",RIGHT($N835,6)="tarief",F835="Vergoeding"),SUM(P835)*FLOOR(SUM(R835),0.0001),AND(P835&lt;&gt;"",R835&lt;&gt;"",RIGHT($N835,6)="tarief"),P835*FLOOR(R835,0.01),T835&gt;0,FLOOR(SUM(T835),0.01)),""),""),"")</f>
        <v/>
      </c>
      <c r="W835" s="317" t="str" cm="1">
        <f t="array" aca="1" ref="W835" ca="1">IFERROR(_xlfn.IFS(OR(F835="",LEFT(Methode_Keuze,4)="Geen",Methode_Keuze=""),"",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17" t="str" cm="1">
        <f t="array" aca="1" ref="X835" ca="1">IFERROR(_xlfn.IFS(OR(F835="",LEFT(Methode_Keuze,4)="Geen",Methode_Keuze=""),"",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26"/>
      <c r="Z835" s="319"/>
      <c r="AA835" s="32" t="str" cm="1">
        <f t="array" ref="AA835">IFERROR(IF(INDEX(SubsidieTabel!$AD$1:$AG$12,MATCH($F835,SubsidieTabel!$AD$1:$AD$12,0),IFERROR(MATCH(Methode_Keuze,SubsidieTabel!$AD$1:$AG$1,0),2))&lt;&gt;1=TRUE,"ja",""),"")</f>
        <v/>
      </c>
    </row>
    <row r="836" spans="1:27" x14ac:dyDescent="0.25">
      <c r="A836" s="320"/>
      <c r="B836" s="321" t="str">
        <f>IF(A836&lt;&gt;"",_xlfn.MAXIFS($B$1:B835,$A$1:A835,A836)+1,"")</f>
        <v/>
      </c>
      <c r="C836" s="299"/>
      <c r="D836" s="299"/>
      <c r="E836" s="299"/>
      <c r="F836" s="299"/>
      <c r="G836" s="330"/>
      <c r="H836" s="328"/>
      <c r="I836" s="329"/>
      <c r="J836" s="329"/>
      <c r="K836" s="322"/>
      <c r="L836" s="322"/>
      <c r="M836" s="323" t="str">
        <f>IFERROR(VLOOKUP(H836,Lijsten!$H$1:$I$100,2,0),"")</f>
        <v/>
      </c>
      <c r="N836" s="323" t="str">
        <f ca="1">IFERROR(IF(VLOOKUP(F836,Kostentypen!$A$3:$E$21,3,0)=0,"",IF(OR(F836="Arbeidskosten",F836="Vergoeding"),VLOOKUP(G836,Tb_KostenTypen[],2,0),VLOOKUP(F836,Kostentypen!$A$3:$E$20,3,0))),"")</f>
        <v/>
      </c>
      <c r="O836" s="324"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4"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3"/>
      <c r="R836" s="363"/>
      <c r="S836" s="325"/>
      <c r="T836" s="325"/>
      <c r="U836" s="317" t="str" cm="1">
        <f t="array" aca="1" ref="U836" ca="1">IFERROR(IF(AA836&lt;&gt;"ja",_xlfn.IFNA(_xlfn.IFS(AND(O836&lt;&gt;"",F836&lt;&gt;"",RIGHT($N836,6)="tarief",F836="Vergoeding"),SUM(O836)*FLOOR(SUM(Q836),0.0001),AND(O836&lt;&gt;"",F836&lt;&gt;"",RIGHT($N836,6)="tarief"),SUM(O836)*FLOOR(SUM(Q836),0.01),S836&gt;0,IF(F836&lt;&gt;"",FLOOR(SUM(S836),0.01),"")),""),""),"")</f>
        <v/>
      </c>
      <c r="V836" s="317" t="str" cm="1">
        <f t="array" aca="1" ref="V836" ca="1">IFERROR(IF(AA836&lt;&gt;"ja",_xlfn.IFNA(_xlfn.IFS(AND(P836&lt;&gt;"",R836&lt;&gt;"",RIGHT($N836,6)="tarief",F836="Vergoeding"),SUM(P836)*FLOOR(SUM(R836),0.0001),AND(P836&lt;&gt;"",R836&lt;&gt;"",RIGHT($N836,6)="tarief"),P836*FLOOR(R836,0.01),T836&gt;0,FLOOR(SUM(T836),0.01)),""),""),"")</f>
        <v/>
      </c>
      <c r="W836" s="317" t="str" cm="1">
        <f t="array" aca="1" ref="W836" ca="1">IFERROR(_xlfn.IFS(OR(F836="",LEFT(Methode_Keuze,4)="Geen",Methode_Keuze=""),"",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17" t="str" cm="1">
        <f t="array" aca="1" ref="X836" ca="1">IFERROR(_xlfn.IFS(OR(F836="",LEFT(Methode_Keuze,4)="Geen",Methode_Keuze=""),"",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26"/>
      <c r="Z836" s="319"/>
      <c r="AA836" s="32" t="str" cm="1">
        <f t="array" ref="AA836">IFERROR(IF(INDEX(SubsidieTabel!$AD$1:$AG$12,MATCH($F836,SubsidieTabel!$AD$1:$AD$12,0),IFERROR(MATCH(Methode_Keuze,SubsidieTabel!$AD$1:$AG$1,0),2))&lt;&gt;1=TRUE,"ja",""),"")</f>
        <v/>
      </c>
    </row>
    <row r="837" spans="1:27" x14ac:dyDescent="0.25">
      <c r="A837" s="320"/>
      <c r="B837" s="321" t="str">
        <f>IF(A837&lt;&gt;"",_xlfn.MAXIFS($B$1:B836,$A$1:A836,A837)+1,"")</f>
        <v/>
      </c>
      <c r="C837" s="299"/>
      <c r="D837" s="299"/>
      <c r="E837" s="299"/>
      <c r="F837" s="299"/>
      <c r="G837" s="330"/>
      <c r="H837" s="328"/>
      <c r="I837" s="329"/>
      <c r="J837" s="329"/>
      <c r="K837" s="322"/>
      <c r="L837" s="322"/>
      <c r="M837" s="323" t="str">
        <f>IFERROR(VLOOKUP(H837,Lijsten!$H$1:$I$100,2,0),"")</f>
        <v/>
      </c>
      <c r="N837" s="323" t="str">
        <f ca="1">IFERROR(IF(VLOOKUP(F837,Kostentypen!$A$3:$E$21,3,0)=0,"",IF(OR(F837="Arbeidskosten",F837="Vergoeding"),VLOOKUP(G837,Tb_KostenTypen[],2,0),VLOOKUP(F837,Kostentypen!$A$3:$E$20,3,0))),"")</f>
        <v/>
      </c>
      <c r="O837" s="324"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4"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3"/>
      <c r="R837" s="363"/>
      <c r="S837" s="325"/>
      <c r="T837" s="325"/>
      <c r="U837" s="317" t="str" cm="1">
        <f t="array" aca="1" ref="U837" ca="1">IFERROR(IF(AA837&lt;&gt;"ja",_xlfn.IFNA(_xlfn.IFS(AND(O837&lt;&gt;"",F837&lt;&gt;"",RIGHT($N837,6)="tarief",F837="Vergoeding"),SUM(O837)*FLOOR(SUM(Q837),0.0001),AND(O837&lt;&gt;"",F837&lt;&gt;"",RIGHT($N837,6)="tarief"),SUM(O837)*FLOOR(SUM(Q837),0.01),S837&gt;0,IF(F837&lt;&gt;"",FLOOR(SUM(S837),0.01),"")),""),""),"")</f>
        <v/>
      </c>
      <c r="V837" s="317" t="str" cm="1">
        <f t="array" aca="1" ref="V837" ca="1">IFERROR(IF(AA837&lt;&gt;"ja",_xlfn.IFNA(_xlfn.IFS(AND(P837&lt;&gt;"",R837&lt;&gt;"",RIGHT($N837,6)="tarief",F837="Vergoeding"),SUM(P837)*FLOOR(SUM(R837),0.0001),AND(P837&lt;&gt;"",R837&lt;&gt;"",RIGHT($N837,6)="tarief"),P837*FLOOR(R837,0.01),T837&gt;0,FLOOR(SUM(T837),0.01)),""),""),"")</f>
        <v/>
      </c>
      <c r="W837" s="317" t="str" cm="1">
        <f t="array" aca="1" ref="W837" ca="1">IFERROR(_xlfn.IFS(OR(F837="",LEFT(Methode_Keuze,4)="Geen",Methode_Keuze=""),"",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17" t="str" cm="1">
        <f t="array" aca="1" ref="X837" ca="1">IFERROR(_xlfn.IFS(OR(F837="",LEFT(Methode_Keuze,4)="Geen",Methode_Keuze=""),"",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26"/>
      <c r="Z837" s="319"/>
      <c r="AA837" s="32" t="str" cm="1">
        <f t="array" ref="AA837">IFERROR(IF(INDEX(SubsidieTabel!$AD$1:$AG$12,MATCH($F837,SubsidieTabel!$AD$1:$AD$12,0),IFERROR(MATCH(Methode_Keuze,SubsidieTabel!$AD$1:$AG$1,0),2))&lt;&gt;1=TRUE,"ja",""),"")</f>
        <v/>
      </c>
    </row>
    <row r="838" spans="1:27" x14ac:dyDescent="0.25">
      <c r="A838" s="320"/>
      <c r="B838" s="321" t="str">
        <f>IF(A838&lt;&gt;"",_xlfn.MAXIFS($B$1:B837,$A$1:A837,A838)+1,"")</f>
        <v/>
      </c>
      <c r="C838" s="299"/>
      <c r="D838" s="299"/>
      <c r="E838" s="299"/>
      <c r="F838" s="299"/>
      <c r="G838" s="330"/>
      <c r="H838" s="328"/>
      <c r="I838" s="329"/>
      <c r="J838" s="329"/>
      <c r="K838" s="322"/>
      <c r="L838" s="322"/>
      <c r="M838" s="323" t="str">
        <f>IFERROR(VLOOKUP(H838,Lijsten!$H$1:$I$100,2,0),"")</f>
        <v/>
      </c>
      <c r="N838" s="323" t="str">
        <f ca="1">IFERROR(IF(VLOOKUP(F838,Kostentypen!$A$3:$E$21,3,0)=0,"",IF(OR(F838="Arbeidskosten",F838="Vergoeding"),VLOOKUP(G838,Tb_KostenTypen[],2,0),VLOOKUP(F838,Kostentypen!$A$3:$E$20,3,0))),"")</f>
        <v/>
      </c>
      <c r="O838" s="324"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4"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3"/>
      <c r="R838" s="363"/>
      <c r="S838" s="325"/>
      <c r="T838" s="325"/>
      <c r="U838" s="317" t="str" cm="1">
        <f t="array" aca="1" ref="U838" ca="1">IFERROR(IF(AA838&lt;&gt;"ja",_xlfn.IFNA(_xlfn.IFS(AND(O838&lt;&gt;"",F838&lt;&gt;"",RIGHT($N838,6)="tarief",F838="Vergoeding"),SUM(O838)*FLOOR(SUM(Q838),0.0001),AND(O838&lt;&gt;"",F838&lt;&gt;"",RIGHT($N838,6)="tarief"),SUM(O838)*FLOOR(SUM(Q838),0.01),S838&gt;0,IF(F838&lt;&gt;"",FLOOR(SUM(S838),0.01),"")),""),""),"")</f>
        <v/>
      </c>
      <c r="V838" s="317" t="str" cm="1">
        <f t="array" aca="1" ref="V838" ca="1">IFERROR(IF(AA838&lt;&gt;"ja",_xlfn.IFNA(_xlfn.IFS(AND(P838&lt;&gt;"",R838&lt;&gt;"",RIGHT($N838,6)="tarief",F838="Vergoeding"),SUM(P838)*FLOOR(SUM(R838),0.0001),AND(P838&lt;&gt;"",R838&lt;&gt;"",RIGHT($N838,6)="tarief"),P838*FLOOR(R838,0.01),T838&gt;0,FLOOR(SUM(T838),0.01)),""),""),"")</f>
        <v/>
      </c>
      <c r="W838" s="317" t="str" cm="1">
        <f t="array" aca="1" ref="W838" ca="1">IFERROR(_xlfn.IFS(OR(F838="",LEFT(Methode_Keuze,4)="Geen",Methode_Keuze=""),"",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17" t="str" cm="1">
        <f t="array" aca="1" ref="X838" ca="1">IFERROR(_xlfn.IFS(OR(F838="",LEFT(Methode_Keuze,4)="Geen",Methode_Keuze=""),"",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26"/>
      <c r="Z838" s="319"/>
      <c r="AA838" s="32" t="str" cm="1">
        <f t="array" ref="AA838">IFERROR(IF(INDEX(SubsidieTabel!$AD$1:$AG$12,MATCH($F838,SubsidieTabel!$AD$1:$AD$12,0),IFERROR(MATCH(Methode_Keuze,SubsidieTabel!$AD$1:$AG$1,0),2))&lt;&gt;1=TRUE,"ja",""),"")</f>
        <v/>
      </c>
    </row>
    <row r="839" spans="1:27" x14ac:dyDescent="0.25">
      <c r="A839" s="320"/>
      <c r="B839" s="321" t="str">
        <f>IF(A839&lt;&gt;"",_xlfn.MAXIFS($B$1:B838,$A$1:A838,A839)+1,"")</f>
        <v/>
      </c>
      <c r="C839" s="299"/>
      <c r="D839" s="299"/>
      <c r="E839" s="299"/>
      <c r="F839" s="299"/>
      <c r="G839" s="330"/>
      <c r="H839" s="328"/>
      <c r="I839" s="329"/>
      <c r="J839" s="329"/>
      <c r="K839" s="322"/>
      <c r="L839" s="322"/>
      <c r="M839" s="323" t="str">
        <f>IFERROR(VLOOKUP(H839,Lijsten!$H$1:$I$100,2,0),"")</f>
        <v/>
      </c>
      <c r="N839" s="323" t="str">
        <f ca="1">IFERROR(IF(VLOOKUP(F839,Kostentypen!$A$3:$E$21,3,0)=0,"",IF(OR(F839="Arbeidskosten",F839="Vergoeding"),VLOOKUP(G839,Tb_KostenTypen[],2,0),VLOOKUP(F839,Kostentypen!$A$3:$E$20,3,0))),"")</f>
        <v/>
      </c>
      <c r="O839" s="324"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4"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3"/>
      <c r="R839" s="363"/>
      <c r="S839" s="325"/>
      <c r="T839" s="325"/>
      <c r="U839" s="317" t="str" cm="1">
        <f t="array" aca="1" ref="U839" ca="1">IFERROR(IF(AA839&lt;&gt;"ja",_xlfn.IFNA(_xlfn.IFS(AND(O839&lt;&gt;"",F839&lt;&gt;"",RIGHT($N839,6)="tarief",F839="Vergoeding"),SUM(O839)*FLOOR(SUM(Q839),0.0001),AND(O839&lt;&gt;"",F839&lt;&gt;"",RIGHT($N839,6)="tarief"),SUM(O839)*FLOOR(SUM(Q839),0.01),S839&gt;0,IF(F839&lt;&gt;"",FLOOR(SUM(S839),0.01),"")),""),""),"")</f>
        <v/>
      </c>
      <c r="V839" s="317" t="str" cm="1">
        <f t="array" aca="1" ref="V839" ca="1">IFERROR(IF(AA839&lt;&gt;"ja",_xlfn.IFNA(_xlfn.IFS(AND(P839&lt;&gt;"",R839&lt;&gt;"",RIGHT($N839,6)="tarief",F839="Vergoeding"),SUM(P839)*FLOOR(SUM(R839),0.0001),AND(P839&lt;&gt;"",R839&lt;&gt;"",RIGHT($N839,6)="tarief"),P839*FLOOR(R839,0.01),T839&gt;0,FLOOR(SUM(T839),0.01)),""),""),"")</f>
        <v/>
      </c>
      <c r="W839" s="317" t="str" cm="1">
        <f t="array" aca="1" ref="W839" ca="1">IFERROR(_xlfn.IFS(OR(F839="",LEFT(Methode_Keuze,4)="Geen",Methode_Keuze=""),"",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17" t="str" cm="1">
        <f t="array" aca="1" ref="X839" ca="1">IFERROR(_xlfn.IFS(OR(F839="",LEFT(Methode_Keuze,4)="Geen",Methode_Keuze=""),"",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26"/>
      <c r="Z839" s="319"/>
      <c r="AA839" s="32" t="str" cm="1">
        <f t="array" ref="AA839">IFERROR(IF(INDEX(SubsidieTabel!$AD$1:$AG$12,MATCH($F839,SubsidieTabel!$AD$1:$AD$12,0),IFERROR(MATCH(Methode_Keuze,SubsidieTabel!$AD$1:$AG$1,0),2))&lt;&gt;1=TRUE,"ja",""),"")</f>
        <v/>
      </c>
    </row>
    <row r="840" spans="1:27" x14ac:dyDescent="0.25">
      <c r="A840" s="320"/>
      <c r="B840" s="321" t="str">
        <f>IF(A840&lt;&gt;"",_xlfn.MAXIFS($B$1:B839,$A$1:A839,A840)+1,"")</f>
        <v/>
      </c>
      <c r="C840" s="299"/>
      <c r="D840" s="299"/>
      <c r="E840" s="299"/>
      <c r="F840" s="299"/>
      <c r="G840" s="330"/>
      <c r="H840" s="328"/>
      <c r="I840" s="329"/>
      <c r="J840" s="329"/>
      <c r="K840" s="322"/>
      <c r="L840" s="322"/>
      <c r="M840" s="323" t="str">
        <f>IFERROR(VLOOKUP(H840,Lijsten!$H$1:$I$100,2,0),"")</f>
        <v/>
      </c>
      <c r="N840" s="323" t="str">
        <f ca="1">IFERROR(IF(VLOOKUP(F840,Kostentypen!$A$3:$E$21,3,0)=0,"",IF(OR(F840="Arbeidskosten",F840="Vergoeding"),VLOOKUP(G840,Tb_KostenTypen[],2,0),VLOOKUP(F840,Kostentypen!$A$3:$E$20,3,0))),"")</f>
        <v/>
      </c>
      <c r="O840" s="324"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4"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3"/>
      <c r="R840" s="363"/>
      <c r="S840" s="325"/>
      <c r="T840" s="325"/>
      <c r="U840" s="317" t="str" cm="1">
        <f t="array" aca="1" ref="U840" ca="1">IFERROR(IF(AA840&lt;&gt;"ja",_xlfn.IFNA(_xlfn.IFS(AND(O840&lt;&gt;"",F840&lt;&gt;"",RIGHT($N840,6)="tarief",F840="Vergoeding"),SUM(O840)*FLOOR(SUM(Q840),0.0001),AND(O840&lt;&gt;"",F840&lt;&gt;"",RIGHT($N840,6)="tarief"),SUM(O840)*FLOOR(SUM(Q840),0.01),S840&gt;0,IF(F840&lt;&gt;"",FLOOR(SUM(S840),0.01),"")),""),""),"")</f>
        <v/>
      </c>
      <c r="V840" s="317" t="str" cm="1">
        <f t="array" aca="1" ref="V840" ca="1">IFERROR(IF(AA840&lt;&gt;"ja",_xlfn.IFNA(_xlfn.IFS(AND(P840&lt;&gt;"",R840&lt;&gt;"",RIGHT($N840,6)="tarief",F840="Vergoeding"),SUM(P840)*FLOOR(SUM(R840),0.0001),AND(P840&lt;&gt;"",R840&lt;&gt;"",RIGHT($N840,6)="tarief"),P840*FLOOR(R840,0.01),T840&gt;0,FLOOR(SUM(T840),0.01)),""),""),"")</f>
        <v/>
      </c>
      <c r="W840" s="317" t="str" cm="1">
        <f t="array" aca="1" ref="W840" ca="1">IFERROR(_xlfn.IFS(OR(F840="",LEFT(Methode_Keuze,4)="Geen",Methode_Keuze=""),"",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17" t="str" cm="1">
        <f t="array" aca="1" ref="X840" ca="1">IFERROR(_xlfn.IFS(OR(F840="",LEFT(Methode_Keuze,4)="Geen",Methode_Keuze=""),"",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26"/>
      <c r="Z840" s="319"/>
      <c r="AA840" s="32" t="str" cm="1">
        <f t="array" ref="AA840">IFERROR(IF(INDEX(SubsidieTabel!$AD$1:$AG$12,MATCH($F840,SubsidieTabel!$AD$1:$AD$12,0),IFERROR(MATCH(Methode_Keuze,SubsidieTabel!$AD$1:$AG$1,0),2))&lt;&gt;1=TRUE,"ja",""),"")</f>
        <v/>
      </c>
    </row>
    <row r="841" spans="1:27" x14ac:dyDescent="0.25">
      <c r="A841" s="320"/>
      <c r="B841" s="321" t="str">
        <f>IF(A841&lt;&gt;"",_xlfn.MAXIFS($B$1:B840,$A$1:A840,A841)+1,"")</f>
        <v/>
      </c>
      <c r="C841" s="299"/>
      <c r="D841" s="299"/>
      <c r="E841" s="299"/>
      <c r="F841" s="299"/>
      <c r="G841" s="330"/>
      <c r="H841" s="328"/>
      <c r="I841" s="329"/>
      <c r="J841" s="329"/>
      <c r="K841" s="322"/>
      <c r="L841" s="322"/>
      <c r="M841" s="323" t="str">
        <f>IFERROR(VLOOKUP(H841,Lijsten!$H$1:$I$100,2,0),"")</f>
        <v/>
      </c>
      <c r="N841" s="323" t="str">
        <f ca="1">IFERROR(IF(VLOOKUP(F841,Kostentypen!$A$3:$E$21,3,0)=0,"",IF(OR(F841="Arbeidskosten",F841="Vergoeding"),VLOOKUP(G841,Tb_KostenTypen[],2,0),VLOOKUP(F841,Kostentypen!$A$3:$E$20,3,0))),"")</f>
        <v/>
      </c>
      <c r="O841" s="324"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4"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3"/>
      <c r="R841" s="363"/>
      <c r="S841" s="325"/>
      <c r="T841" s="325"/>
      <c r="U841" s="317" t="str" cm="1">
        <f t="array" aca="1" ref="U841" ca="1">IFERROR(IF(AA841&lt;&gt;"ja",_xlfn.IFNA(_xlfn.IFS(AND(O841&lt;&gt;"",F841&lt;&gt;"",RIGHT($N841,6)="tarief",F841="Vergoeding"),SUM(O841)*FLOOR(SUM(Q841),0.0001),AND(O841&lt;&gt;"",F841&lt;&gt;"",RIGHT($N841,6)="tarief"),SUM(O841)*FLOOR(SUM(Q841),0.01),S841&gt;0,IF(F841&lt;&gt;"",FLOOR(SUM(S841),0.01),"")),""),""),"")</f>
        <v/>
      </c>
      <c r="V841" s="317" t="str" cm="1">
        <f t="array" aca="1" ref="V841" ca="1">IFERROR(IF(AA841&lt;&gt;"ja",_xlfn.IFNA(_xlfn.IFS(AND(P841&lt;&gt;"",R841&lt;&gt;"",RIGHT($N841,6)="tarief",F841="Vergoeding"),SUM(P841)*FLOOR(SUM(R841),0.0001),AND(P841&lt;&gt;"",R841&lt;&gt;"",RIGHT($N841,6)="tarief"),P841*FLOOR(R841,0.01),T841&gt;0,FLOOR(SUM(T841),0.01)),""),""),"")</f>
        <v/>
      </c>
      <c r="W841" s="317" t="str" cm="1">
        <f t="array" aca="1" ref="W841" ca="1">IFERROR(_xlfn.IFS(OR(F841="",LEFT(Methode_Keuze,4)="Geen",Methode_Keuze=""),"",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17" t="str" cm="1">
        <f t="array" aca="1" ref="X841" ca="1">IFERROR(_xlfn.IFS(OR(F841="",LEFT(Methode_Keuze,4)="Geen",Methode_Keuze=""),"",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26"/>
      <c r="Z841" s="319"/>
      <c r="AA841" s="32" t="str" cm="1">
        <f t="array" ref="AA841">IFERROR(IF(INDEX(SubsidieTabel!$AD$1:$AG$12,MATCH($F841,SubsidieTabel!$AD$1:$AD$12,0),IFERROR(MATCH(Methode_Keuze,SubsidieTabel!$AD$1:$AG$1,0),2))&lt;&gt;1=TRUE,"ja",""),"")</f>
        <v/>
      </c>
    </row>
    <row r="842" spans="1:27" x14ac:dyDescent="0.25">
      <c r="A842" s="320"/>
      <c r="B842" s="321" t="str">
        <f>IF(A842&lt;&gt;"",_xlfn.MAXIFS($B$1:B841,$A$1:A841,A842)+1,"")</f>
        <v/>
      </c>
      <c r="C842" s="299"/>
      <c r="D842" s="299"/>
      <c r="E842" s="299"/>
      <c r="F842" s="299"/>
      <c r="G842" s="330"/>
      <c r="H842" s="328"/>
      <c r="I842" s="329"/>
      <c r="J842" s="329"/>
      <c r="K842" s="322"/>
      <c r="L842" s="322"/>
      <c r="M842" s="323" t="str">
        <f>IFERROR(VLOOKUP(H842,Lijsten!$H$1:$I$100,2,0),"")</f>
        <v/>
      </c>
      <c r="N842" s="323" t="str">
        <f ca="1">IFERROR(IF(VLOOKUP(F842,Kostentypen!$A$3:$E$21,3,0)=0,"",IF(OR(F842="Arbeidskosten",F842="Vergoeding"),VLOOKUP(G842,Tb_KostenTypen[],2,0),VLOOKUP(F842,Kostentypen!$A$3:$E$20,3,0))),"")</f>
        <v/>
      </c>
      <c r="O842" s="324"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4"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3"/>
      <c r="R842" s="363"/>
      <c r="S842" s="325"/>
      <c r="T842" s="325"/>
      <c r="U842" s="317" t="str" cm="1">
        <f t="array" aca="1" ref="U842" ca="1">IFERROR(IF(AA842&lt;&gt;"ja",_xlfn.IFNA(_xlfn.IFS(AND(O842&lt;&gt;"",F842&lt;&gt;"",RIGHT($N842,6)="tarief",F842="Vergoeding"),SUM(O842)*FLOOR(SUM(Q842),0.0001),AND(O842&lt;&gt;"",F842&lt;&gt;"",RIGHT($N842,6)="tarief"),SUM(O842)*FLOOR(SUM(Q842),0.01),S842&gt;0,IF(F842&lt;&gt;"",FLOOR(SUM(S842),0.01),"")),""),""),"")</f>
        <v/>
      </c>
      <c r="V842" s="317" t="str" cm="1">
        <f t="array" aca="1" ref="V842" ca="1">IFERROR(IF(AA842&lt;&gt;"ja",_xlfn.IFNA(_xlfn.IFS(AND(P842&lt;&gt;"",R842&lt;&gt;"",RIGHT($N842,6)="tarief",F842="Vergoeding"),SUM(P842)*FLOOR(SUM(R842),0.0001),AND(P842&lt;&gt;"",R842&lt;&gt;"",RIGHT($N842,6)="tarief"),P842*FLOOR(R842,0.01),T842&gt;0,FLOOR(SUM(T842),0.01)),""),""),"")</f>
        <v/>
      </c>
      <c r="W842" s="317" t="str" cm="1">
        <f t="array" aca="1" ref="W842" ca="1">IFERROR(_xlfn.IFS(OR(F842="",LEFT(Methode_Keuze,4)="Geen",Methode_Keuze=""),"",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17" t="str" cm="1">
        <f t="array" aca="1" ref="X842" ca="1">IFERROR(_xlfn.IFS(OR(F842="",LEFT(Methode_Keuze,4)="Geen",Methode_Keuze=""),"",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26"/>
      <c r="Z842" s="319"/>
      <c r="AA842" s="32" t="str" cm="1">
        <f t="array" ref="AA842">IFERROR(IF(INDEX(SubsidieTabel!$AD$1:$AG$12,MATCH($F842,SubsidieTabel!$AD$1:$AD$12,0),IFERROR(MATCH(Methode_Keuze,SubsidieTabel!$AD$1:$AG$1,0),2))&lt;&gt;1=TRUE,"ja",""),"")</f>
        <v/>
      </c>
    </row>
    <row r="843" spans="1:27" x14ac:dyDescent="0.25">
      <c r="A843" s="320"/>
      <c r="B843" s="321" t="str">
        <f>IF(A843&lt;&gt;"",_xlfn.MAXIFS($B$1:B842,$A$1:A842,A843)+1,"")</f>
        <v/>
      </c>
      <c r="C843" s="299"/>
      <c r="D843" s="299"/>
      <c r="E843" s="299"/>
      <c r="F843" s="299"/>
      <c r="G843" s="330"/>
      <c r="H843" s="328"/>
      <c r="I843" s="329"/>
      <c r="J843" s="329"/>
      <c r="K843" s="322"/>
      <c r="L843" s="322"/>
      <c r="M843" s="323" t="str">
        <f>IFERROR(VLOOKUP(H843,Lijsten!$H$1:$I$100,2,0),"")</f>
        <v/>
      </c>
      <c r="N843" s="323" t="str">
        <f ca="1">IFERROR(IF(VLOOKUP(F843,Kostentypen!$A$3:$E$21,3,0)=0,"",IF(OR(F843="Arbeidskosten",F843="Vergoeding"),VLOOKUP(G843,Tb_KostenTypen[],2,0),VLOOKUP(F843,Kostentypen!$A$3:$E$20,3,0))),"")</f>
        <v/>
      </c>
      <c r="O843" s="324"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4"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3"/>
      <c r="R843" s="363"/>
      <c r="S843" s="325"/>
      <c r="T843" s="325"/>
      <c r="U843" s="317" t="str" cm="1">
        <f t="array" aca="1" ref="U843" ca="1">IFERROR(IF(AA843&lt;&gt;"ja",_xlfn.IFNA(_xlfn.IFS(AND(O843&lt;&gt;"",F843&lt;&gt;"",RIGHT($N843,6)="tarief",F843="Vergoeding"),SUM(O843)*FLOOR(SUM(Q843),0.0001),AND(O843&lt;&gt;"",F843&lt;&gt;"",RIGHT($N843,6)="tarief"),SUM(O843)*FLOOR(SUM(Q843),0.01),S843&gt;0,IF(F843&lt;&gt;"",FLOOR(SUM(S843),0.01),"")),""),""),"")</f>
        <v/>
      </c>
      <c r="V843" s="317" t="str" cm="1">
        <f t="array" aca="1" ref="V843" ca="1">IFERROR(IF(AA843&lt;&gt;"ja",_xlfn.IFNA(_xlfn.IFS(AND(P843&lt;&gt;"",R843&lt;&gt;"",RIGHT($N843,6)="tarief",F843="Vergoeding"),SUM(P843)*FLOOR(SUM(R843),0.0001),AND(P843&lt;&gt;"",R843&lt;&gt;"",RIGHT($N843,6)="tarief"),P843*FLOOR(R843,0.01),T843&gt;0,FLOOR(SUM(T843),0.01)),""),""),"")</f>
        <v/>
      </c>
      <c r="W843" s="317" t="str" cm="1">
        <f t="array" aca="1" ref="W843" ca="1">IFERROR(_xlfn.IFS(OR(F843="",LEFT(Methode_Keuze,4)="Geen",Methode_Keuze=""),"",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17" t="str" cm="1">
        <f t="array" aca="1" ref="X843" ca="1">IFERROR(_xlfn.IFS(OR(F843="",LEFT(Methode_Keuze,4)="Geen",Methode_Keuze=""),"",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26"/>
      <c r="Z843" s="319"/>
      <c r="AA843" s="32" t="str" cm="1">
        <f t="array" ref="AA843">IFERROR(IF(INDEX(SubsidieTabel!$AD$1:$AG$12,MATCH($F843,SubsidieTabel!$AD$1:$AD$12,0),IFERROR(MATCH(Methode_Keuze,SubsidieTabel!$AD$1:$AG$1,0),2))&lt;&gt;1=TRUE,"ja",""),"")</f>
        <v/>
      </c>
    </row>
    <row r="844" spans="1:27" x14ac:dyDescent="0.25">
      <c r="A844" s="320"/>
      <c r="B844" s="321" t="str">
        <f>IF(A844&lt;&gt;"",_xlfn.MAXIFS($B$1:B843,$A$1:A843,A844)+1,"")</f>
        <v/>
      </c>
      <c r="C844" s="299"/>
      <c r="D844" s="299"/>
      <c r="E844" s="299"/>
      <c r="F844" s="299"/>
      <c r="G844" s="330"/>
      <c r="H844" s="328"/>
      <c r="I844" s="329"/>
      <c r="J844" s="329"/>
      <c r="K844" s="322"/>
      <c r="L844" s="322"/>
      <c r="M844" s="323" t="str">
        <f>IFERROR(VLOOKUP(H844,Lijsten!$H$1:$I$100,2,0),"")</f>
        <v/>
      </c>
      <c r="N844" s="323" t="str">
        <f ca="1">IFERROR(IF(VLOOKUP(F844,Kostentypen!$A$3:$E$21,3,0)=0,"",IF(OR(F844="Arbeidskosten",F844="Vergoeding"),VLOOKUP(G844,Tb_KostenTypen[],2,0),VLOOKUP(F844,Kostentypen!$A$3:$E$20,3,0))),"")</f>
        <v/>
      </c>
      <c r="O844" s="324"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4"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3"/>
      <c r="R844" s="363"/>
      <c r="S844" s="325"/>
      <c r="T844" s="325"/>
      <c r="U844" s="317" t="str" cm="1">
        <f t="array" aca="1" ref="U844" ca="1">IFERROR(IF(AA844&lt;&gt;"ja",_xlfn.IFNA(_xlfn.IFS(AND(O844&lt;&gt;"",F844&lt;&gt;"",RIGHT($N844,6)="tarief",F844="Vergoeding"),SUM(O844)*FLOOR(SUM(Q844),0.0001),AND(O844&lt;&gt;"",F844&lt;&gt;"",RIGHT($N844,6)="tarief"),SUM(O844)*FLOOR(SUM(Q844),0.01),S844&gt;0,IF(F844&lt;&gt;"",FLOOR(SUM(S844),0.01),"")),""),""),"")</f>
        <v/>
      </c>
      <c r="V844" s="317" t="str" cm="1">
        <f t="array" aca="1" ref="V844" ca="1">IFERROR(IF(AA844&lt;&gt;"ja",_xlfn.IFNA(_xlfn.IFS(AND(P844&lt;&gt;"",R844&lt;&gt;"",RIGHT($N844,6)="tarief",F844="Vergoeding"),SUM(P844)*FLOOR(SUM(R844),0.0001),AND(P844&lt;&gt;"",R844&lt;&gt;"",RIGHT($N844,6)="tarief"),P844*FLOOR(R844,0.01),T844&gt;0,FLOOR(SUM(T844),0.01)),""),""),"")</f>
        <v/>
      </c>
      <c r="W844" s="317" t="str" cm="1">
        <f t="array" aca="1" ref="W844" ca="1">IFERROR(_xlfn.IFS(OR(F844="",LEFT(Methode_Keuze,4)="Geen",Methode_Keuze=""),"",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17" t="str" cm="1">
        <f t="array" aca="1" ref="X844" ca="1">IFERROR(_xlfn.IFS(OR(F844="",LEFT(Methode_Keuze,4)="Geen",Methode_Keuze=""),"",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26"/>
      <c r="Z844" s="319"/>
      <c r="AA844" s="32" t="str" cm="1">
        <f t="array" ref="AA844">IFERROR(IF(INDEX(SubsidieTabel!$AD$1:$AG$12,MATCH($F844,SubsidieTabel!$AD$1:$AD$12,0),IFERROR(MATCH(Methode_Keuze,SubsidieTabel!$AD$1:$AG$1,0),2))&lt;&gt;1=TRUE,"ja",""),"")</f>
        <v/>
      </c>
    </row>
    <row r="845" spans="1:27" x14ac:dyDescent="0.25">
      <c r="A845" s="320"/>
      <c r="B845" s="321" t="str">
        <f>IF(A845&lt;&gt;"",_xlfn.MAXIFS($B$1:B844,$A$1:A844,A845)+1,"")</f>
        <v/>
      </c>
      <c r="C845" s="299"/>
      <c r="D845" s="299"/>
      <c r="E845" s="299"/>
      <c r="F845" s="299"/>
      <c r="G845" s="330"/>
      <c r="H845" s="328"/>
      <c r="I845" s="329"/>
      <c r="J845" s="329"/>
      <c r="K845" s="322"/>
      <c r="L845" s="322"/>
      <c r="M845" s="323" t="str">
        <f>IFERROR(VLOOKUP(H845,Lijsten!$H$1:$I$100,2,0),"")</f>
        <v/>
      </c>
      <c r="N845" s="323" t="str">
        <f ca="1">IFERROR(IF(VLOOKUP(F845,Kostentypen!$A$3:$E$21,3,0)=0,"",IF(OR(F845="Arbeidskosten",F845="Vergoeding"),VLOOKUP(G845,Tb_KostenTypen[],2,0),VLOOKUP(F845,Kostentypen!$A$3:$E$20,3,0))),"")</f>
        <v/>
      </c>
      <c r="O845" s="324"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4"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3"/>
      <c r="R845" s="363"/>
      <c r="S845" s="325"/>
      <c r="T845" s="325"/>
      <c r="U845" s="317" t="str" cm="1">
        <f t="array" aca="1" ref="U845" ca="1">IFERROR(IF(AA845&lt;&gt;"ja",_xlfn.IFNA(_xlfn.IFS(AND(O845&lt;&gt;"",F845&lt;&gt;"",RIGHT($N845,6)="tarief",F845="Vergoeding"),SUM(O845)*FLOOR(SUM(Q845),0.0001),AND(O845&lt;&gt;"",F845&lt;&gt;"",RIGHT($N845,6)="tarief"),SUM(O845)*FLOOR(SUM(Q845),0.01),S845&gt;0,IF(F845&lt;&gt;"",FLOOR(SUM(S845),0.01),"")),""),""),"")</f>
        <v/>
      </c>
      <c r="V845" s="317" t="str" cm="1">
        <f t="array" aca="1" ref="V845" ca="1">IFERROR(IF(AA845&lt;&gt;"ja",_xlfn.IFNA(_xlfn.IFS(AND(P845&lt;&gt;"",R845&lt;&gt;"",RIGHT($N845,6)="tarief",F845="Vergoeding"),SUM(P845)*FLOOR(SUM(R845),0.0001),AND(P845&lt;&gt;"",R845&lt;&gt;"",RIGHT($N845,6)="tarief"),P845*FLOOR(R845,0.01),T845&gt;0,FLOOR(SUM(T845),0.01)),""),""),"")</f>
        <v/>
      </c>
      <c r="W845" s="317" t="str" cm="1">
        <f t="array" aca="1" ref="W845" ca="1">IFERROR(_xlfn.IFS(OR(F845="",LEFT(Methode_Keuze,4)="Geen",Methode_Keuze=""),"",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17" t="str" cm="1">
        <f t="array" aca="1" ref="X845" ca="1">IFERROR(_xlfn.IFS(OR(F845="",LEFT(Methode_Keuze,4)="Geen",Methode_Keuze=""),"",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26"/>
      <c r="Z845" s="319"/>
      <c r="AA845" s="32" t="str" cm="1">
        <f t="array" ref="AA845">IFERROR(IF(INDEX(SubsidieTabel!$AD$1:$AG$12,MATCH($F845,SubsidieTabel!$AD$1:$AD$12,0),IFERROR(MATCH(Methode_Keuze,SubsidieTabel!$AD$1:$AG$1,0),2))&lt;&gt;1=TRUE,"ja",""),"")</f>
        <v/>
      </c>
    </row>
    <row r="846" spans="1:27" x14ac:dyDescent="0.25">
      <c r="A846" s="320"/>
      <c r="B846" s="321" t="str">
        <f>IF(A846&lt;&gt;"",_xlfn.MAXIFS($B$1:B845,$A$1:A845,A846)+1,"")</f>
        <v/>
      </c>
      <c r="C846" s="299"/>
      <c r="D846" s="299"/>
      <c r="E846" s="299"/>
      <c r="F846" s="299"/>
      <c r="G846" s="330"/>
      <c r="H846" s="328"/>
      <c r="I846" s="329"/>
      <c r="J846" s="329"/>
      <c r="K846" s="322"/>
      <c r="L846" s="322"/>
      <c r="M846" s="323" t="str">
        <f>IFERROR(VLOOKUP(H846,Lijsten!$H$1:$I$100,2,0),"")</f>
        <v/>
      </c>
      <c r="N846" s="323" t="str">
        <f ca="1">IFERROR(IF(VLOOKUP(F846,Kostentypen!$A$3:$E$21,3,0)=0,"",IF(OR(F846="Arbeidskosten",F846="Vergoeding"),VLOOKUP(G846,Tb_KostenTypen[],2,0),VLOOKUP(F846,Kostentypen!$A$3:$E$20,3,0))),"")</f>
        <v/>
      </c>
      <c r="O846" s="324"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4"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3"/>
      <c r="R846" s="363"/>
      <c r="S846" s="325"/>
      <c r="T846" s="325"/>
      <c r="U846" s="317" t="str" cm="1">
        <f t="array" aca="1" ref="U846" ca="1">IFERROR(IF(AA846&lt;&gt;"ja",_xlfn.IFNA(_xlfn.IFS(AND(O846&lt;&gt;"",F846&lt;&gt;"",RIGHT($N846,6)="tarief",F846="Vergoeding"),SUM(O846)*FLOOR(SUM(Q846),0.0001),AND(O846&lt;&gt;"",F846&lt;&gt;"",RIGHT($N846,6)="tarief"),SUM(O846)*FLOOR(SUM(Q846),0.01),S846&gt;0,IF(F846&lt;&gt;"",FLOOR(SUM(S846),0.01),"")),""),""),"")</f>
        <v/>
      </c>
      <c r="V846" s="317" t="str" cm="1">
        <f t="array" aca="1" ref="V846" ca="1">IFERROR(IF(AA846&lt;&gt;"ja",_xlfn.IFNA(_xlfn.IFS(AND(P846&lt;&gt;"",R846&lt;&gt;"",RIGHT($N846,6)="tarief",F846="Vergoeding"),SUM(P846)*FLOOR(SUM(R846),0.0001),AND(P846&lt;&gt;"",R846&lt;&gt;"",RIGHT($N846,6)="tarief"),P846*FLOOR(R846,0.01),T846&gt;0,FLOOR(SUM(T846),0.01)),""),""),"")</f>
        <v/>
      </c>
      <c r="W846" s="317" t="str" cm="1">
        <f t="array" aca="1" ref="W846" ca="1">IFERROR(_xlfn.IFS(OR(F846="",LEFT(Methode_Keuze,4)="Geen",Methode_Keuze=""),"",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17" t="str" cm="1">
        <f t="array" aca="1" ref="X846" ca="1">IFERROR(_xlfn.IFS(OR(F846="",LEFT(Methode_Keuze,4)="Geen",Methode_Keuze=""),"",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26"/>
      <c r="Z846" s="319"/>
      <c r="AA846" s="32" t="str" cm="1">
        <f t="array" ref="AA846">IFERROR(IF(INDEX(SubsidieTabel!$AD$1:$AG$12,MATCH($F846,SubsidieTabel!$AD$1:$AD$12,0),IFERROR(MATCH(Methode_Keuze,SubsidieTabel!$AD$1:$AG$1,0),2))&lt;&gt;1=TRUE,"ja",""),"")</f>
        <v/>
      </c>
    </row>
    <row r="847" spans="1:27" x14ac:dyDescent="0.25">
      <c r="A847" s="320"/>
      <c r="B847" s="321" t="str">
        <f>IF(A847&lt;&gt;"",_xlfn.MAXIFS($B$1:B846,$A$1:A846,A847)+1,"")</f>
        <v/>
      </c>
      <c r="C847" s="299"/>
      <c r="D847" s="299"/>
      <c r="E847" s="299"/>
      <c r="F847" s="299"/>
      <c r="G847" s="330"/>
      <c r="H847" s="328"/>
      <c r="I847" s="329"/>
      <c r="J847" s="329"/>
      <c r="K847" s="322"/>
      <c r="L847" s="322"/>
      <c r="M847" s="323" t="str">
        <f>IFERROR(VLOOKUP(H847,Lijsten!$H$1:$I$100,2,0),"")</f>
        <v/>
      </c>
      <c r="N847" s="323" t="str">
        <f ca="1">IFERROR(IF(VLOOKUP(F847,Kostentypen!$A$3:$E$21,3,0)=0,"",IF(OR(F847="Arbeidskosten",F847="Vergoeding"),VLOOKUP(G847,Tb_KostenTypen[],2,0),VLOOKUP(F847,Kostentypen!$A$3:$E$20,3,0))),"")</f>
        <v/>
      </c>
      <c r="O847" s="324"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4"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3"/>
      <c r="R847" s="363"/>
      <c r="S847" s="325"/>
      <c r="T847" s="325"/>
      <c r="U847" s="317" t="str" cm="1">
        <f t="array" aca="1" ref="U847" ca="1">IFERROR(IF(AA847&lt;&gt;"ja",_xlfn.IFNA(_xlfn.IFS(AND(O847&lt;&gt;"",F847&lt;&gt;"",RIGHT($N847,6)="tarief",F847="Vergoeding"),SUM(O847)*FLOOR(SUM(Q847),0.0001),AND(O847&lt;&gt;"",F847&lt;&gt;"",RIGHT($N847,6)="tarief"),SUM(O847)*FLOOR(SUM(Q847),0.01),S847&gt;0,IF(F847&lt;&gt;"",FLOOR(SUM(S847),0.01),"")),""),""),"")</f>
        <v/>
      </c>
      <c r="V847" s="317" t="str" cm="1">
        <f t="array" aca="1" ref="V847" ca="1">IFERROR(IF(AA847&lt;&gt;"ja",_xlfn.IFNA(_xlfn.IFS(AND(P847&lt;&gt;"",R847&lt;&gt;"",RIGHT($N847,6)="tarief",F847="Vergoeding"),SUM(P847)*FLOOR(SUM(R847),0.0001),AND(P847&lt;&gt;"",R847&lt;&gt;"",RIGHT($N847,6)="tarief"),P847*FLOOR(R847,0.01),T847&gt;0,FLOOR(SUM(T847),0.01)),""),""),"")</f>
        <v/>
      </c>
      <c r="W847" s="317" t="str" cm="1">
        <f t="array" aca="1" ref="W847" ca="1">IFERROR(_xlfn.IFS(OR(F847="",LEFT(Methode_Keuze,4)="Geen",Methode_Keuze=""),"",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17" t="str" cm="1">
        <f t="array" aca="1" ref="X847" ca="1">IFERROR(_xlfn.IFS(OR(F847="",LEFT(Methode_Keuze,4)="Geen",Methode_Keuze=""),"",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26"/>
      <c r="Z847" s="319"/>
      <c r="AA847" s="32" t="str" cm="1">
        <f t="array" ref="AA847">IFERROR(IF(INDEX(SubsidieTabel!$AD$1:$AG$12,MATCH($F847,SubsidieTabel!$AD$1:$AD$12,0),IFERROR(MATCH(Methode_Keuze,SubsidieTabel!$AD$1:$AG$1,0),2))&lt;&gt;1=TRUE,"ja",""),"")</f>
        <v/>
      </c>
    </row>
    <row r="848" spans="1:27" x14ac:dyDescent="0.25">
      <c r="A848" s="320"/>
      <c r="B848" s="321" t="str">
        <f>IF(A848&lt;&gt;"",_xlfn.MAXIFS($B$1:B847,$A$1:A847,A848)+1,"")</f>
        <v/>
      </c>
      <c r="C848" s="299"/>
      <c r="D848" s="299"/>
      <c r="E848" s="299"/>
      <c r="F848" s="299"/>
      <c r="G848" s="330"/>
      <c r="H848" s="328"/>
      <c r="I848" s="329"/>
      <c r="J848" s="329"/>
      <c r="K848" s="322"/>
      <c r="L848" s="322"/>
      <c r="M848" s="323" t="str">
        <f>IFERROR(VLOOKUP(H848,Lijsten!$H$1:$I$100,2,0),"")</f>
        <v/>
      </c>
      <c r="N848" s="323" t="str">
        <f ca="1">IFERROR(IF(VLOOKUP(F848,Kostentypen!$A$3:$E$21,3,0)=0,"",IF(OR(F848="Arbeidskosten",F848="Vergoeding"),VLOOKUP(G848,Tb_KostenTypen[],2,0),VLOOKUP(F848,Kostentypen!$A$3:$E$20,3,0))),"")</f>
        <v/>
      </c>
      <c r="O848" s="324"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4"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3"/>
      <c r="R848" s="363"/>
      <c r="S848" s="325"/>
      <c r="T848" s="325"/>
      <c r="U848" s="317" t="str" cm="1">
        <f t="array" aca="1" ref="U848" ca="1">IFERROR(IF(AA848&lt;&gt;"ja",_xlfn.IFNA(_xlfn.IFS(AND(O848&lt;&gt;"",F848&lt;&gt;"",RIGHT($N848,6)="tarief",F848="Vergoeding"),SUM(O848)*FLOOR(SUM(Q848),0.0001),AND(O848&lt;&gt;"",F848&lt;&gt;"",RIGHT($N848,6)="tarief"),SUM(O848)*FLOOR(SUM(Q848),0.01),S848&gt;0,IF(F848&lt;&gt;"",FLOOR(SUM(S848),0.01),"")),""),""),"")</f>
        <v/>
      </c>
      <c r="V848" s="317" t="str" cm="1">
        <f t="array" aca="1" ref="V848" ca="1">IFERROR(IF(AA848&lt;&gt;"ja",_xlfn.IFNA(_xlfn.IFS(AND(P848&lt;&gt;"",R848&lt;&gt;"",RIGHT($N848,6)="tarief",F848="Vergoeding"),SUM(P848)*FLOOR(SUM(R848),0.0001),AND(P848&lt;&gt;"",R848&lt;&gt;"",RIGHT($N848,6)="tarief"),P848*FLOOR(R848,0.01),T848&gt;0,FLOOR(SUM(T848),0.01)),""),""),"")</f>
        <v/>
      </c>
      <c r="W848" s="317" t="str" cm="1">
        <f t="array" aca="1" ref="W848" ca="1">IFERROR(_xlfn.IFS(OR(F848="",LEFT(Methode_Keuze,4)="Geen",Methode_Keuze=""),"",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17" t="str" cm="1">
        <f t="array" aca="1" ref="X848" ca="1">IFERROR(_xlfn.IFS(OR(F848="",LEFT(Methode_Keuze,4)="Geen",Methode_Keuze=""),"",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26"/>
      <c r="Z848" s="319"/>
      <c r="AA848" s="32" t="str" cm="1">
        <f t="array" ref="AA848">IFERROR(IF(INDEX(SubsidieTabel!$AD$1:$AG$12,MATCH($F848,SubsidieTabel!$AD$1:$AD$12,0),IFERROR(MATCH(Methode_Keuze,SubsidieTabel!$AD$1:$AG$1,0),2))&lt;&gt;1=TRUE,"ja",""),"")</f>
        <v/>
      </c>
    </row>
    <row r="849" spans="1:27" x14ac:dyDescent="0.25">
      <c r="A849" s="320"/>
      <c r="B849" s="321" t="str">
        <f>IF(A849&lt;&gt;"",_xlfn.MAXIFS($B$1:B848,$A$1:A848,A849)+1,"")</f>
        <v/>
      </c>
      <c r="C849" s="299"/>
      <c r="D849" s="299"/>
      <c r="E849" s="299"/>
      <c r="F849" s="299"/>
      <c r="G849" s="330"/>
      <c r="H849" s="328"/>
      <c r="I849" s="329"/>
      <c r="J849" s="329"/>
      <c r="K849" s="322"/>
      <c r="L849" s="322"/>
      <c r="M849" s="323" t="str">
        <f>IFERROR(VLOOKUP(H849,Lijsten!$H$1:$I$100,2,0),"")</f>
        <v/>
      </c>
      <c r="N849" s="323" t="str">
        <f ca="1">IFERROR(IF(VLOOKUP(F849,Kostentypen!$A$3:$E$21,3,0)=0,"",IF(OR(F849="Arbeidskosten",F849="Vergoeding"),VLOOKUP(G849,Tb_KostenTypen[],2,0),VLOOKUP(F849,Kostentypen!$A$3:$E$20,3,0))),"")</f>
        <v/>
      </c>
      <c r="O849" s="324"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4"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3"/>
      <c r="R849" s="363"/>
      <c r="S849" s="325"/>
      <c r="T849" s="325"/>
      <c r="U849" s="317" t="str" cm="1">
        <f t="array" aca="1" ref="U849" ca="1">IFERROR(IF(AA849&lt;&gt;"ja",_xlfn.IFNA(_xlfn.IFS(AND(O849&lt;&gt;"",F849&lt;&gt;"",RIGHT($N849,6)="tarief",F849="Vergoeding"),SUM(O849)*FLOOR(SUM(Q849),0.0001),AND(O849&lt;&gt;"",F849&lt;&gt;"",RIGHT($N849,6)="tarief"),SUM(O849)*FLOOR(SUM(Q849),0.01),S849&gt;0,IF(F849&lt;&gt;"",FLOOR(SUM(S849),0.01),"")),""),""),"")</f>
        <v/>
      </c>
      <c r="V849" s="317" t="str" cm="1">
        <f t="array" aca="1" ref="V849" ca="1">IFERROR(IF(AA849&lt;&gt;"ja",_xlfn.IFNA(_xlfn.IFS(AND(P849&lt;&gt;"",R849&lt;&gt;"",RIGHT($N849,6)="tarief",F849="Vergoeding"),SUM(P849)*FLOOR(SUM(R849),0.0001),AND(P849&lt;&gt;"",R849&lt;&gt;"",RIGHT($N849,6)="tarief"),P849*FLOOR(R849,0.01),T849&gt;0,FLOOR(SUM(T849),0.01)),""),""),"")</f>
        <v/>
      </c>
      <c r="W849" s="317" t="str" cm="1">
        <f t="array" aca="1" ref="W849" ca="1">IFERROR(_xlfn.IFS(OR(F849="",LEFT(Methode_Keuze,4)="Geen",Methode_Keuze=""),"",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17" t="str" cm="1">
        <f t="array" aca="1" ref="X849" ca="1">IFERROR(_xlfn.IFS(OR(F849="",LEFT(Methode_Keuze,4)="Geen",Methode_Keuze=""),"",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26"/>
      <c r="Z849" s="319"/>
      <c r="AA849" s="32" t="str" cm="1">
        <f t="array" ref="AA849">IFERROR(IF(INDEX(SubsidieTabel!$AD$1:$AG$12,MATCH($F849,SubsidieTabel!$AD$1:$AD$12,0),IFERROR(MATCH(Methode_Keuze,SubsidieTabel!$AD$1:$AG$1,0),2))&lt;&gt;1=TRUE,"ja",""),"")</f>
        <v/>
      </c>
    </row>
    <row r="850" spans="1:27" x14ac:dyDescent="0.25">
      <c r="A850" s="320"/>
      <c r="B850" s="321" t="str">
        <f>IF(A850&lt;&gt;"",_xlfn.MAXIFS($B$1:B849,$A$1:A849,A850)+1,"")</f>
        <v/>
      </c>
      <c r="C850" s="299"/>
      <c r="D850" s="299"/>
      <c r="E850" s="299"/>
      <c r="F850" s="299"/>
      <c r="G850" s="330"/>
      <c r="H850" s="328"/>
      <c r="I850" s="329"/>
      <c r="J850" s="329"/>
      <c r="K850" s="322"/>
      <c r="L850" s="322"/>
      <c r="M850" s="323" t="str">
        <f>IFERROR(VLOOKUP(H850,Lijsten!$H$1:$I$100,2,0),"")</f>
        <v/>
      </c>
      <c r="N850" s="323" t="str">
        <f ca="1">IFERROR(IF(VLOOKUP(F850,Kostentypen!$A$3:$E$21,3,0)=0,"",IF(OR(F850="Arbeidskosten",F850="Vergoeding"),VLOOKUP(G850,Tb_KostenTypen[],2,0),VLOOKUP(F850,Kostentypen!$A$3:$E$20,3,0))),"")</f>
        <v/>
      </c>
      <c r="O850" s="324"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4"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3"/>
      <c r="R850" s="363"/>
      <c r="S850" s="325"/>
      <c r="T850" s="325"/>
      <c r="U850" s="317" t="str" cm="1">
        <f t="array" aca="1" ref="U850" ca="1">IFERROR(IF(AA850&lt;&gt;"ja",_xlfn.IFNA(_xlfn.IFS(AND(O850&lt;&gt;"",F850&lt;&gt;"",RIGHT($N850,6)="tarief",F850="Vergoeding"),SUM(O850)*FLOOR(SUM(Q850),0.0001),AND(O850&lt;&gt;"",F850&lt;&gt;"",RIGHT($N850,6)="tarief"),SUM(O850)*FLOOR(SUM(Q850),0.01),S850&gt;0,IF(F850&lt;&gt;"",FLOOR(SUM(S850),0.01),"")),""),""),"")</f>
        <v/>
      </c>
      <c r="V850" s="317" t="str" cm="1">
        <f t="array" aca="1" ref="V850" ca="1">IFERROR(IF(AA850&lt;&gt;"ja",_xlfn.IFNA(_xlfn.IFS(AND(P850&lt;&gt;"",R850&lt;&gt;"",RIGHT($N850,6)="tarief",F850="Vergoeding"),SUM(P850)*FLOOR(SUM(R850),0.0001),AND(P850&lt;&gt;"",R850&lt;&gt;"",RIGHT($N850,6)="tarief"),P850*FLOOR(R850,0.01),T850&gt;0,FLOOR(SUM(T850),0.01)),""),""),"")</f>
        <v/>
      </c>
      <c r="W850" s="317" t="str" cm="1">
        <f t="array" aca="1" ref="W850" ca="1">IFERROR(_xlfn.IFS(OR(F850="",LEFT(Methode_Keuze,4)="Geen",Methode_Keuze=""),"",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17" t="str" cm="1">
        <f t="array" aca="1" ref="X850" ca="1">IFERROR(_xlfn.IFS(OR(F850="",LEFT(Methode_Keuze,4)="Geen",Methode_Keuze=""),"",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26"/>
      <c r="Z850" s="319"/>
      <c r="AA850" s="32" t="str" cm="1">
        <f t="array" ref="AA850">IFERROR(IF(INDEX(SubsidieTabel!$AD$1:$AG$12,MATCH($F850,SubsidieTabel!$AD$1:$AD$12,0),IFERROR(MATCH(Methode_Keuze,SubsidieTabel!$AD$1:$AG$1,0),2))&lt;&gt;1=TRUE,"ja",""),"")</f>
        <v/>
      </c>
    </row>
    <row r="851" spans="1:27" x14ac:dyDescent="0.25">
      <c r="A851" s="320"/>
      <c r="B851" s="321" t="str">
        <f>IF(A851&lt;&gt;"",_xlfn.MAXIFS($B$1:B850,$A$1:A850,A851)+1,"")</f>
        <v/>
      </c>
      <c r="C851" s="299"/>
      <c r="D851" s="299"/>
      <c r="E851" s="299"/>
      <c r="F851" s="299"/>
      <c r="G851" s="330"/>
      <c r="H851" s="328"/>
      <c r="I851" s="329"/>
      <c r="J851" s="329"/>
      <c r="K851" s="322"/>
      <c r="L851" s="322"/>
      <c r="M851" s="323" t="str">
        <f>IFERROR(VLOOKUP(H851,Lijsten!$H$1:$I$100,2,0),"")</f>
        <v/>
      </c>
      <c r="N851" s="323" t="str">
        <f ca="1">IFERROR(IF(VLOOKUP(F851,Kostentypen!$A$3:$E$21,3,0)=0,"",IF(OR(F851="Arbeidskosten",F851="Vergoeding"),VLOOKUP(G851,Tb_KostenTypen[],2,0),VLOOKUP(F851,Kostentypen!$A$3:$E$20,3,0))),"")</f>
        <v/>
      </c>
      <c r="O851" s="324"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4"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3"/>
      <c r="R851" s="363"/>
      <c r="S851" s="325"/>
      <c r="T851" s="325"/>
      <c r="U851" s="317" t="str" cm="1">
        <f t="array" aca="1" ref="U851" ca="1">IFERROR(IF(AA851&lt;&gt;"ja",_xlfn.IFNA(_xlfn.IFS(AND(O851&lt;&gt;"",F851&lt;&gt;"",RIGHT($N851,6)="tarief",F851="Vergoeding"),SUM(O851)*FLOOR(SUM(Q851),0.0001),AND(O851&lt;&gt;"",F851&lt;&gt;"",RIGHT($N851,6)="tarief"),SUM(O851)*FLOOR(SUM(Q851),0.01),S851&gt;0,IF(F851&lt;&gt;"",FLOOR(SUM(S851),0.01),"")),""),""),"")</f>
        <v/>
      </c>
      <c r="V851" s="317" t="str" cm="1">
        <f t="array" aca="1" ref="V851" ca="1">IFERROR(IF(AA851&lt;&gt;"ja",_xlfn.IFNA(_xlfn.IFS(AND(P851&lt;&gt;"",R851&lt;&gt;"",RIGHT($N851,6)="tarief",F851="Vergoeding"),SUM(P851)*FLOOR(SUM(R851),0.0001),AND(P851&lt;&gt;"",R851&lt;&gt;"",RIGHT($N851,6)="tarief"),P851*FLOOR(R851,0.01),T851&gt;0,FLOOR(SUM(T851),0.01)),""),""),"")</f>
        <v/>
      </c>
      <c r="W851" s="317" t="str" cm="1">
        <f t="array" aca="1" ref="W851" ca="1">IFERROR(_xlfn.IFS(OR(F851="",LEFT(Methode_Keuze,4)="Geen",Methode_Keuze=""),"",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17" t="str" cm="1">
        <f t="array" aca="1" ref="X851" ca="1">IFERROR(_xlfn.IFS(OR(F851="",LEFT(Methode_Keuze,4)="Geen",Methode_Keuze=""),"",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26"/>
      <c r="Z851" s="319"/>
      <c r="AA851" s="32" t="str" cm="1">
        <f t="array" ref="AA851">IFERROR(IF(INDEX(SubsidieTabel!$AD$1:$AG$12,MATCH($F851,SubsidieTabel!$AD$1:$AD$12,0),IFERROR(MATCH(Methode_Keuze,SubsidieTabel!$AD$1:$AG$1,0),2))&lt;&gt;1=TRUE,"ja",""),"")</f>
        <v/>
      </c>
    </row>
    <row r="852" spans="1:27" x14ac:dyDescent="0.25">
      <c r="A852" s="320"/>
      <c r="B852" s="321" t="str">
        <f>IF(A852&lt;&gt;"",_xlfn.MAXIFS($B$1:B851,$A$1:A851,A852)+1,"")</f>
        <v/>
      </c>
      <c r="C852" s="299"/>
      <c r="D852" s="299"/>
      <c r="E852" s="299"/>
      <c r="F852" s="299"/>
      <c r="G852" s="330"/>
      <c r="H852" s="328"/>
      <c r="I852" s="329"/>
      <c r="J852" s="329"/>
      <c r="K852" s="322"/>
      <c r="L852" s="322"/>
      <c r="M852" s="323" t="str">
        <f>IFERROR(VLOOKUP(H852,Lijsten!$H$1:$I$100,2,0),"")</f>
        <v/>
      </c>
      <c r="N852" s="323" t="str">
        <f ca="1">IFERROR(IF(VLOOKUP(F852,Kostentypen!$A$3:$E$21,3,0)=0,"",IF(OR(F852="Arbeidskosten",F852="Vergoeding"),VLOOKUP(G852,Tb_KostenTypen[],2,0),VLOOKUP(F852,Kostentypen!$A$3:$E$20,3,0))),"")</f>
        <v/>
      </c>
      <c r="O852" s="324"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4"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3"/>
      <c r="R852" s="363"/>
      <c r="S852" s="325"/>
      <c r="T852" s="325"/>
      <c r="U852" s="317" t="str" cm="1">
        <f t="array" aca="1" ref="U852" ca="1">IFERROR(IF(AA852&lt;&gt;"ja",_xlfn.IFNA(_xlfn.IFS(AND(O852&lt;&gt;"",F852&lt;&gt;"",RIGHT($N852,6)="tarief",F852="Vergoeding"),SUM(O852)*FLOOR(SUM(Q852),0.0001),AND(O852&lt;&gt;"",F852&lt;&gt;"",RIGHT($N852,6)="tarief"),SUM(O852)*FLOOR(SUM(Q852),0.01),S852&gt;0,IF(F852&lt;&gt;"",FLOOR(SUM(S852),0.01),"")),""),""),"")</f>
        <v/>
      </c>
      <c r="V852" s="317" t="str" cm="1">
        <f t="array" aca="1" ref="V852" ca="1">IFERROR(IF(AA852&lt;&gt;"ja",_xlfn.IFNA(_xlfn.IFS(AND(P852&lt;&gt;"",R852&lt;&gt;"",RIGHT($N852,6)="tarief",F852="Vergoeding"),SUM(P852)*FLOOR(SUM(R852),0.0001),AND(P852&lt;&gt;"",R852&lt;&gt;"",RIGHT($N852,6)="tarief"),P852*FLOOR(R852,0.01),T852&gt;0,FLOOR(SUM(T852),0.01)),""),""),"")</f>
        <v/>
      </c>
      <c r="W852" s="317" t="str" cm="1">
        <f t="array" aca="1" ref="W852" ca="1">IFERROR(_xlfn.IFS(OR(F852="",LEFT(Methode_Keuze,4)="Geen",Methode_Keuze=""),"",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17" t="str" cm="1">
        <f t="array" aca="1" ref="X852" ca="1">IFERROR(_xlfn.IFS(OR(F852="",LEFT(Methode_Keuze,4)="Geen",Methode_Keuze=""),"",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26"/>
      <c r="Z852" s="319"/>
      <c r="AA852" s="32" t="str" cm="1">
        <f t="array" ref="AA852">IFERROR(IF(INDEX(SubsidieTabel!$AD$1:$AG$12,MATCH($F852,SubsidieTabel!$AD$1:$AD$12,0),IFERROR(MATCH(Methode_Keuze,SubsidieTabel!$AD$1:$AG$1,0),2))&lt;&gt;1=TRUE,"ja",""),"")</f>
        <v/>
      </c>
    </row>
    <row r="853" spans="1:27" x14ac:dyDescent="0.25">
      <c r="A853" s="320"/>
      <c r="B853" s="321" t="str">
        <f>IF(A853&lt;&gt;"",_xlfn.MAXIFS($B$1:B852,$A$1:A852,A853)+1,"")</f>
        <v/>
      </c>
      <c r="C853" s="299"/>
      <c r="D853" s="299"/>
      <c r="E853" s="299"/>
      <c r="F853" s="299"/>
      <c r="G853" s="330"/>
      <c r="H853" s="328"/>
      <c r="I853" s="329"/>
      <c r="J853" s="329"/>
      <c r="K853" s="322"/>
      <c r="L853" s="322"/>
      <c r="M853" s="323" t="str">
        <f>IFERROR(VLOOKUP(H853,Lijsten!$H$1:$I$100,2,0),"")</f>
        <v/>
      </c>
      <c r="N853" s="323" t="str">
        <f ca="1">IFERROR(IF(VLOOKUP(F853,Kostentypen!$A$3:$E$21,3,0)=0,"",IF(OR(F853="Arbeidskosten",F853="Vergoeding"),VLOOKUP(G853,Tb_KostenTypen[],2,0),VLOOKUP(F853,Kostentypen!$A$3:$E$20,3,0))),"")</f>
        <v/>
      </c>
      <c r="O853" s="324"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4"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3"/>
      <c r="R853" s="363"/>
      <c r="S853" s="325"/>
      <c r="T853" s="325"/>
      <c r="U853" s="317" t="str" cm="1">
        <f t="array" aca="1" ref="U853" ca="1">IFERROR(IF(AA853&lt;&gt;"ja",_xlfn.IFNA(_xlfn.IFS(AND(O853&lt;&gt;"",F853&lt;&gt;"",RIGHT($N853,6)="tarief",F853="Vergoeding"),SUM(O853)*FLOOR(SUM(Q853),0.0001),AND(O853&lt;&gt;"",F853&lt;&gt;"",RIGHT($N853,6)="tarief"),SUM(O853)*FLOOR(SUM(Q853),0.01),S853&gt;0,IF(F853&lt;&gt;"",FLOOR(SUM(S853),0.01),"")),""),""),"")</f>
        <v/>
      </c>
      <c r="V853" s="317" t="str" cm="1">
        <f t="array" aca="1" ref="V853" ca="1">IFERROR(IF(AA853&lt;&gt;"ja",_xlfn.IFNA(_xlfn.IFS(AND(P853&lt;&gt;"",R853&lt;&gt;"",RIGHT($N853,6)="tarief",F853="Vergoeding"),SUM(P853)*FLOOR(SUM(R853),0.0001),AND(P853&lt;&gt;"",R853&lt;&gt;"",RIGHT($N853,6)="tarief"),P853*FLOOR(R853,0.01),T853&gt;0,FLOOR(SUM(T853),0.01)),""),""),"")</f>
        <v/>
      </c>
      <c r="W853" s="317" t="str" cm="1">
        <f t="array" aca="1" ref="W853" ca="1">IFERROR(_xlfn.IFS(OR(F853="",LEFT(Methode_Keuze,4)="Geen",Methode_Keuze=""),"",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17" t="str" cm="1">
        <f t="array" aca="1" ref="X853" ca="1">IFERROR(_xlfn.IFS(OR(F853="",LEFT(Methode_Keuze,4)="Geen",Methode_Keuze=""),"",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26"/>
      <c r="Z853" s="319"/>
      <c r="AA853" s="32" t="str" cm="1">
        <f t="array" ref="AA853">IFERROR(IF(INDEX(SubsidieTabel!$AD$1:$AG$12,MATCH($F853,SubsidieTabel!$AD$1:$AD$12,0),IFERROR(MATCH(Methode_Keuze,SubsidieTabel!$AD$1:$AG$1,0),2))&lt;&gt;1=TRUE,"ja",""),"")</f>
        <v/>
      </c>
    </row>
    <row r="854" spans="1:27" x14ac:dyDescent="0.25">
      <c r="A854" s="320"/>
      <c r="B854" s="321" t="str">
        <f>IF(A854&lt;&gt;"",_xlfn.MAXIFS($B$1:B853,$A$1:A853,A854)+1,"")</f>
        <v/>
      </c>
      <c r="C854" s="299"/>
      <c r="D854" s="299"/>
      <c r="E854" s="299"/>
      <c r="F854" s="299"/>
      <c r="G854" s="330"/>
      <c r="H854" s="328"/>
      <c r="I854" s="329"/>
      <c r="J854" s="329"/>
      <c r="K854" s="322"/>
      <c r="L854" s="322"/>
      <c r="M854" s="323" t="str">
        <f>IFERROR(VLOOKUP(H854,Lijsten!$H$1:$I$100,2,0),"")</f>
        <v/>
      </c>
      <c r="N854" s="323" t="str">
        <f ca="1">IFERROR(IF(VLOOKUP(F854,Kostentypen!$A$3:$E$21,3,0)=0,"",IF(OR(F854="Arbeidskosten",F854="Vergoeding"),VLOOKUP(G854,Tb_KostenTypen[],2,0),VLOOKUP(F854,Kostentypen!$A$3:$E$20,3,0))),"")</f>
        <v/>
      </c>
      <c r="O854" s="324"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4"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3"/>
      <c r="R854" s="363"/>
      <c r="S854" s="325"/>
      <c r="T854" s="325"/>
      <c r="U854" s="317" t="str" cm="1">
        <f t="array" aca="1" ref="U854" ca="1">IFERROR(IF(AA854&lt;&gt;"ja",_xlfn.IFNA(_xlfn.IFS(AND(O854&lt;&gt;"",F854&lt;&gt;"",RIGHT($N854,6)="tarief",F854="Vergoeding"),SUM(O854)*FLOOR(SUM(Q854),0.0001),AND(O854&lt;&gt;"",F854&lt;&gt;"",RIGHT($N854,6)="tarief"),SUM(O854)*FLOOR(SUM(Q854),0.01),S854&gt;0,IF(F854&lt;&gt;"",FLOOR(SUM(S854),0.01),"")),""),""),"")</f>
        <v/>
      </c>
      <c r="V854" s="317" t="str" cm="1">
        <f t="array" aca="1" ref="V854" ca="1">IFERROR(IF(AA854&lt;&gt;"ja",_xlfn.IFNA(_xlfn.IFS(AND(P854&lt;&gt;"",R854&lt;&gt;"",RIGHT($N854,6)="tarief",F854="Vergoeding"),SUM(P854)*FLOOR(SUM(R854),0.0001),AND(P854&lt;&gt;"",R854&lt;&gt;"",RIGHT($N854,6)="tarief"),P854*FLOOR(R854,0.01),T854&gt;0,FLOOR(SUM(T854),0.01)),""),""),"")</f>
        <v/>
      </c>
      <c r="W854" s="317" t="str" cm="1">
        <f t="array" aca="1" ref="W854" ca="1">IFERROR(_xlfn.IFS(OR(F854="",LEFT(Methode_Keuze,4)="Geen",Methode_Keuze=""),"",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17" t="str" cm="1">
        <f t="array" aca="1" ref="X854" ca="1">IFERROR(_xlfn.IFS(OR(F854="",LEFT(Methode_Keuze,4)="Geen",Methode_Keuze=""),"",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26"/>
      <c r="Z854" s="319"/>
      <c r="AA854" s="32" t="str" cm="1">
        <f t="array" ref="AA854">IFERROR(IF(INDEX(SubsidieTabel!$AD$1:$AG$12,MATCH($F854,SubsidieTabel!$AD$1:$AD$12,0),IFERROR(MATCH(Methode_Keuze,SubsidieTabel!$AD$1:$AG$1,0),2))&lt;&gt;1=TRUE,"ja",""),"")</f>
        <v/>
      </c>
    </row>
    <row r="855" spans="1:27" x14ac:dyDescent="0.25">
      <c r="A855" s="320"/>
      <c r="B855" s="321" t="str">
        <f>IF(A855&lt;&gt;"",_xlfn.MAXIFS($B$1:B854,$A$1:A854,A855)+1,"")</f>
        <v/>
      </c>
      <c r="C855" s="299"/>
      <c r="D855" s="299"/>
      <c r="E855" s="299"/>
      <c r="F855" s="299"/>
      <c r="G855" s="330"/>
      <c r="H855" s="328"/>
      <c r="I855" s="329"/>
      <c r="J855" s="329"/>
      <c r="K855" s="322"/>
      <c r="L855" s="322"/>
      <c r="M855" s="323" t="str">
        <f>IFERROR(VLOOKUP(H855,Lijsten!$H$1:$I$100,2,0),"")</f>
        <v/>
      </c>
      <c r="N855" s="323" t="str">
        <f ca="1">IFERROR(IF(VLOOKUP(F855,Kostentypen!$A$3:$E$21,3,0)=0,"",IF(OR(F855="Arbeidskosten",F855="Vergoeding"),VLOOKUP(G855,Tb_KostenTypen[],2,0),VLOOKUP(F855,Kostentypen!$A$3:$E$20,3,0))),"")</f>
        <v/>
      </c>
      <c r="O855" s="324"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4"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3"/>
      <c r="R855" s="363"/>
      <c r="S855" s="325"/>
      <c r="T855" s="325"/>
      <c r="U855" s="317" t="str" cm="1">
        <f t="array" aca="1" ref="U855" ca="1">IFERROR(IF(AA855&lt;&gt;"ja",_xlfn.IFNA(_xlfn.IFS(AND(O855&lt;&gt;"",F855&lt;&gt;"",RIGHT($N855,6)="tarief",F855="Vergoeding"),SUM(O855)*FLOOR(SUM(Q855),0.0001),AND(O855&lt;&gt;"",F855&lt;&gt;"",RIGHT($N855,6)="tarief"),SUM(O855)*FLOOR(SUM(Q855),0.01),S855&gt;0,IF(F855&lt;&gt;"",FLOOR(SUM(S855),0.01),"")),""),""),"")</f>
        <v/>
      </c>
      <c r="V855" s="317" t="str" cm="1">
        <f t="array" aca="1" ref="V855" ca="1">IFERROR(IF(AA855&lt;&gt;"ja",_xlfn.IFNA(_xlfn.IFS(AND(P855&lt;&gt;"",R855&lt;&gt;"",RIGHT($N855,6)="tarief",F855="Vergoeding"),SUM(P855)*FLOOR(SUM(R855),0.0001),AND(P855&lt;&gt;"",R855&lt;&gt;"",RIGHT($N855,6)="tarief"),P855*FLOOR(R855,0.01),T855&gt;0,FLOOR(SUM(T855),0.01)),""),""),"")</f>
        <v/>
      </c>
      <c r="W855" s="317" t="str" cm="1">
        <f t="array" aca="1" ref="W855" ca="1">IFERROR(_xlfn.IFS(OR(F855="",LEFT(Methode_Keuze,4)="Geen",Methode_Keuze=""),"",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17" t="str" cm="1">
        <f t="array" aca="1" ref="X855" ca="1">IFERROR(_xlfn.IFS(OR(F855="",LEFT(Methode_Keuze,4)="Geen",Methode_Keuze=""),"",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26"/>
      <c r="Z855" s="319"/>
      <c r="AA855" s="32" t="str" cm="1">
        <f t="array" ref="AA855">IFERROR(IF(INDEX(SubsidieTabel!$AD$1:$AG$12,MATCH($F855,SubsidieTabel!$AD$1:$AD$12,0),IFERROR(MATCH(Methode_Keuze,SubsidieTabel!$AD$1:$AG$1,0),2))&lt;&gt;1=TRUE,"ja",""),"")</f>
        <v/>
      </c>
    </row>
    <row r="856" spans="1:27" x14ac:dyDescent="0.25">
      <c r="A856" s="320"/>
      <c r="B856" s="321" t="str">
        <f>IF(A856&lt;&gt;"",_xlfn.MAXIFS($B$1:B855,$A$1:A855,A856)+1,"")</f>
        <v/>
      </c>
      <c r="C856" s="299"/>
      <c r="D856" s="299"/>
      <c r="E856" s="299"/>
      <c r="F856" s="299"/>
      <c r="G856" s="330"/>
      <c r="H856" s="328"/>
      <c r="I856" s="329"/>
      <c r="J856" s="329"/>
      <c r="K856" s="322"/>
      <c r="L856" s="322"/>
      <c r="M856" s="323" t="str">
        <f>IFERROR(VLOOKUP(H856,Lijsten!$H$1:$I$100,2,0),"")</f>
        <v/>
      </c>
      <c r="N856" s="323" t="str">
        <f ca="1">IFERROR(IF(VLOOKUP(F856,Kostentypen!$A$3:$E$21,3,0)=0,"",IF(OR(F856="Arbeidskosten",F856="Vergoeding"),VLOOKUP(G856,Tb_KostenTypen[],2,0),VLOOKUP(F856,Kostentypen!$A$3:$E$20,3,0))),"")</f>
        <v/>
      </c>
      <c r="O856" s="324"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4"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3"/>
      <c r="R856" s="363"/>
      <c r="S856" s="325"/>
      <c r="T856" s="325"/>
      <c r="U856" s="317" t="str" cm="1">
        <f t="array" aca="1" ref="U856" ca="1">IFERROR(IF(AA856&lt;&gt;"ja",_xlfn.IFNA(_xlfn.IFS(AND(O856&lt;&gt;"",F856&lt;&gt;"",RIGHT($N856,6)="tarief",F856="Vergoeding"),SUM(O856)*FLOOR(SUM(Q856),0.0001),AND(O856&lt;&gt;"",F856&lt;&gt;"",RIGHT($N856,6)="tarief"),SUM(O856)*FLOOR(SUM(Q856),0.01),S856&gt;0,IF(F856&lt;&gt;"",FLOOR(SUM(S856),0.01),"")),""),""),"")</f>
        <v/>
      </c>
      <c r="V856" s="317" t="str" cm="1">
        <f t="array" aca="1" ref="V856" ca="1">IFERROR(IF(AA856&lt;&gt;"ja",_xlfn.IFNA(_xlfn.IFS(AND(P856&lt;&gt;"",R856&lt;&gt;"",RIGHT($N856,6)="tarief",F856="Vergoeding"),SUM(P856)*FLOOR(SUM(R856),0.0001),AND(P856&lt;&gt;"",R856&lt;&gt;"",RIGHT($N856,6)="tarief"),P856*FLOOR(R856,0.01),T856&gt;0,FLOOR(SUM(T856),0.01)),""),""),"")</f>
        <v/>
      </c>
      <c r="W856" s="317" t="str" cm="1">
        <f t="array" aca="1" ref="W856" ca="1">IFERROR(_xlfn.IFS(OR(F856="",LEFT(Methode_Keuze,4)="Geen",Methode_Keuze=""),"",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17" t="str" cm="1">
        <f t="array" aca="1" ref="X856" ca="1">IFERROR(_xlfn.IFS(OR(F856="",LEFT(Methode_Keuze,4)="Geen",Methode_Keuze=""),"",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26"/>
      <c r="Z856" s="319"/>
      <c r="AA856" s="32" t="str" cm="1">
        <f t="array" ref="AA856">IFERROR(IF(INDEX(SubsidieTabel!$AD$1:$AG$12,MATCH($F856,SubsidieTabel!$AD$1:$AD$12,0),IFERROR(MATCH(Methode_Keuze,SubsidieTabel!$AD$1:$AG$1,0),2))&lt;&gt;1=TRUE,"ja",""),"")</f>
        <v/>
      </c>
    </row>
    <row r="857" spans="1:27" x14ac:dyDescent="0.25">
      <c r="A857" s="320"/>
      <c r="B857" s="321" t="str">
        <f>IF(A857&lt;&gt;"",_xlfn.MAXIFS($B$1:B856,$A$1:A856,A857)+1,"")</f>
        <v/>
      </c>
      <c r="C857" s="299"/>
      <c r="D857" s="299"/>
      <c r="E857" s="299"/>
      <c r="F857" s="299"/>
      <c r="G857" s="330"/>
      <c r="H857" s="328"/>
      <c r="I857" s="329"/>
      <c r="J857" s="329"/>
      <c r="K857" s="322"/>
      <c r="L857" s="322"/>
      <c r="M857" s="323" t="str">
        <f>IFERROR(VLOOKUP(H857,Lijsten!$H$1:$I$100,2,0),"")</f>
        <v/>
      </c>
      <c r="N857" s="323" t="str">
        <f ca="1">IFERROR(IF(VLOOKUP(F857,Kostentypen!$A$3:$E$21,3,0)=0,"",IF(OR(F857="Arbeidskosten",F857="Vergoeding"),VLOOKUP(G857,Tb_KostenTypen[],2,0),VLOOKUP(F857,Kostentypen!$A$3:$E$20,3,0))),"")</f>
        <v/>
      </c>
      <c r="O857" s="324"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4"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3"/>
      <c r="R857" s="363"/>
      <c r="S857" s="325"/>
      <c r="T857" s="325"/>
      <c r="U857" s="317" t="str" cm="1">
        <f t="array" aca="1" ref="U857" ca="1">IFERROR(IF(AA857&lt;&gt;"ja",_xlfn.IFNA(_xlfn.IFS(AND(O857&lt;&gt;"",F857&lt;&gt;"",RIGHT($N857,6)="tarief",F857="Vergoeding"),SUM(O857)*FLOOR(SUM(Q857),0.0001),AND(O857&lt;&gt;"",F857&lt;&gt;"",RIGHT($N857,6)="tarief"),SUM(O857)*FLOOR(SUM(Q857),0.01),S857&gt;0,IF(F857&lt;&gt;"",FLOOR(SUM(S857),0.01),"")),""),""),"")</f>
        <v/>
      </c>
      <c r="V857" s="317" t="str" cm="1">
        <f t="array" aca="1" ref="V857" ca="1">IFERROR(IF(AA857&lt;&gt;"ja",_xlfn.IFNA(_xlfn.IFS(AND(P857&lt;&gt;"",R857&lt;&gt;"",RIGHT($N857,6)="tarief",F857="Vergoeding"),SUM(P857)*FLOOR(SUM(R857),0.0001),AND(P857&lt;&gt;"",R857&lt;&gt;"",RIGHT($N857,6)="tarief"),P857*FLOOR(R857,0.01),T857&gt;0,FLOOR(SUM(T857),0.01)),""),""),"")</f>
        <v/>
      </c>
      <c r="W857" s="317" t="str" cm="1">
        <f t="array" aca="1" ref="W857" ca="1">IFERROR(_xlfn.IFS(OR(F857="",LEFT(Methode_Keuze,4)="Geen",Methode_Keuze=""),"",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17" t="str" cm="1">
        <f t="array" aca="1" ref="X857" ca="1">IFERROR(_xlfn.IFS(OR(F857="",LEFT(Methode_Keuze,4)="Geen",Methode_Keuze=""),"",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26"/>
      <c r="Z857" s="319"/>
      <c r="AA857" s="32" t="str" cm="1">
        <f t="array" ref="AA857">IFERROR(IF(INDEX(SubsidieTabel!$AD$1:$AG$12,MATCH($F857,SubsidieTabel!$AD$1:$AD$12,0),IFERROR(MATCH(Methode_Keuze,SubsidieTabel!$AD$1:$AG$1,0),2))&lt;&gt;1=TRUE,"ja",""),"")</f>
        <v/>
      </c>
    </row>
    <row r="858" spans="1:27" x14ac:dyDescent="0.25">
      <c r="A858" s="320"/>
      <c r="B858" s="321" t="str">
        <f>IF(A858&lt;&gt;"",_xlfn.MAXIFS($B$1:B857,$A$1:A857,A858)+1,"")</f>
        <v/>
      </c>
      <c r="C858" s="299"/>
      <c r="D858" s="299"/>
      <c r="E858" s="299"/>
      <c r="F858" s="299"/>
      <c r="G858" s="330"/>
      <c r="H858" s="328"/>
      <c r="I858" s="329"/>
      <c r="J858" s="329"/>
      <c r="K858" s="322"/>
      <c r="L858" s="322"/>
      <c r="M858" s="323" t="str">
        <f>IFERROR(VLOOKUP(H858,Lijsten!$H$1:$I$100,2,0),"")</f>
        <v/>
      </c>
      <c r="N858" s="323" t="str">
        <f ca="1">IFERROR(IF(VLOOKUP(F858,Kostentypen!$A$3:$E$21,3,0)=0,"",IF(OR(F858="Arbeidskosten",F858="Vergoeding"),VLOOKUP(G858,Tb_KostenTypen[],2,0),VLOOKUP(F858,Kostentypen!$A$3:$E$20,3,0))),"")</f>
        <v/>
      </c>
      <c r="O858" s="324"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4"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3"/>
      <c r="R858" s="363"/>
      <c r="S858" s="325"/>
      <c r="T858" s="325"/>
      <c r="U858" s="317" t="str" cm="1">
        <f t="array" aca="1" ref="U858" ca="1">IFERROR(IF(AA858&lt;&gt;"ja",_xlfn.IFNA(_xlfn.IFS(AND(O858&lt;&gt;"",F858&lt;&gt;"",RIGHT($N858,6)="tarief",F858="Vergoeding"),SUM(O858)*FLOOR(SUM(Q858),0.0001),AND(O858&lt;&gt;"",F858&lt;&gt;"",RIGHT($N858,6)="tarief"),SUM(O858)*FLOOR(SUM(Q858),0.01),S858&gt;0,IF(F858&lt;&gt;"",FLOOR(SUM(S858),0.01),"")),""),""),"")</f>
        <v/>
      </c>
      <c r="V858" s="317" t="str" cm="1">
        <f t="array" aca="1" ref="V858" ca="1">IFERROR(IF(AA858&lt;&gt;"ja",_xlfn.IFNA(_xlfn.IFS(AND(P858&lt;&gt;"",R858&lt;&gt;"",RIGHT($N858,6)="tarief",F858="Vergoeding"),SUM(P858)*FLOOR(SUM(R858),0.0001),AND(P858&lt;&gt;"",R858&lt;&gt;"",RIGHT($N858,6)="tarief"),P858*FLOOR(R858,0.01),T858&gt;0,FLOOR(SUM(T858),0.01)),""),""),"")</f>
        <v/>
      </c>
      <c r="W858" s="317" t="str" cm="1">
        <f t="array" aca="1" ref="W858" ca="1">IFERROR(_xlfn.IFS(OR(F858="",LEFT(Methode_Keuze,4)="Geen",Methode_Keuze=""),"",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17" t="str" cm="1">
        <f t="array" aca="1" ref="X858" ca="1">IFERROR(_xlfn.IFS(OR(F858="",LEFT(Methode_Keuze,4)="Geen",Methode_Keuze=""),"",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26"/>
      <c r="Z858" s="319"/>
      <c r="AA858" s="32" t="str" cm="1">
        <f t="array" ref="AA858">IFERROR(IF(INDEX(SubsidieTabel!$AD$1:$AG$12,MATCH($F858,SubsidieTabel!$AD$1:$AD$12,0),IFERROR(MATCH(Methode_Keuze,SubsidieTabel!$AD$1:$AG$1,0),2))&lt;&gt;1=TRUE,"ja",""),"")</f>
        <v/>
      </c>
    </row>
    <row r="859" spans="1:27" x14ac:dyDescent="0.25">
      <c r="A859" s="320"/>
      <c r="B859" s="321" t="str">
        <f>IF(A859&lt;&gt;"",_xlfn.MAXIFS($B$1:B858,$A$1:A858,A859)+1,"")</f>
        <v/>
      </c>
      <c r="C859" s="299"/>
      <c r="D859" s="299"/>
      <c r="E859" s="299"/>
      <c r="F859" s="299"/>
      <c r="G859" s="330"/>
      <c r="H859" s="328"/>
      <c r="I859" s="329"/>
      <c r="J859" s="329"/>
      <c r="K859" s="322"/>
      <c r="L859" s="322"/>
      <c r="M859" s="323" t="str">
        <f>IFERROR(VLOOKUP(H859,Lijsten!$H$1:$I$100,2,0),"")</f>
        <v/>
      </c>
      <c r="N859" s="323" t="str">
        <f ca="1">IFERROR(IF(VLOOKUP(F859,Kostentypen!$A$3:$E$21,3,0)=0,"",IF(OR(F859="Arbeidskosten",F859="Vergoeding"),VLOOKUP(G859,Tb_KostenTypen[],2,0),VLOOKUP(F859,Kostentypen!$A$3:$E$20,3,0))),"")</f>
        <v/>
      </c>
      <c r="O859" s="324"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4"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3"/>
      <c r="R859" s="363"/>
      <c r="S859" s="325"/>
      <c r="T859" s="325"/>
      <c r="U859" s="317" t="str" cm="1">
        <f t="array" aca="1" ref="U859" ca="1">IFERROR(IF(AA859&lt;&gt;"ja",_xlfn.IFNA(_xlfn.IFS(AND(O859&lt;&gt;"",F859&lt;&gt;"",RIGHT($N859,6)="tarief",F859="Vergoeding"),SUM(O859)*FLOOR(SUM(Q859),0.0001),AND(O859&lt;&gt;"",F859&lt;&gt;"",RIGHT($N859,6)="tarief"),SUM(O859)*FLOOR(SUM(Q859),0.01),S859&gt;0,IF(F859&lt;&gt;"",FLOOR(SUM(S859),0.01),"")),""),""),"")</f>
        <v/>
      </c>
      <c r="V859" s="317" t="str" cm="1">
        <f t="array" aca="1" ref="V859" ca="1">IFERROR(IF(AA859&lt;&gt;"ja",_xlfn.IFNA(_xlfn.IFS(AND(P859&lt;&gt;"",R859&lt;&gt;"",RIGHT($N859,6)="tarief",F859="Vergoeding"),SUM(P859)*FLOOR(SUM(R859),0.0001),AND(P859&lt;&gt;"",R859&lt;&gt;"",RIGHT($N859,6)="tarief"),P859*FLOOR(R859,0.01),T859&gt;0,FLOOR(SUM(T859),0.01)),""),""),"")</f>
        <v/>
      </c>
      <c r="W859" s="317" t="str" cm="1">
        <f t="array" aca="1" ref="W859" ca="1">IFERROR(_xlfn.IFS(OR(F859="",LEFT(Methode_Keuze,4)="Geen",Methode_Keuze=""),"",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17" t="str" cm="1">
        <f t="array" aca="1" ref="X859" ca="1">IFERROR(_xlfn.IFS(OR(F859="",LEFT(Methode_Keuze,4)="Geen",Methode_Keuze=""),"",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26"/>
      <c r="Z859" s="319"/>
      <c r="AA859" s="32" t="str" cm="1">
        <f t="array" ref="AA859">IFERROR(IF(INDEX(SubsidieTabel!$AD$1:$AG$12,MATCH($F859,SubsidieTabel!$AD$1:$AD$12,0),IFERROR(MATCH(Methode_Keuze,SubsidieTabel!$AD$1:$AG$1,0),2))&lt;&gt;1=TRUE,"ja",""),"")</f>
        <v/>
      </c>
    </row>
    <row r="860" spans="1:27" x14ac:dyDescent="0.25">
      <c r="A860" s="320"/>
      <c r="B860" s="321" t="str">
        <f>IF(A860&lt;&gt;"",_xlfn.MAXIFS($B$1:B859,$A$1:A859,A860)+1,"")</f>
        <v/>
      </c>
      <c r="C860" s="299"/>
      <c r="D860" s="299"/>
      <c r="E860" s="299"/>
      <c r="F860" s="299"/>
      <c r="G860" s="330"/>
      <c r="H860" s="328"/>
      <c r="I860" s="329"/>
      <c r="J860" s="329"/>
      <c r="K860" s="322"/>
      <c r="L860" s="322"/>
      <c r="M860" s="323" t="str">
        <f>IFERROR(VLOOKUP(H860,Lijsten!$H$1:$I$100,2,0),"")</f>
        <v/>
      </c>
      <c r="N860" s="323" t="str">
        <f ca="1">IFERROR(IF(VLOOKUP(F860,Kostentypen!$A$3:$E$21,3,0)=0,"",IF(OR(F860="Arbeidskosten",F860="Vergoeding"),VLOOKUP(G860,Tb_KostenTypen[],2,0),VLOOKUP(F860,Kostentypen!$A$3:$E$20,3,0))),"")</f>
        <v/>
      </c>
      <c r="O860" s="324"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4"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3"/>
      <c r="R860" s="363"/>
      <c r="S860" s="325"/>
      <c r="T860" s="325"/>
      <c r="U860" s="317" t="str" cm="1">
        <f t="array" aca="1" ref="U860" ca="1">IFERROR(IF(AA860&lt;&gt;"ja",_xlfn.IFNA(_xlfn.IFS(AND(O860&lt;&gt;"",F860&lt;&gt;"",RIGHT($N860,6)="tarief",F860="Vergoeding"),SUM(O860)*FLOOR(SUM(Q860),0.0001),AND(O860&lt;&gt;"",F860&lt;&gt;"",RIGHT($N860,6)="tarief"),SUM(O860)*FLOOR(SUM(Q860),0.01),S860&gt;0,IF(F860&lt;&gt;"",FLOOR(SUM(S860),0.01),"")),""),""),"")</f>
        <v/>
      </c>
      <c r="V860" s="317" t="str" cm="1">
        <f t="array" aca="1" ref="V860" ca="1">IFERROR(IF(AA860&lt;&gt;"ja",_xlfn.IFNA(_xlfn.IFS(AND(P860&lt;&gt;"",R860&lt;&gt;"",RIGHT($N860,6)="tarief",F860="Vergoeding"),SUM(P860)*FLOOR(SUM(R860),0.0001),AND(P860&lt;&gt;"",R860&lt;&gt;"",RIGHT($N860,6)="tarief"),P860*FLOOR(R860,0.01),T860&gt;0,FLOOR(SUM(T860),0.01)),""),""),"")</f>
        <v/>
      </c>
      <c r="W860" s="317" t="str" cm="1">
        <f t="array" aca="1" ref="W860" ca="1">IFERROR(_xlfn.IFS(OR(F860="",LEFT(Methode_Keuze,4)="Geen",Methode_Keuze=""),"",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17" t="str" cm="1">
        <f t="array" aca="1" ref="X860" ca="1">IFERROR(_xlfn.IFS(OR(F860="",LEFT(Methode_Keuze,4)="Geen",Methode_Keuze=""),"",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26"/>
      <c r="Z860" s="319"/>
      <c r="AA860" s="32" t="str" cm="1">
        <f t="array" ref="AA860">IFERROR(IF(INDEX(SubsidieTabel!$AD$1:$AG$12,MATCH($F860,SubsidieTabel!$AD$1:$AD$12,0),IFERROR(MATCH(Methode_Keuze,SubsidieTabel!$AD$1:$AG$1,0),2))&lt;&gt;1=TRUE,"ja",""),"")</f>
        <v/>
      </c>
    </row>
    <row r="861" spans="1:27" x14ac:dyDescent="0.25">
      <c r="A861" s="320"/>
      <c r="B861" s="321" t="str">
        <f>IF(A861&lt;&gt;"",_xlfn.MAXIFS($B$1:B860,$A$1:A860,A861)+1,"")</f>
        <v/>
      </c>
      <c r="C861" s="299"/>
      <c r="D861" s="299"/>
      <c r="E861" s="299"/>
      <c r="F861" s="299"/>
      <c r="G861" s="330"/>
      <c r="H861" s="328"/>
      <c r="I861" s="329"/>
      <c r="J861" s="329"/>
      <c r="K861" s="322"/>
      <c r="L861" s="322"/>
      <c r="M861" s="323" t="str">
        <f>IFERROR(VLOOKUP(H861,Lijsten!$H$1:$I$100,2,0),"")</f>
        <v/>
      </c>
      <c r="N861" s="323" t="str">
        <f ca="1">IFERROR(IF(VLOOKUP(F861,Kostentypen!$A$3:$E$21,3,0)=0,"",IF(OR(F861="Arbeidskosten",F861="Vergoeding"),VLOOKUP(G861,Tb_KostenTypen[],2,0),VLOOKUP(F861,Kostentypen!$A$3:$E$20,3,0))),"")</f>
        <v/>
      </c>
      <c r="O861" s="324"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4"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3"/>
      <c r="R861" s="363"/>
      <c r="S861" s="325"/>
      <c r="T861" s="325"/>
      <c r="U861" s="317" t="str" cm="1">
        <f t="array" aca="1" ref="U861" ca="1">IFERROR(IF(AA861&lt;&gt;"ja",_xlfn.IFNA(_xlfn.IFS(AND(O861&lt;&gt;"",F861&lt;&gt;"",RIGHT($N861,6)="tarief",F861="Vergoeding"),SUM(O861)*FLOOR(SUM(Q861),0.0001),AND(O861&lt;&gt;"",F861&lt;&gt;"",RIGHT($N861,6)="tarief"),SUM(O861)*FLOOR(SUM(Q861),0.01),S861&gt;0,IF(F861&lt;&gt;"",FLOOR(SUM(S861),0.01),"")),""),""),"")</f>
        <v/>
      </c>
      <c r="V861" s="317" t="str" cm="1">
        <f t="array" aca="1" ref="V861" ca="1">IFERROR(IF(AA861&lt;&gt;"ja",_xlfn.IFNA(_xlfn.IFS(AND(P861&lt;&gt;"",R861&lt;&gt;"",RIGHT($N861,6)="tarief",F861="Vergoeding"),SUM(P861)*FLOOR(SUM(R861),0.0001),AND(P861&lt;&gt;"",R861&lt;&gt;"",RIGHT($N861,6)="tarief"),P861*FLOOR(R861,0.01),T861&gt;0,FLOOR(SUM(T861),0.01)),""),""),"")</f>
        <v/>
      </c>
      <c r="W861" s="317" t="str" cm="1">
        <f t="array" aca="1" ref="W861" ca="1">IFERROR(_xlfn.IFS(OR(F861="",LEFT(Methode_Keuze,4)="Geen",Methode_Keuze=""),"",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17" t="str" cm="1">
        <f t="array" aca="1" ref="X861" ca="1">IFERROR(_xlfn.IFS(OR(F861="",LEFT(Methode_Keuze,4)="Geen",Methode_Keuze=""),"",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26"/>
      <c r="Z861" s="319"/>
      <c r="AA861" s="32" t="str" cm="1">
        <f t="array" ref="AA861">IFERROR(IF(INDEX(SubsidieTabel!$AD$1:$AG$12,MATCH($F861,SubsidieTabel!$AD$1:$AD$12,0),IFERROR(MATCH(Methode_Keuze,SubsidieTabel!$AD$1:$AG$1,0),2))&lt;&gt;1=TRUE,"ja",""),"")</f>
        <v/>
      </c>
    </row>
    <row r="862" spans="1:27" x14ac:dyDescent="0.25">
      <c r="A862" s="320"/>
      <c r="B862" s="321" t="str">
        <f>IF(A862&lt;&gt;"",_xlfn.MAXIFS($B$1:B861,$A$1:A861,A862)+1,"")</f>
        <v/>
      </c>
      <c r="C862" s="299"/>
      <c r="D862" s="299"/>
      <c r="E862" s="299"/>
      <c r="F862" s="299"/>
      <c r="G862" s="330"/>
      <c r="H862" s="328"/>
      <c r="I862" s="329"/>
      <c r="J862" s="329"/>
      <c r="K862" s="322"/>
      <c r="L862" s="322"/>
      <c r="M862" s="323" t="str">
        <f>IFERROR(VLOOKUP(H862,Lijsten!$H$1:$I$100,2,0),"")</f>
        <v/>
      </c>
      <c r="N862" s="323" t="str">
        <f ca="1">IFERROR(IF(VLOOKUP(F862,Kostentypen!$A$3:$E$21,3,0)=0,"",IF(OR(F862="Arbeidskosten",F862="Vergoeding"),VLOOKUP(G862,Tb_KostenTypen[],2,0),VLOOKUP(F862,Kostentypen!$A$3:$E$20,3,0))),"")</f>
        <v/>
      </c>
      <c r="O862" s="324"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4"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3"/>
      <c r="R862" s="363"/>
      <c r="S862" s="325"/>
      <c r="T862" s="325"/>
      <c r="U862" s="317" t="str" cm="1">
        <f t="array" aca="1" ref="U862" ca="1">IFERROR(IF(AA862&lt;&gt;"ja",_xlfn.IFNA(_xlfn.IFS(AND(O862&lt;&gt;"",F862&lt;&gt;"",RIGHT($N862,6)="tarief",F862="Vergoeding"),SUM(O862)*FLOOR(SUM(Q862),0.0001),AND(O862&lt;&gt;"",F862&lt;&gt;"",RIGHT($N862,6)="tarief"),SUM(O862)*FLOOR(SUM(Q862),0.01),S862&gt;0,IF(F862&lt;&gt;"",FLOOR(SUM(S862),0.01),"")),""),""),"")</f>
        <v/>
      </c>
      <c r="V862" s="317" t="str" cm="1">
        <f t="array" aca="1" ref="V862" ca="1">IFERROR(IF(AA862&lt;&gt;"ja",_xlfn.IFNA(_xlfn.IFS(AND(P862&lt;&gt;"",R862&lt;&gt;"",RIGHT($N862,6)="tarief",F862="Vergoeding"),SUM(P862)*FLOOR(SUM(R862),0.0001),AND(P862&lt;&gt;"",R862&lt;&gt;"",RIGHT($N862,6)="tarief"),P862*FLOOR(R862,0.01),T862&gt;0,FLOOR(SUM(T862),0.01)),""),""),"")</f>
        <v/>
      </c>
      <c r="W862" s="317" t="str" cm="1">
        <f t="array" aca="1" ref="W862" ca="1">IFERROR(_xlfn.IFS(OR(F862="",LEFT(Methode_Keuze,4)="Geen",Methode_Keuze=""),"",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17" t="str" cm="1">
        <f t="array" aca="1" ref="X862" ca="1">IFERROR(_xlfn.IFS(OR(F862="",LEFT(Methode_Keuze,4)="Geen",Methode_Keuze=""),"",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26"/>
      <c r="Z862" s="319"/>
      <c r="AA862" s="32" t="str" cm="1">
        <f t="array" ref="AA862">IFERROR(IF(INDEX(SubsidieTabel!$AD$1:$AG$12,MATCH($F862,SubsidieTabel!$AD$1:$AD$12,0),IFERROR(MATCH(Methode_Keuze,SubsidieTabel!$AD$1:$AG$1,0),2))&lt;&gt;1=TRUE,"ja",""),"")</f>
        <v/>
      </c>
    </row>
    <row r="863" spans="1:27" x14ac:dyDescent="0.25">
      <c r="A863" s="320"/>
      <c r="B863" s="321" t="str">
        <f>IF(A863&lt;&gt;"",_xlfn.MAXIFS($B$1:B862,$A$1:A862,A863)+1,"")</f>
        <v/>
      </c>
      <c r="C863" s="299"/>
      <c r="D863" s="299"/>
      <c r="E863" s="299"/>
      <c r="F863" s="299"/>
      <c r="G863" s="330"/>
      <c r="H863" s="328"/>
      <c r="I863" s="329"/>
      <c r="J863" s="329"/>
      <c r="K863" s="322"/>
      <c r="L863" s="322"/>
      <c r="M863" s="323" t="str">
        <f>IFERROR(VLOOKUP(H863,Lijsten!$H$1:$I$100,2,0),"")</f>
        <v/>
      </c>
      <c r="N863" s="323" t="str">
        <f ca="1">IFERROR(IF(VLOOKUP(F863,Kostentypen!$A$3:$E$21,3,0)=0,"",IF(OR(F863="Arbeidskosten",F863="Vergoeding"),VLOOKUP(G863,Tb_KostenTypen[],2,0),VLOOKUP(F863,Kostentypen!$A$3:$E$20,3,0))),"")</f>
        <v/>
      </c>
      <c r="O863" s="324"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4"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3"/>
      <c r="R863" s="363"/>
      <c r="S863" s="325"/>
      <c r="T863" s="325"/>
      <c r="U863" s="317" t="str" cm="1">
        <f t="array" aca="1" ref="U863" ca="1">IFERROR(IF(AA863&lt;&gt;"ja",_xlfn.IFNA(_xlfn.IFS(AND(O863&lt;&gt;"",F863&lt;&gt;"",RIGHT($N863,6)="tarief",F863="Vergoeding"),SUM(O863)*FLOOR(SUM(Q863),0.0001),AND(O863&lt;&gt;"",F863&lt;&gt;"",RIGHT($N863,6)="tarief"),SUM(O863)*FLOOR(SUM(Q863),0.01),S863&gt;0,IF(F863&lt;&gt;"",FLOOR(SUM(S863),0.01),"")),""),""),"")</f>
        <v/>
      </c>
      <c r="V863" s="317" t="str" cm="1">
        <f t="array" aca="1" ref="V863" ca="1">IFERROR(IF(AA863&lt;&gt;"ja",_xlfn.IFNA(_xlfn.IFS(AND(P863&lt;&gt;"",R863&lt;&gt;"",RIGHT($N863,6)="tarief",F863="Vergoeding"),SUM(P863)*FLOOR(SUM(R863),0.0001),AND(P863&lt;&gt;"",R863&lt;&gt;"",RIGHT($N863,6)="tarief"),P863*FLOOR(R863,0.01),T863&gt;0,FLOOR(SUM(T863),0.01)),""),""),"")</f>
        <v/>
      </c>
      <c r="W863" s="317" t="str" cm="1">
        <f t="array" aca="1" ref="W863" ca="1">IFERROR(_xlfn.IFS(OR(F863="",LEFT(Methode_Keuze,4)="Geen",Methode_Keuze=""),"",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17" t="str" cm="1">
        <f t="array" aca="1" ref="X863" ca="1">IFERROR(_xlfn.IFS(OR(F863="",LEFT(Methode_Keuze,4)="Geen",Methode_Keuze=""),"",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26"/>
      <c r="Z863" s="319"/>
      <c r="AA863" s="32" t="str" cm="1">
        <f t="array" ref="AA863">IFERROR(IF(INDEX(SubsidieTabel!$AD$1:$AG$12,MATCH($F863,SubsidieTabel!$AD$1:$AD$12,0),IFERROR(MATCH(Methode_Keuze,SubsidieTabel!$AD$1:$AG$1,0),2))&lt;&gt;1=TRUE,"ja",""),"")</f>
        <v/>
      </c>
    </row>
    <row r="864" spans="1:27" x14ac:dyDescent="0.25">
      <c r="A864" s="320"/>
      <c r="B864" s="321" t="str">
        <f>IF(A864&lt;&gt;"",_xlfn.MAXIFS($B$1:B863,$A$1:A863,A864)+1,"")</f>
        <v/>
      </c>
      <c r="C864" s="299"/>
      <c r="D864" s="299"/>
      <c r="E864" s="299"/>
      <c r="F864" s="299"/>
      <c r="G864" s="330"/>
      <c r="H864" s="328"/>
      <c r="I864" s="329"/>
      <c r="J864" s="329"/>
      <c r="K864" s="322"/>
      <c r="L864" s="322"/>
      <c r="M864" s="323" t="str">
        <f>IFERROR(VLOOKUP(H864,Lijsten!$H$1:$I$100,2,0),"")</f>
        <v/>
      </c>
      <c r="N864" s="323" t="str">
        <f ca="1">IFERROR(IF(VLOOKUP(F864,Kostentypen!$A$3:$E$21,3,0)=0,"",IF(OR(F864="Arbeidskosten",F864="Vergoeding"),VLOOKUP(G864,Tb_KostenTypen[],2,0),VLOOKUP(F864,Kostentypen!$A$3:$E$20,3,0))),"")</f>
        <v/>
      </c>
      <c r="O864" s="324"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4"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3"/>
      <c r="R864" s="363"/>
      <c r="S864" s="325"/>
      <c r="T864" s="325"/>
      <c r="U864" s="317" t="str" cm="1">
        <f t="array" aca="1" ref="U864" ca="1">IFERROR(IF(AA864&lt;&gt;"ja",_xlfn.IFNA(_xlfn.IFS(AND(O864&lt;&gt;"",F864&lt;&gt;"",RIGHT($N864,6)="tarief",F864="Vergoeding"),SUM(O864)*FLOOR(SUM(Q864),0.0001),AND(O864&lt;&gt;"",F864&lt;&gt;"",RIGHT($N864,6)="tarief"),SUM(O864)*FLOOR(SUM(Q864),0.01),S864&gt;0,IF(F864&lt;&gt;"",FLOOR(SUM(S864),0.01),"")),""),""),"")</f>
        <v/>
      </c>
      <c r="V864" s="317" t="str" cm="1">
        <f t="array" aca="1" ref="V864" ca="1">IFERROR(IF(AA864&lt;&gt;"ja",_xlfn.IFNA(_xlfn.IFS(AND(P864&lt;&gt;"",R864&lt;&gt;"",RIGHT($N864,6)="tarief",F864="Vergoeding"),SUM(P864)*FLOOR(SUM(R864),0.0001),AND(P864&lt;&gt;"",R864&lt;&gt;"",RIGHT($N864,6)="tarief"),P864*FLOOR(R864,0.01),T864&gt;0,FLOOR(SUM(T864),0.01)),""),""),"")</f>
        <v/>
      </c>
      <c r="W864" s="317" t="str" cm="1">
        <f t="array" aca="1" ref="W864" ca="1">IFERROR(_xlfn.IFS(OR(F864="",LEFT(Methode_Keuze,4)="Geen",Methode_Keuze=""),"",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17" t="str" cm="1">
        <f t="array" aca="1" ref="X864" ca="1">IFERROR(_xlfn.IFS(OR(F864="",LEFT(Methode_Keuze,4)="Geen",Methode_Keuze=""),"",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26"/>
      <c r="Z864" s="319"/>
      <c r="AA864" s="32" t="str" cm="1">
        <f t="array" ref="AA864">IFERROR(IF(INDEX(SubsidieTabel!$AD$1:$AG$12,MATCH($F864,SubsidieTabel!$AD$1:$AD$12,0),IFERROR(MATCH(Methode_Keuze,SubsidieTabel!$AD$1:$AG$1,0),2))&lt;&gt;1=TRUE,"ja",""),"")</f>
        <v/>
      </c>
    </row>
    <row r="865" spans="1:27" x14ac:dyDescent="0.25">
      <c r="A865" s="320"/>
      <c r="B865" s="321" t="str">
        <f>IF(A865&lt;&gt;"",_xlfn.MAXIFS($B$1:B864,$A$1:A864,A865)+1,"")</f>
        <v/>
      </c>
      <c r="C865" s="299"/>
      <c r="D865" s="299"/>
      <c r="E865" s="299"/>
      <c r="F865" s="299"/>
      <c r="G865" s="330"/>
      <c r="H865" s="328"/>
      <c r="I865" s="329"/>
      <c r="J865" s="329"/>
      <c r="K865" s="322"/>
      <c r="L865" s="322"/>
      <c r="M865" s="323" t="str">
        <f>IFERROR(VLOOKUP(H865,Lijsten!$H$1:$I$100,2,0),"")</f>
        <v/>
      </c>
      <c r="N865" s="323" t="str">
        <f ca="1">IFERROR(IF(VLOOKUP(F865,Kostentypen!$A$3:$E$21,3,0)=0,"",IF(OR(F865="Arbeidskosten",F865="Vergoeding"),VLOOKUP(G865,Tb_KostenTypen[],2,0),VLOOKUP(F865,Kostentypen!$A$3:$E$20,3,0))),"")</f>
        <v/>
      </c>
      <c r="O865" s="324"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4"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3"/>
      <c r="R865" s="363"/>
      <c r="S865" s="325"/>
      <c r="T865" s="325"/>
      <c r="U865" s="317" t="str" cm="1">
        <f t="array" aca="1" ref="U865" ca="1">IFERROR(IF(AA865&lt;&gt;"ja",_xlfn.IFNA(_xlfn.IFS(AND(O865&lt;&gt;"",F865&lt;&gt;"",RIGHT($N865,6)="tarief",F865="Vergoeding"),SUM(O865)*FLOOR(SUM(Q865),0.0001),AND(O865&lt;&gt;"",F865&lt;&gt;"",RIGHT($N865,6)="tarief"),SUM(O865)*FLOOR(SUM(Q865),0.01),S865&gt;0,IF(F865&lt;&gt;"",FLOOR(SUM(S865),0.01),"")),""),""),"")</f>
        <v/>
      </c>
      <c r="V865" s="317" t="str" cm="1">
        <f t="array" aca="1" ref="V865" ca="1">IFERROR(IF(AA865&lt;&gt;"ja",_xlfn.IFNA(_xlfn.IFS(AND(P865&lt;&gt;"",R865&lt;&gt;"",RIGHT($N865,6)="tarief",F865="Vergoeding"),SUM(P865)*FLOOR(SUM(R865),0.0001),AND(P865&lt;&gt;"",R865&lt;&gt;"",RIGHT($N865,6)="tarief"),P865*FLOOR(R865,0.01),T865&gt;0,FLOOR(SUM(T865),0.01)),""),""),"")</f>
        <v/>
      </c>
      <c r="W865" s="317" t="str" cm="1">
        <f t="array" aca="1" ref="W865" ca="1">IFERROR(_xlfn.IFS(OR(F865="",LEFT(Methode_Keuze,4)="Geen",Methode_Keuze=""),"",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17" t="str" cm="1">
        <f t="array" aca="1" ref="X865" ca="1">IFERROR(_xlfn.IFS(OR(F865="",LEFT(Methode_Keuze,4)="Geen",Methode_Keuze=""),"",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26"/>
      <c r="Z865" s="319"/>
      <c r="AA865" s="32" t="str" cm="1">
        <f t="array" ref="AA865">IFERROR(IF(INDEX(SubsidieTabel!$AD$1:$AG$12,MATCH($F865,SubsidieTabel!$AD$1:$AD$12,0),IFERROR(MATCH(Methode_Keuze,SubsidieTabel!$AD$1:$AG$1,0),2))&lt;&gt;1=TRUE,"ja",""),"")</f>
        <v/>
      </c>
    </row>
    <row r="866" spans="1:27" x14ac:dyDescent="0.25">
      <c r="A866" s="320"/>
      <c r="B866" s="321" t="str">
        <f>IF(A866&lt;&gt;"",_xlfn.MAXIFS($B$1:B865,$A$1:A865,A866)+1,"")</f>
        <v/>
      </c>
      <c r="C866" s="299"/>
      <c r="D866" s="299"/>
      <c r="E866" s="299"/>
      <c r="F866" s="299"/>
      <c r="G866" s="330"/>
      <c r="H866" s="328"/>
      <c r="I866" s="329"/>
      <c r="J866" s="329"/>
      <c r="K866" s="322"/>
      <c r="L866" s="322"/>
      <c r="M866" s="323" t="str">
        <f>IFERROR(VLOOKUP(H866,Lijsten!$H$1:$I$100,2,0),"")</f>
        <v/>
      </c>
      <c r="N866" s="323" t="str">
        <f ca="1">IFERROR(IF(VLOOKUP(F866,Kostentypen!$A$3:$E$21,3,0)=0,"",IF(OR(F866="Arbeidskosten",F866="Vergoeding"),VLOOKUP(G866,Tb_KostenTypen[],2,0),VLOOKUP(F866,Kostentypen!$A$3:$E$20,3,0))),"")</f>
        <v/>
      </c>
      <c r="O866" s="324"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4"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3"/>
      <c r="R866" s="363"/>
      <c r="S866" s="325"/>
      <c r="T866" s="325"/>
      <c r="U866" s="317" t="str" cm="1">
        <f t="array" aca="1" ref="U866" ca="1">IFERROR(IF(AA866&lt;&gt;"ja",_xlfn.IFNA(_xlfn.IFS(AND(O866&lt;&gt;"",F866&lt;&gt;"",RIGHT($N866,6)="tarief",F866="Vergoeding"),SUM(O866)*FLOOR(SUM(Q866),0.0001),AND(O866&lt;&gt;"",F866&lt;&gt;"",RIGHT($N866,6)="tarief"),SUM(O866)*FLOOR(SUM(Q866),0.01),S866&gt;0,IF(F866&lt;&gt;"",FLOOR(SUM(S866),0.01),"")),""),""),"")</f>
        <v/>
      </c>
      <c r="V866" s="317" t="str" cm="1">
        <f t="array" aca="1" ref="V866" ca="1">IFERROR(IF(AA866&lt;&gt;"ja",_xlfn.IFNA(_xlfn.IFS(AND(P866&lt;&gt;"",R866&lt;&gt;"",RIGHT($N866,6)="tarief",F866="Vergoeding"),SUM(P866)*FLOOR(SUM(R866),0.0001),AND(P866&lt;&gt;"",R866&lt;&gt;"",RIGHT($N866,6)="tarief"),P866*FLOOR(R866,0.01),T866&gt;0,FLOOR(SUM(T866),0.01)),""),""),"")</f>
        <v/>
      </c>
      <c r="W866" s="317" t="str" cm="1">
        <f t="array" aca="1" ref="W866" ca="1">IFERROR(_xlfn.IFS(OR(F866="",LEFT(Methode_Keuze,4)="Geen",Methode_Keuze=""),"",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17" t="str" cm="1">
        <f t="array" aca="1" ref="X866" ca="1">IFERROR(_xlfn.IFS(OR(F866="",LEFT(Methode_Keuze,4)="Geen",Methode_Keuze=""),"",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26"/>
      <c r="Z866" s="319"/>
      <c r="AA866" s="32" t="str" cm="1">
        <f t="array" ref="AA866">IFERROR(IF(INDEX(SubsidieTabel!$AD$1:$AG$12,MATCH($F866,SubsidieTabel!$AD$1:$AD$12,0),IFERROR(MATCH(Methode_Keuze,SubsidieTabel!$AD$1:$AG$1,0),2))&lt;&gt;1=TRUE,"ja",""),"")</f>
        <v/>
      </c>
    </row>
    <row r="867" spans="1:27" x14ac:dyDescent="0.25">
      <c r="A867" s="320"/>
      <c r="B867" s="321" t="str">
        <f>IF(A867&lt;&gt;"",_xlfn.MAXIFS($B$1:B866,$A$1:A866,A867)+1,"")</f>
        <v/>
      </c>
      <c r="C867" s="299"/>
      <c r="D867" s="299"/>
      <c r="E867" s="299"/>
      <c r="F867" s="299"/>
      <c r="G867" s="330"/>
      <c r="H867" s="328"/>
      <c r="I867" s="329"/>
      <c r="J867" s="329"/>
      <c r="K867" s="322"/>
      <c r="L867" s="322"/>
      <c r="M867" s="323" t="str">
        <f>IFERROR(VLOOKUP(H867,Lijsten!$H$1:$I$100,2,0),"")</f>
        <v/>
      </c>
      <c r="N867" s="323" t="str">
        <f ca="1">IFERROR(IF(VLOOKUP(F867,Kostentypen!$A$3:$E$21,3,0)=0,"",IF(OR(F867="Arbeidskosten",F867="Vergoeding"),VLOOKUP(G867,Tb_KostenTypen[],2,0),VLOOKUP(F867,Kostentypen!$A$3:$E$20,3,0))),"")</f>
        <v/>
      </c>
      <c r="O867" s="324"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4"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3"/>
      <c r="R867" s="363"/>
      <c r="S867" s="325"/>
      <c r="T867" s="325"/>
      <c r="U867" s="317" t="str" cm="1">
        <f t="array" aca="1" ref="U867" ca="1">IFERROR(IF(AA867&lt;&gt;"ja",_xlfn.IFNA(_xlfn.IFS(AND(O867&lt;&gt;"",F867&lt;&gt;"",RIGHT($N867,6)="tarief",F867="Vergoeding"),SUM(O867)*FLOOR(SUM(Q867),0.0001),AND(O867&lt;&gt;"",F867&lt;&gt;"",RIGHT($N867,6)="tarief"),SUM(O867)*FLOOR(SUM(Q867),0.01),S867&gt;0,IF(F867&lt;&gt;"",FLOOR(SUM(S867),0.01),"")),""),""),"")</f>
        <v/>
      </c>
      <c r="V867" s="317" t="str" cm="1">
        <f t="array" aca="1" ref="V867" ca="1">IFERROR(IF(AA867&lt;&gt;"ja",_xlfn.IFNA(_xlfn.IFS(AND(P867&lt;&gt;"",R867&lt;&gt;"",RIGHT($N867,6)="tarief",F867="Vergoeding"),SUM(P867)*FLOOR(SUM(R867),0.0001),AND(P867&lt;&gt;"",R867&lt;&gt;"",RIGHT($N867,6)="tarief"),P867*FLOOR(R867,0.01),T867&gt;0,FLOOR(SUM(T867),0.01)),""),""),"")</f>
        <v/>
      </c>
      <c r="W867" s="317" t="str" cm="1">
        <f t="array" aca="1" ref="W867" ca="1">IFERROR(_xlfn.IFS(OR(F867="",LEFT(Methode_Keuze,4)="Geen",Methode_Keuze=""),"",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17" t="str" cm="1">
        <f t="array" aca="1" ref="X867" ca="1">IFERROR(_xlfn.IFS(OR(F867="",LEFT(Methode_Keuze,4)="Geen",Methode_Keuze=""),"",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26"/>
      <c r="Z867" s="319"/>
      <c r="AA867" s="32" t="str" cm="1">
        <f t="array" ref="AA867">IFERROR(IF(INDEX(SubsidieTabel!$AD$1:$AG$12,MATCH($F867,SubsidieTabel!$AD$1:$AD$12,0),IFERROR(MATCH(Methode_Keuze,SubsidieTabel!$AD$1:$AG$1,0),2))&lt;&gt;1=TRUE,"ja",""),"")</f>
        <v/>
      </c>
    </row>
    <row r="868" spans="1:27" x14ac:dyDescent="0.25">
      <c r="A868" s="320"/>
      <c r="B868" s="321" t="str">
        <f>IF(A868&lt;&gt;"",_xlfn.MAXIFS($B$1:B867,$A$1:A867,A868)+1,"")</f>
        <v/>
      </c>
      <c r="C868" s="299"/>
      <c r="D868" s="299"/>
      <c r="E868" s="299"/>
      <c r="F868" s="299"/>
      <c r="G868" s="330"/>
      <c r="H868" s="328"/>
      <c r="I868" s="329"/>
      <c r="J868" s="329"/>
      <c r="K868" s="322"/>
      <c r="L868" s="322"/>
      <c r="M868" s="323" t="str">
        <f>IFERROR(VLOOKUP(H868,Lijsten!$H$1:$I$100,2,0),"")</f>
        <v/>
      </c>
      <c r="N868" s="323" t="str">
        <f ca="1">IFERROR(IF(VLOOKUP(F868,Kostentypen!$A$3:$E$21,3,0)=0,"",IF(OR(F868="Arbeidskosten",F868="Vergoeding"),VLOOKUP(G868,Tb_KostenTypen[],2,0),VLOOKUP(F868,Kostentypen!$A$3:$E$20,3,0))),"")</f>
        <v/>
      </c>
      <c r="O868" s="324"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4"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3"/>
      <c r="R868" s="363"/>
      <c r="S868" s="325"/>
      <c r="T868" s="325"/>
      <c r="U868" s="317" t="str" cm="1">
        <f t="array" aca="1" ref="U868" ca="1">IFERROR(IF(AA868&lt;&gt;"ja",_xlfn.IFNA(_xlfn.IFS(AND(O868&lt;&gt;"",F868&lt;&gt;"",RIGHT($N868,6)="tarief",F868="Vergoeding"),SUM(O868)*FLOOR(SUM(Q868),0.0001),AND(O868&lt;&gt;"",F868&lt;&gt;"",RIGHT($N868,6)="tarief"),SUM(O868)*FLOOR(SUM(Q868),0.01),S868&gt;0,IF(F868&lt;&gt;"",FLOOR(SUM(S868),0.01),"")),""),""),"")</f>
        <v/>
      </c>
      <c r="V868" s="317" t="str" cm="1">
        <f t="array" aca="1" ref="V868" ca="1">IFERROR(IF(AA868&lt;&gt;"ja",_xlfn.IFNA(_xlfn.IFS(AND(P868&lt;&gt;"",R868&lt;&gt;"",RIGHT($N868,6)="tarief",F868="Vergoeding"),SUM(P868)*FLOOR(SUM(R868),0.0001),AND(P868&lt;&gt;"",R868&lt;&gt;"",RIGHT($N868,6)="tarief"),P868*FLOOR(R868,0.01),T868&gt;0,FLOOR(SUM(T868),0.01)),""),""),"")</f>
        <v/>
      </c>
      <c r="W868" s="317" t="str" cm="1">
        <f t="array" aca="1" ref="W868" ca="1">IFERROR(_xlfn.IFS(OR(F868="",LEFT(Methode_Keuze,4)="Geen",Methode_Keuze=""),"",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17" t="str" cm="1">
        <f t="array" aca="1" ref="X868" ca="1">IFERROR(_xlfn.IFS(OR(F868="",LEFT(Methode_Keuze,4)="Geen",Methode_Keuze=""),"",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26"/>
      <c r="Z868" s="319"/>
      <c r="AA868" s="32" t="str" cm="1">
        <f t="array" ref="AA868">IFERROR(IF(INDEX(SubsidieTabel!$AD$1:$AG$12,MATCH($F868,SubsidieTabel!$AD$1:$AD$12,0),IFERROR(MATCH(Methode_Keuze,SubsidieTabel!$AD$1:$AG$1,0),2))&lt;&gt;1=TRUE,"ja",""),"")</f>
        <v/>
      </c>
    </row>
    <row r="869" spans="1:27" x14ac:dyDescent="0.25">
      <c r="A869" s="320"/>
      <c r="B869" s="321" t="str">
        <f>IF(A869&lt;&gt;"",_xlfn.MAXIFS($B$1:B868,$A$1:A868,A869)+1,"")</f>
        <v/>
      </c>
      <c r="C869" s="299"/>
      <c r="D869" s="299"/>
      <c r="E869" s="299"/>
      <c r="F869" s="299"/>
      <c r="G869" s="330"/>
      <c r="H869" s="328"/>
      <c r="I869" s="329"/>
      <c r="J869" s="329"/>
      <c r="K869" s="322"/>
      <c r="L869" s="322"/>
      <c r="M869" s="323" t="str">
        <f>IFERROR(VLOOKUP(H869,Lijsten!$H$1:$I$100,2,0),"")</f>
        <v/>
      </c>
      <c r="N869" s="323" t="str">
        <f ca="1">IFERROR(IF(VLOOKUP(F869,Kostentypen!$A$3:$E$21,3,0)=0,"",IF(OR(F869="Arbeidskosten",F869="Vergoeding"),VLOOKUP(G869,Tb_KostenTypen[],2,0),VLOOKUP(F869,Kostentypen!$A$3:$E$20,3,0))),"")</f>
        <v/>
      </c>
      <c r="O869" s="324"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4"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3"/>
      <c r="R869" s="363"/>
      <c r="S869" s="325"/>
      <c r="T869" s="325"/>
      <c r="U869" s="317" t="str" cm="1">
        <f t="array" aca="1" ref="U869" ca="1">IFERROR(IF(AA869&lt;&gt;"ja",_xlfn.IFNA(_xlfn.IFS(AND(O869&lt;&gt;"",F869&lt;&gt;"",RIGHT($N869,6)="tarief",F869="Vergoeding"),SUM(O869)*FLOOR(SUM(Q869),0.0001),AND(O869&lt;&gt;"",F869&lt;&gt;"",RIGHT($N869,6)="tarief"),SUM(O869)*FLOOR(SUM(Q869),0.01),S869&gt;0,IF(F869&lt;&gt;"",FLOOR(SUM(S869),0.01),"")),""),""),"")</f>
        <v/>
      </c>
      <c r="V869" s="317" t="str" cm="1">
        <f t="array" aca="1" ref="V869" ca="1">IFERROR(IF(AA869&lt;&gt;"ja",_xlfn.IFNA(_xlfn.IFS(AND(P869&lt;&gt;"",R869&lt;&gt;"",RIGHT($N869,6)="tarief",F869="Vergoeding"),SUM(P869)*FLOOR(SUM(R869),0.0001),AND(P869&lt;&gt;"",R869&lt;&gt;"",RIGHT($N869,6)="tarief"),P869*FLOOR(R869,0.01),T869&gt;0,FLOOR(SUM(T869),0.01)),""),""),"")</f>
        <v/>
      </c>
      <c r="W869" s="317" t="str" cm="1">
        <f t="array" aca="1" ref="W869" ca="1">IFERROR(_xlfn.IFS(OR(F869="",LEFT(Methode_Keuze,4)="Geen",Methode_Keuze=""),"",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17" t="str" cm="1">
        <f t="array" aca="1" ref="X869" ca="1">IFERROR(_xlfn.IFS(OR(F869="",LEFT(Methode_Keuze,4)="Geen",Methode_Keuze=""),"",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26"/>
      <c r="Z869" s="319"/>
      <c r="AA869" s="32" t="str" cm="1">
        <f t="array" ref="AA869">IFERROR(IF(INDEX(SubsidieTabel!$AD$1:$AG$12,MATCH($F869,SubsidieTabel!$AD$1:$AD$12,0),IFERROR(MATCH(Methode_Keuze,SubsidieTabel!$AD$1:$AG$1,0),2))&lt;&gt;1=TRUE,"ja",""),"")</f>
        <v/>
      </c>
    </row>
    <row r="870" spans="1:27" x14ac:dyDescent="0.25">
      <c r="A870" s="320"/>
      <c r="B870" s="321" t="str">
        <f>IF(A870&lt;&gt;"",_xlfn.MAXIFS($B$1:B869,$A$1:A869,A870)+1,"")</f>
        <v/>
      </c>
      <c r="C870" s="299"/>
      <c r="D870" s="299"/>
      <c r="E870" s="299"/>
      <c r="F870" s="299"/>
      <c r="G870" s="330"/>
      <c r="H870" s="328"/>
      <c r="I870" s="329"/>
      <c r="J870" s="329"/>
      <c r="K870" s="322"/>
      <c r="L870" s="322"/>
      <c r="M870" s="323" t="str">
        <f>IFERROR(VLOOKUP(H870,Lijsten!$H$1:$I$100,2,0),"")</f>
        <v/>
      </c>
      <c r="N870" s="323" t="str">
        <f ca="1">IFERROR(IF(VLOOKUP(F870,Kostentypen!$A$3:$E$21,3,0)=0,"",IF(OR(F870="Arbeidskosten",F870="Vergoeding"),VLOOKUP(G870,Tb_KostenTypen[],2,0),VLOOKUP(F870,Kostentypen!$A$3:$E$20,3,0))),"")</f>
        <v/>
      </c>
      <c r="O870" s="324"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4"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3"/>
      <c r="R870" s="363"/>
      <c r="S870" s="325"/>
      <c r="T870" s="325"/>
      <c r="U870" s="317" t="str" cm="1">
        <f t="array" aca="1" ref="U870" ca="1">IFERROR(IF(AA870&lt;&gt;"ja",_xlfn.IFNA(_xlfn.IFS(AND(O870&lt;&gt;"",F870&lt;&gt;"",RIGHT($N870,6)="tarief",F870="Vergoeding"),SUM(O870)*FLOOR(SUM(Q870),0.0001),AND(O870&lt;&gt;"",F870&lt;&gt;"",RIGHT($N870,6)="tarief"),SUM(O870)*FLOOR(SUM(Q870),0.01),S870&gt;0,IF(F870&lt;&gt;"",FLOOR(SUM(S870),0.01),"")),""),""),"")</f>
        <v/>
      </c>
      <c r="V870" s="317" t="str" cm="1">
        <f t="array" aca="1" ref="V870" ca="1">IFERROR(IF(AA870&lt;&gt;"ja",_xlfn.IFNA(_xlfn.IFS(AND(P870&lt;&gt;"",R870&lt;&gt;"",RIGHT($N870,6)="tarief",F870="Vergoeding"),SUM(P870)*FLOOR(SUM(R870),0.0001),AND(P870&lt;&gt;"",R870&lt;&gt;"",RIGHT($N870,6)="tarief"),P870*FLOOR(R870,0.01),T870&gt;0,FLOOR(SUM(T870),0.01)),""),""),"")</f>
        <v/>
      </c>
      <c r="W870" s="317" t="str" cm="1">
        <f t="array" aca="1" ref="W870" ca="1">IFERROR(_xlfn.IFS(OR(F870="",LEFT(Methode_Keuze,4)="Geen",Methode_Keuze=""),"",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17" t="str" cm="1">
        <f t="array" aca="1" ref="X870" ca="1">IFERROR(_xlfn.IFS(OR(F870="",LEFT(Methode_Keuze,4)="Geen",Methode_Keuze=""),"",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26"/>
      <c r="Z870" s="319"/>
      <c r="AA870" s="32" t="str" cm="1">
        <f t="array" ref="AA870">IFERROR(IF(INDEX(SubsidieTabel!$AD$1:$AG$12,MATCH($F870,SubsidieTabel!$AD$1:$AD$12,0),IFERROR(MATCH(Methode_Keuze,SubsidieTabel!$AD$1:$AG$1,0),2))&lt;&gt;1=TRUE,"ja",""),"")</f>
        <v/>
      </c>
    </row>
    <row r="871" spans="1:27" x14ac:dyDescent="0.25">
      <c r="A871" s="320"/>
      <c r="B871" s="321" t="str">
        <f>IF(A871&lt;&gt;"",_xlfn.MAXIFS($B$1:B870,$A$1:A870,A871)+1,"")</f>
        <v/>
      </c>
      <c r="C871" s="299"/>
      <c r="D871" s="299"/>
      <c r="E871" s="299"/>
      <c r="F871" s="299"/>
      <c r="G871" s="330"/>
      <c r="H871" s="328"/>
      <c r="I871" s="329"/>
      <c r="J871" s="329"/>
      <c r="K871" s="322"/>
      <c r="L871" s="322"/>
      <c r="M871" s="323" t="str">
        <f>IFERROR(VLOOKUP(H871,Lijsten!$H$1:$I$100,2,0),"")</f>
        <v/>
      </c>
      <c r="N871" s="323" t="str">
        <f ca="1">IFERROR(IF(VLOOKUP(F871,Kostentypen!$A$3:$E$21,3,0)=0,"",IF(OR(F871="Arbeidskosten",F871="Vergoeding"),VLOOKUP(G871,Tb_KostenTypen[],2,0),VLOOKUP(F871,Kostentypen!$A$3:$E$20,3,0))),"")</f>
        <v/>
      </c>
      <c r="O871" s="324"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4"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3"/>
      <c r="R871" s="363"/>
      <c r="S871" s="325"/>
      <c r="T871" s="325"/>
      <c r="U871" s="317" t="str" cm="1">
        <f t="array" aca="1" ref="U871" ca="1">IFERROR(IF(AA871&lt;&gt;"ja",_xlfn.IFNA(_xlfn.IFS(AND(O871&lt;&gt;"",F871&lt;&gt;"",RIGHT($N871,6)="tarief",F871="Vergoeding"),SUM(O871)*FLOOR(SUM(Q871),0.0001),AND(O871&lt;&gt;"",F871&lt;&gt;"",RIGHT($N871,6)="tarief"),SUM(O871)*FLOOR(SUM(Q871),0.01),S871&gt;0,IF(F871&lt;&gt;"",FLOOR(SUM(S871),0.01),"")),""),""),"")</f>
        <v/>
      </c>
      <c r="V871" s="317" t="str" cm="1">
        <f t="array" aca="1" ref="V871" ca="1">IFERROR(IF(AA871&lt;&gt;"ja",_xlfn.IFNA(_xlfn.IFS(AND(P871&lt;&gt;"",R871&lt;&gt;"",RIGHT($N871,6)="tarief",F871="Vergoeding"),SUM(P871)*FLOOR(SUM(R871),0.0001),AND(P871&lt;&gt;"",R871&lt;&gt;"",RIGHT($N871,6)="tarief"),P871*FLOOR(R871,0.01),T871&gt;0,FLOOR(SUM(T871),0.01)),""),""),"")</f>
        <v/>
      </c>
      <c r="W871" s="317" t="str" cm="1">
        <f t="array" aca="1" ref="W871" ca="1">IFERROR(_xlfn.IFS(OR(F871="",LEFT(Methode_Keuze,4)="Geen",Methode_Keuze=""),"",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17" t="str" cm="1">
        <f t="array" aca="1" ref="X871" ca="1">IFERROR(_xlfn.IFS(OR(F871="",LEFT(Methode_Keuze,4)="Geen",Methode_Keuze=""),"",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26"/>
      <c r="Z871" s="319"/>
      <c r="AA871" s="32" t="str" cm="1">
        <f t="array" ref="AA871">IFERROR(IF(INDEX(SubsidieTabel!$AD$1:$AG$12,MATCH($F871,SubsidieTabel!$AD$1:$AD$12,0),IFERROR(MATCH(Methode_Keuze,SubsidieTabel!$AD$1:$AG$1,0),2))&lt;&gt;1=TRUE,"ja",""),"")</f>
        <v/>
      </c>
    </row>
    <row r="872" spans="1:27" x14ac:dyDescent="0.25">
      <c r="A872" s="320"/>
      <c r="B872" s="321" t="str">
        <f>IF(A872&lt;&gt;"",_xlfn.MAXIFS($B$1:B871,$A$1:A871,A872)+1,"")</f>
        <v/>
      </c>
      <c r="C872" s="299"/>
      <c r="D872" s="299"/>
      <c r="E872" s="299"/>
      <c r="F872" s="299"/>
      <c r="G872" s="330"/>
      <c r="H872" s="328"/>
      <c r="I872" s="329"/>
      <c r="J872" s="329"/>
      <c r="K872" s="322"/>
      <c r="L872" s="322"/>
      <c r="M872" s="323" t="str">
        <f>IFERROR(VLOOKUP(H872,Lijsten!$H$1:$I$100,2,0),"")</f>
        <v/>
      </c>
      <c r="N872" s="323" t="str">
        <f ca="1">IFERROR(IF(VLOOKUP(F872,Kostentypen!$A$3:$E$21,3,0)=0,"",IF(OR(F872="Arbeidskosten",F872="Vergoeding"),VLOOKUP(G872,Tb_KostenTypen[],2,0),VLOOKUP(F872,Kostentypen!$A$3:$E$20,3,0))),"")</f>
        <v/>
      </c>
      <c r="O872" s="324"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4"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3"/>
      <c r="R872" s="363"/>
      <c r="S872" s="325"/>
      <c r="T872" s="325"/>
      <c r="U872" s="317" t="str" cm="1">
        <f t="array" aca="1" ref="U872" ca="1">IFERROR(IF(AA872&lt;&gt;"ja",_xlfn.IFNA(_xlfn.IFS(AND(O872&lt;&gt;"",F872&lt;&gt;"",RIGHT($N872,6)="tarief",F872="Vergoeding"),SUM(O872)*FLOOR(SUM(Q872),0.0001),AND(O872&lt;&gt;"",F872&lt;&gt;"",RIGHT($N872,6)="tarief"),SUM(O872)*FLOOR(SUM(Q872),0.01),S872&gt;0,IF(F872&lt;&gt;"",FLOOR(SUM(S872),0.01),"")),""),""),"")</f>
        <v/>
      </c>
      <c r="V872" s="317" t="str" cm="1">
        <f t="array" aca="1" ref="V872" ca="1">IFERROR(IF(AA872&lt;&gt;"ja",_xlfn.IFNA(_xlfn.IFS(AND(P872&lt;&gt;"",R872&lt;&gt;"",RIGHT($N872,6)="tarief",F872="Vergoeding"),SUM(P872)*FLOOR(SUM(R872),0.0001),AND(P872&lt;&gt;"",R872&lt;&gt;"",RIGHT($N872,6)="tarief"),P872*FLOOR(R872,0.01),T872&gt;0,FLOOR(SUM(T872),0.01)),""),""),"")</f>
        <v/>
      </c>
      <c r="W872" s="317" t="str" cm="1">
        <f t="array" aca="1" ref="W872" ca="1">IFERROR(_xlfn.IFS(OR(F872="",LEFT(Methode_Keuze,4)="Geen",Methode_Keuze=""),"",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17" t="str" cm="1">
        <f t="array" aca="1" ref="X872" ca="1">IFERROR(_xlfn.IFS(OR(F872="",LEFT(Methode_Keuze,4)="Geen",Methode_Keuze=""),"",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26"/>
      <c r="Z872" s="319"/>
      <c r="AA872" s="32" t="str" cm="1">
        <f t="array" ref="AA872">IFERROR(IF(INDEX(SubsidieTabel!$AD$1:$AG$12,MATCH($F872,SubsidieTabel!$AD$1:$AD$12,0),IFERROR(MATCH(Methode_Keuze,SubsidieTabel!$AD$1:$AG$1,0),2))&lt;&gt;1=TRUE,"ja",""),"")</f>
        <v/>
      </c>
    </row>
    <row r="873" spans="1:27" x14ac:dyDescent="0.25">
      <c r="A873" s="320"/>
      <c r="B873" s="321" t="str">
        <f>IF(A873&lt;&gt;"",_xlfn.MAXIFS($B$1:B872,$A$1:A872,A873)+1,"")</f>
        <v/>
      </c>
      <c r="C873" s="299"/>
      <c r="D873" s="299"/>
      <c r="E873" s="299"/>
      <c r="F873" s="299"/>
      <c r="G873" s="330"/>
      <c r="H873" s="328"/>
      <c r="I873" s="329"/>
      <c r="J873" s="329"/>
      <c r="K873" s="322"/>
      <c r="L873" s="322"/>
      <c r="M873" s="323" t="str">
        <f>IFERROR(VLOOKUP(H873,Lijsten!$H$1:$I$100,2,0),"")</f>
        <v/>
      </c>
      <c r="N873" s="323" t="str">
        <f ca="1">IFERROR(IF(VLOOKUP(F873,Kostentypen!$A$3:$E$21,3,0)=0,"",IF(OR(F873="Arbeidskosten",F873="Vergoeding"),VLOOKUP(G873,Tb_KostenTypen[],2,0),VLOOKUP(F873,Kostentypen!$A$3:$E$20,3,0))),"")</f>
        <v/>
      </c>
      <c r="O873" s="324"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4"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3"/>
      <c r="R873" s="363"/>
      <c r="S873" s="325"/>
      <c r="T873" s="325"/>
      <c r="U873" s="317" t="str" cm="1">
        <f t="array" aca="1" ref="U873" ca="1">IFERROR(IF(AA873&lt;&gt;"ja",_xlfn.IFNA(_xlfn.IFS(AND(O873&lt;&gt;"",F873&lt;&gt;"",RIGHT($N873,6)="tarief",F873="Vergoeding"),SUM(O873)*FLOOR(SUM(Q873),0.0001),AND(O873&lt;&gt;"",F873&lt;&gt;"",RIGHT($N873,6)="tarief"),SUM(O873)*FLOOR(SUM(Q873),0.01),S873&gt;0,IF(F873&lt;&gt;"",FLOOR(SUM(S873),0.01),"")),""),""),"")</f>
        <v/>
      </c>
      <c r="V873" s="317" t="str" cm="1">
        <f t="array" aca="1" ref="V873" ca="1">IFERROR(IF(AA873&lt;&gt;"ja",_xlfn.IFNA(_xlfn.IFS(AND(P873&lt;&gt;"",R873&lt;&gt;"",RIGHT($N873,6)="tarief",F873="Vergoeding"),SUM(P873)*FLOOR(SUM(R873),0.0001),AND(P873&lt;&gt;"",R873&lt;&gt;"",RIGHT($N873,6)="tarief"),P873*FLOOR(R873,0.01),T873&gt;0,FLOOR(SUM(T873),0.01)),""),""),"")</f>
        <v/>
      </c>
      <c r="W873" s="317" t="str" cm="1">
        <f t="array" aca="1" ref="W873" ca="1">IFERROR(_xlfn.IFS(OR(F873="",LEFT(Methode_Keuze,4)="Geen",Methode_Keuze=""),"",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17" t="str" cm="1">
        <f t="array" aca="1" ref="X873" ca="1">IFERROR(_xlfn.IFS(OR(F873="",LEFT(Methode_Keuze,4)="Geen",Methode_Keuze=""),"",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26"/>
      <c r="Z873" s="319"/>
      <c r="AA873" s="32" t="str" cm="1">
        <f t="array" ref="AA873">IFERROR(IF(INDEX(SubsidieTabel!$AD$1:$AG$12,MATCH($F873,SubsidieTabel!$AD$1:$AD$12,0),IFERROR(MATCH(Methode_Keuze,SubsidieTabel!$AD$1:$AG$1,0),2))&lt;&gt;1=TRUE,"ja",""),"")</f>
        <v/>
      </c>
    </row>
    <row r="874" spans="1:27" x14ac:dyDescent="0.25">
      <c r="A874" s="320"/>
      <c r="B874" s="321" t="str">
        <f>IF(A874&lt;&gt;"",_xlfn.MAXIFS($B$1:B873,$A$1:A873,A874)+1,"")</f>
        <v/>
      </c>
      <c r="C874" s="299"/>
      <c r="D874" s="299"/>
      <c r="E874" s="299"/>
      <c r="F874" s="299"/>
      <c r="G874" s="330"/>
      <c r="H874" s="328"/>
      <c r="I874" s="329"/>
      <c r="J874" s="329"/>
      <c r="K874" s="322"/>
      <c r="L874" s="322"/>
      <c r="M874" s="323" t="str">
        <f>IFERROR(VLOOKUP(H874,Lijsten!$H$1:$I$100,2,0),"")</f>
        <v/>
      </c>
      <c r="N874" s="323" t="str">
        <f ca="1">IFERROR(IF(VLOOKUP(F874,Kostentypen!$A$3:$E$21,3,0)=0,"",IF(OR(F874="Arbeidskosten",F874="Vergoeding"),VLOOKUP(G874,Tb_KostenTypen[],2,0),VLOOKUP(F874,Kostentypen!$A$3:$E$20,3,0))),"")</f>
        <v/>
      </c>
      <c r="O874" s="324"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4"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3"/>
      <c r="R874" s="363"/>
      <c r="S874" s="325"/>
      <c r="T874" s="325"/>
      <c r="U874" s="317" t="str" cm="1">
        <f t="array" aca="1" ref="U874" ca="1">IFERROR(IF(AA874&lt;&gt;"ja",_xlfn.IFNA(_xlfn.IFS(AND(O874&lt;&gt;"",F874&lt;&gt;"",RIGHT($N874,6)="tarief",F874="Vergoeding"),SUM(O874)*FLOOR(SUM(Q874),0.0001),AND(O874&lt;&gt;"",F874&lt;&gt;"",RIGHT($N874,6)="tarief"),SUM(O874)*FLOOR(SUM(Q874),0.01),S874&gt;0,IF(F874&lt;&gt;"",FLOOR(SUM(S874),0.01),"")),""),""),"")</f>
        <v/>
      </c>
      <c r="V874" s="317" t="str" cm="1">
        <f t="array" aca="1" ref="V874" ca="1">IFERROR(IF(AA874&lt;&gt;"ja",_xlfn.IFNA(_xlfn.IFS(AND(P874&lt;&gt;"",R874&lt;&gt;"",RIGHT($N874,6)="tarief",F874="Vergoeding"),SUM(P874)*FLOOR(SUM(R874),0.0001),AND(P874&lt;&gt;"",R874&lt;&gt;"",RIGHT($N874,6)="tarief"),P874*FLOOR(R874,0.01),T874&gt;0,FLOOR(SUM(T874),0.01)),""),""),"")</f>
        <v/>
      </c>
      <c r="W874" s="317" t="str" cm="1">
        <f t="array" aca="1" ref="W874" ca="1">IFERROR(_xlfn.IFS(OR(F874="",LEFT(Methode_Keuze,4)="Geen",Methode_Keuze=""),"",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17" t="str" cm="1">
        <f t="array" aca="1" ref="X874" ca="1">IFERROR(_xlfn.IFS(OR(F874="",LEFT(Methode_Keuze,4)="Geen",Methode_Keuze=""),"",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26"/>
      <c r="Z874" s="319"/>
      <c r="AA874" s="32" t="str" cm="1">
        <f t="array" ref="AA874">IFERROR(IF(INDEX(SubsidieTabel!$AD$1:$AG$12,MATCH($F874,SubsidieTabel!$AD$1:$AD$12,0),IFERROR(MATCH(Methode_Keuze,SubsidieTabel!$AD$1:$AG$1,0),2))&lt;&gt;1=TRUE,"ja",""),"")</f>
        <v/>
      </c>
    </row>
    <row r="875" spans="1:27" x14ac:dyDescent="0.25">
      <c r="A875" s="320"/>
      <c r="B875" s="321" t="str">
        <f>IF(A875&lt;&gt;"",_xlfn.MAXIFS($B$1:B874,$A$1:A874,A875)+1,"")</f>
        <v/>
      </c>
      <c r="C875" s="299"/>
      <c r="D875" s="299"/>
      <c r="E875" s="299"/>
      <c r="F875" s="299"/>
      <c r="G875" s="330"/>
      <c r="H875" s="328"/>
      <c r="I875" s="329"/>
      <c r="J875" s="329"/>
      <c r="K875" s="322"/>
      <c r="L875" s="322"/>
      <c r="M875" s="323" t="str">
        <f>IFERROR(VLOOKUP(H875,Lijsten!$H$1:$I$100,2,0),"")</f>
        <v/>
      </c>
      <c r="N875" s="323" t="str">
        <f ca="1">IFERROR(IF(VLOOKUP(F875,Kostentypen!$A$3:$E$21,3,0)=0,"",IF(OR(F875="Arbeidskosten",F875="Vergoeding"),VLOOKUP(G875,Tb_KostenTypen[],2,0),VLOOKUP(F875,Kostentypen!$A$3:$E$20,3,0))),"")</f>
        <v/>
      </c>
      <c r="O875" s="324"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4"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3"/>
      <c r="R875" s="363"/>
      <c r="S875" s="325"/>
      <c r="T875" s="325"/>
      <c r="U875" s="317" t="str" cm="1">
        <f t="array" aca="1" ref="U875" ca="1">IFERROR(IF(AA875&lt;&gt;"ja",_xlfn.IFNA(_xlfn.IFS(AND(O875&lt;&gt;"",F875&lt;&gt;"",RIGHT($N875,6)="tarief",F875="Vergoeding"),SUM(O875)*FLOOR(SUM(Q875),0.0001),AND(O875&lt;&gt;"",F875&lt;&gt;"",RIGHT($N875,6)="tarief"),SUM(O875)*FLOOR(SUM(Q875),0.01),S875&gt;0,IF(F875&lt;&gt;"",FLOOR(SUM(S875),0.01),"")),""),""),"")</f>
        <v/>
      </c>
      <c r="V875" s="317" t="str" cm="1">
        <f t="array" aca="1" ref="V875" ca="1">IFERROR(IF(AA875&lt;&gt;"ja",_xlfn.IFNA(_xlfn.IFS(AND(P875&lt;&gt;"",R875&lt;&gt;"",RIGHT($N875,6)="tarief",F875="Vergoeding"),SUM(P875)*FLOOR(SUM(R875),0.0001),AND(P875&lt;&gt;"",R875&lt;&gt;"",RIGHT($N875,6)="tarief"),P875*FLOOR(R875,0.01),T875&gt;0,FLOOR(SUM(T875),0.01)),""),""),"")</f>
        <v/>
      </c>
      <c r="W875" s="317" t="str" cm="1">
        <f t="array" aca="1" ref="W875" ca="1">IFERROR(_xlfn.IFS(OR(F875="",LEFT(Methode_Keuze,4)="Geen",Methode_Keuze=""),"",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17" t="str" cm="1">
        <f t="array" aca="1" ref="X875" ca="1">IFERROR(_xlfn.IFS(OR(F875="",LEFT(Methode_Keuze,4)="Geen",Methode_Keuze=""),"",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26"/>
      <c r="Z875" s="319"/>
      <c r="AA875" s="32" t="str" cm="1">
        <f t="array" ref="AA875">IFERROR(IF(INDEX(SubsidieTabel!$AD$1:$AG$12,MATCH($F875,SubsidieTabel!$AD$1:$AD$12,0),IFERROR(MATCH(Methode_Keuze,SubsidieTabel!$AD$1:$AG$1,0),2))&lt;&gt;1=TRUE,"ja",""),"")</f>
        <v/>
      </c>
    </row>
    <row r="876" spans="1:27" x14ac:dyDescent="0.25">
      <c r="A876" s="320"/>
      <c r="B876" s="321" t="str">
        <f>IF(A876&lt;&gt;"",_xlfn.MAXIFS($B$1:B875,$A$1:A875,A876)+1,"")</f>
        <v/>
      </c>
      <c r="C876" s="299"/>
      <c r="D876" s="299"/>
      <c r="E876" s="299"/>
      <c r="F876" s="299"/>
      <c r="G876" s="330"/>
      <c r="H876" s="328"/>
      <c r="I876" s="329"/>
      <c r="J876" s="329"/>
      <c r="K876" s="322"/>
      <c r="L876" s="322"/>
      <c r="M876" s="323" t="str">
        <f>IFERROR(VLOOKUP(H876,Lijsten!$H$1:$I$100,2,0),"")</f>
        <v/>
      </c>
      <c r="N876" s="323" t="str">
        <f ca="1">IFERROR(IF(VLOOKUP(F876,Kostentypen!$A$3:$E$21,3,0)=0,"",IF(OR(F876="Arbeidskosten",F876="Vergoeding"),VLOOKUP(G876,Tb_KostenTypen[],2,0),VLOOKUP(F876,Kostentypen!$A$3:$E$20,3,0))),"")</f>
        <v/>
      </c>
      <c r="O876" s="324"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4"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3"/>
      <c r="R876" s="363"/>
      <c r="S876" s="325"/>
      <c r="T876" s="325"/>
      <c r="U876" s="317" t="str" cm="1">
        <f t="array" aca="1" ref="U876" ca="1">IFERROR(IF(AA876&lt;&gt;"ja",_xlfn.IFNA(_xlfn.IFS(AND(O876&lt;&gt;"",F876&lt;&gt;"",RIGHT($N876,6)="tarief",F876="Vergoeding"),SUM(O876)*FLOOR(SUM(Q876),0.0001),AND(O876&lt;&gt;"",F876&lt;&gt;"",RIGHT($N876,6)="tarief"),SUM(O876)*FLOOR(SUM(Q876),0.01),S876&gt;0,IF(F876&lt;&gt;"",FLOOR(SUM(S876),0.01),"")),""),""),"")</f>
        <v/>
      </c>
      <c r="V876" s="317" t="str" cm="1">
        <f t="array" aca="1" ref="V876" ca="1">IFERROR(IF(AA876&lt;&gt;"ja",_xlfn.IFNA(_xlfn.IFS(AND(P876&lt;&gt;"",R876&lt;&gt;"",RIGHT($N876,6)="tarief",F876="Vergoeding"),SUM(P876)*FLOOR(SUM(R876),0.0001),AND(P876&lt;&gt;"",R876&lt;&gt;"",RIGHT($N876,6)="tarief"),P876*FLOOR(R876,0.01),T876&gt;0,FLOOR(SUM(T876),0.01)),""),""),"")</f>
        <v/>
      </c>
      <c r="W876" s="317" t="str" cm="1">
        <f t="array" aca="1" ref="W876" ca="1">IFERROR(_xlfn.IFS(OR(F876="",LEFT(Methode_Keuze,4)="Geen",Methode_Keuze=""),"",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17" t="str" cm="1">
        <f t="array" aca="1" ref="X876" ca="1">IFERROR(_xlfn.IFS(OR(F876="",LEFT(Methode_Keuze,4)="Geen",Methode_Keuze=""),"",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26"/>
      <c r="Z876" s="319"/>
      <c r="AA876" s="32" t="str" cm="1">
        <f t="array" ref="AA876">IFERROR(IF(INDEX(SubsidieTabel!$AD$1:$AG$12,MATCH($F876,SubsidieTabel!$AD$1:$AD$12,0),IFERROR(MATCH(Methode_Keuze,SubsidieTabel!$AD$1:$AG$1,0),2))&lt;&gt;1=TRUE,"ja",""),"")</f>
        <v/>
      </c>
    </row>
    <row r="877" spans="1:27" x14ac:dyDescent="0.25">
      <c r="A877" s="320"/>
      <c r="B877" s="321" t="str">
        <f>IF(A877&lt;&gt;"",_xlfn.MAXIFS($B$1:B876,$A$1:A876,A877)+1,"")</f>
        <v/>
      </c>
      <c r="C877" s="299"/>
      <c r="D877" s="299"/>
      <c r="E877" s="299"/>
      <c r="F877" s="299"/>
      <c r="G877" s="330"/>
      <c r="H877" s="328"/>
      <c r="I877" s="329"/>
      <c r="J877" s="329"/>
      <c r="K877" s="322"/>
      <c r="L877" s="322"/>
      <c r="M877" s="323" t="str">
        <f>IFERROR(VLOOKUP(H877,Lijsten!$H$1:$I$100,2,0),"")</f>
        <v/>
      </c>
      <c r="N877" s="323" t="str">
        <f ca="1">IFERROR(IF(VLOOKUP(F877,Kostentypen!$A$3:$E$21,3,0)=0,"",IF(OR(F877="Arbeidskosten",F877="Vergoeding"),VLOOKUP(G877,Tb_KostenTypen[],2,0),VLOOKUP(F877,Kostentypen!$A$3:$E$20,3,0))),"")</f>
        <v/>
      </c>
      <c r="O877" s="324"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4"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3"/>
      <c r="R877" s="363"/>
      <c r="S877" s="325"/>
      <c r="T877" s="325"/>
      <c r="U877" s="317" t="str" cm="1">
        <f t="array" aca="1" ref="U877" ca="1">IFERROR(IF(AA877&lt;&gt;"ja",_xlfn.IFNA(_xlfn.IFS(AND(O877&lt;&gt;"",F877&lt;&gt;"",RIGHT($N877,6)="tarief",F877="Vergoeding"),SUM(O877)*FLOOR(SUM(Q877),0.0001),AND(O877&lt;&gt;"",F877&lt;&gt;"",RIGHT($N877,6)="tarief"),SUM(O877)*FLOOR(SUM(Q877),0.01),S877&gt;0,IF(F877&lt;&gt;"",FLOOR(SUM(S877),0.01),"")),""),""),"")</f>
        <v/>
      </c>
      <c r="V877" s="317" t="str" cm="1">
        <f t="array" aca="1" ref="V877" ca="1">IFERROR(IF(AA877&lt;&gt;"ja",_xlfn.IFNA(_xlfn.IFS(AND(P877&lt;&gt;"",R877&lt;&gt;"",RIGHT($N877,6)="tarief",F877="Vergoeding"),SUM(P877)*FLOOR(SUM(R877),0.0001),AND(P877&lt;&gt;"",R877&lt;&gt;"",RIGHT($N877,6)="tarief"),P877*FLOOR(R877,0.01),T877&gt;0,FLOOR(SUM(T877),0.01)),""),""),"")</f>
        <v/>
      </c>
      <c r="W877" s="317" t="str" cm="1">
        <f t="array" aca="1" ref="W877" ca="1">IFERROR(_xlfn.IFS(OR(F877="",LEFT(Methode_Keuze,4)="Geen",Methode_Keuze=""),"",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17" t="str" cm="1">
        <f t="array" aca="1" ref="X877" ca="1">IFERROR(_xlfn.IFS(OR(F877="",LEFT(Methode_Keuze,4)="Geen",Methode_Keuze=""),"",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26"/>
      <c r="Z877" s="319"/>
      <c r="AA877" s="32" t="str" cm="1">
        <f t="array" ref="AA877">IFERROR(IF(INDEX(SubsidieTabel!$AD$1:$AG$12,MATCH($F877,SubsidieTabel!$AD$1:$AD$12,0),IFERROR(MATCH(Methode_Keuze,SubsidieTabel!$AD$1:$AG$1,0),2))&lt;&gt;1=TRUE,"ja",""),"")</f>
        <v/>
      </c>
    </row>
    <row r="878" spans="1:27" x14ac:dyDescent="0.25">
      <c r="A878" s="320"/>
      <c r="B878" s="321" t="str">
        <f>IF(A878&lt;&gt;"",_xlfn.MAXIFS($B$1:B877,$A$1:A877,A878)+1,"")</f>
        <v/>
      </c>
      <c r="C878" s="299"/>
      <c r="D878" s="299"/>
      <c r="E878" s="299"/>
      <c r="F878" s="299"/>
      <c r="G878" s="330"/>
      <c r="H878" s="328"/>
      <c r="I878" s="329"/>
      <c r="J878" s="329"/>
      <c r="K878" s="322"/>
      <c r="L878" s="322"/>
      <c r="M878" s="323" t="str">
        <f>IFERROR(VLOOKUP(H878,Lijsten!$H$1:$I$100,2,0),"")</f>
        <v/>
      </c>
      <c r="N878" s="323" t="str">
        <f ca="1">IFERROR(IF(VLOOKUP(F878,Kostentypen!$A$3:$E$21,3,0)=0,"",IF(OR(F878="Arbeidskosten",F878="Vergoeding"),VLOOKUP(G878,Tb_KostenTypen[],2,0),VLOOKUP(F878,Kostentypen!$A$3:$E$20,3,0))),"")</f>
        <v/>
      </c>
      <c r="O878" s="324"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4"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3"/>
      <c r="R878" s="363"/>
      <c r="S878" s="325"/>
      <c r="T878" s="325"/>
      <c r="U878" s="317" t="str" cm="1">
        <f t="array" aca="1" ref="U878" ca="1">IFERROR(IF(AA878&lt;&gt;"ja",_xlfn.IFNA(_xlfn.IFS(AND(O878&lt;&gt;"",F878&lt;&gt;"",RIGHT($N878,6)="tarief",F878="Vergoeding"),SUM(O878)*FLOOR(SUM(Q878),0.0001),AND(O878&lt;&gt;"",F878&lt;&gt;"",RIGHT($N878,6)="tarief"),SUM(O878)*FLOOR(SUM(Q878),0.01),S878&gt;0,IF(F878&lt;&gt;"",FLOOR(SUM(S878),0.01),"")),""),""),"")</f>
        <v/>
      </c>
      <c r="V878" s="317" t="str" cm="1">
        <f t="array" aca="1" ref="V878" ca="1">IFERROR(IF(AA878&lt;&gt;"ja",_xlfn.IFNA(_xlfn.IFS(AND(P878&lt;&gt;"",R878&lt;&gt;"",RIGHT($N878,6)="tarief",F878="Vergoeding"),SUM(P878)*FLOOR(SUM(R878),0.0001),AND(P878&lt;&gt;"",R878&lt;&gt;"",RIGHT($N878,6)="tarief"),P878*FLOOR(R878,0.01),T878&gt;0,FLOOR(SUM(T878),0.01)),""),""),"")</f>
        <v/>
      </c>
      <c r="W878" s="317" t="str" cm="1">
        <f t="array" aca="1" ref="W878" ca="1">IFERROR(_xlfn.IFS(OR(F878="",LEFT(Methode_Keuze,4)="Geen",Methode_Keuze=""),"",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17" t="str" cm="1">
        <f t="array" aca="1" ref="X878" ca="1">IFERROR(_xlfn.IFS(OR(F878="",LEFT(Methode_Keuze,4)="Geen",Methode_Keuze=""),"",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26"/>
      <c r="Z878" s="319"/>
      <c r="AA878" s="32" t="str" cm="1">
        <f t="array" ref="AA878">IFERROR(IF(INDEX(SubsidieTabel!$AD$1:$AG$12,MATCH($F878,SubsidieTabel!$AD$1:$AD$12,0),IFERROR(MATCH(Methode_Keuze,SubsidieTabel!$AD$1:$AG$1,0),2))&lt;&gt;1=TRUE,"ja",""),"")</f>
        <v/>
      </c>
    </row>
    <row r="879" spans="1:27" x14ac:dyDescent="0.25">
      <c r="A879" s="320"/>
      <c r="B879" s="321" t="str">
        <f>IF(A879&lt;&gt;"",_xlfn.MAXIFS($B$1:B878,$A$1:A878,A879)+1,"")</f>
        <v/>
      </c>
      <c r="C879" s="299"/>
      <c r="D879" s="299"/>
      <c r="E879" s="299"/>
      <c r="F879" s="299"/>
      <c r="G879" s="330"/>
      <c r="H879" s="328"/>
      <c r="I879" s="329"/>
      <c r="J879" s="329"/>
      <c r="K879" s="322"/>
      <c r="L879" s="322"/>
      <c r="M879" s="323" t="str">
        <f>IFERROR(VLOOKUP(H879,Lijsten!$H$1:$I$100,2,0),"")</f>
        <v/>
      </c>
      <c r="N879" s="323" t="str">
        <f ca="1">IFERROR(IF(VLOOKUP(F879,Kostentypen!$A$3:$E$21,3,0)=0,"",IF(OR(F879="Arbeidskosten",F879="Vergoeding"),VLOOKUP(G879,Tb_KostenTypen[],2,0),VLOOKUP(F879,Kostentypen!$A$3:$E$20,3,0))),"")</f>
        <v/>
      </c>
      <c r="O879" s="324"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4"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3"/>
      <c r="R879" s="363"/>
      <c r="S879" s="325"/>
      <c r="T879" s="325"/>
      <c r="U879" s="317" t="str" cm="1">
        <f t="array" aca="1" ref="U879" ca="1">IFERROR(IF(AA879&lt;&gt;"ja",_xlfn.IFNA(_xlfn.IFS(AND(O879&lt;&gt;"",F879&lt;&gt;"",RIGHT($N879,6)="tarief",F879="Vergoeding"),SUM(O879)*FLOOR(SUM(Q879),0.0001),AND(O879&lt;&gt;"",F879&lt;&gt;"",RIGHT($N879,6)="tarief"),SUM(O879)*FLOOR(SUM(Q879),0.01),S879&gt;0,IF(F879&lt;&gt;"",FLOOR(SUM(S879),0.01),"")),""),""),"")</f>
        <v/>
      </c>
      <c r="V879" s="317" t="str" cm="1">
        <f t="array" aca="1" ref="V879" ca="1">IFERROR(IF(AA879&lt;&gt;"ja",_xlfn.IFNA(_xlfn.IFS(AND(P879&lt;&gt;"",R879&lt;&gt;"",RIGHT($N879,6)="tarief",F879="Vergoeding"),SUM(P879)*FLOOR(SUM(R879),0.0001),AND(P879&lt;&gt;"",R879&lt;&gt;"",RIGHT($N879,6)="tarief"),P879*FLOOR(R879,0.01),T879&gt;0,FLOOR(SUM(T879),0.01)),""),""),"")</f>
        <v/>
      </c>
      <c r="W879" s="317" t="str" cm="1">
        <f t="array" aca="1" ref="W879" ca="1">IFERROR(_xlfn.IFS(OR(F879="",LEFT(Methode_Keuze,4)="Geen",Methode_Keuze=""),"",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17" t="str" cm="1">
        <f t="array" aca="1" ref="X879" ca="1">IFERROR(_xlfn.IFS(OR(F879="",LEFT(Methode_Keuze,4)="Geen",Methode_Keuze=""),"",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26"/>
      <c r="Z879" s="319"/>
      <c r="AA879" s="32" t="str" cm="1">
        <f t="array" ref="AA879">IFERROR(IF(INDEX(SubsidieTabel!$AD$1:$AG$12,MATCH($F879,SubsidieTabel!$AD$1:$AD$12,0),IFERROR(MATCH(Methode_Keuze,SubsidieTabel!$AD$1:$AG$1,0),2))&lt;&gt;1=TRUE,"ja",""),"")</f>
        <v/>
      </c>
    </row>
    <row r="880" spans="1:27" x14ac:dyDescent="0.25">
      <c r="A880" s="320"/>
      <c r="B880" s="321" t="str">
        <f>IF(A880&lt;&gt;"",_xlfn.MAXIFS($B$1:B879,$A$1:A879,A880)+1,"")</f>
        <v/>
      </c>
      <c r="C880" s="299"/>
      <c r="D880" s="299"/>
      <c r="E880" s="299"/>
      <c r="F880" s="299"/>
      <c r="G880" s="330"/>
      <c r="H880" s="328"/>
      <c r="I880" s="329"/>
      <c r="J880" s="329"/>
      <c r="K880" s="322"/>
      <c r="L880" s="322"/>
      <c r="M880" s="323" t="str">
        <f>IFERROR(VLOOKUP(H880,Lijsten!$H$1:$I$100,2,0),"")</f>
        <v/>
      </c>
      <c r="N880" s="323" t="str">
        <f ca="1">IFERROR(IF(VLOOKUP(F880,Kostentypen!$A$3:$E$21,3,0)=0,"",IF(OR(F880="Arbeidskosten",F880="Vergoeding"),VLOOKUP(G880,Tb_KostenTypen[],2,0),VLOOKUP(F880,Kostentypen!$A$3:$E$20,3,0))),"")</f>
        <v/>
      </c>
      <c r="O880" s="324"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4"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3"/>
      <c r="R880" s="363"/>
      <c r="S880" s="325"/>
      <c r="T880" s="325"/>
      <c r="U880" s="317" t="str" cm="1">
        <f t="array" aca="1" ref="U880" ca="1">IFERROR(IF(AA880&lt;&gt;"ja",_xlfn.IFNA(_xlfn.IFS(AND(O880&lt;&gt;"",F880&lt;&gt;"",RIGHT($N880,6)="tarief",F880="Vergoeding"),SUM(O880)*FLOOR(SUM(Q880),0.0001),AND(O880&lt;&gt;"",F880&lt;&gt;"",RIGHT($N880,6)="tarief"),SUM(O880)*FLOOR(SUM(Q880),0.01),S880&gt;0,IF(F880&lt;&gt;"",FLOOR(SUM(S880),0.01),"")),""),""),"")</f>
        <v/>
      </c>
      <c r="V880" s="317" t="str" cm="1">
        <f t="array" aca="1" ref="V880" ca="1">IFERROR(IF(AA880&lt;&gt;"ja",_xlfn.IFNA(_xlfn.IFS(AND(P880&lt;&gt;"",R880&lt;&gt;"",RIGHT($N880,6)="tarief",F880="Vergoeding"),SUM(P880)*FLOOR(SUM(R880),0.0001),AND(P880&lt;&gt;"",R880&lt;&gt;"",RIGHT($N880,6)="tarief"),P880*FLOOR(R880,0.01),T880&gt;0,FLOOR(SUM(T880),0.01)),""),""),"")</f>
        <v/>
      </c>
      <c r="W880" s="317" t="str" cm="1">
        <f t="array" aca="1" ref="W880" ca="1">IFERROR(_xlfn.IFS(OR(F880="",LEFT(Methode_Keuze,4)="Geen",Methode_Keuze=""),"",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17" t="str" cm="1">
        <f t="array" aca="1" ref="X880" ca="1">IFERROR(_xlfn.IFS(OR(F880="",LEFT(Methode_Keuze,4)="Geen",Methode_Keuze=""),"",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26"/>
      <c r="Z880" s="319"/>
      <c r="AA880" s="32" t="str" cm="1">
        <f t="array" ref="AA880">IFERROR(IF(INDEX(SubsidieTabel!$AD$1:$AG$12,MATCH($F880,SubsidieTabel!$AD$1:$AD$12,0),IFERROR(MATCH(Methode_Keuze,SubsidieTabel!$AD$1:$AG$1,0),2))&lt;&gt;1=TRUE,"ja",""),"")</f>
        <v/>
      </c>
    </row>
    <row r="881" spans="1:27" x14ac:dyDescent="0.25">
      <c r="A881" s="320"/>
      <c r="B881" s="321" t="str">
        <f>IF(A881&lt;&gt;"",_xlfn.MAXIFS($B$1:B880,$A$1:A880,A881)+1,"")</f>
        <v/>
      </c>
      <c r="C881" s="299"/>
      <c r="D881" s="299"/>
      <c r="E881" s="299"/>
      <c r="F881" s="299"/>
      <c r="G881" s="330"/>
      <c r="H881" s="328"/>
      <c r="I881" s="329"/>
      <c r="J881" s="329"/>
      <c r="K881" s="322"/>
      <c r="L881" s="322"/>
      <c r="M881" s="323" t="str">
        <f>IFERROR(VLOOKUP(H881,Lijsten!$H$1:$I$100,2,0),"")</f>
        <v/>
      </c>
      <c r="N881" s="323" t="str">
        <f ca="1">IFERROR(IF(VLOOKUP(F881,Kostentypen!$A$3:$E$21,3,0)=0,"",IF(OR(F881="Arbeidskosten",F881="Vergoeding"),VLOOKUP(G881,Tb_KostenTypen[],2,0),VLOOKUP(F881,Kostentypen!$A$3:$E$20,3,0))),"")</f>
        <v/>
      </c>
      <c r="O881" s="324"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4"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3"/>
      <c r="R881" s="363"/>
      <c r="S881" s="325"/>
      <c r="T881" s="325"/>
      <c r="U881" s="317" t="str" cm="1">
        <f t="array" aca="1" ref="U881" ca="1">IFERROR(IF(AA881&lt;&gt;"ja",_xlfn.IFNA(_xlfn.IFS(AND(O881&lt;&gt;"",F881&lt;&gt;"",RIGHT($N881,6)="tarief",F881="Vergoeding"),SUM(O881)*FLOOR(SUM(Q881),0.0001),AND(O881&lt;&gt;"",F881&lt;&gt;"",RIGHT($N881,6)="tarief"),SUM(O881)*FLOOR(SUM(Q881),0.01),S881&gt;0,IF(F881&lt;&gt;"",FLOOR(SUM(S881),0.01),"")),""),""),"")</f>
        <v/>
      </c>
      <c r="V881" s="317" t="str" cm="1">
        <f t="array" aca="1" ref="V881" ca="1">IFERROR(IF(AA881&lt;&gt;"ja",_xlfn.IFNA(_xlfn.IFS(AND(P881&lt;&gt;"",R881&lt;&gt;"",RIGHT($N881,6)="tarief",F881="Vergoeding"),SUM(P881)*FLOOR(SUM(R881),0.0001),AND(P881&lt;&gt;"",R881&lt;&gt;"",RIGHT($N881,6)="tarief"),P881*FLOOR(R881,0.01),T881&gt;0,FLOOR(SUM(T881),0.01)),""),""),"")</f>
        <v/>
      </c>
      <c r="W881" s="317" t="str" cm="1">
        <f t="array" aca="1" ref="W881" ca="1">IFERROR(_xlfn.IFS(OR(F881="",LEFT(Methode_Keuze,4)="Geen",Methode_Keuze=""),"",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17" t="str" cm="1">
        <f t="array" aca="1" ref="X881" ca="1">IFERROR(_xlfn.IFS(OR(F881="",LEFT(Methode_Keuze,4)="Geen",Methode_Keuze=""),"",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26"/>
      <c r="Z881" s="319"/>
      <c r="AA881" s="32" t="str" cm="1">
        <f t="array" ref="AA881">IFERROR(IF(INDEX(SubsidieTabel!$AD$1:$AG$12,MATCH($F881,SubsidieTabel!$AD$1:$AD$12,0),IFERROR(MATCH(Methode_Keuze,SubsidieTabel!$AD$1:$AG$1,0),2))&lt;&gt;1=TRUE,"ja",""),"")</f>
        <v/>
      </c>
    </row>
    <row r="882" spans="1:27" x14ac:dyDescent="0.25">
      <c r="A882" s="320"/>
      <c r="B882" s="321" t="str">
        <f>IF(A882&lt;&gt;"",_xlfn.MAXIFS($B$1:B881,$A$1:A881,A882)+1,"")</f>
        <v/>
      </c>
      <c r="C882" s="299"/>
      <c r="D882" s="299"/>
      <c r="E882" s="299"/>
      <c r="F882" s="299"/>
      <c r="G882" s="330"/>
      <c r="H882" s="328"/>
      <c r="I882" s="329"/>
      <c r="J882" s="329"/>
      <c r="K882" s="322"/>
      <c r="L882" s="322"/>
      <c r="M882" s="323" t="str">
        <f>IFERROR(VLOOKUP(H882,Lijsten!$H$1:$I$100,2,0),"")</f>
        <v/>
      </c>
      <c r="N882" s="323" t="str">
        <f ca="1">IFERROR(IF(VLOOKUP(F882,Kostentypen!$A$3:$E$21,3,0)=0,"",IF(OR(F882="Arbeidskosten",F882="Vergoeding"),VLOOKUP(G882,Tb_KostenTypen[],2,0),VLOOKUP(F882,Kostentypen!$A$3:$E$20,3,0))),"")</f>
        <v/>
      </c>
      <c r="O882" s="324"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4"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3"/>
      <c r="R882" s="363"/>
      <c r="S882" s="325"/>
      <c r="T882" s="325"/>
      <c r="U882" s="317" t="str" cm="1">
        <f t="array" aca="1" ref="U882" ca="1">IFERROR(IF(AA882&lt;&gt;"ja",_xlfn.IFNA(_xlfn.IFS(AND(O882&lt;&gt;"",F882&lt;&gt;"",RIGHT($N882,6)="tarief",F882="Vergoeding"),SUM(O882)*FLOOR(SUM(Q882),0.0001),AND(O882&lt;&gt;"",F882&lt;&gt;"",RIGHT($N882,6)="tarief"),SUM(O882)*FLOOR(SUM(Q882),0.01),S882&gt;0,IF(F882&lt;&gt;"",FLOOR(SUM(S882),0.01),"")),""),""),"")</f>
        <v/>
      </c>
      <c r="V882" s="317" t="str" cm="1">
        <f t="array" aca="1" ref="V882" ca="1">IFERROR(IF(AA882&lt;&gt;"ja",_xlfn.IFNA(_xlfn.IFS(AND(P882&lt;&gt;"",R882&lt;&gt;"",RIGHT($N882,6)="tarief",F882="Vergoeding"),SUM(P882)*FLOOR(SUM(R882),0.0001),AND(P882&lt;&gt;"",R882&lt;&gt;"",RIGHT($N882,6)="tarief"),P882*FLOOR(R882,0.01),T882&gt;0,FLOOR(SUM(T882),0.01)),""),""),"")</f>
        <v/>
      </c>
      <c r="W882" s="317" t="str" cm="1">
        <f t="array" aca="1" ref="W882" ca="1">IFERROR(_xlfn.IFS(OR(F882="",LEFT(Methode_Keuze,4)="Geen",Methode_Keuze=""),"",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17" t="str" cm="1">
        <f t="array" aca="1" ref="X882" ca="1">IFERROR(_xlfn.IFS(OR(F882="",LEFT(Methode_Keuze,4)="Geen",Methode_Keuze=""),"",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26"/>
      <c r="Z882" s="319"/>
      <c r="AA882" s="32" t="str" cm="1">
        <f t="array" ref="AA882">IFERROR(IF(INDEX(SubsidieTabel!$AD$1:$AG$12,MATCH($F882,SubsidieTabel!$AD$1:$AD$12,0),IFERROR(MATCH(Methode_Keuze,SubsidieTabel!$AD$1:$AG$1,0),2))&lt;&gt;1=TRUE,"ja",""),"")</f>
        <v/>
      </c>
    </row>
    <row r="883" spans="1:27" x14ac:dyDescent="0.25">
      <c r="A883" s="320"/>
      <c r="B883" s="321" t="str">
        <f>IF(A883&lt;&gt;"",_xlfn.MAXIFS($B$1:B882,$A$1:A882,A883)+1,"")</f>
        <v/>
      </c>
      <c r="C883" s="299"/>
      <c r="D883" s="299"/>
      <c r="E883" s="299"/>
      <c r="F883" s="299"/>
      <c r="G883" s="330"/>
      <c r="H883" s="328"/>
      <c r="I883" s="329"/>
      <c r="J883" s="329"/>
      <c r="K883" s="322"/>
      <c r="L883" s="322"/>
      <c r="M883" s="323" t="str">
        <f>IFERROR(VLOOKUP(H883,Lijsten!$H$1:$I$100,2,0),"")</f>
        <v/>
      </c>
      <c r="N883" s="323" t="str">
        <f ca="1">IFERROR(IF(VLOOKUP(F883,Kostentypen!$A$3:$E$21,3,0)=0,"",IF(OR(F883="Arbeidskosten",F883="Vergoeding"),VLOOKUP(G883,Tb_KostenTypen[],2,0),VLOOKUP(F883,Kostentypen!$A$3:$E$20,3,0))),"")</f>
        <v/>
      </c>
      <c r="O883" s="324"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4"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3"/>
      <c r="R883" s="363"/>
      <c r="S883" s="325"/>
      <c r="T883" s="325"/>
      <c r="U883" s="317" t="str" cm="1">
        <f t="array" aca="1" ref="U883" ca="1">IFERROR(IF(AA883&lt;&gt;"ja",_xlfn.IFNA(_xlfn.IFS(AND(O883&lt;&gt;"",F883&lt;&gt;"",RIGHT($N883,6)="tarief",F883="Vergoeding"),SUM(O883)*FLOOR(SUM(Q883),0.0001),AND(O883&lt;&gt;"",F883&lt;&gt;"",RIGHT($N883,6)="tarief"),SUM(O883)*FLOOR(SUM(Q883),0.01),S883&gt;0,IF(F883&lt;&gt;"",FLOOR(SUM(S883),0.01),"")),""),""),"")</f>
        <v/>
      </c>
      <c r="V883" s="317" t="str" cm="1">
        <f t="array" aca="1" ref="V883" ca="1">IFERROR(IF(AA883&lt;&gt;"ja",_xlfn.IFNA(_xlfn.IFS(AND(P883&lt;&gt;"",R883&lt;&gt;"",RIGHT($N883,6)="tarief",F883="Vergoeding"),SUM(P883)*FLOOR(SUM(R883),0.0001),AND(P883&lt;&gt;"",R883&lt;&gt;"",RIGHT($N883,6)="tarief"),P883*FLOOR(R883,0.01),T883&gt;0,FLOOR(SUM(T883),0.01)),""),""),"")</f>
        <v/>
      </c>
      <c r="W883" s="317" t="str" cm="1">
        <f t="array" aca="1" ref="W883" ca="1">IFERROR(_xlfn.IFS(OR(F883="",LEFT(Methode_Keuze,4)="Geen",Methode_Keuze=""),"",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17" t="str" cm="1">
        <f t="array" aca="1" ref="X883" ca="1">IFERROR(_xlfn.IFS(OR(F883="",LEFT(Methode_Keuze,4)="Geen",Methode_Keuze=""),"",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26"/>
      <c r="Z883" s="319"/>
      <c r="AA883" s="32" t="str" cm="1">
        <f t="array" ref="AA883">IFERROR(IF(INDEX(SubsidieTabel!$AD$1:$AG$12,MATCH($F883,SubsidieTabel!$AD$1:$AD$12,0),IFERROR(MATCH(Methode_Keuze,SubsidieTabel!$AD$1:$AG$1,0),2))&lt;&gt;1=TRUE,"ja",""),"")</f>
        <v/>
      </c>
    </row>
    <row r="884" spans="1:27" x14ac:dyDescent="0.25">
      <c r="A884" s="320"/>
      <c r="B884" s="321" t="str">
        <f>IF(A884&lt;&gt;"",_xlfn.MAXIFS($B$1:B883,$A$1:A883,A884)+1,"")</f>
        <v/>
      </c>
      <c r="C884" s="299"/>
      <c r="D884" s="299"/>
      <c r="E884" s="299"/>
      <c r="F884" s="299"/>
      <c r="G884" s="330"/>
      <c r="H884" s="328"/>
      <c r="I884" s="329"/>
      <c r="J884" s="329"/>
      <c r="K884" s="322"/>
      <c r="L884" s="322"/>
      <c r="M884" s="323" t="str">
        <f>IFERROR(VLOOKUP(H884,Lijsten!$H$1:$I$100,2,0),"")</f>
        <v/>
      </c>
      <c r="N884" s="323" t="str">
        <f ca="1">IFERROR(IF(VLOOKUP(F884,Kostentypen!$A$3:$E$21,3,0)=0,"",IF(OR(F884="Arbeidskosten",F884="Vergoeding"),VLOOKUP(G884,Tb_KostenTypen[],2,0),VLOOKUP(F884,Kostentypen!$A$3:$E$20,3,0))),"")</f>
        <v/>
      </c>
      <c r="O884" s="324"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4"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3"/>
      <c r="R884" s="363"/>
      <c r="S884" s="325"/>
      <c r="T884" s="325"/>
      <c r="U884" s="317" t="str" cm="1">
        <f t="array" aca="1" ref="U884" ca="1">IFERROR(IF(AA884&lt;&gt;"ja",_xlfn.IFNA(_xlfn.IFS(AND(O884&lt;&gt;"",F884&lt;&gt;"",RIGHT($N884,6)="tarief",F884="Vergoeding"),SUM(O884)*FLOOR(SUM(Q884),0.0001),AND(O884&lt;&gt;"",F884&lt;&gt;"",RIGHT($N884,6)="tarief"),SUM(O884)*FLOOR(SUM(Q884),0.01),S884&gt;0,IF(F884&lt;&gt;"",FLOOR(SUM(S884),0.01),"")),""),""),"")</f>
        <v/>
      </c>
      <c r="V884" s="317" t="str" cm="1">
        <f t="array" aca="1" ref="V884" ca="1">IFERROR(IF(AA884&lt;&gt;"ja",_xlfn.IFNA(_xlfn.IFS(AND(P884&lt;&gt;"",R884&lt;&gt;"",RIGHT($N884,6)="tarief",F884="Vergoeding"),SUM(P884)*FLOOR(SUM(R884),0.0001),AND(P884&lt;&gt;"",R884&lt;&gt;"",RIGHT($N884,6)="tarief"),P884*FLOOR(R884,0.01),T884&gt;0,FLOOR(SUM(T884),0.01)),""),""),"")</f>
        <v/>
      </c>
      <c r="W884" s="317" t="str" cm="1">
        <f t="array" aca="1" ref="W884" ca="1">IFERROR(_xlfn.IFS(OR(F884="",LEFT(Methode_Keuze,4)="Geen",Methode_Keuze=""),"",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17" t="str" cm="1">
        <f t="array" aca="1" ref="X884" ca="1">IFERROR(_xlfn.IFS(OR(F884="",LEFT(Methode_Keuze,4)="Geen",Methode_Keuze=""),"",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26"/>
      <c r="Z884" s="319"/>
      <c r="AA884" s="32" t="str" cm="1">
        <f t="array" ref="AA884">IFERROR(IF(INDEX(SubsidieTabel!$AD$1:$AG$12,MATCH($F884,SubsidieTabel!$AD$1:$AD$12,0),IFERROR(MATCH(Methode_Keuze,SubsidieTabel!$AD$1:$AG$1,0),2))&lt;&gt;1=TRUE,"ja",""),"")</f>
        <v/>
      </c>
    </row>
    <row r="885" spans="1:27" x14ac:dyDescent="0.25">
      <c r="A885" s="320"/>
      <c r="B885" s="321" t="str">
        <f>IF(A885&lt;&gt;"",_xlfn.MAXIFS($B$1:B884,$A$1:A884,A885)+1,"")</f>
        <v/>
      </c>
      <c r="C885" s="299"/>
      <c r="D885" s="299"/>
      <c r="E885" s="299"/>
      <c r="F885" s="299"/>
      <c r="G885" s="330"/>
      <c r="H885" s="328"/>
      <c r="I885" s="329"/>
      <c r="J885" s="329"/>
      <c r="K885" s="322"/>
      <c r="L885" s="322"/>
      <c r="M885" s="323" t="str">
        <f>IFERROR(VLOOKUP(H885,Lijsten!$H$1:$I$100,2,0),"")</f>
        <v/>
      </c>
      <c r="N885" s="323" t="str">
        <f ca="1">IFERROR(IF(VLOOKUP(F885,Kostentypen!$A$3:$E$21,3,0)=0,"",IF(OR(F885="Arbeidskosten",F885="Vergoeding"),VLOOKUP(G885,Tb_KostenTypen[],2,0),VLOOKUP(F885,Kostentypen!$A$3:$E$20,3,0))),"")</f>
        <v/>
      </c>
      <c r="O885" s="324"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4"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3"/>
      <c r="R885" s="363"/>
      <c r="S885" s="325"/>
      <c r="T885" s="325"/>
      <c r="U885" s="317" t="str" cm="1">
        <f t="array" aca="1" ref="U885" ca="1">IFERROR(IF(AA885&lt;&gt;"ja",_xlfn.IFNA(_xlfn.IFS(AND(O885&lt;&gt;"",F885&lt;&gt;"",RIGHT($N885,6)="tarief",F885="Vergoeding"),SUM(O885)*FLOOR(SUM(Q885),0.0001),AND(O885&lt;&gt;"",F885&lt;&gt;"",RIGHT($N885,6)="tarief"),SUM(O885)*FLOOR(SUM(Q885),0.01),S885&gt;0,IF(F885&lt;&gt;"",FLOOR(SUM(S885),0.01),"")),""),""),"")</f>
        <v/>
      </c>
      <c r="V885" s="317" t="str" cm="1">
        <f t="array" aca="1" ref="V885" ca="1">IFERROR(IF(AA885&lt;&gt;"ja",_xlfn.IFNA(_xlfn.IFS(AND(P885&lt;&gt;"",R885&lt;&gt;"",RIGHT($N885,6)="tarief",F885="Vergoeding"),SUM(P885)*FLOOR(SUM(R885),0.0001),AND(P885&lt;&gt;"",R885&lt;&gt;"",RIGHT($N885,6)="tarief"),P885*FLOOR(R885,0.01),T885&gt;0,FLOOR(SUM(T885),0.01)),""),""),"")</f>
        <v/>
      </c>
      <c r="W885" s="317" t="str" cm="1">
        <f t="array" aca="1" ref="W885" ca="1">IFERROR(_xlfn.IFS(OR(F885="",LEFT(Methode_Keuze,4)="Geen",Methode_Keuze=""),"",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17" t="str" cm="1">
        <f t="array" aca="1" ref="X885" ca="1">IFERROR(_xlfn.IFS(OR(F885="",LEFT(Methode_Keuze,4)="Geen",Methode_Keuze=""),"",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26"/>
      <c r="Z885" s="319"/>
      <c r="AA885" s="32" t="str" cm="1">
        <f t="array" ref="AA885">IFERROR(IF(INDEX(SubsidieTabel!$AD$1:$AG$12,MATCH($F885,SubsidieTabel!$AD$1:$AD$12,0),IFERROR(MATCH(Methode_Keuze,SubsidieTabel!$AD$1:$AG$1,0),2))&lt;&gt;1=TRUE,"ja",""),"")</f>
        <v/>
      </c>
    </row>
    <row r="886" spans="1:27" x14ac:dyDescent="0.25">
      <c r="A886" s="320"/>
      <c r="B886" s="321" t="str">
        <f>IF(A886&lt;&gt;"",_xlfn.MAXIFS($B$1:B885,$A$1:A885,A886)+1,"")</f>
        <v/>
      </c>
      <c r="C886" s="299"/>
      <c r="D886" s="299"/>
      <c r="E886" s="299"/>
      <c r="F886" s="299"/>
      <c r="G886" s="330"/>
      <c r="H886" s="328"/>
      <c r="I886" s="329"/>
      <c r="J886" s="329"/>
      <c r="K886" s="322"/>
      <c r="L886" s="322"/>
      <c r="M886" s="323" t="str">
        <f>IFERROR(VLOOKUP(H886,Lijsten!$H$1:$I$100,2,0),"")</f>
        <v/>
      </c>
      <c r="N886" s="323" t="str">
        <f ca="1">IFERROR(IF(VLOOKUP(F886,Kostentypen!$A$3:$E$21,3,0)=0,"",IF(OR(F886="Arbeidskosten",F886="Vergoeding"),VLOOKUP(G886,Tb_KostenTypen[],2,0),VLOOKUP(F886,Kostentypen!$A$3:$E$20,3,0))),"")</f>
        <v/>
      </c>
      <c r="O886" s="324"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4"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3"/>
      <c r="R886" s="363"/>
      <c r="S886" s="325"/>
      <c r="T886" s="325"/>
      <c r="U886" s="317" t="str" cm="1">
        <f t="array" aca="1" ref="U886" ca="1">IFERROR(IF(AA886&lt;&gt;"ja",_xlfn.IFNA(_xlfn.IFS(AND(O886&lt;&gt;"",F886&lt;&gt;"",RIGHT($N886,6)="tarief",F886="Vergoeding"),SUM(O886)*FLOOR(SUM(Q886),0.0001),AND(O886&lt;&gt;"",F886&lt;&gt;"",RIGHT($N886,6)="tarief"),SUM(O886)*FLOOR(SUM(Q886),0.01),S886&gt;0,IF(F886&lt;&gt;"",FLOOR(SUM(S886),0.01),"")),""),""),"")</f>
        <v/>
      </c>
      <c r="V886" s="317" t="str" cm="1">
        <f t="array" aca="1" ref="V886" ca="1">IFERROR(IF(AA886&lt;&gt;"ja",_xlfn.IFNA(_xlfn.IFS(AND(P886&lt;&gt;"",R886&lt;&gt;"",RIGHT($N886,6)="tarief",F886="Vergoeding"),SUM(P886)*FLOOR(SUM(R886),0.0001),AND(P886&lt;&gt;"",R886&lt;&gt;"",RIGHT($N886,6)="tarief"),P886*FLOOR(R886,0.01),T886&gt;0,FLOOR(SUM(T886),0.01)),""),""),"")</f>
        <v/>
      </c>
      <c r="W886" s="317" t="str" cm="1">
        <f t="array" aca="1" ref="W886" ca="1">IFERROR(_xlfn.IFS(OR(F886="",LEFT(Methode_Keuze,4)="Geen",Methode_Keuze=""),"",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17" t="str" cm="1">
        <f t="array" aca="1" ref="X886" ca="1">IFERROR(_xlfn.IFS(OR(F886="",LEFT(Methode_Keuze,4)="Geen",Methode_Keuze=""),"",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26"/>
      <c r="Z886" s="319"/>
      <c r="AA886" s="32" t="str" cm="1">
        <f t="array" ref="AA886">IFERROR(IF(INDEX(SubsidieTabel!$AD$1:$AG$12,MATCH($F886,SubsidieTabel!$AD$1:$AD$12,0),IFERROR(MATCH(Methode_Keuze,SubsidieTabel!$AD$1:$AG$1,0),2))&lt;&gt;1=TRUE,"ja",""),"")</f>
        <v/>
      </c>
    </row>
    <row r="887" spans="1:27" x14ac:dyDescent="0.25">
      <c r="A887" s="320"/>
      <c r="B887" s="321" t="str">
        <f>IF(A887&lt;&gt;"",_xlfn.MAXIFS($B$1:B886,$A$1:A886,A887)+1,"")</f>
        <v/>
      </c>
      <c r="C887" s="299"/>
      <c r="D887" s="299"/>
      <c r="E887" s="299"/>
      <c r="F887" s="299"/>
      <c r="G887" s="330"/>
      <c r="H887" s="328"/>
      <c r="I887" s="329"/>
      <c r="J887" s="329"/>
      <c r="K887" s="322"/>
      <c r="L887" s="322"/>
      <c r="M887" s="323" t="str">
        <f>IFERROR(VLOOKUP(H887,Lijsten!$H$1:$I$100,2,0),"")</f>
        <v/>
      </c>
      <c r="N887" s="323" t="str">
        <f ca="1">IFERROR(IF(VLOOKUP(F887,Kostentypen!$A$3:$E$21,3,0)=0,"",IF(OR(F887="Arbeidskosten",F887="Vergoeding"),VLOOKUP(G887,Tb_KostenTypen[],2,0),VLOOKUP(F887,Kostentypen!$A$3:$E$20,3,0))),"")</f>
        <v/>
      </c>
      <c r="O887" s="324"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4"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3"/>
      <c r="R887" s="363"/>
      <c r="S887" s="325"/>
      <c r="T887" s="325"/>
      <c r="U887" s="317" t="str" cm="1">
        <f t="array" aca="1" ref="U887" ca="1">IFERROR(IF(AA887&lt;&gt;"ja",_xlfn.IFNA(_xlfn.IFS(AND(O887&lt;&gt;"",F887&lt;&gt;"",RIGHT($N887,6)="tarief",F887="Vergoeding"),SUM(O887)*FLOOR(SUM(Q887),0.0001),AND(O887&lt;&gt;"",F887&lt;&gt;"",RIGHT($N887,6)="tarief"),SUM(O887)*FLOOR(SUM(Q887),0.01),S887&gt;0,IF(F887&lt;&gt;"",FLOOR(SUM(S887),0.01),"")),""),""),"")</f>
        <v/>
      </c>
      <c r="V887" s="317" t="str" cm="1">
        <f t="array" aca="1" ref="V887" ca="1">IFERROR(IF(AA887&lt;&gt;"ja",_xlfn.IFNA(_xlfn.IFS(AND(P887&lt;&gt;"",R887&lt;&gt;"",RIGHT($N887,6)="tarief",F887="Vergoeding"),SUM(P887)*FLOOR(SUM(R887),0.0001),AND(P887&lt;&gt;"",R887&lt;&gt;"",RIGHT($N887,6)="tarief"),P887*FLOOR(R887,0.01),T887&gt;0,FLOOR(SUM(T887),0.01)),""),""),"")</f>
        <v/>
      </c>
      <c r="W887" s="317" t="str" cm="1">
        <f t="array" aca="1" ref="W887" ca="1">IFERROR(_xlfn.IFS(OR(F887="",LEFT(Methode_Keuze,4)="Geen",Methode_Keuze=""),"",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17" t="str" cm="1">
        <f t="array" aca="1" ref="X887" ca="1">IFERROR(_xlfn.IFS(OR(F887="",LEFT(Methode_Keuze,4)="Geen",Methode_Keuze=""),"",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26"/>
      <c r="Z887" s="319"/>
      <c r="AA887" s="32" t="str" cm="1">
        <f t="array" ref="AA887">IFERROR(IF(INDEX(SubsidieTabel!$AD$1:$AG$12,MATCH($F887,SubsidieTabel!$AD$1:$AD$12,0),IFERROR(MATCH(Methode_Keuze,SubsidieTabel!$AD$1:$AG$1,0),2))&lt;&gt;1=TRUE,"ja",""),"")</f>
        <v/>
      </c>
    </row>
    <row r="888" spans="1:27" x14ac:dyDescent="0.25">
      <c r="A888" s="320"/>
      <c r="B888" s="321" t="str">
        <f>IF(A888&lt;&gt;"",_xlfn.MAXIFS($B$1:B887,$A$1:A887,A888)+1,"")</f>
        <v/>
      </c>
      <c r="C888" s="299"/>
      <c r="D888" s="299"/>
      <c r="E888" s="299"/>
      <c r="F888" s="299"/>
      <c r="G888" s="330"/>
      <c r="H888" s="328"/>
      <c r="I888" s="329"/>
      <c r="J888" s="329"/>
      <c r="K888" s="322"/>
      <c r="L888" s="322"/>
      <c r="M888" s="323" t="str">
        <f>IFERROR(VLOOKUP(H888,Lijsten!$H$1:$I$100,2,0),"")</f>
        <v/>
      </c>
      <c r="N888" s="323" t="str">
        <f ca="1">IFERROR(IF(VLOOKUP(F888,Kostentypen!$A$3:$E$21,3,0)=0,"",IF(OR(F888="Arbeidskosten",F888="Vergoeding"),VLOOKUP(G888,Tb_KostenTypen[],2,0),VLOOKUP(F888,Kostentypen!$A$3:$E$20,3,0))),"")</f>
        <v/>
      </c>
      <c r="O888" s="324"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4"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3"/>
      <c r="R888" s="363"/>
      <c r="S888" s="325"/>
      <c r="T888" s="325"/>
      <c r="U888" s="317" t="str" cm="1">
        <f t="array" aca="1" ref="U888" ca="1">IFERROR(IF(AA888&lt;&gt;"ja",_xlfn.IFNA(_xlfn.IFS(AND(O888&lt;&gt;"",F888&lt;&gt;"",RIGHT($N888,6)="tarief",F888="Vergoeding"),SUM(O888)*FLOOR(SUM(Q888),0.0001),AND(O888&lt;&gt;"",F888&lt;&gt;"",RIGHT($N888,6)="tarief"),SUM(O888)*FLOOR(SUM(Q888),0.01),S888&gt;0,IF(F888&lt;&gt;"",FLOOR(SUM(S888),0.01),"")),""),""),"")</f>
        <v/>
      </c>
      <c r="V888" s="317" t="str" cm="1">
        <f t="array" aca="1" ref="V888" ca="1">IFERROR(IF(AA888&lt;&gt;"ja",_xlfn.IFNA(_xlfn.IFS(AND(P888&lt;&gt;"",R888&lt;&gt;"",RIGHT($N888,6)="tarief",F888="Vergoeding"),SUM(P888)*FLOOR(SUM(R888),0.0001),AND(P888&lt;&gt;"",R888&lt;&gt;"",RIGHT($N888,6)="tarief"),P888*FLOOR(R888,0.01),T888&gt;0,FLOOR(SUM(T888),0.01)),""),""),"")</f>
        <v/>
      </c>
      <c r="W888" s="317" t="str" cm="1">
        <f t="array" aca="1" ref="W888" ca="1">IFERROR(_xlfn.IFS(OR(F888="",LEFT(Methode_Keuze,4)="Geen",Methode_Keuze=""),"",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17" t="str" cm="1">
        <f t="array" aca="1" ref="X888" ca="1">IFERROR(_xlfn.IFS(OR(F888="",LEFT(Methode_Keuze,4)="Geen",Methode_Keuze=""),"",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26"/>
      <c r="Z888" s="319"/>
      <c r="AA888" s="32" t="str" cm="1">
        <f t="array" ref="AA888">IFERROR(IF(INDEX(SubsidieTabel!$AD$1:$AG$12,MATCH($F888,SubsidieTabel!$AD$1:$AD$12,0),IFERROR(MATCH(Methode_Keuze,SubsidieTabel!$AD$1:$AG$1,0),2))&lt;&gt;1=TRUE,"ja",""),"")</f>
        <v/>
      </c>
    </row>
    <row r="889" spans="1:27" x14ac:dyDescent="0.25">
      <c r="A889" s="320"/>
      <c r="B889" s="321" t="str">
        <f>IF(A889&lt;&gt;"",_xlfn.MAXIFS($B$1:B888,$A$1:A888,A889)+1,"")</f>
        <v/>
      </c>
      <c r="C889" s="299"/>
      <c r="D889" s="299"/>
      <c r="E889" s="299"/>
      <c r="F889" s="299"/>
      <c r="G889" s="330"/>
      <c r="H889" s="328"/>
      <c r="I889" s="329"/>
      <c r="J889" s="329"/>
      <c r="K889" s="322"/>
      <c r="L889" s="322"/>
      <c r="M889" s="323" t="str">
        <f>IFERROR(VLOOKUP(H889,Lijsten!$H$1:$I$100,2,0),"")</f>
        <v/>
      </c>
      <c r="N889" s="323" t="str">
        <f ca="1">IFERROR(IF(VLOOKUP(F889,Kostentypen!$A$3:$E$21,3,0)=0,"",IF(OR(F889="Arbeidskosten",F889="Vergoeding"),VLOOKUP(G889,Tb_KostenTypen[],2,0),VLOOKUP(F889,Kostentypen!$A$3:$E$20,3,0))),"")</f>
        <v/>
      </c>
      <c r="O889" s="324"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4"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3"/>
      <c r="R889" s="363"/>
      <c r="S889" s="325"/>
      <c r="T889" s="325"/>
      <c r="U889" s="317" t="str" cm="1">
        <f t="array" aca="1" ref="U889" ca="1">IFERROR(IF(AA889&lt;&gt;"ja",_xlfn.IFNA(_xlfn.IFS(AND(O889&lt;&gt;"",F889&lt;&gt;"",RIGHT($N889,6)="tarief",F889="Vergoeding"),SUM(O889)*FLOOR(SUM(Q889),0.0001),AND(O889&lt;&gt;"",F889&lt;&gt;"",RIGHT($N889,6)="tarief"),SUM(O889)*FLOOR(SUM(Q889),0.01),S889&gt;0,IF(F889&lt;&gt;"",FLOOR(SUM(S889),0.01),"")),""),""),"")</f>
        <v/>
      </c>
      <c r="V889" s="317" t="str" cm="1">
        <f t="array" aca="1" ref="V889" ca="1">IFERROR(IF(AA889&lt;&gt;"ja",_xlfn.IFNA(_xlfn.IFS(AND(P889&lt;&gt;"",R889&lt;&gt;"",RIGHT($N889,6)="tarief",F889="Vergoeding"),SUM(P889)*FLOOR(SUM(R889),0.0001),AND(P889&lt;&gt;"",R889&lt;&gt;"",RIGHT($N889,6)="tarief"),P889*FLOOR(R889,0.01),T889&gt;0,FLOOR(SUM(T889),0.01)),""),""),"")</f>
        <v/>
      </c>
      <c r="W889" s="317" t="str" cm="1">
        <f t="array" aca="1" ref="W889" ca="1">IFERROR(_xlfn.IFS(OR(F889="",LEFT(Methode_Keuze,4)="Geen",Methode_Keuze=""),"",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17" t="str" cm="1">
        <f t="array" aca="1" ref="X889" ca="1">IFERROR(_xlfn.IFS(OR(F889="",LEFT(Methode_Keuze,4)="Geen",Methode_Keuze=""),"",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26"/>
      <c r="Z889" s="319"/>
      <c r="AA889" s="32" t="str" cm="1">
        <f t="array" ref="AA889">IFERROR(IF(INDEX(SubsidieTabel!$AD$1:$AG$12,MATCH($F889,SubsidieTabel!$AD$1:$AD$12,0),IFERROR(MATCH(Methode_Keuze,SubsidieTabel!$AD$1:$AG$1,0),2))&lt;&gt;1=TRUE,"ja",""),"")</f>
        <v/>
      </c>
    </row>
    <row r="890" spans="1:27" x14ac:dyDescent="0.25">
      <c r="A890" s="320"/>
      <c r="B890" s="321" t="str">
        <f>IF(A890&lt;&gt;"",_xlfn.MAXIFS($B$1:B889,$A$1:A889,A890)+1,"")</f>
        <v/>
      </c>
      <c r="C890" s="299"/>
      <c r="D890" s="299"/>
      <c r="E890" s="299"/>
      <c r="F890" s="299"/>
      <c r="G890" s="330"/>
      <c r="H890" s="328"/>
      <c r="I890" s="329"/>
      <c r="J890" s="329"/>
      <c r="K890" s="322"/>
      <c r="L890" s="322"/>
      <c r="M890" s="323" t="str">
        <f>IFERROR(VLOOKUP(H890,Lijsten!$H$1:$I$100,2,0),"")</f>
        <v/>
      </c>
      <c r="N890" s="323" t="str">
        <f ca="1">IFERROR(IF(VLOOKUP(F890,Kostentypen!$A$3:$E$21,3,0)=0,"",IF(OR(F890="Arbeidskosten",F890="Vergoeding"),VLOOKUP(G890,Tb_KostenTypen[],2,0),VLOOKUP(F890,Kostentypen!$A$3:$E$20,3,0))),"")</f>
        <v/>
      </c>
      <c r="O890" s="324"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4"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3"/>
      <c r="R890" s="363"/>
      <c r="S890" s="325"/>
      <c r="T890" s="325"/>
      <c r="U890" s="317" t="str" cm="1">
        <f t="array" aca="1" ref="U890" ca="1">IFERROR(IF(AA890&lt;&gt;"ja",_xlfn.IFNA(_xlfn.IFS(AND(O890&lt;&gt;"",F890&lt;&gt;"",RIGHT($N890,6)="tarief",F890="Vergoeding"),SUM(O890)*FLOOR(SUM(Q890),0.0001),AND(O890&lt;&gt;"",F890&lt;&gt;"",RIGHT($N890,6)="tarief"),SUM(O890)*FLOOR(SUM(Q890),0.01),S890&gt;0,IF(F890&lt;&gt;"",FLOOR(SUM(S890),0.01),"")),""),""),"")</f>
        <v/>
      </c>
      <c r="V890" s="317" t="str" cm="1">
        <f t="array" aca="1" ref="V890" ca="1">IFERROR(IF(AA890&lt;&gt;"ja",_xlfn.IFNA(_xlfn.IFS(AND(P890&lt;&gt;"",R890&lt;&gt;"",RIGHT($N890,6)="tarief",F890="Vergoeding"),SUM(P890)*FLOOR(SUM(R890),0.0001),AND(P890&lt;&gt;"",R890&lt;&gt;"",RIGHT($N890,6)="tarief"),P890*FLOOR(R890,0.01),T890&gt;0,FLOOR(SUM(T890),0.01)),""),""),"")</f>
        <v/>
      </c>
      <c r="W890" s="317" t="str" cm="1">
        <f t="array" aca="1" ref="W890" ca="1">IFERROR(_xlfn.IFS(OR(F890="",LEFT(Methode_Keuze,4)="Geen",Methode_Keuze=""),"",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17" t="str" cm="1">
        <f t="array" aca="1" ref="X890" ca="1">IFERROR(_xlfn.IFS(OR(F890="",LEFT(Methode_Keuze,4)="Geen",Methode_Keuze=""),"",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26"/>
      <c r="Z890" s="319"/>
      <c r="AA890" s="32" t="str" cm="1">
        <f t="array" ref="AA890">IFERROR(IF(INDEX(SubsidieTabel!$AD$1:$AG$12,MATCH($F890,SubsidieTabel!$AD$1:$AD$12,0),IFERROR(MATCH(Methode_Keuze,SubsidieTabel!$AD$1:$AG$1,0),2))&lt;&gt;1=TRUE,"ja",""),"")</f>
        <v/>
      </c>
    </row>
    <row r="891" spans="1:27" x14ac:dyDescent="0.25">
      <c r="A891" s="320"/>
      <c r="B891" s="321" t="str">
        <f>IF(A891&lt;&gt;"",_xlfn.MAXIFS($B$1:B890,$A$1:A890,A891)+1,"")</f>
        <v/>
      </c>
      <c r="C891" s="299"/>
      <c r="D891" s="299"/>
      <c r="E891" s="299"/>
      <c r="F891" s="299"/>
      <c r="G891" s="330"/>
      <c r="H891" s="328"/>
      <c r="I891" s="329"/>
      <c r="J891" s="329"/>
      <c r="K891" s="322"/>
      <c r="L891" s="322"/>
      <c r="M891" s="323" t="str">
        <f>IFERROR(VLOOKUP(H891,Lijsten!$H$1:$I$100,2,0),"")</f>
        <v/>
      </c>
      <c r="N891" s="323" t="str">
        <f ca="1">IFERROR(IF(VLOOKUP(F891,Kostentypen!$A$3:$E$21,3,0)=0,"",IF(OR(F891="Arbeidskosten",F891="Vergoeding"),VLOOKUP(G891,Tb_KostenTypen[],2,0),VLOOKUP(F891,Kostentypen!$A$3:$E$20,3,0))),"")</f>
        <v/>
      </c>
      <c r="O891" s="324"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4"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3"/>
      <c r="R891" s="363"/>
      <c r="S891" s="325"/>
      <c r="T891" s="325"/>
      <c r="U891" s="317" t="str" cm="1">
        <f t="array" aca="1" ref="U891" ca="1">IFERROR(IF(AA891&lt;&gt;"ja",_xlfn.IFNA(_xlfn.IFS(AND(O891&lt;&gt;"",F891&lt;&gt;"",RIGHT($N891,6)="tarief",F891="Vergoeding"),SUM(O891)*FLOOR(SUM(Q891),0.0001),AND(O891&lt;&gt;"",F891&lt;&gt;"",RIGHT($N891,6)="tarief"),SUM(O891)*FLOOR(SUM(Q891),0.01),S891&gt;0,IF(F891&lt;&gt;"",FLOOR(SUM(S891),0.01),"")),""),""),"")</f>
        <v/>
      </c>
      <c r="V891" s="317" t="str" cm="1">
        <f t="array" aca="1" ref="V891" ca="1">IFERROR(IF(AA891&lt;&gt;"ja",_xlfn.IFNA(_xlfn.IFS(AND(P891&lt;&gt;"",R891&lt;&gt;"",RIGHT($N891,6)="tarief",F891="Vergoeding"),SUM(P891)*FLOOR(SUM(R891),0.0001),AND(P891&lt;&gt;"",R891&lt;&gt;"",RIGHT($N891,6)="tarief"),P891*FLOOR(R891,0.01),T891&gt;0,FLOOR(SUM(T891),0.01)),""),""),"")</f>
        <v/>
      </c>
      <c r="W891" s="317" t="str" cm="1">
        <f t="array" aca="1" ref="W891" ca="1">IFERROR(_xlfn.IFS(OR(F891="",LEFT(Methode_Keuze,4)="Geen",Methode_Keuze=""),"",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17" t="str" cm="1">
        <f t="array" aca="1" ref="X891" ca="1">IFERROR(_xlfn.IFS(OR(F891="",LEFT(Methode_Keuze,4)="Geen",Methode_Keuze=""),"",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26"/>
      <c r="Z891" s="319"/>
      <c r="AA891" s="32" t="str" cm="1">
        <f t="array" ref="AA891">IFERROR(IF(INDEX(SubsidieTabel!$AD$1:$AG$12,MATCH($F891,SubsidieTabel!$AD$1:$AD$12,0),IFERROR(MATCH(Methode_Keuze,SubsidieTabel!$AD$1:$AG$1,0),2))&lt;&gt;1=TRUE,"ja",""),"")</f>
        <v/>
      </c>
    </row>
    <row r="892" spans="1:27" x14ac:dyDescent="0.25">
      <c r="A892" s="320"/>
      <c r="B892" s="321" t="str">
        <f>IF(A892&lt;&gt;"",_xlfn.MAXIFS($B$1:B891,$A$1:A891,A892)+1,"")</f>
        <v/>
      </c>
      <c r="C892" s="299"/>
      <c r="D892" s="299"/>
      <c r="E892" s="299"/>
      <c r="F892" s="299"/>
      <c r="G892" s="330"/>
      <c r="H892" s="328"/>
      <c r="I892" s="329"/>
      <c r="J892" s="329"/>
      <c r="K892" s="322"/>
      <c r="L892" s="322"/>
      <c r="M892" s="323" t="str">
        <f>IFERROR(VLOOKUP(H892,Lijsten!$H$1:$I$100,2,0),"")</f>
        <v/>
      </c>
      <c r="N892" s="323" t="str">
        <f ca="1">IFERROR(IF(VLOOKUP(F892,Kostentypen!$A$3:$E$21,3,0)=0,"",IF(OR(F892="Arbeidskosten",F892="Vergoeding"),VLOOKUP(G892,Tb_KostenTypen[],2,0),VLOOKUP(F892,Kostentypen!$A$3:$E$20,3,0))),"")</f>
        <v/>
      </c>
      <c r="O892" s="324"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4"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3"/>
      <c r="R892" s="363"/>
      <c r="S892" s="325"/>
      <c r="T892" s="325"/>
      <c r="U892" s="317" t="str" cm="1">
        <f t="array" aca="1" ref="U892" ca="1">IFERROR(IF(AA892&lt;&gt;"ja",_xlfn.IFNA(_xlfn.IFS(AND(O892&lt;&gt;"",F892&lt;&gt;"",RIGHT($N892,6)="tarief",F892="Vergoeding"),SUM(O892)*FLOOR(SUM(Q892),0.0001),AND(O892&lt;&gt;"",F892&lt;&gt;"",RIGHT($N892,6)="tarief"),SUM(O892)*FLOOR(SUM(Q892),0.01),S892&gt;0,IF(F892&lt;&gt;"",FLOOR(SUM(S892),0.01),"")),""),""),"")</f>
        <v/>
      </c>
      <c r="V892" s="317" t="str" cm="1">
        <f t="array" aca="1" ref="V892" ca="1">IFERROR(IF(AA892&lt;&gt;"ja",_xlfn.IFNA(_xlfn.IFS(AND(P892&lt;&gt;"",R892&lt;&gt;"",RIGHT($N892,6)="tarief",F892="Vergoeding"),SUM(P892)*FLOOR(SUM(R892),0.0001),AND(P892&lt;&gt;"",R892&lt;&gt;"",RIGHT($N892,6)="tarief"),P892*FLOOR(R892,0.01),T892&gt;0,FLOOR(SUM(T892),0.01)),""),""),"")</f>
        <v/>
      </c>
      <c r="W892" s="317" t="str" cm="1">
        <f t="array" aca="1" ref="W892" ca="1">IFERROR(_xlfn.IFS(OR(F892="",LEFT(Methode_Keuze,4)="Geen",Methode_Keuze=""),"",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17" t="str" cm="1">
        <f t="array" aca="1" ref="X892" ca="1">IFERROR(_xlfn.IFS(OR(F892="",LEFT(Methode_Keuze,4)="Geen",Methode_Keuze=""),"",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26"/>
      <c r="Z892" s="319"/>
      <c r="AA892" s="32" t="str" cm="1">
        <f t="array" ref="AA892">IFERROR(IF(INDEX(SubsidieTabel!$AD$1:$AG$12,MATCH($F892,SubsidieTabel!$AD$1:$AD$12,0),IFERROR(MATCH(Methode_Keuze,SubsidieTabel!$AD$1:$AG$1,0),2))&lt;&gt;1=TRUE,"ja",""),"")</f>
        <v/>
      </c>
    </row>
    <row r="893" spans="1:27" x14ac:dyDescent="0.25">
      <c r="A893" s="320"/>
      <c r="B893" s="321" t="str">
        <f>IF(A893&lt;&gt;"",_xlfn.MAXIFS($B$1:B892,$A$1:A892,A893)+1,"")</f>
        <v/>
      </c>
      <c r="C893" s="299"/>
      <c r="D893" s="299"/>
      <c r="E893" s="299"/>
      <c r="F893" s="299"/>
      <c r="G893" s="330"/>
      <c r="H893" s="328"/>
      <c r="I893" s="329"/>
      <c r="J893" s="329"/>
      <c r="K893" s="322"/>
      <c r="L893" s="322"/>
      <c r="M893" s="323" t="str">
        <f>IFERROR(VLOOKUP(H893,Lijsten!$H$1:$I$100,2,0),"")</f>
        <v/>
      </c>
      <c r="N893" s="323" t="str">
        <f ca="1">IFERROR(IF(VLOOKUP(F893,Kostentypen!$A$3:$E$21,3,0)=0,"",IF(OR(F893="Arbeidskosten",F893="Vergoeding"),VLOOKUP(G893,Tb_KostenTypen[],2,0),VLOOKUP(F893,Kostentypen!$A$3:$E$20,3,0))),"")</f>
        <v/>
      </c>
      <c r="O893" s="324"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4"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3"/>
      <c r="R893" s="363"/>
      <c r="S893" s="325"/>
      <c r="T893" s="325"/>
      <c r="U893" s="317" t="str" cm="1">
        <f t="array" aca="1" ref="U893" ca="1">IFERROR(IF(AA893&lt;&gt;"ja",_xlfn.IFNA(_xlfn.IFS(AND(O893&lt;&gt;"",F893&lt;&gt;"",RIGHT($N893,6)="tarief",F893="Vergoeding"),SUM(O893)*FLOOR(SUM(Q893),0.0001),AND(O893&lt;&gt;"",F893&lt;&gt;"",RIGHT($N893,6)="tarief"),SUM(O893)*FLOOR(SUM(Q893),0.01),S893&gt;0,IF(F893&lt;&gt;"",FLOOR(SUM(S893),0.01),"")),""),""),"")</f>
        <v/>
      </c>
      <c r="V893" s="317" t="str" cm="1">
        <f t="array" aca="1" ref="V893" ca="1">IFERROR(IF(AA893&lt;&gt;"ja",_xlfn.IFNA(_xlfn.IFS(AND(P893&lt;&gt;"",R893&lt;&gt;"",RIGHT($N893,6)="tarief",F893="Vergoeding"),SUM(P893)*FLOOR(SUM(R893),0.0001),AND(P893&lt;&gt;"",R893&lt;&gt;"",RIGHT($N893,6)="tarief"),P893*FLOOR(R893,0.01),T893&gt;0,FLOOR(SUM(T893),0.01)),""),""),"")</f>
        <v/>
      </c>
      <c r="W893" s="317" t="str" cm="1">
        <f t="array" aca="1" ref="W893" ca="1">IFERROR(_xlfn.IFS(OR(F893="",LEFT(Methode_Keuze,4)="Geen",Methode_Keuze=""),"",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17" t="str" cm="1">
        <f t="array" aca="1" ref="X893" ca="1">IFERROR(_xlfn.IFS(OR(F893="",LEFT(Methode_Keuze,4)="Geen",Methode_Keuze=""),"",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26"/>
      <c r="Z893" s="319"/>
      <c r="AA893" s="32" t="str" cm="1">
        <f t="array" ref="AA893">IFERROR(IF(INDEX(SubsidieTabel!$AD$1:$AG$12,MATCH($F893,SubsidieTabel!$AD$1:$AD$12,0),IFERROR(MATCH(Methode_Keuze,SubsidieTabel!$AD$1:$AG$1,0),2))&lt;&gt;1=TRUE,"ja",""),"")</f>
        <v/>
      </c>
    </row>
    <row r="894" spans="1:27" x14ac:dyDescent="0.25">
      <c r="A894" s="320"/>
      <c r="B894" s="321" t="str">
        <f>IF(A894&lt;&gt;"",_xlfn.MAXIFS($B$1:B893,$A$1:A893,A894)+1,"")</f>
        <v/>
      </c>
      <c r="C894" s="299"/>
      <c r="D894" s="299"/>
      <c r="E894" s="299"/>
      <c r="F894" s="299"/>
      <c r="G894" s="330"/>
      <c r="H894" s="328"/>
      <c r="I894" s="329"/>
      <c r="J894" s="329"/>
      <c r="K894" s="322"/>
      <c r="L894" s="322"/>
      <c r="M894" s="323" t="str">
        <f>IFERROR(VLOOKUP(H894,Lijsten!$H$1:$I$100,2,0),"")</f>
        <v/>
      </c>
      <c r="N894" s="323" t="str">
        <f ca="1">IFERROR(IF(VLOOKUP(F894,Kostentypen!$A$3:$E$21,3,0)=0,"",IF(OR(F894="Arbeidskosten",F894="Vergoeding"),VLOOKUP(G894,Tb_KostenTypen[],2,0),VLOOKUP(F894,Kostentypen!$A$3:$E$20,3,0))),"")</f>
        <v/>
      </c>
      <c r="O894" s="324"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4"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3"/>
      <c r="R894" s="363"/>
      <c r="S894" s="325"/>
      <c r="T894" s="325"/>
      <c r="U894" s="317" t="str" cm="1">
        <f t="array" aca="1" ref="U894" ca="1">IFERROR(IF(AA894&lt;&gt;"ja",_xlfn.IFNA(_xlfn.IFS(AND(O894&lt;&gt;"",F894&lt;&gt;"",RIGHT($N894,6)="tarief",F894="Vergoeding"),SUM(O894)*FLOOR(SUM(Q894),0.0001),AND(O894&lt;&gt;"",F894&lt;&gt;"",RIGHT($N894,6)="tarief"),SUM(O894)*FLOOR(SUM(Q894),0.01),S894&gt;0,IF(F894&lt;&gt;"",FLOOR(SUM(S894),0.01),"")),""),""),"")</f>
        <v/>
      </c>
      <c r="V894" s="317" t="str" cm="1">
        <f t="array" aca="1" ref="V894" ca="1">IFERROR(IF(AA894&lt;&gt;"ja",_xlfn.IFNA(_xlfn.IFS(AND(P894&lt;&gt;"",R894&lt;&gt;"",RIGHT($N894,6)="tarief",F894="Vergoeding"),SUM(P894)*FLOOR(SUM(R894),0.0001),AND(P894&lt;&gt;"",R894&lt;&gt;"",RIGHT($N894,6)="tarief"),P894*FLOOR(R894,0.01),T894&gt;0,FLOOR(SUM(T894),0.01)),""),""),"")</f>
        <v/>
      </c>
      <c r="W894" s="317" t="str" cm="1">
        <f t="array" aca="1" ref="W894" ca="1">IFERROR(_xlfn.IFS(OR(F894="",LEFT(Methode_Keuze,4)="Geen",Methode_Keuze=""),"",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17" t="str" cm="1">
        <f t="array" aca="1" ref="X894" ca="1">IFERROR(_xlfn.IFS(OR(F894="",LEFT(Methode_Keuze,4)="Geen",Methode_Keuze=""),"",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26"/>
      <c r="Z894" s="319"/>
      <c r="AA894" s="32" t="str" cm="1">
        <f t="array" ref="AA894">IFERROR(IF(INDEX(SubsidieTabel!$AD$1:$AG$12,MATCH($F894,SubsidieTabel!$AD$1:$AD$12,0),IFERROR(MATCH(Methode_Keuze,SubsidieTabel!$AD$1:$AG$1,0),2))&lt;&gt;1=TRUE,"ja",""),"")</f>
        <v/>
      </c>
    </row>
    <row r="895" spans="1:27" x14ac:dyDescent="0.25">
      <c r="A895" s="320"/>
      <c r="B895" s="321" t="str">
        <f>IF(A895&lt;&gt;"",_xlfn.MAXIFS($B$1:B894,$A$1:A894,A895)+1,"")</f>
        <v/>
      </c>
      <c r="C895" s="299"/>
      <c r="D895" s="299"/>
      <c r="E895" s="299"/>
      <c r="F895" s="299"/>
      <c r="G895" s="330"/>
      <c r="H895" s="328"/>
      <c r="I895" s="329"/>
      <c r="J895" s="329"/>
      <c r="K895" s="322"/>
      <c r="L895" s="322"/>
      <c r="M895" s="323" t="str">
        <f>IFERROR(VLOOKUP(H895,Lijsten!$H$1:$I$100,2,0),"")</f>
        <v/>
      </c>
      <c r="N895" s="323" t="str">
        <f ca="1">IFERROR(IF(VLOOKUP(F895,Kostentypen!$A$3:$E$21,3,0)=0,"",IF(OR(F895="Arbeidskosten",F895="Vergoeding"),VLOOKUP(G895,Tb_KostenTypen[],2,0),VLOOKUP(F895,Kostentypen!$A$3:$E$20,3,0))),"")</f>
        <v/>
      </c>
      <c r="O895" s="324"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4"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3"/>
      <c r="R895" s="363"/>
      <c r="S895" s="325"/>
      <c r="T895" s="325"/>
      <c r="U895" s="317" t="str" cm="1">
        <f t="array" aca="1" ref="U895" ca="1">IFERROR(IF(AA895&lt;&gt;"ja",_xlfn.IFNA(_xlfn.IFS(AND(O895&lt;&gt;"",F895&lt;&gt;"",RIGHT($N895,6)="tarief",F895="Vergoeding"),SUM(O895)*FLOOR(SUM(Q895),0.0001),AND(O895&lt;&gt;"",F895&lt;&gt;"",RIGHT($N895,6)="tarief"),SUM(O895)*FLOOR(SUM(Q895),0.01),S895&gt;0,IF(F895&lt;&gt;"",FLOOR(SUM(S895),0.01),"")),""),""),"")</f>
        <v/>
      </c>
      <c r="V895" s="317" t="str" cm="1">
        <f t="array" aca="1" ref="V895" ca="1">IFERROR(IF(AA895&lt;&gt;"ja",_xlfn.IFNA(_xlfn.IFS(AND(P895&lt;&gt;"",R895&lt;&gt;"",RIGHT($N895,6)="tarief",F895="Vergoeding"),SUM(P895)*FLOOR(SUM(R895),0.0001),AND(P895&lt;&gt;"",R895&lt;&gt;"",RIGHT($N895,6)="tarief"),P895*FLOOR(R895,0.01),T895&gt;0,FLOOR(SUM(T895),0.01)),""),""),"")</f>
        <v/>
      </c>
      <c r="W895" s="317" t="str" cm="1">
        <f t="array" aca="1" ref="W895" ca="1">IFERROR(_xlfn.IFS(OR(F895="",LEFT(Methode_Keuze,4)="Geen",Methode_Keuze=""),"",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17" t="str" cm="1">
        <f t="array" aca="1" ref="X895" ca="1">IFERROR(_xlfn.IFS(OR(F895="",LEFT(Methode_Keuze,4)="Geen",Methode_Keuze=""),"",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26"/>
      <c r="Z895" s="319"/>
      <c r="AA895" s="32" t="str" cm="1">
        <f t="array" ref="AA895">IFERROR(IF(INDEX(SubsidieTabel!$AD$1:$AG$12,MATCH($F895,SubsidieTabel!$AD$1:$AD$12,0),IFERROR(MATCH(Methode_Keuze,SubsidieTabel!$AD$1:$AG$1,0),2))&lt;&gt;1=TRUE,"ja",""),"")</f>
        <v/>
      </c>
    </row>
    <row r="896" spans="1:27" x14ac:dyDescent="0.25">
      <c r="A896" s="320"/>
      <c r="B896" s="321" t="str">
        <f>IF(A896&lt;&gt;"",_xlfn.MAXIFS($B$1:B895,$A$1:A895,A896)+1,"")</f>
        <v/>
      </c>
      <c r="C896" s="299"/>
      <c r="D896" s="299"/>
      <c r="E896" s="299"/>
      <c r="F896" s="299"/>
      <c r="G896" s="330"/>
      <c r="H896" s="328"/>
      <c r="I896" s="329"/>
      <c r="J896" s="329"/>
      <c r="K896" s="322"/>
      <c r="L896" s="322"/>
      <c r="M896" s="323" t="str">
        <f>IFERROR(VLOOKUP(H896,Lijsten!$H$1:$I$100,2,0),"")</f>
        <v/>
      </c>
      <c r="N896" s="323" t="str">
        <f ca="1">IFERROR(IF(VLOOKUP(F896,Kostentypen!$A$3:$E$21,3,0)=0,"",IF(OR(F896="Arbeidskosten",F896="Vergoeding"),VLOOKUP(G896,Tb_KostenTypen[],2,0),VLOOKUP(F896,Kostentypen!$A$3:$E$20,3,0))),"")</f>
        <v/>
      </c>
      <c r="O896" s="324"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4"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3"/>
      <c r="R896" s="363"/>
      <c r="S896" s="325"/>
      <c r="T896" s="325"/>
      <c r="U896" s="317" t="str" cm="1">
        <f t="array" aca="1" ref="U896" ca="1">IFERROR(IF(AA896&lt;&gt;"ja",_xlfn.IFNA(_xlfn.IFS(AND(O896&lt;&gt;"",F896&lt;&gt;"",RIGHT($N896,6)="tarief",F896="Vergoeding"),SUM(O896)*FLOOR(SUM(Q896),0.0001),AND(O896&lt;&gt;"",F896&lt;&gt;"",RIGHT($N896,6)="tarief"),SUM(O896)*FLOOR(SUM(Q896),0.01),S896&gt;0,IF(F896&lt;&gt;"",FLOOR(SUM(S896),0.01),"")),""),""),"")</f>
        <v/>
      </c>
      <c r="V896" s="317" t="str" cm="1">
        <f t="array" aca="1" ref="V896" ca="1">IFERROR(IF(AA896&lt;&gt;"ja",_xlfn.IFNA(_xlfn.IFS(AND(P896&lt;&gt;"",R896&lt;&gt;"",RIGHT($N896,6)="tarief",F896="Vergoeding"),SUM(P896)*FLOOR(SUM(R896),0.0001),AND(P896&lt;&gt;"",R896&lt;&gt;"",RIGHT($N896,6)="tarief"),P896*FLOOR(R896,0.01),T896&gt;0,FLOOR(SUM(T896),0.01)),""),""),"")</f>
        <v/>
      </c>
      <c r="W896" s="317" t="str" cm="1">
        <f t="array" aca="1" ref="W896" ca="1">IFERROR(_xlfn.IFS(OR(F896="",LEFT(Methode_Keuze,4)="Geen",Methode_Keuze=""),"",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17" t="str" cm="1">
        <f t="array" aca="1" ref="X896" ca="1">IFERROR(_xlfn.IFS(OR(F896="",LEFT(Methode_Keuze,4)="Geen",Methode_Keuze=""),"",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26"/>
      <c r="Z896" s="319"/>
      <c r="AA896" s="32" t="str" cm="1">
        <f t="array" ref="AA896">IFERROR(IF(INDEX(SubsidieTabel!$AD$1:$AG$12,MATCH($F896,SubsidieTabel!$AD$1:$AD$12,0),IFERROR(MATCH(Methode_Keuze,SubsidieTabel!$AD$1:$AG$1,0),2))&lt;&gt;1=TRUE,"ja",""),"")</f>
        <v/>
      </c>
    </row>
    <row r="897" spans="1:27" x14ac:dyDescent="0.25">
      <c r="A897" s="320"/>
      <c r="B897" s="321" t="str">
        <f>IF(A897&lt;&gt;"",_xlfn.MAXIFS($B$1:B896,$A$1:A896,A897)+1,"")</f>
        <v/>
      </c>
      <c r="C897" s="299"/>
      <c r="D897" s="299"/>
      <c r="E897" s="299"/>
      <c r="F897" s="299"/>
      <c r="G897" s="330"/>
      <c r="H897" s="328"/>
      <c r="I897" s="329"/>
      <c r="J897" s="329"/>
      <c r="K897" s="322"/>
      <c r="L897" s="322"/>
      <c r="M897" s="323" t="str">
        <f>IFERROR(VLOOKUP(H897,Lijsten!$H$1:$I$100,2,0),"")</f>
        <v/>
      </c>
      <c r="N897" s="323" t="str">
        <f ca="1">IFERROR(IF(VLOOKUP(F897,Kostentypen!$A$3:$E$21,3,0)=0,"",IF(OR(F897="Arbeidskosten",F897="Vergoeding"),VLOOKUP(G897,Tb_KostenTypen[],2,0),VLOOKUP(F897,Kostentypen!$A$3:$E$20,3,0))),"")</f>
        <v/>
      </c>
      <c r="O897" s="324"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4"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3"/>
      <c r="R897" s="363"/>
      <c r="S897" s="325"/>
      <c r="T897" s="325"/>
      <c r="U897" s="317" t="str" cm="1">
        <f t="array" aca="1" ref="U897" ca="1">IFERROR(IF(AA897&lt;&gt;"ja",_xlfn.IFNA(_xlfn.IFS(AND(O897&lt;&gt;"",F897&lt;&gt;"",RIGHT($N897,6)="tarief",F897="Vergoeding"),SUM(O897)*FLOOR(SUM(Q897),0.0001),AND(O897&lt;&gt;"",F897&lt;&gt;"",RIGHT($N897,6)="tarief"),SUM(O897)*FLOOR(SUM(Q897),0.01),S897&gt;0,IF(F897&lt;&gt;"",FLOOR(SUM(S897),0.01),"")),""),""),"")</f>
        <v/>
      </c>
      <c r="V897" s="317" t="str" cm="1">
        <f t="array" aca="1" ref="V897" ca="1">IFERROR(IF(AA897&lt;&gt;"ja",_xlfn.IFNA(_xlfn.IFS(AND(P897&lt;&gt;"",R897&lt;&gt;"",RIGHT($N897,6)="tarief",F897="Vergoeding"),SUM(P897)*FLOOR(SUM(R897),0.0001),AND(P897&lt;&gt;"",R897&lt;&gt;"",RIGHT($N897,6)="tarief"),P897*FLOOR(R897,0.01),T897&gt;0,FLOOR(SUM(T897),0.01)),""),""),"")</f>
        <v/>
      </c>
      <c r="W897" s="317" t="str" cm="1">
        <f t="array" aca="1" ref="W897" ca="1">IFERROR(_xlfn.IFS(OR(F897="",LEFT(Methode_Keuze,4)="Geen",Methode_Keuze=""),"",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17" t="str" cm="1">
        <f t="array" aca="1" ref="X897" ca="1">IFERROR(_xlfn.IFS(OR(F897="",LEFT(Methode_Keuze,4)="Geen",Methode_Keuze=""),"",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26"/>
      <c r="Z897" s="319"/>
      <c r="AA897" s="32" t="str" cm="1">
        <f t="array" ref="AA897">IFERROR(IF(INDEX(SubsidieTabel!$AD$1:$AG$12,MATCH($F897,SubsidieTabel!$AD$1:$AD$12,0),IFERROR(MATCH(Methode_Keuze,SubsidieTabel!$AD$1:$AG$1,0),2))&lt;&gt;1=TRUE,"ja",""),"")</f>
        <v/>
      </c>
    </row>
    <row r="898" spans="1:27" x14ac:dyDescent="0.25">
      <c r="A898" s="320"/>
      <c r="B898" s="321" t="str">
        <f>IF(A898&lt;&gt;"",_xlfn.MAXIFS($B$1:B897,$A$1:A897,A898)+1,"")</f>
        <v/>
      </c>
      <c r="C898" s="299"/>
      <c r="D898" s="299"/>
      <c r="E898" s="299"/>
      <c r="F898" s="299"/>
      <c r="G898" s="330"/>
      <c r="H898" s="328"/>
      <c r="I898" s="329"/>
      <c r="J898" s="329"/>
      <c r="K898" s="322"/>
      <c r="L898" s="322"/>
      <c r="M898" s="323" t="str">
        <f>IFERROR(VLOOKUP(H898,Lijsten!$H$1:$I$100,2,0),"")</f>
        <v/>
      </c>
      <c r="N898" s="323" t="str">
        <f ca="1">IFERROR(IF(VLOOKUP(F898,Kostentypen!$A$3:$E$21,3,0)=0,"",IF(OR(F898="Arbeidskosten",F898="Vergoeding"),VLOOKUP(G898,Tb_KostenTypen[],2,0),VLOOKUP(F898,Kostentypen!$A$3:$E$20,3,0))),"")</f>
        <v/>
      </c>
      <c r="O898" s="324"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4"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3"/>
      <c r="R898" s="363"/>
      <c r="S898" s="325"/>
      <c r="T898" s="325"/>
      <c r="U898" s="317" t="str" cm="1">
        <f t="array" aca="1" ref="U898" ca="1">IFERROR(IF(AA898&lt;&gt;"ja",_xlfn.IFNA(_xlfn.IFS(AND(O898&lt;&gt;"",F898&lt;&gt;"",RIGHT($N898,6)="tarief",F898="Vergoeding"),SUM(O898)*FLOOR(SUM(Q898),0.0001),AND(O898&lt;&gt;"",F898&lt;&gt;"",RIGHT($N898,6)="tarief"),SUM(O898)*FLOOR(SUM(Q898),0.01),S898&gt;0,IF(F898&lt;&gt;"",FLOOR(SUM(S898),0.01),"")),""),""),"")</f>
        <v/>
      </c>
      <c r="V898" s="317" t="str" cm="1">
        <f t="array" aca="1" ref="V898" ca="1">IFERROR(IF(AA898&lt;&gt;"ja",_xlfn.IFNA(_xlfn.IFS(AND(P898&lt;&gt;"",R898&lt;&gt;"",RIGHT($N898,6)="tarief",F898="Vergoeding"),SUM(P898)*FLOOR(SUM(R898),0.0001),AND(P898&lt;&gt;"",R898&lt;&gt;"",RIGHT($N898,6)="tarief"),P898*FLOOR(R898,0.01),T898&gt;0,FLOOR(SUM(T898),0.01)),""),""),"")</f>
        <v/>
      </c>
      <c r="W898" s="317" t="str" cm="1">
        <f t="array" aca="1" ref="W898" ca="1">IFERROR(_xlfn.IFS(OR(F898="",LEFT(Methode_Keuze,4)="Geen",Methode_Keuze=""),"",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17" t="str" cm="1">
        <f t="array" aca="1" ref="X898" ca="1">IFERROR(_xlfn.IFS(OR(F898="",LEFT(Methode_Keuze,4)="Geen",Methode_Keuze=""),"",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26"/>
      <c r="Z898" s="319"/>
      <c r="AA898" s="32" t="str" cm="1">
        <f t="array" ref="AA898">IFERROR(IF(INDEX(SubsidieTabel!$AD$1:$AG$12,MATCH($F898,SubsidieTabel!$AD$1:$AD$12,0),IFERROR(MATCH(Methode_Keuze,SubsidieTabel!$AD$1:$AG$1,0),2))&lt;&gt;1=TRUE,"ja",""),"")</f>
        <v/>
      </c>
    </row>
    <row r="899" spans="1:27" x14ac:dyDescent="0.25">
      <c r="A899" s="320"/>
      <c r="B899" s="321" t="str">
        <f>IF(A899&lt;&gt;"",_xlfn.MAXIFS($B$1:B898,$A$1:A898,A899)+1,"")</f>
        <v/>
      </c>
      <c r="C899" s="299"/>
      <c r="D899" s="299"/>
      <c r="E899" s="299"/>
      <c r="F899" s="299"/>
      <c r="G899" s="330"/>
      <c r="H899" s="328"/>
      <c r="I899" s="329"/>
      <c r="J899" s="329"/>
      <c r="K899" s="322"/>
      <c r="L899" s="322"/>
      <c r="M899" s="323" t="str">
        <f>IFERROR(VLOOKUP(H899,Lijsten!$H$1:$I$100,2,0),"")</f>
        <v/>
      </c>
      <c r="N899" s="323" t="str">
        <f ca="1">IFERROR(IF(VLOOKUP(F899,Kostentypen!$A$3:$E$21,3,0)=0,"",IF(OR(F899="Arbeidskosten",F899="Vergoeding"),VLOOKUP(G899,Tb_KostenTypen[],2,0),VLOOKUP(F899,Kostentypen!$A$3:$E$20,3,0))),"")</f>
        <v/>
      </c>
      <c r="O899" s="324"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4"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3"/>
      <c r="R899" s="363"/>
      <c r="S899" s="325"/>
      <c r="T899" s="325"/>
      <c r="U899" s="317" t="str" cm="1">
        <f t="array" aca="1" ref="U899" ca="1">IFERROR(IF(AA899&lt;&gt;"ja",_xlfn.IFNA(_xlfn.IFS(AND(O899&lt;&gt;"",F899&lt;&gt;"",RIGHT($N899,6)="tarief",F899="Vergoeding"),SUM(O899)*FLOOR(SUM(Q899),0.0001),AND(O899&lt;&gt;"",F899&lt;&gt;"",RIGHT($N899,6)="tarief"),SUM(O899)*FLOOR(SUM(Q899),0.01),S899&gt;0,IF(F899&lt;&gt;"",FLOOR(SUM(S899),0.01),"")),""),""),"")</f>
        <v/>
      </c>
      <c r="V899" s="317" t="str" cm="1">
        <f t="array" aca="1" ref="V899" ca="1">IFERROR(IF(AA899&lt;&gt;"ja",_xlfn.IFNA(_xlfn.IFS(AND(P899&lt;&gt;"",R899&lt;&gt;"",RIGHT($N899,6)="tarief",F899="Vergoeding"),SUM(P899)*FLOOR(SUM(R899),0.0001),AND(P899&lt;&gt;"",R899&lt;&gt;"",RIGHT($N899,6)="tarief"),P899*FLOOR(R899,0.01),T899&gt;0,FLOOR(SUM(T899),0.01)),""),""),"")</f>
        <v/>
      </c>
      <c r="W899" s="317" t="str" cm="1">
        <f t="array" aca="1" ref="W899" ca="1">IFERROR(_xlfn.IFS(OR(F899="",LEFT(Methode_Keuze,4)="Geen",Methode_Keuze=""),"",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17" t="str" cm="1">
        <f t="array" aca="1" ref="X899" ca="1">IFERROR(_xlfn.IFS(OR(F899="",LEFT(Methode_Keuze,4)="Geen",Methode_Keuze=""),"",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26"/>
      <c r="Z899" s="319"/>
      <c r="AA899" s="32" t="str" cm="1">
        <f t="array" ref="AA899">IFERROR(IF(INDEX(SubsidieTabel!$AD$1:$AG$12,MATCH($F899,SubsidieTabel!$AD$1:$AD$12,0),IFERROR(MATCH(Methode_Keuze,SubsidieTabel!$AD$1:$AG$1,0),2))&lt;&gt;1=TRUE,"ja",""),"")</f>
        <v/>
      </c>
    </row>
    <row r="900" spans="1:27" x14ac:dyDescent="0.25">
      <c r="A900" s="320"/>
      <c r="B900" s="321" t="str">
        <f>IF(A900&lt;&gt;"",_xlfn.MAXIFS($B$1:B899,$A$1:A899,A900)+1,"")</f>
        <v/>
      </c>
      <c r="C900" s="299"/>
      <c r="D900" s="299"/>
      <c r="E900" s="299"/>
      <c r="F900" s="299"/>
      <c r="G900" s="330"/>
      <c r="H900" s="328"/>
      <c r="I900" s="329"/>
      <c r="J900" s="329"/>
      <c r="K900" s="322"/>
      <c r="L900" s="322"/>
      <c r="M900" s="323" t="str">
        <f>IFERROR(VLOOKUP(H900,Lijsten!$H$1:$I$100,2,0),"")</f>
        <v/>
      </c>
      <c r="N900" s="323" t="str">
        <f ca="1">IFERROR(IF(VLOOKUP(F900,Kostentypen!$A$3:$E$21,3,0)=0,"",IF(OR(F900="Arbeidskosten",F900="Vergoeding"),VLOOKUP(G900,Tb_KostenTypen[],2,0),VLOOKUP(F900,Kostentypen!$A$3:$E$20,3,0))),"")</f>
        <v/>
      </c>
      <c r="O900" s="324"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4"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3"/>
      <c r="R900" s="363"/>
      <c r="S900" s="325"/>
      <c r="T900" s="325"/>
      <c r="U900" s="317" t="str" cm="1">
        <f t="array" aca="1" ref="U900" ca="1">IFERROR(IF(AA900&lt;&gt;"ja",_xlfn.IFNA(_xlfn.IFS(AND(O900&lt;&gt;"",F900&lt;&gt;"",RIGHT($N900,6)="tarief",F900="Vergoeding"),SUM(O900)*FLOOR(SUM(Q900),0.0001),AND(O900&lt;&gt;"",F900&lt;&gt;"",RIGHT($N900,6)="tarief"),SUM(O900)*FLOOR(SUM(Q900),0.01),S900&gt;0,IF(F900&lt;&gt;"",FLOOR(SUM(S900),0.01),"")),""),""),"")</f>
        <v/>
      </c>
      <c r="V900" s="317" t="str" cm="1">
        <f t="array" aca="1" ref="V900" ca="1">IFERROR(IF(AA900&lt;&gt;"ja",_xlfn.IFNA(_xlfn.IFS(AND(P900&lt;&gt;"",R900&lt;&gt;"",RIGHT($N900,6)="tarief",F900="Vergoeding"),SUM(P900)*FLOOR(SUM(R900),0.0001),AND(P900&lt;&gt;"",R900&lt;&gt;"",RIGHT($N900,6)="tarief"),P900*FLOOR(R900,0.01),T900&gt;0,FLOOR(SUM(T900),0.01)),""),""),"")</f>
        <v/>
      </c>
      <c r="W900" s="317" t="str" cm="1">
        <f t="array" aca="1" ref="W900" ca="1">IFERROR(_xlfn.IFS(OR(F900="",LEFT(Methode_Keuze,4)="Geen",Methode_Keuze=""),"",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17" t="str" cm="1">
        <f t="array" aca="1" ref="X900" ca="1">IFERROR(_xlfn.IFS(OR(F900="",LEFT(Methode_Keuze,4)="Geen",Methode_Keuze=""),"",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26"/>
      <c r="Z900" s="319"/>
      <c r="AA900" s="32" t="str" cm="1">
        <f t="array" ref="AA900">IFERROR(IF(INDEX(SubsidieTabel!$AD$1:$AG$12,MATCH($F900,SubsidieTabel!$AD$1:$AD$12,0),IFERROR(MATCH(Methode_Keuze,SubsidieTabel!$AD$1:$AG$1,0),2))&lt;&gt;1=TRUE,"ja",""),"")</f>
        <v/>
      </c>
    </row>
    <row r="901" spans="1:27" x14ac:dyDescent="0.25">
      <c r="A901" s="320"/>
      <c r="B901" s="321" t="str">
        <f>IF(A901&lt;&gt;"",_xlfn.MAXIFS($B$1:B900,$A$1:A900,A901)+1,"")</f>
        <v/>
      </c>
      <c r="C901" s="299"/>
      <c r="D901" s="299"/>
      <c r="E901" s="299"/>
      <c r="F901" s="299"/>
      <c r="G901" s="330"/>
      <c r="H901" s="328"/>
      <c r="I901" s="329"/>
      <c r="J901" s="329"/>
      <c r="K901" s="322"/>
      <c r="L901" s="322"/>
      <c r="M901" s="323" t="str">
        <f>IFERROR(VLOOKUP(H901,Lijsten!$H$1:$I$100,2,0),"")</f>
        <v/>
      </c>
      <c r="N901" s="323" t="str">
        <f ca="1">IFERROR(IF(VLOOKUP(F901,Kostentypen!$A$3:$E$21,3,0)=0,"",IF(OR(F901="Arbeidskosten",F901="Vergoeding"),VLOOKUP(G901,Tb_KostenTypen[],2,0),VLOOKUP(F901,Kostentypen!$A$3:$E$20,3,0))),"")</f>
        <v/>
      </c>
      <c r="O901" s="324"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4"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3"/>
      <c r="R901" s="363"/>
      <c r="S901" s="325"/>
      <c r="T901" s="325"/>
      <c r="U901" s="317" t="str" cm="1">
        <f t="array" aca="1" ref="U901" ca="1">IFERROR(IF(AA901&lt;&gt;"ja",_xlfn.IFNA(_xlfn.IFS(AND(O901&lt;&gt;"",F901&lt;&gt;"",RIGHT($N901,6)="tarief",F901="Vergoeding"),SUM(O901)*FLOOR(SUM(Q901),0.0001),AND(O901&lt;&gt;"",F901&lt;&gt;"",RIGHT($N901,6)="tarief"),SUM(O901)*FLOOR(SUM(Q901),0.01),S901&gt;0,IF(F901&lt;&gt;"",FLOOR(SUM(S901),0.01),"")),""),""),"")</f>
        <v/>
      </c>
      <c r="V901" s="317" t="str" cm="1">
        <f t="array" aca="1" ref="V901" ca="1">IFERROR(IF(AA901&lt;&gt;"ja",_xlfn.IFNA(_xlfn.IFS(AND(P901&lt;&gt;"",R901&lt;&gt;"",RIGHT($N901,6)="tarief",F901="Vergoeding"),SUM(P901)*FLOOR(SUM(R901),0.0001),AND(P901&lt;&gt;"",R901&lt;&gt;"",RIGHT($N901,6)="tarief"),P901*FLOOR(R901,0.01),T901&gt;0,FLOOR(SUM(T901),0.01)),""),""),"")</f>
        <v/>
      </c>
      <c r="W901" s="317" t="str" cm="1">
        <f t="array" aca="1" ref="W901" ca="1">IFERROR(_xlfn.IFS(OR(F901="",LEFT(Methode_Keuze,4)="Geen",Methode_Keuze=""),"",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17" t="str" cm="1">
        <f t="array" aca="1" ref="X901" ca="1">IFERROR(_xlfn.IFS(OR(F901="",LEFT(Methode_Keuze,4)="Geen",Methode_Keuze=""),"",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26"/>
      <c r="Z901" s="319"/>
      <c r="AA901" s="32" t="str" cm="1">
        <f t="array" ref="AA901">IFERROR(IF(INDEX(SubsidieTabel!$AD$1:$AG$12,MATCH($F901,SubsidieTabel!$AD$1:$AD$12,0),IFERROR(MATCH(Methode_Keuze,SubsidieTabel!$AD$1:$AG$1,0),2))&lt;&gt;1=TRUE,"ja",""),"")</f>
        <v/>
      </c>
    </row>
    <row r="902" spans="1:27" x14ac:dyDescent="0.25">
      <c r="A902" s="320"/>
      <c r="B902" s="321" t="str">
        <f>IF(A902&lt;&gt;"",_xlfn.MAXIFS($B$1:B901,$A$1:A901,A902)+1,"")</f>
        <v/>
      </c>
      <c r="C902" s="299"/>
      <c r="D902" s="299"/>
      <c r="E902" s="299"/>
      <c r="F902" s="299"/>
      <c r="G902" s="330"/>
      <c r="H902" s="328"/>
      <c r="I902" s="329"/>
      <c r="J902" s="329"/>
      <c r="K902" s="322"/>
      <c r="L902" s="322"/>
      <c r="M902" s="323" t="str">
        <f>IFERROR(VLOOKUP(H902,Lijsten!$H$1:$I$100,2,0),"")</f>
        <v/>
      </c>
      <c r="N902" s="323" t="str">
        <f ca="1">IFERROR(IF(VLOOKUP(F902,Kostentypen!$A$3:$E$21,3,0)=0,"",IF(OR(F902="Arbeidskosten",F902="Vergoeding"),VLOOKUP(G902,Tb_KostenTypen[],2,0),VLOOKUP(F902,Kostentypen!$A$3:$E$20,3,0))),"")</f>
        <v/>
      </c>
      <c r="O902" s="324"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4"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3"/>
      <c r="R902" s="363"/>
      <c r="S902" s="325"/>
      <c r="T902" s="325"/>
      <c r="U902" s="317" t="str" cm="1">
        <f t="array" aca="1" ref="U902" ca="1">IFERROR(IF(AA902&lt;&gt;"ja",_xlfn.IFNA(_xlfn.IFS(AND(O902&lt;&gt;"",F902&lt;&gt;"",RIGHT($N902,6)="tarief",F902="Vergoeding"),SUM(O902)*FLOOR(SUM(Q902),0.0001),AND(O902&lt;&gt;"",F902&lt;&gt;"",RIGHT($N902,6)="tarief"),SUM(O902)*FLOOR(SUM(Q902),0.01),S902&gt;0,IF(F902&lt;&gt;"",FLOOR(SUM(S902),0.01),"")),""),""),"")</f>
        <v/>
      </c>
      <c r="V902" s="317" t="str" cm="1">
        <f t="array" aca="1" ref="V902" ca="1">IFERROR(IF(AA902&lt;&gt;"ja",_xlfn.IFNA(_xlfn.IFS(AND(P902&lt;&gt;"",R902&lt;&gt;"",RIGHT($N902,6)="tarief",F902="Vergoeding"),SUM(P902)*FLOOR(SUM(R902),0.0001),AND(P902&lt;&gt;"",R902&lt;&gt;"",RIGHT($N902,6)="tarief"),P902*FLOOR(R902,0.01),T902&gt;0,FLOOR(SUM(T902),0.01)),""),""),"")</f>
        <v/>
      </c>
      <c r="W902" s="317" t="str" cm="1">
        <f t="array" aca="1" ref="W902" ca="1">IFERROR(_xlfn.IFS(OR(F902="",LEFT(Methode_Keuze,4)="Geen",Methode_Keuze=""),"",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17" t="str" cm="1">
        <f t="array" aca="1" ref="X902" ca="1">IFERROR(_xlfn.IFS(OR(F902="",LEFT(Methode_Keuze,4)="Geen",Methode_Keuze=""),"",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26"/>
      <c r="Z902" s="319"/>
      <c r="AA902" s="32" t="str" cm="1">
        <f t="array" ref="AA902">IFERROR(IF(INDEX(SubsidieTabel!$AD$1:$AG$12,MATCH($F902,SubsidieTabel!$AD$1:$AD$12,0),IFERROR(MATCH(Methode_Keuze,SubsidieTabel!$AD$1:$AG$1,0),2))&lt;&gt;1=TRUE,"ja",""),"")</f>
        <v/>
      </c>
    </row>
    <row r="903" spans="1:27" x14ac:dyDescent="0.25">
      <c r="A903" s="320"/>
      <c r="B903" s="321" t="str">
        <f>IF(A903&lt;&gt;"",_xlfn.MAXIFS($B$1:B902,$A$1:A902,A903)+1,"")</f>
        <v/>
      </c>
      <c r="C903" s="299"/>
      <c r="D903" s="299"/>
      <c r="E903" s="299"/>
      <c r="F903" s="299"/>
      <c r="G903" s="330"/>
      <c r="H903" s="328"/>
      <c r="I903" s="329"/>
      <c r="J903" s="329"/>
      <c r="K903" s="322"/>
      <c r="L903" s="322"/>
      <c r="M903" s="323" t="str">
        <f>IFERROR(VLOOKUP(H903,Lijsten!$H$1:$I$100,2,0),"")</f>
        <v/>
      </c>
      <c r="N903" s="323" t="str">
        <f ca="1">IFERROR(IF(VLOOKUP(F903,Kostentypen!$A$3:$E$21,3,0)=0,"",IF(OR(F903="Arbeidskosten",F903="Vergoeding"),VLOOKUP(G903,Tb_KostenTypen[],2,0),VLOOKUP(F903,Kostentypen!$A$3:$E$20,3,0))),"")</f>
        <v/>
      </c>
      <c r="O903" s="324"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4"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3"/>
      <c r="R903" s="363"/>
      <c r="S903" s="325"/>
      <c r="T903" s="325"/>
      <c r="U903" s="317" t="str" cm="1">
        <f t="array" aca="1" ref="U903" ca="1">IFERROR(IF(AA903&lt;&gt;"ja",_xlfn.IFNA(_xlfn.IFS(AND(O903&lt;&gt;"",F903&lt;&gt;"",RIGHT($N903,6)="tarief",F903="Vergoeding"),SUM(O903)*FLOOR(SUM(Q903),0.0001),AND(O903&lt;&gt;"",F903&lt;&gt;"",RIGHT($N903,6)="tarief"),SUM(O903)*FLOOR(SUM(Q903),0.01),S903&gt;0,IF(F903&lt;&gt;"",FLOOR(SUM(S903),0.01),"")),""),""),"")</f>
        <v/>
      </c>
      <c r="V903" s="317" t="str" cm="1">
        <f t="array" aca="1" ref="V903" ca="1">IFERROR(IF(AA903&lt;&gt;"ja",_xlfn.IFNA(_xlfn.IFS(AND(P903&lt;&gt;"",R903&lt;&gt;"",RIGHT($N903,6)="tarief",F903="Vergoeding"),SUM(P903)*FLOOR(SUM(R903),0.0001),AND(P903&lt;&gt;"",R903&lt;&gt;"",RIGHT($N903,6)="tarief"),P903*FLOOR(R903,0.01),T903&gt;0,FLOOR(SUM(T903),0.01)),""),""),"")</f>
        <v/>
      </c>
      <c r="W903" s="317" t="str" cm="1">
        <f t="array" aca="1" ref="W903" ca="1">IFERROR(_xlfn.IFS(OR(F903="",LEFT(Methode_Keuze,4)="Geen",Methode_Keuze=""),"",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17" t="str" cm="1">
        <f t="array" aca="1" ref="X903" ca="1">IFERROR(_xlfn.IFS(OR(F903="",LEFT(Methode_Keuze,4)="Geen",Methode_Keuze=""),"",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26"/>
      <c r="Z903" s="319"/>
      <c r="AA903" s="32" t="str" cm="1">
        <f t="array" ref="AA903">IFERROR(IF(INDEX(SubsidieTabel!$AD$1:$AG$12,MATCH($F903,SubsidieTabel!$AD$1:$AD$12,0),IFERROR(MATCH(Methode_Keuze,SubsidieTabel!$AD$1:$AG$1,0),2))&lt;&gt;1=TRUE,"ja",""),"")</f>
        <v/>
      </c>
    </row>
    <row r="904" spans="1:27" x14ac:dyDescent="0.25">
      <c r="A904" s="320"/>
      <c r="B904" s="321" t="str">
        <f>IF(A904&lt;&gt;"",_xlfn.MAXIFS($B$1:B903,$A$1:A903,A904)+1,"")</f>
        <v/>
      </c>
      <c r="C904" s="299"/>
      <c r="D904" s="299"/>
      <c r="E904" s="299"/>
      <c r="F904" s="299"/>
      <c r="G904" s="330"/>
      <c r="H904" s="328"/>
      <c r="I904" s="329"/>
      <c r="J904" s="329"/>
      <c r="K904" s="322"/>
      <c r="L904" s="322"/>
      <c r="M904" s="323" t="str">
        <f>IFERROR(VLOOKUP(H904,Lijsten!$H$1:$I$100,2,0),"")</f>
        <v/>
      </c>
      <c r="N904" s="323" t="str">
        <f ca="1">IFERROR(IF(VLOOKUP(F904,Kostentypen!$A$3:$E$21,3,0)=0,"",IF(OR(F904="Arbeidskosten",F904="Vergoeding"),VLOOKUP(G904,Tb_KostenTypen[],2,0),VLOOKUP(F904,Kostentypen!$A$3:$E$20,3,0))),"")</f>
        <v/>
      </c>
      <c r="O904" s="324"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4"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3"/>
      <c r="R904" s="363"/>
      <c r="S904" s="325"/>
      <c r="T904" s="325"/>
      <c r="U904" s="317" t="str" cm="1">
        <f t="array" aca="1" ref="U904" ca="1">IFERROR(IF(AA904&lt;&gt;"ja",_xlfn.IFNA(_xlfn.IFS(AND(O904&lt;&gt;"",F904&lt;&gt;"",RIGHT($N904,6)="tarief",F904="Vergoeding"),SUM(O904)*FLOOR(SUM(Q904),0.0001),AND(O904&lt;&gt;"",F904&lt;&gt;"",RIGHT($N904,6)="tarief"),SUM(O904)*FLOOR(SUM(Q904),0.01),S904&gt;0,IF(F904&lt;&gt;"",FLOOR(SUM(S904),0.01),"")),""),""),"")</f>
        <v/>
      </c>
      <c r="V904" s="317" t="str" cm="1">
        <f t="array" aca="1" ref="V904" ca="1">IFERROR(IF(AA904&lt;&gt;"ja",_xlfn.IFNA(_xlfn.IFS(AND(P904&lt;&gt;"",R904&lt;&gt;"",RIGHT($N904,6)="tarief",F904="Vergoeding"),SUM(P904)*FLOOR(SUM(R904),0.0001),AND(P904&lt;&gt;"",R904&lt;&gt;"",RIGHT($N904,6)="tarief"),P904*FLOOR(R904,0.01),T904&gt;0,FLOOR(SUM(T904),0.01)),""),""),"")</f>
        <v/>
      </c>
      <c r="W904" s="317" t="str" cm="1">
        <f t="array" aca="1" ref="W904" ca="1">IFERROR(_xlfn.IFS(OR(F904="",LEFT(Methode_Keuze,4)="Geen",Methode_Keuze=""),"",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17" t="str" cm="1">
        <f t="array" aca="1" ref="X904" ca="1">IFERROR(_xlfn.IFS(OR(F904="",LEFT(Methode_Keuze,4)="Geen",Methode_Keuze=""),"",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26"/>
      <c r="Z904" s="319"/>
      <c r="AA904" s="32" t="str" cm="1">
        <f t="array" ref="AA904">IFERROR(IF(INDEX(SubsidieTabel!$AD$1:$AG$12,MATCH($F904,SubsidieTabel!$AD$1:$AD$12,0),IFERROR(MATCH(Methode_Keuze,SubsidieTabel!$AD$1:$AG$1,0),2))&lt;&gt;1=TRUE,"ja",""),"")</f>
        <v/>
      </c>
    </row>
    <row r="905" spans="1:27" x14ac:dyDescent="0.25">
      <c r="A905" s="320"/>
      <c r="B905" s="321" t="str">
        <f>IF(A905&lt;&gt;"",_xlfn.MAXIFS($B$1:B904,$A$1:A904,A905)+1,"")</f>
        <v/>
      </c>
      <c r="C905" s="299"/>
      <c r="D905" s="299"/>
      <c r="E905" s="299"/>
      <c r="F905" s="299"/>
      <c r="G905" s="330"/>
      <c r="H905" s="328"/>
      <c r="I905" s="329"/>
      <c r="J905" s="329"/>
      <c r="K905" s="322"/>
      <c r="L905" s="322"/>
      <c r="M905" s="323" t="str">
        <f>IFERROR(VLOOKUP(H905,Lijsten!$H$1:$I$100,2,0),"")</f>
        <v/>
      </c>
      <c r="N905" s="323" t="str">
        <f ca="1">IFERROR(IF(VLOOKUP(F905,Kostentypen!$A$3:$E$21,3,0)=0,"",IF(OR(F905="Arbeidskosten",F905="Vergoeding"),VLOOKUP(G905,Tb_KostenTypen[],2,0),VLOOKUP(F905,Kostentypen!$A$3:$E$20,3,0))),"")</f>
        <v/>
      </c>
      <c r="O905" s="324"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4"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3"/>
      <c r="R905" s="363"/>
      <c r="S905" s="325"/>
      <c r="T905" s="325"/>
      <c r="U905" s="317" t="str" cm="1">
        <f t="array" aca="1" ref="U905" ca="1">IFERROR(IF(AA905&lt;&gt;"ja",_xlfn.IFNA(_xlfn.IFS(AND(O905&lt;&gt;"",F905&lt;&gt;"",RIGHT($N905,6)="tarief",F905="Vergoeding"),SUM(O905)*FLOOR(SUM(Q905),0.0001),AND(O905&lt;&gt;"",F905&lt;&gt;"",RIGHT($N905,6)="tarief"),SUM(O905)*FLOOR(SUM(Q905),0.01),S905&gt;0,IF(F905&lt;&gt;"",FLOOR(SUM(S905),0.01),"")),""),""),"")</f>
        <v/>
      </c>
      <c r="V905" s="317" t="str" cm="1">
        <f t="array" aca="1" ref="V905" ca="1">IFERROR(IF(AA905&lt;&gt;"ja",_xlfn.IFNA(_xlfn.IFS(AND(P905&lt;&gt;"",R905&lt;&gt;"",RIGHT($N905,6)="tarief",F905="Vergoeding"),SUM(P905)*FLOOR(SUM(R905),0.0001),AND(P905&lt;&gt;"",R905&lt;&gt;"",RIGHT($N905,6)="tarief"),P905*FLOOR(R905,0.01),T905&gt;0,FLOOR(SUM(T905),0.01)),""),""),"")</f>
        <v/>
      </c>
      <c r="W905" s="317" t="str" cm="1">
        <f t="array" aca="1" ref="W905" ca="1">IFERROR(_xlfn.IFS(OR(F905="",LEFT(Methode_Keuze,4)="Geen",Methode_Keuze=""),"",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17" t="str" cm="1">
        <f t="array" aca="1" ref="X905" ca="1">IFERROR(_xlfn.IFS(OR(F905="",LEFT(Methode_Keuze,4)="Geen",Methode_Keuze=""),"",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26"/>
      <c r="Z905" s="319"/>
      <c r="AA905" s="32" t="str" cm="1">
        <f t="array" ref="AA905">IFERROR(IF(INDEX(SubsidieTabel!$AD$1:$AG$12,MATCH($F905,SubsidieTabel!$AD$1:$AD$12,0),IFERROR(MATCH(Methode_Keuze,SubsidieTabel!$AD$1:$AG$1,0),2))&lt;&gt;1=TRUE,"ja",""),"")</f>
        <v/>
      </c>
    </row>
    <row r="906" spans="1:27" x14ac:dyDescent="0.25">
      <c r="A906" s="320"/>
      <c r="B906" s="321" t="str">
        <f>IF(A906&lt;&gt;"",_xlfn.MAXIFS($B$1:B905,$A$1:A905,A906)+1,"")</f>
        <v/>
      </c>
      <c r="C906" s="299"/>
      <c r="D906" s="299"/>
      <c r="E906" s="299"/>
      <c r="F906" s="299"/>
      <c r="G906" s="330"/>
      <c r="H906" s="328"/>
      <c r="I906" s="329"/>
      <c r="J906" s="329"/>
      <c r="K906" s="322"/>
      <c r="L906" s="322"/>
      <c r="M906" s="323" t="str">
        <f>IFERROR(VLOOKUP(H906,Lijsten!$H$1:$I$100,2,0),"")</f>
        <v/>
      </c>
      <c r="N906" s="323" t="str">
        <f ca="1">IFERROR(IF(VLOOKUP(F906,Kostentypen!$A$3:$E$21,3,0)=0,"",IF(OR(F906="Arbeidskosten",F906="Vergoeding"),VLOOKUP(G906,Tb_KostenTypen[],2,0),VLOOKUP(F906,Kostentypen!$A$3:$E$20,3,0))),"")</f>
        <v/>
      </c>
      <c r="O906" s="324"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4"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3"/>
      <c r="R906" s="363"/>
      <c r="S906" s="325"/>
      <c r="T906" s="325"/>
      <c r="U906" s="317" t="str" cm="1">
        <f t="array" aca="1" ref="U906" ca="1">IFERROR(IF(AA906&lt;&gt;"ja",_xlfn.IFNA(_xlfn.IFS(AND(O906&lt;&gt;"",F906&lt;&gt;"",RIGHT($N906,6)="tarief",F906="Vergoeding"),SUM(O906)*FLOOR(SUM(Q906),0.0001),AND(O906&lt;&gt;"",F906&lt;&gt;"",RIGHT($N906,6)="tarief"),SUM(O906)*FLOOR(SUM(Q906),0.01),S906&gt;0,IF(F906&lt;&gt;"",FLOOR(SUM(S906),0.01),"")),""),""),"")</f>
        <v/>
      </c>
      <c r="V906" s="317" t="str" cm="1">
        <f t="array" aca="1" ref="V906" ca="1">IFERROR(IF(AA906&lt;&gt;"ja",_xlfn.IFNA(_xlfn.IFS(AND(P906&lt;&gt;"",R906&lt;&gt;"",RIGHT($N906,6)="tarief",F906="Vergoeding"),SUM(P906)*FLOOR(SUM(R906),0.0001),AND(P906&lt;&gt;"",R906&lt;&gt;"",RIGHT($N906,6)="tarief"),P906*FLOOR(R906,0.01),T906&gt;0,FLOOR(SUM(T906),0.01)),""),""),"")</f>
        <v/>
      </c>
      <c r="W906" s="317" t="str" cm="1">
        <f t="array" aca="1" ref="W906" ca="1">IFERROR(_xlfn.IFS(OR(F906="",LEFT(Methode_Keuze,4)="Geen",Methode_Keuze=""),"",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17" t="str" cm="1">
        <f t="array" aca="1" ref="X906" ca="1">IFERROR(_xlfn.IFS(OR(F906="",LEFT(Methode_Keuze,4)="Geen",Methode_Keuze=""),"",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26"/>
      <c r="Z906" s="319"/>
      <c r="AA906" s="32" t="str" cm="1">
        <f t="array" ref="AA906">IFERROR(IF(INDEX(SubsidieTabel!$AD$1:$AG$12,MATCH($F906,SubsidieTabel!$AD$1:$AD$12,0),IFERROR(MATCH(Methode_Keuze,SubsidieTabel!$AD$1:$AG$1,0),2))&lt;&gt;1=TRUE,"ja",""),"")</f>
        <v/>
      </c>
    </row>
    <row r="907" spans="1:27" x14ac:dyDescent="0.25">
      <c r="A907" s="320"/>
      <c r="B907" s="321" t="str">
        <f>IF(A907&lt;&gt;"",_xlfn.MAXIFS($B$1:B906,$A$1:A906,A907)+1,"")</f>
        <v/>
      </c>
      <c r="C907" s="299"/>
      <c r="D907" s="299"/>
      <c r="E907" s="299"/>
      <c r="F907" s="299"/>
      <c r="G907" s="330"/>
      <c r="H907" s="328"/>
      <c r="I907" s="329"/>
      <c r="J907" s="329"/>
      <c r="K907" s="322"/>
      <c r="L907" s="322"/>
      <c r="M907" s="323" t="str">
        <f>IFERROR(VLOOKUP(H907,Lijsten!$H$1:$I$100,2,0),"")</f>
        <v/>
      </c>
      <c r="N907" s="323" t="str">
        <f ca="1">IFERROR(IF(VLOOKUP(F907,Kostentypen!$A$3:$E$21,3,0)=0,"",IF(OR(F907="Arbeidskosten",F907="Vergoeding"),VLOOKUP(G907,Tb_KostenTypen[],2,0),VLOOKUP(F907,Kostentypen!$A$3:$E$20,3,0))),"")</f>
        <v/>
      </c>
      <c r="O907" s="324"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4"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3"/>
      <c r="R907" s="363"/>
      <c r="S907" s="325"/>
      <c r="T907" s="325"/>
      <c r="U907" s="317" t="str" cm="1">
        <f t="array" aca="1" ref="U907" ca="1">IFERROR(IF(AA907&lt;&gt;"ja",_xlfn.IFNA(_xlfn.IFS(AND(O907&lt;&gt;"",F907&lt;&gt;"",RIGHT($N907,6)="tarief",F907="Vergoeding"),SUM(O907)*FLOOR(SUM(Q907),0.0001),AND(O907&lt;&gt;"",F907&lt;&gt;"",RIGHT($N907,6)="tarief"),SUM(O907)*FLOOR(SUM(Q907),0.01),S907&gt;0,IF(F907&lt;&gt;"",FLOOR(SUM(S907),0.01),"")),""),""),"")</f>
        <v/>
      </c>
      <c r="V907" s="317" t="str" cm="1">
        <f t="array" aca="1" ref="V907" ca="1">IFERROR(IF(AA907&lt;&gt;"ja",_xlfn.IFNA(_xlfn.IFS(AND(P907&lt;&gt;"",R907&lt;&gt;"",RIGHT($N907,6)="tarief",F907="Vergoeding"),SUM(P907)*FLOOR(SUM(R907),0.0001),AND(P907&lt;&gt;"",R907&lt;&gt;"",RIGHT($N907,6)="tarief"),P907*FLOOR(R907,0.01),T907&gt;0,FLOOR(SUM(T907),0.01)),""),""),"")</f>
        <v/>
      </c>
      <c r="W907" s="317" t="str" cm="1">
        <f t="array" aca="1" ref="W907" ca="1">IFERROR(_xlfn.IFS(OR(F907="",LEFT(Methode_Keuze,4)="Geen",Methode_Keuze=""),"",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17" t="str" cm="1">
        <f t="array" aca="1" ref="X907" ca="1">IFERROR(_xlfn.IFS(OR(F907="",LEFT(Methode_Keuze,4)="Geen",Methode_Keuze=""),"",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26"/>
      <c r="Z907" s="319"/>
      <c r="AA907" s="32" t="str" cm="1">
        <f t="array" ref="AA907">IFERROR(IF(INDEX(SubsidieTabel!$AD$1:$AG$12,MATCH($F907,SubsidieTabel!$AD$1:$AD$12,0),IFERROR(MATCH(Methode_Keuze,SubsidieTabel!$AD$1:$AG$1,0),2))&lt;&gt;1=TRUE,"ja",""),"")</f>
        <v/>
      </c>
    </row>
    <row r="908" spans="1:27" x14ac:dyDescent="0.25">
      <c r="A908" s="320"/>
      <c r="B908" s="321" t="str">
        <f>IF(A908&lt;&gt;"",_xlfn.MAXIFS($B$1:B907,$A$1:A907,A908)+1,"")</f>
        <v/>
      </c>
      <c r="C908" s="299"/>
      <c r="D908" s="299"/>
      <c r="E908" s="299"/>
      <c r="F908" s="299"/>
      <c r="G908" s="330"/>
      <c r="H908" s="328"/>
      <c r="I908" s="329"/>
      <c r="J908" s="329"/>
      <c r="K908" s="322"/>
      <c r="L908" s="322"/>
      <c r="M908" s="323" t="str">
        <f>IFERROR(VLOOKUP(H908,Lijsten!$H$1:$I$100,2,0),"")</f>
        <v/>
      </c>
      <c r="N908" s="323" t="str">
        <f ca="1">IFERROR(IF(VLOOKUP(F908,Kostentypen!$A$3:$E$21,3,0)=0,"",IF(OR(F908="Arbeidskosten",F908="Vergoeding"),VLOOKUP(G908,Tb_KostenTypen[],2,0),VLOOKUP(F908,Kostentypen!$A$3:$E$20,3,0))),"")</f>
        <v/>
      </c>
      <c r="O908" s="324"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4"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3"/>
      <c r="R908" s="363"/>
      <c r="S908" s="325"/>
      <c r="T908" s="325"/>
      <c r="U908" s="317" t="str" cm="1">
        <f t="array" aca="1" ref="U908" ca="1">IFERROR(IF(AA908&lt;&gt;"ja",_xlfn.IFNA(_xlfn.IFS(AND(O908&lt;&gt;"",F908&lt;&gt;"",RIGHT($N908,6)="tarief",F908="Vergoeding"),SUM(O908)*FLOOR(SUM(Q908),0.0001),AND(O908&lt;&gt;"",F908&lt;&gt;"",RIGHT($N908,6)="tarief"),SUM(O908)*FLOOR(SUM(Q908),0.01),S908&gt;0,IF(F908&lt;&gt;"",FLOOR(SUM(S908),0.01),"")),""),""),"")</f>
        <v/>
      </c>
      <c r="V908" s="317" t="str" cm="1">
        <f t="array" aca="1" ref="V908" ca="1">IFERROR(IF(AA908&lt;&gt;"ja",_xlfn.IFNA(_xlfn.IFS(AND(P908&lt;&gt;"",R908&lt;&gt;"",RIGHT($N908,6)="tarief",F908="Vergoeding"),SUM(P908)*FLOOR(SUM(R908),0.0001),AND(P908&lt;&gt;"",R908&lt;&gt;"",RIGHT($N908,6)="tarief"),P908*FLOOR(R908,0.01),T908&gt;0,FLOOR(SUM(T908),0.01)),""),""),"")</f>
        <v/>
      </c>
      <c r="W908" s="317" t="str" cm="1">
        <f t="array" aca="1" ref="W908" ca="1">IFERROR(_xlfn.IFS(OR(F908="",LEFT(Methode_Keuze,4)="Geen",Methode_Keuze=""),"",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17" t="str" cm="1">
        <f t="array" aca="1" ref="X908" ca="1">IFERROR(_xlfn.IFS(OR(F908="",LEFT(Methode_Keuze,4)="Geen",Methode_Keuze=""),"",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26"/>
      <c r="Z908" s="319"/>
      <c r="AA908" s="32" t="str" cm="1">
        <f t="array" ref="AA908">IFERROR(IF(INDEX(SubsidieTabel!$AD$1:$AG$12,MATCH($F908,SubsidieTabel!$AD$1:$AD$12,0),IFERROR(MATCH(Methode_Keuze,SubsidieTabel!$AD$1:$AG$1,0),2))&lt;&gt;1=TRUE,"ja",""),"")</f>
        <v/>
      </c>
    </row>
    <row r="909" spans="1:27" x14ac:dyDescent="0.25">
      <c r="A909" s="320"/>
      <c r="B909" s="321" t="str">
        <f>IF(A909&lt;&gt;"",_xlfn.MAXIFS($B$1:B908,$A$1:A908,A909)+1,"")</f>
        <v/>
      </c>
      <c r="C909" s="299"/>
      <c r="D909" s="299"/>
      <c r="E909" s="299"/>
      <c r="F909" s="299"/>
      <c r="G909" s="330"/>
      <c r="H909" s="328"/>
      <c r="I909" s="329"/>
      <c r="J909" s="329"/>
      <c r="K909" s="322"/>
      <c r="L909" s="322"/>
      <c r="M909" s="323" t="str">
        <f>IFERROR(VLOOKUP(H909,Lijsten!$H$1:$I$100,2,0),"")</f>
        <v/>
      </c>
      <c r="N909" s="323" t="str">
        <f ca="1">IFERROR(IF(VLOOKUP(F909,Kostentypen!$A$3:$E$21,3,0)=0,"",IF(OR(F909="Arbeidskosten",F909="Vergoeding"),VLOOKUP(G909,Tb_KostenTypen[],2,0),VLOOKUP(F909,Kostentypen!$A$3:$E$20,3,0))),"")</f>
        <v/>
      </c>
      <c r="O909" s="324"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4"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3"/>
      <c r="R909" s="363"/>
      <c r="S909" s="325"/>
      <c r="T909" s="325"/>
      <c r="U909" s="317" t="str" cm="1">
        <f t="array" aca="1" ref="U909" ca="1">IFERROR(IF(AA909&lt;&gt;"ja",_xlfn.IFNA(_xlfn.IFS(AND(O909&lt;&gt;"",F909&lt;&gt;"",RIGHT($N909,6)="tarief",F909="Vergoeding"),SUM(O909)*FLOOR(SUM(Q909),0.0001),AND(O909&lt;&gt;"",F909&lt;&gt;"",RIGHT($N909,6)="tarief"),SUM(O909)*FLOOR(SUM(Q909),0.01),S909&gt;0,IF(F909&lt;&gt;"",FLOOR(SUM(S909),0.01),"")),""),""),"")</f>
        <v/>
      </c>
      <c r="V909" s="317" t="str" cm="1">
        <f t="array" aca="1" ref="V909" ca="1">IFERROR(IF(AA909&lt;&gt;"ja",_xlfn.IFNA(_xlfn.IFS(AND(P909&lt;&gt;"",R909&lt;&gt;"",RIGHT($N909,6)="tarief",F909="Vergoeding"),SUM(P909)*FLOOR(SUM(R909),0.0001),AND(P909&lt;&gt;"",R909&lt;&gt;"",RIGHT($N909,6)="tarief"),P909*FLOOR(R909,0.01),T909&gt;0,FLOOR(SUM(T909),0.01)),""),""),"")</f>
        <v/>
      </c>
      <c r="W909" s="317" t="str" cm="1">
        <f t="array" aca="1" ref="W909" ca="1">IFERROR(_xlfn.IFS(OR(F909="",LEFT(Methode_Keuze,4)="Geen",Methode_Keuze=""),"",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17" t="str" cm="1">
        <f t="array" aca="1" ref="X909" ca="1">IFERROR(_xlfn.IFS(OR(F909="",LEFT(Methode_Keuze,4)="Geen",Methode_Keuze=""),"",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26"/>
      <c r="Z909" s="319"/>
      <c r="AA909" s="32" t="str" cm="1">
        <f t="array" ref="AA909">IFERROR(IF(INDEX(SubsidieTabel!$AD$1:$AG$12,MATCH($F909,SubsidieTabel!$AD$1:$AD$12,0),IFERROR(MATCH(Methode_Keuze,SubsidieTabel!$AD$1:$AG$1,0),2))&lt;&gt;1=TRUE,"ja",""),"")</f>
        <v/>
      </c>
    </row>
    <row r="910" spans="1:27" x14ac:dyDescent="0.25">
      <c r="A910" s="320"/>
      <c r="B910" s="321" t="str">
        <f>IF(A910&lt;&gt;"",_xlfn.MAXIFS($B$1:B909,$A$1:A909,A910)+1,"")</f>
        <v/>
      </c>
      <c r="C910" s="299"/>
      <c r="D910" s="299"/>
      <c r="E910" s="299"/>
      <c r="F910" s="299"/>
      <c r="G910" s="330"/>
      <c r="H910" s="328"/>
      <c r="I910" s="329"/>
      <c r="J910" s="329"/>
      <c r="K910" s="322"/>
      <c r="L910" s="322"/>
      <c r="M910" s="323" t="str">
        <f>IFERROR(VLOOKUP(H910,Lijsten!$H$1:$I$100,2,0),"")</f>
        <v/>
      </c>
      <c r="N910" s="323" t="str">
        <f ca="1">IFERROR(IF(VLOOKUP(F910,Kostentypen!$A$3:$E$21,3,0)=0,"",IF(OR(F910="Arbeidskosten",F910="Vergoeding"),VLOOKUP(G910,Tb_KostenTypen[],2,0),VLOOKUP(F910,Kostentypen!$A$3:$E$20,3,0))),"")</f>
        <v/>
      </c>
      <c r="O910" s="324"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4"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3"/>
      <c r="R910" s="363"/>
      <c r="S910" s="325"/>
      <c r="T910" s="325"/>
      <c r="U910" s="317" t="str" cm="1">
        <f t="array" aca="1" ref="U910" ca="1">IFERROR(IF(AA910&lt;&gt;"ja",_xlfn.IFNA(_xlfn.IFS(AND(O910&lt;&gt;"",F910&lt;&gt;"",RIGHT($N910,6)="tarief",F910="Vergoeding"),SUM(O910)*FLOOR(SUM(Q910),0.0001),AND(O910&lt;&gt;"",F910&lt;&gt;"",RIGHT($N910,6)="tarief"),SUM(O910)*FLOOR(SUM(Q910),0.01),S910&gt;0,IF(F910&lt;&gt;"",FLOOR(SUM(S910),0.01),"")),""),""),"")</f>
        <v/>
      </c>
      <c r="V910" s="317" t="str" cm="1">
        <f t="array" aca="1" ref="V910" ca="1">IFERROR(IF(AA910&lt;&gt;"ja",_xlfn.IFNA(_xlfn.IFS(AND(P910&lt;&gt;"",R910&lt;&gt;"",RIGHT($N910,6)="tarief",F910="Vergoeding"),SUM(P910)*FLOOR(SUM(R910),0.0001),AND(P910&lt;&gt;"",R910&lt;&gt;"",RIGHT($N910,6)="tarief"),P910*FLOOR(R910,0.01),T910&gt;0,FLOOR(SUM(T910),0.01)),""),""),"")</f>
        <v/>
      </c>
      <c r="W910" s="317" t="str" cm="1">
        <f t="array" aca="1" ref="W910" ca="1">IFERROR(_xlfn.IFS(OR(F910="",LEFT(Methode_Keuze,4)="Geen",Methode_Keuze=""),"",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17" t="str" cm="1">
        <f t="array" aca="1" ref="X910" ca="1">IFERROR(_xlfn.IFS(OR(F910="",LEFT(Methode_Keuze,4)="Geen",Methode_Keuze=""),"",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26"/>
      <c r="Z910" s="319"/>
      <c r="AA910" s="32" t="str" cm="1">
        <f t="array" ref="AA910">IFERROR(IF(INDEX(SubsidieTabel!$AD$1:$AG$12,MATCH($F910,SubsidieTabel!$AD$1:$AD$12,0),IFERROR(MATCH(Methode_Keuze,SubsidieTabel!$AD$1:$AG$1,0),2))&lt;&gt;1=TRUE,"ja",""),"")</f>
        <v/>
      </c>
    </row>
    <row r="911" spans="1:27" x14ac:dyDescent="0.25">
      <c r="A911" s="320"/>
      <c r="B911" s="321" t="str">
        <f>IF(A911&lt;&gt;"",_xlfn.MAXIFS($B$1:B910,$A$1:A910,A911)+1,"")</f>
        <v/>
      </c>
      <c r="C911" s="299"/>
      <c r="D911" s="299"/>
      <c r="E911" s="299"/>
      <c r="F911" s="299"/>
      <c r="G911" s="330"/>
      <c r="H911" s="328"/>
      <c r="I911" s="329"/>
      <c r="J911" s="329"/>
      <c r="K911" s="322"/>
      <c r="L911" s="322"/>
      <c r="M911" s="323" t="str">
        <f>IFERROR(VLOOKUP(H911,Lijsten!$H$1:$I$100,2,0),"")</f>
        <v/>
      </c>
      <c r="N911" s="323" t="str">
        <f ca="1">IFERROR(IF(VLOOKUP(F911,Kostentypen!$A$3:$E$21,3,0)=0,"",IF(OR(F911="Arbeidskosten",F911="Vergoeding"),VLOOKUP(G911,Tb_KostenTypen[],2,0),VLOOKUP(F911,Kostentypen!$A$3:$E$20,3,0))),"")</f>
        <v/>
      </c>
      <c r="O911" s="324"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4"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3"/>
      <c r="R911" s="363"/>
      <c r="S911" s="325"/>
      <c r="T911" s="325"/>
      <c r="U911" s="317" t="str" cm="1">
        <f t="array" aca="1" ref="U911" ca="1">IFERROR(IF(AA911&lt;&gt;"ja",_xlfn.IFNA(_xlfn.IFS(AND(O911&lt;&gt;"",F911&lt;&gt;"",RIGHT($N911,6)="tarief",F911="Vergoeding"),SUM(O911)*FLOOR(SUM(Q911),0.0001),AND(O911&lt;&gt;"",F911&lt;&gt;"",RIGHT($N911,6)="tarief"),SUM(O911)*FLOOR(SUM(Q911),0.01),S911&gt;0,IF(F911&lt;&gt;"",FLOOR(SUM(S911),0.01),"")),""),""),"")</f>
        <v/>
      </c>
      <c r="V911" s="317" t="str" cm="1">
        <f t="array" aca="1" ref="V911" ca="1">IFERROR(IF(AA911&lt;&gt;"ja",_xlfn.IFNA(_xlfn.IFS(AND(P911&lt;&gt;"",R911&lt;&gt;"",RIGHT($N911,6)="tarief",F911="Vergoeding"),SUM(P911)*FLOOR(SUM(R911),0.0001),AND(P911&lt;&gt;"",R911&lt;&gt;"",RIGHT($N911,6)="tarief"),P911*FLOOR(R911,0.01),T911&gt;0,FLOOR(SUM(T911),0.01)),""),""),"")</f>
        <v/>
      </c>
      <c r="W911" s="317" t="str" cm="1">
        <f t="array" aca="1" ref="W911" ca="1">IFERROR(_xlfn.IFS(OR(F911="",LEFT(Methode_Keuze,4)="Geen",Methode_Keuze=""),"",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17" t="str" cm="1">
        <f t="array" aca="1" ref="X911" ca="1">IFERROR(_xlfn.IFS(OR(F911="",LEFT(Methode_Keuze,4)="Geen",Methode_Keuze=""),"",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26"/>
      <c r="Z911" s="319"/>
      <c r="AA911" s="32" t="str" cm="1">
        <f t="array" ref="AA911">IFERROR(IF(INDEX(SubsidieTabel!$AD$1:$AG$12,MATCH($F911,SubsidieTabel!$AD$1:$AD$12,0),IFERROR(MATCH(Methode_Keuze,SubsidieTabel!$AD$1:$AG$1,0),2))&lt;&gt;1=TRUE,"ja",""),"")</f>
        <v/>
      </c>
    </row>
    <row r="912" spans="1:27" x14ac:dyDescent="0.25">
      <c r="A912" s="320"/>
      <c r="B912" s="321" t="str">
        <f>IF(A912&lt;&gt;"",_xlfn.MAXIFS($B$1:B911,$A$1:A911,A912)+1,"")</f>
        <v/>
      </c>
      <c r="C912" s="299"/>
      <c r="D912" s="299"/>
      <c r="E912" s="299"/>
      <c r="F912" s="299"/>
      <c r="G912" s="330"/>
      <c r="H912" s="328"/>
      <c r="I912" s="329"/>
      <c r="J912" s="329"/>
      <c r="K912" s="322"/>
      <c r="L912" s="322"/>
      <c r="M912" s="323" t="str">
        <f>IFERROR(VLOOKUP(H912,Lijsten!$H$1:$I$100,2,0),"")</f>
        <v/>
      </c>
      <c r="N912" s="323" t="str">
        <f ca="1">IFERROR(IF(VLOOKUP(F912,Kostentypen!$A$3:$E$21,3,0)=0,"",IF(OR(F912="Arbeidskosten",F912="Vergoeding"),VLOOKUP(G912,Tb_KostenTypen[],2,0),VLOOKUP(F912,Kostentypen!$A$3:$E$20,3,0))),"")</f>
        <v/>
      </c>
      <c r="O912" s="324"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4"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3"/>
      <c r="R912" s="363"/>
      <c r="S912" s="325"/>
      <c r="T912" s="325"/>
      <c r="U912" s="317" t="str" cm="1">
        <f t="array" aca="1" ref="U912" ca="1">IFERROR(IF(AA912&lt;&gt;"ja",_xlfn.IFNA(_xlfn.IFS(AND(O912&lt;&gt;"",F912&lt;&gt;"",RIGHT($N912,6)="tarief",F912="Vergoeding"),SUM(O912)*FLOOR(SUM(Q912),0.0001),AND(O912&lt;&gt;"",F912&lt;&gt;"",RIGHT($N912,6)="tarief"),SUM(O912)*FLOOR(SUM(Q912),0.01),S912&gt;0,IF(F912&lt;&gt;"",FLOOR(SUM(S912),0.01),"")),""),""),"")</f>
        <v/>
      </c>
      <c r="V912" s="317" t="str" cm="1">
        <f t="array" aca="1" ref="V912" ca="1">IFERROR(IF(AA912&lt;&gt;"ja",_xlfn.IFNA(_xlfn.IFS(AND(P912&lt;&gt;"",R912&lt;&gt;"",RIGHT($N912,6)="tarief",F912="Vergoeding"),SUM(P912)*FLOOR(SUM(R912),0.0001),AND(P912&lt;&gt;"",R912&lt;&gt;"",RIGHT($N912,6)="tarief"),P912*FLOOR(R912,0.01),T912&gt;0,FLOOR(SUM(T912),0.01)),""),""),"")</f>
        <v/>
      </c>
      <c r="W912" s="317" t="str" cm="1">
        <f t="array" aca="1" ref="W912" ca="1">IFERROR(_xlfn.IFS(OR(F912="",LEFT(Methode_Keuze,4)="Geen",Methode_Keuze=""),"",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17" t="str" cm="1">
        <f t="array" aca="1" ref="X912" ca="1">IFERROR(_xlfn.IFS(OR(F912="",LEFT(Methode_Keuze,4)="Geen",Methode_Keuze=""),"",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26"/>
      <c r="Z912" s="319"/>
      <c r="AA912" s="32" t="str" cm="1">
        <f t="array" ref="AA912">IFERROR(IF(INDEX(SubsidieTabel!$AD$1:$AG$12,MATCH($F912,SubsidieTabel!$AD$1:$AD$12,0),IFERROR(MATCH(Methode_Keuze,SubsidieTabel!$AD$1:$AG$1,0),2))&lt;&gt;1=TRUE,"ja",""),"")</f>
        <v/>
      </c>
    </row>
    <row r="913" spans="1:27" x14ac:dyDescent="0.25">
      <c r="A913" s="320"/>
      <c r="B913" s="321" t="str">
        <f>IF(A913&lt;&gt;"",_xlfn.MAXIFS($B$1:B912,$A$1:A912,A913)+1,"")</f>
        <v/>
      </c>
      <c r="C913" s="299"/>
      <c r="D913" s="299"/>
      <c r="E913" s="299"/>
      <c r="F913" s="299"/>
      <c r="G913" s="330"/>
      <c r="H913" s="328"/>
      <c r="I913" s="329"/>
      <c r="J913" s="329"/>
      <c r="K913" s="322"/>
      <c r="L913" s="322"/>
      <c r="M913" s="323" t="str">
        <f>IFERROR(VLOOKUP(H913,Lijsten!$H$1:$I$100,2,0),"")</f>
        <v/>
      </c>
      <c r="N913" s="323" t="str">
        <f ca="1">IFERROR(IF(VLOOKUP(F913,Kostentypen!$A$3:$E$21,3,0)=0,"",IF(OR(F913="Arbeidskosten",F913="Vergoeding"),VLOOKUP(G913,Tb_KostenTypen[],2,0),VLOOKUP(F913,Kostentypen!$A$3:$E$20,3,0))),"")</f>
        <v/>
      </c>
      <c r="O913" s="324"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4"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3"/>
      <c r="R913" s="363"/>
      <c r="S913" s="325"/>
      <c r="T913" s="325"/>
      <c r="U913" s="317" t="str" cm="1">
        <f t="array" aca="1" ref="U913" ca="1">IFERROR(IF(AA913&lt;&gt;"ja",_xlfn.IFNA(_xlfn.IFS(AND(O913&lt;&gt;"",F913&lt;&gt;"",RIGHT($N913,6)="tarief",F913="Vergoeding"),SUM(O913)*FLOOR(SUM(Q913),0.0001),AND(O913&lt;&gt;"",F913&lt;&gt;"",RIGHT($N913,6)="tarief"),SUM(O913)*FLOOR(SUM(Q913),0.01),S913&gt;0,IF(F913&lt;&gt;"",FLOOR(SUM(S913),0.01),"")),""),""),"")</f>
        <v/>
      </c>
      <c r="V913" s="317" t="str" cm="1">
        <f t="array" aca="1" ref="V913" ca="1">IFERROR(IF(AA913&lt;&gt;"ja",_xlfn.IFNA(_xlfn.IFS(AND(P913&lt;&gt;"",R913&lt;&gt;"",RIGHT($N913,6)="tarief",F913="Vergoeding"),SUM(P913)*FLOOR(SUM(R913),0.0001),AND(P913&lt;&gt;"",R913&lt;&gt;"",RIGHT($N913,6)="tarief"),P913*FLOOR(R913,0.01),T913&gt;0,FLOOR(SUM(T913),0.01)),""),""),"")</f>
        <v/>
      </c>
      <c r="W913" s="317" t="str" cm="1">
        <f t="array" aca="1" ref="W913" ca="1">IFERROR(_xlfn.IFS(OR(F913="",LEFT(Methode_Keuze,4)="Geen",Methode_Keuze=""),"",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17" t="str" cm="1">
        <f t="array" aca="1" ref="X913" ca="1">IFERROR(_xlfn.IFS(OR(F913="",LEFT(Methode_Keuze,4)="Geen",Methode_Keuze=""),"",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26"/>
      <c r="Z913" s="319"/>
      <c r="AA913" s="32" t="str" cm="1">
        <f t="array" ref="AA913">IFERROR(IF(INDEX(SubsidieTabel!$AD$1:$AG$12,MATCH($F913,SubsidieTabel!$AD$1:$AD$12,0),IFERROR(MATCH(Methode_Keuze,SubsidieTabel!$AD$1:$AG$1,0),2))&lt;&gt;1=TRUE,"ja",""),"")</f>
        <v/>
      </c>
    </row>
    <row r="914" spans="1:27" x14ac:dyDescent="0.25">
      <c r="A914" s="320"/>
      <c r="B914" s="321" t="str">
        <f>IF(A914&lt;&gt;"",_xlfn.MAXIFS($B$1:B913,$A$1:A913,A914)+1,"")</f>
        <v/>
      </c>
      <c r="C914" s="299"/>
      <c r="D914" s="299"/>
      <c r="E914" s="299"/>
      <c r="F914" s="299"/>
      <c r="G914" s="330"/>
      <c r="H914" s="328"/>
      <c r="I914" s="329"/>
      <c r="J914" s="329"/>
      <c r="K914" s="322"/>
      <c r="L914" s="322"/>
      <c r="M914" s="323" t="str">
        <f>IFERROR(VLOOKUP(H914,Lijsten!$H$1:$I$100,2,0),"")</f>
        <v/>
      </c>
      <c r="N914" s="323" t="str">
        <f ca="1">IFERROR(IF(VLOOKUP(F914,Kostentypen!$A$3:$E$21,3,0)=0,"",IF(OR(F914="Arbeidskosten",F914="Vergoeding"),VLOOKUP(G914,Tb_KostenTypen[],2,0),VLOOKUP(F914,Kostentypen!$A$3:$E$20,3,0))),"")</f>
        <v/>
      </c>
      <c r="O914" s="324"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4"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3"/>
      <c r="R914" s="363"/>
      <c r="S914" s="325"/>
      <c r="T914" s="325"/>
      <c r="U914" s="317" t="str" cm="1">
        <f t="array" aca="1" ref="U914" ca="1">IFERROR(IF(AA914&lt;&gt;"ja",_xlfn.IFNA(_xlfn.IFS(AND(O914&lt;&gt;"",F914&lt;&gt;"",RIGHT($N914,6)="tarief",F914="Vergoeding"),SUM(O914)*FLOOR(SUM(Q914),0.0001),AND(O914&lt;&gt;"",F914&lt;&gt;"",RIGHT($N914,6)="tarief"),SUM(O914)*FLOOR(SUM(Q914),0.01),S914&gt;0,IF(F914&lt;&gt;"",FLOOR(SUM(S914),0.01),"")),""),""),"")</f>
        <v/>
      </c>
      <c r="V914" s="317" t="str" cm="1">
        <f t="array" aca="1" ref="V914" ca="1">IFERROR(IF(AA914&lt;&gt;"ja",_xlfn.IFNA(_xlfn.IFS(AND(P914&lt;&gt;"",R914&lt;&gt;"",RIGHT($N914,6)="tarief",F914="Vergoeding"),SUM(P914)*FLOOR(SUM(R914),0.0001),AND(P914&lt;&gt;"",R914&lt;&gt;"",RIGHT($N914,6)="tarief"),P914*FLOOR(R914,0.01),T914&gt;0,FLOOR(SUM(T914),0.01)),""),""),"")</f>
        <v/>
      </c>
      <c r="W914" s="317" t="str" cm="1">
        <f t="array" aca="1" ref="W914" ca="1">IFERROR(_xlfn.IFS(OR(F914="",LEFT(Methode_Keuze,4)="Geen",Methode_Keuze=""),"",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17" t="str" cm="1">
        <f t="array" aca="1" ref="X914" ca="1">IFERROR(_xlfn.IFS(OR(F914="",LEFT(Methode_Keuze,4)="Geen",Methode_Keuze=""),"",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26"/>
      <c r="Z914" s="319"/>
      <c r="AA914" s="32" t="str" cm="1">
        <f t="array" ref="AA914">IFERROR(IF(INDEX(SubsidieTabel!$AD$1:$AG$12,MATCH($F914,SubsidieTabel!$AD$1:$AD$12,0),IFERROR(MATCH(Methode_Keuze,SubsidieTabel!$AD$1:$AG$1,0),2))&lt;&gt;1=TRUE,"ja",""),"")</f>
        <v/>
      </c>
    </row>
    <row r="915" spans="1:27" x14ac:dyDescent="0.25">
      <c r="A915" s="320"/>
      <c r="B915" s="321" t="str">
        <f>IF(A915&lt;&gt;"",_xlfn.MAXIFS($B$1:B914,$A$1:A914,A915)+1,"")</f>
        <v/>
      </c>
      <c r="C915" s="299"/>
      <c r="D915" s="299"/>
      <c r="E915" s="299"/>
      <c r="F915" s="299"/>
      <c r="G915" s="330"/>
      <c r="H915" s="328"/>
      <c r="I915" s="329"/>
      <c r="J915" s="329"/>
      <c r="K915" s="322"/>
      <c r="L915" s="322"/>
      <c r="M915" s="323" t="str">
        <f>IFERROR(VLOOKUP(H915,Lijsten!$H$1:$I$100,2,0),"")</f>
        <v/>
      </c>
      <c r="N915" s="323" t="str">
        <f ca="1">IFERROR(IF(VLOOKUP(F915,Kostentypen!$A$3:$E$21,3,0)=0,"",IF(OR(F915="Arbeidskosten",F915="Vergoeding"),VLOOKUP(G915,Tb_KostenTypen[],2,0),VLOOKUP(F915,Kostentypen!$A$3:$E$20,3,0))),"")</f>
        <v/>
      </c>
      <c r="O915" s="324"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4"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3"/>
      <c r="R915" s="363"/>
      <c r="S915" s="325"/>
      <c r="T915" s="325"/>
      <c r="U915" s="317" t="str" cm="1">
        <f t="array" aca="1" ref="U915" ca="1">IFERROR(IF(AA915&lt;&gt;"ja",_xlfn.IFNA(_xlfn.IFS(AND(O915&lt;&gt;"",F915&lt;&gt;"",RIGHT($N915,6)="tarief",F915="Vergoeding"),SUM(O915)*FLOOR(SUM(Q915),0.0001),AND(O915&lt;&gt;"",F915&lt;&gt;"",RIGHT($N915,6)="tarief"),SUM(O915)*FLOOR(SUM(Q915),0.01),S915&gt;0,IF(F915&lt;&gt;"",FLOOR(SUM(S915),0.01),"")),""),""),"")</f>
        <v/>
      </c>
      <c r="V915" s="317" t="str" cm="1">
        <f t="array" aca="1" ref="V915" ca="1">IFERROR(IF(AA915&lt;&gt;"ja",_xlfn.IFNA(_xlfn.IFS(AND(P915&lt;&gt;"",R915&lt;&gt;"",RIGHT($N915,6)="tarief",F915="Vergoeding"),SUM(P915)*FLOOR(SUM(R915),0.0001),AND(P915&lt;&gt;"",R915&lt;&gt;"",RIGHT($N915,6)="tarief"),P915*FLOOR(R915,0.01),T915&gt;0,FLOOR(SUM(T915),0.01)),""),""),"")</f>
        <v/>
      </c>
      <c r="W915" s="317" t="str" cm="1">
        <f t="array" aca="1" ref="W915" ca="1">IFERROR(_xlfn.IFS(OR(F915="",LEFT(Methode_Keuze,4)="Geen",Methode_Keuze=""),"",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17" t="str" cm="1">
        <f t="array" aca="1" ref="X915" ca="1">IFERROR(_xlfn.IFS(OR(F915="",LEFT(Methode_Keuze,4)="Geen",Methode_Keuze=""),"",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26"/>
      <c r="Z915" s="319"/>
      <c r="AA915" s="32" t="str" cm="1">
        <f t="array" ref="AA915">IFERROR(IF(INDEX(SubsidieTabel!$AD$1:$AG$12,MATCH($F915,SubsidieTabel!$AD$1:$AD$12,0),IFERROR(MATCH(Methode_Keuze,SubsidieTabel!$AD$1:$AG$1,0),2))&lt;&gt;1=TRUE,"ja",""),"")</f>
        <v/>
      </c>
    </row>
    <row r="916" spans="1:27" x14ac:dyDescent="0.25">
      <c r="A916" s="320"/>
      <c r="B916" s="321" t="str">
        <f>IF(A916&lt;&gt;"",_xlfn.MAXIFS($B$1:B915,$A$1:A915,A916)+1,"")</f>
        <v/>
      </c>
      <c r="C916" s="299"/>
      <c r="D916" s="299"/>
      <c r="E916" s="299"/>
      <c r="F916" s="299"/>
      <c r="G916" s="330"/>
      <c r="H916" s="328"/>
      <c r="I916" s="329"/>
      <c r="J916" s="329"/>
      <c r="K916" s="322"/>
      <c r="L916" s="322"/>
      <c r="M916" s="323" t="str">
        <f>IFERROR(VLOOKUP(H916,Lijsten!$H$1:$I$100,2,0),"")</f>
        <v/>
      </c>
      <c r="N916" s="323" t="str">
        <f ca="1">IFERROR(IF(VLOOKUP(F916,Kostentypen!$A$3:$E$21,3,0)=0,"",IF(OR(F916="Arbeidskosten",F916="Vergoeding"),VLOOKUP(G916,Tb_KostenTypen[],2,0),VLOOKUP(F916,Kostentypen!$A$3:$E$20,3,0))),"")</f>
        <v/>
      </c>
      <c r="O916" s="324"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4"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3"/>
      <c r="R916" s="363"/>
      <c r="S916" s="325"/>
      <c r="T916" s="325"/>
      <c r="U916" s="317" t="str" cm="1">
        <f t="array" aca="1" ref="U916" ca="1">IFERROR(IF(AA916&lt;&gt;"ja",_xlfn.IFNA(_xlfn.IFS(AND(O916&lt;&gt;"",F916&lt;&gt;"",RIGHT($N916,6)="tarief",F916="Vergoeding"),SUM(O916)*FLOOR(SUM(Q916),0.0001),AND(O916&lt;&gt;"",F916&lt;&gt;"",RIGHT($N916,6)="tarief"),SUM(O916)*FLOOR(SUM(Q916),0.01),S916&gt;0,IF(F916&lt;&gt;"",FLOOR(SUM(S916),0.01),"")),""),""),"")</f>
        <v/>
      </c>
      <c r="V916" s="317" t="str" cm="1">
        <f t="array" aca="1" ref="V916" ca="1">IFERROR(IF(AA916&lt;&gt;"ja",_xlfn.IFNA(_xlfn.IFS(AND(P916&lt;&gt;"",R916&lt;&gt;"",RIGHT($N916,6)="tarief",F916="Vergoeding"),SUM(P916)*FLOOR(SUM(R916),0.0001),AND(P916&lt;&gt;"",R916&lt;&gt;"",RIGHT($N916,6)="tarief"),P916*FLOOR(R916,0.01),T916&gt;0,FLOOR(SUM(T916),0.01)),""),""),"")</f>
        <v/>
      </c>
      <c r="W916" s="317" t="str" cm="1">
        <f t="array" aca="1" ref="W916" ca="1">IFERROR(_xlfn.IFS(OR(F916="",LEFT(Methode_Keuze,4)="Geen",Methode_Keuze=""),"",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17" t="str" cm="1">
        <f t="array" aca="1" ref="X916" ca="1">IFERROR(_xlfn.IFS(OR(F916="",LEFT(Methode_Keuze,4)="Geen",Methode_Keuze=""),"",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26"/>
      <c r="Z916" s="319"/>
      <c r="AA916" s="32" t="str" cm="1">
        <f t="array" ref="AA916">IFERROR(IF(INDEX(SubsidieTabel!$AD$1:$AG$12,MATCH($F916,SubsidieTabel!$AD$1:$AD$12,0),IFERROR(MATCH(Methode_Keuze,SubsidieTabel!$AD$1:$AG$1,0),2))&lt;&gt;1=TRUE,"ja",""),"")</f>
        <v/>
      </c>
    </row>
    <row r="917" spans="1:27" x14ac:dyDescent="0.25">
      <c r="A917" s="320"/>
      <c r="B917" s="321" t="str">
        <f>IF(A917&lt;&gt;"",_xlfn.MAXIFS($B$1:B916,$A$1:A916,A917)+1,"")</f>
        <v/>
      </c>
      <c r="C917" s="299"/>
      <c r="D917" s="299"/>
      <c r="E917" s="299"/>
      <c r="F917" s="299"/>
      <c r="G917" s="330"/>
      <c r="H917" s="328"/>
      <c r="I917" s="329"/>
      <c r="J917" s="329"/>
      <c r="K917" s="322"/>
      <c r="L917" s="322"/>
      <c r="M917" s="323" t="str">
        <f>IFERROR(VLOOKUP(H917,Lijsten!$H$1:$I$100,2,0),"")</f>
        <v/>
      </c>
      <c r="N917" s="323" t="str">
        <f ca="1">IFERROR(IF(VLOOKUP(F917,Kostentypen!$A$3:$E$21,3,0)=0,"",IF(OR(F917="Arbeidskosten",F917="Vergoeding"),VLOOKUP(G917,Tb_KostenTypen[],2,0),VLOOKUP(F917,Kostentypen!$A$3:$E$20,3,0))),"")</f>
        <v/>
      </c>
      <c r="O917" s="324"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4"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3"/>
      <c r="R917" s="363"/>
      <c r="S917" s="325"/>
      <c r="T917" s="325"/>
      <c r="U917" s="317" t="str" cm="1">
        <f t="array" aca="1" ref="U917" ca="1">IFERROR(IF(AA917&lt;&gt;"ja",_xlfn.IFNA(_xlfn.IFS(AND(O917&lt;&gt;"",F917&lt;&gt;"",RIGHT($N917,6)="tarief",F917="Vergoeding"),SUM(O917)*FLOOR(SUM(Q917),0.0001),AND(O917&lt;&gt;"",F917&lt;&gt;"",RIGHT($N917,6)="tarief"),SUM(O917)*FLOOR(SUM(Q917),0.01),S917&gt;0,IF(F917&lt;&gt;"",FLOOR(SUM(S917),0.01),"")),""),""),"")</f>
        <v/>
      </c>
      <c r="V917" s="317" t="str" cm="1">
        <f t="array" aca="1" ref="V917" ca="1">IFERROR(IF(AA917&lt;&gt;"ja",_xlfn.IFNA(_xlfn.IFS(AND(P917&lt;&gt;"",R917&lt;&gt;"",RIGHT($N917,6)="tarief",F917="Vergoeding"),SUM(P917)*FLOOR(SUM(R917),0.0001),AND(P917&lt;&gt;"",R917&lt;&gt;"",RIGHT($N917,6)="tarief"),P917*FLOOR(R917,0.01),T917&gt;0,FLOOR(SUM(T917),0.01)),""),""),"")</f>
        <v/>
      </c>
      <c r="W917" s="317" t="str" cm="1">
        <f t="array" aca="1" ref="W917" ca="1">IFERROR(_xlfn.IFS(OR(F917="",LEFT(Methode_Keuze,4)="Geen",Methode_Keuze=""),"",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17" t="str" cm="1">
        <f t="array" aca="1" ref="X917" ca="1">IFERROR(_xlfn.IFS(OR(F917="",LEFT(Methode_Keuze,4)="Geen",Methode_Keuze=""),"",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26"/>
      <c r="Z917" s="319"/>
      <c r="AA917" s="32" t="str" cm="1">
        <f t="array" ref="AA917">IFERROR(IF(INDEX(SubsidieTabel!$AD$1:$AG$12,MATCH($F917,SubsidieTabel!$AD$1:$AD$12,0),IFERROR(MATCH(Methode_Keuze,SubsidieTabel!$AD$1:$AG$1,0),2))&lt;&gt;1=TRUE,"ja",""),"")</f>
        <v/>
      </c>
    </row>
    <row r="918" spans="1:27" x14ac:dyDescent="0.25">
      <c r="A918" s="320"/>
      <c r="B918" s="321" t="str">
        <f>IF(A918&lt;&gt;"",_xlfn.MAXIFS($B$1:B917,$A$1:A917,A918)+1,"")</f>
        <v/>
      </c>
      <c r="C918" s="299"/>
      <c r="D918" s="299"/>
      <c r="E918" s="299"/>
      <c r="F918" s="299"/>
      <c r="G918" s="330"/>
      <c r="H918" s="328"/>
      <c r="I918" s="329"/>
      <c r="J918" s="329"/>
      <c r="K918" s="322"/>
      <c r="L918" s="322"/>
      <c r="M918" s="323" t="str">
        <f>IFERROR(VLOOKUP(H918,Lijsten!$H$1:$I$100,2,0),"")</f>
        <v/>
      </c>
      <c r="N918" s="323" t="str">
        <f ca="1">IFERROR(IF(VLOOKUP(F918,Kostentypen!$A$3:$E$21,3,0)=0,"",IF(OR(F918="Arbeidskosten",F918="Vergoeding"),VLOOKUP(G918,Tb_KostenTypen[],2,0),VLOOKUP(F918,Kostentypen!$A$3:$E$20,3,0))),"")</f>
        <v/>
      </c>
      <c r="O918" s="324"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4"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3"/>
      <c r="R918" s="363"/>
      <c r="S918" s="325"/>
      <c r="T918" s="325"/>
      <c r="U918" s="317" t="str" cm="1">
        <f t="array" aca="1" ref="U918" ca="1">IFERROR(IF(AA918&lt;&gt;"ja",_xlfn.IFNA(_xlfn.IFS(AND(O918&lt;&gt;"",F918&lt;&gt;"",RIGHT($N918,6)="tarief",F918="Vergoeding"),SUM(O918)*FLOOR(SUM(Q918),0.0001),AND(O918&lt;&gt;"",F918&lt;&gt;"",RIGHT($N918,6)="tarief"),SUM(O918)*FLOOR(SUM(Q918),0.01),S918&gt;0,IF(F918&lt;&gt;"",FLOOR(SUM(S918),0.01),"")),""),""),"")</f>
        <v/>
      </c>
      <c r="V918" s="317" t="str" cm="1">
        <f t="array" aca="1" ref="V918" ca="1">IFERROR(IF(AA918&lt;&gt;"ja",_xlfn.IFNA(_xlfn.IFS(AND(P918&lt;&gt;"",R918&lt;&gt;"",RIGHT($N918,6)="tarief",F918="Vergoeding"),SUM(P918)*FLOOR(SUM(R918),0.0001),AND(P918&lt;&gt;"",R918&lt;&gt;"",RIGHT($N918,6)="tarief"),P918*FLOOR(R918,0.01),T918&gt;0,FLOOR(SUM(T918),0.01)),""),""),"")</f>
        <v/>
      </c>
      <c r="W918" s="317" t="str" cm="1">
        <f t="array" aca="1" ref="W918" ca="1">IFERROR(_xlfn.IFS(OR(F918="",LEFT(Methode_Keuze,4)="Geen",Methode_Keuze=""),"",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17" t="str" cm="1">
        <f t="array" aca="1" ref="X918" ca="1">IFERROR(_xlfn.IFS(OR(F918="",LEFT(Methode_Keuze,4)="Geen",Methode_Keuze=""),"",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26"/>
      <c r="Z918" s="319"/>
      <c r="AA918" s="32" t="str" cm="1">
        <f t="array" ref="AA918">IFERROR(IF(INDEX(SubsidieTabel!$AD$1:$AG$12,MATCH($F918,SubsidieTabel!$AD$1:$AD$12,0),IFERROR(MATCH(Methode_Keuze,SubsidieTabel!$AD$1:$AG$1,0),2))&lt;&gt;1=TRUE,"ja",""),"")</f>
        <v/>
      </c>
    </row>
    <row r="919" spans="1:27" x14ac:dyDescent="0.25">
      <c r="A919" s="320"/>
      <c r="B919" s="321" t="str">
        <f>IF(A919&lt;&gt;"",_xlfn.MAXIFS($B$1:B918,$A$1:A918,A919)+1,"")</f>
        <v/>
      </c>
      <c r="C919" s="299"/>
      <c r="D919" s="299"/>
      <c r="E919" s="299"/>
      <c r="F919" s="299"/>
      <c r="G919" s="330"/>
      <c r="H919" s="328"/>
      <c r="I919" s="329"/>
      <c r="J919" s="329"/>
      <c r="K919" s="322"/>
      <c r="L919" s="322"/>
      <c r="M919" s="323" t="str">
        <f>IFERROR(VLOOKUP(H919,Lijsten!$H$1:$I$100,2,0),"")</f>
        <v/>
      </c>
      <c r="N919" s="323" t="str">
        <f ca="1">IFERROR(IF(VLOOKUP(F919,Kostentypen!$A$3:$E$21,3,0)=0,"",IF(OR(F919="Arbeidskosten",F919="Vergoeding"),VLOOKUP(G919,Tb_KostenTypen[],2,0),VLOOKUP(F919,Kostentypen!$A$3:$E$20,3,0))),"")</f>
        <v/>
      </c>
      <c r="O919" s="324"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4"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3"/>
      <c r="R919" s="363"/>
      <c r="S919" s="325"/>
      <c r="T919" s="325"/>
      <c r="U919" s="317" t="str" cm="1">
        <f t="array" aca="1" ref="U919" ca="1">IFERROR(IF(AA919&lt;&gt;"ja",_xlfn.IFNA(_xlfn.IFS(AND(O919&lt;&gt;"",F919&lt;&gt;"",RIGHT($N919,6)="tarief",F919="Vergoeding"),SUM(O919)*FLOOR(SUM(Q919),0.0001),AND(O919&lt;&gt;"",F919&lt;&gt;"",RIGHT($N919,6)="tarief"),SUM(O919)*FLOOR(SUM(Q919),0.01),S919&gt;0,IF(F919&lt;&gt;"",FLOOR(SUM(S919),0.01),"")),""),""),"")</f>
        <v/>
      </c>
      <c r="V919" s="317" t="str" cm="1">
        <f t="array" aca="1" ref="V919" ca="1">IFERROR(IF(AA919&lt;&gt;"ja",_xlfn.IFNA(_xlfn.IFS(AND(P919&lt;&gt;"",R919&lt;&gt;"",RIGHT($N919,6)="tarief",F919="Vergoeding"),SUM(P919)*FLOOR(SUM(R919),0.0001),AND(P919&lt;&gt;"",R919&lt;&gt;"",RIGHT($N919,6)="tarief"),P919*FLOOR(R919,0.01),T919&gt;0,FLOOR(SUM(T919),0.01)),""),""),"")</f>
        <v/>
      </c>
      <c r="W919" s="317" t="str" cm="1">
        <f t="array" aca="1" ref="W919" ca="1">IFERROR(_xlfn.IFS(OR(F919="",LEFT(Methode_Keuze,4)="Geen",Methode_Keuze=""),"",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17" t="str" cm="1">
        <f t="array" aca="1" ref="X919" ca="1">IFERROR(_xlfn.IFS(OR(F919="",LEFT(Methode_Keuze,4)="Geen",Methode_Keuze=""),"",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26"/>
      <c r="Z919" s="319"/>
      <c r="AA919" s="32" t="str" cm="1">
        <f t="array" ref="AA919">IFERROR(IF(INDEX(SubsidieTabel!$AD$1:$AG$12,MATCH($F919,SubsidieTabel!$AD$1:$AD$12,0),IFERROR(MATCH(Methode_Keuze,SubsidieTabel!$AD$1:$AG$1,0),2))&lt;&gt;1=TRUE,"ja",""),"")</f>
        <v/>
      </c>
    </row>
    <row r="920" spans="1:27" x14ac:dyDescent="0.25">
      <c r="A920" s="320"/>
      <c r="B920" s="321" t="str">
        <f>IF(A920&lt;&gt;"",_xlfn.MAXIFS($B$1:B919,$A$1:A919,A920)+1,"")</f>
        <v/>
      </c>
      <c r="C920" s="299"/>
      <c r="D920" s="299"/>
      <c r="E920" s="299"/>
      <c r="F920" s="299"/>
      <c r="G920" s="330"/>
      <c r="H920" s="328"/>
      <c r="I920" s="329"/>
      <c r="J920" s="329"/>
      <c r="K920" s="322"/>
      <c r="L920" s="322"/>
      <c r="M920" s="323" t="str">
        <f>IFERROR(VLOOKUP(H920,Lijsten!$H$1:$I$100,2,0),"")</f>
        <v/>
      </c>
      <c r="N920" s="323" t="str">
        <f ca="1">IFERROR(IF(VLOOKUP(F920,Kostentypen!$A$3:$E$21,3,0)=0,"",IF(OR(F920="Arbeidskosten",F920="Vergoeding"),VLOOKUP(G920,Tb_KostenTypen[],2,0),VLOOKUP(F920,Kostentypen!$A$3:$E$20,3,0))),"")</f>
        <v/>
      </c>
      <c r="O920" s="324"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4"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3"/>
      <c r="R920" s="363"/>
      <c r="S920" s="325"/>
      <c r="T920" s="325"/>
      <c r="U920" s="317" t="str" cm="1">
        <f t="array" aca="1" ref="U920" ca="1">IFERROR(IF(AA920&lt;&gt;"ja",_xlfn.IFNA(_xlfn.IFS(AND(O920&lt;&gt;"",F920&lt;&gt;"",RIGHT($N920,6)="tarief",F920="Vergoeding"),SUM(O920)*FLOOR(SUM(Q920),0.0001),AND(O920&lt;&gt;"",F920&lt;&gt;"",RIGHT($N920,6)="tarief"),SUM(O920)*FLOOR(SUM(Q920),0.01),S920&gt;0,IF(F920&lt;&gt;"",FLOOR(SUM(S920),0.01),"")),""),""),"")</f>
        <v/>
      </c>
      <c r="V920" s="317" t="str" cm="1">
        <f t="array" aca="1" ref="V920" ca="1">IFERROR(IF(AA920&lt;&gt;"ja",_xlfn.IFNA(_xlfn.IFS(AND(P920&lt;&gt;"",R920&lt;&gt;"",RIGHT($N920,6)="tarief",F920="Vergoeding"),SUM(P920)*FLOOR(SUM(R920),0.0001),AND(P920&lt;&gt;"",R920&lt;&gt;"",RIGHT($N920,6)="tarief"),P920*FLOOR(R920,0.01),T920&gt;0,FLOOR(SUM(T920),0.01)),""),""),"")</f>
        <v/>
      </c>
      <c r="W920" s="317" t="str" cm="1">
        <f t="array" aca="1" ref="W920" ca="1">IFERROR(_xlfn.IFS(OR(F920="",LEFT(Methode_Keuze,4)="Geen",Methode_Keuze=""),"",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17" t="str" cm="1">
        <f t="array" aca="1" ref="X920" ca="1">IFERROR(_xlfn.IFS(OR(F920="",LEFT(Methode_Keuze,4)="Geen",Methode_Keuze=""),"",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26"/>
      <c r="Z920" s="319"/>
      <c r="AA920" s="32" t="str" cm="1">
        <f t="array" ref="AA920">IFERROR(IF(INDEX(SubsidieTabel!$AD$1:$AG$12,MATCH($F920,SubsidieTabel!$AD$1:$AD$12,0),IFERROR(MATCH(Methode_Keuze,SubsidieTabel!$AD$1:$AG$1,0),2))&lt;&gt;1=TRUE,"ja",""),"")</f>
        <v/>
      </c>
    </row>
    <row r="921" spans="1:27" x14ac:dyDescent="0.25">
      <c r="A921" s="320"/>
      <c r="B921" s="321" t="str">
        <f>IF(A921&lt;&gt;"",_xlfn.MAXIFS($B$1:B920,$A$1:A920,A921)+1,"")</f>
        <v/>
      </c>
      <c r="C921" s="299"/>
      <c r="D921" s="299"/>
      <c r="E921" s="299"/>
      <c r="F921" s="299"/>
      <c r="G921" s="330"/>
      <c r="H921" s="328"/>
      <c r="I921" s="329"/>
      <c r="J921" s="329"/>
      <c r="K921" s="322"/>
      <c r="L921" s="322"/>
      <c r="M921" s="323" t="str">
        <f>IFERROR(VLOOKUP(H921,Lijsten!$H$1:$I$100,2,0),"")</f>
        <v/>
      </c>
      <c r="N921" s="323" t="str">
        <f ca="1">IFERROR(IF(VLOOKUP(F921,Kostentypen!$A$3:$E$21,3,0)=0,"",IF(OR(F921="Arbeidskosten",F921="Vergoeding"),VLOOKUP(G921,Tb_KostenTypen[],2,0),VLOOKUP(F921,Kostentypen!$A$3:$E$20,3,0))),"")</f>
        <v/>
      </c>
      <c r="O921" s="324"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4"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3"/>
      <c r="R921" s="363"/>
      <c r="S921" s="325"/>
      <c r="T921" s="325"/>
      <c r="U921" s="317" t="str" cm="1">
        <f t="array" aca="1" ref="U921" ca="1">IFERROR(IF(AA921&lt;&gt;"ja",_xlfn.IFNA(_xlfn.IFS(AND(O921&lt;&gt;"",F921&lt;&gt;"",RIGHT($N921,6)="tarief",F921="Vergoeding"),SUM(O921)*FLOOR(SUM(Q921),0.0001),AND(O921&lt;&gt;"",F921&lt;&gt;"",RIGHT($N921,6)="tarief"),SUM(O921)*FLOOR(SUM(Q921),0.01),S921&gt;0,IF(F921&lt;&gt;"",FLOOR(SUM(S921),0.01),"")),""),""),"")</f>
        <v/>
      </c>
      <c r="V921" s="317" t="str" cm="1">
        <f t="array" aca="1" ref="V921" ca="1">IFERROR(IF(AA921&lt;&gt;"ja",_xlfn.IFNA(_xlfn.IFS(AND(P921&lt;&gt;"",R921&lt;&gt;"",RIGHT($N921,6)="tarief",F921="Vergoeding"),SUM(P921)*FLOOR(SUM(R921),0.0001),AND(P921&lt;&gt;"",R921&lt;&gt;"",RIGHT($N921,6)="tarief"),P921*FLOOR(R921,0.01),T921&gt;0,FLOOR(SUM(T921),0.01)),""),""),"")</f>
        <v/>
      </c>
      <c r="W921" s="317" t="str" cm="1">
        <f t="array" aca="1" ref="W921" ca="1">IFERROR(_xlfn.IFS(OR(F921="",LEFT(Methode_Keuze,4)="Geen",Methode_Keuze=""),"",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17" t="str" cm="1">
        <f t="array" aca="1" ref="X921" ca="1">IFERROR(_xlfn.IFS(OR(F921="",LEFT(Methode_Keuze,4)="Geen",Methode_Keuze=""),"",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26"/>
      <c r="Z921" s="319"/>
      <c r="AA921" s="32" t="str" cm="1">
        <f t="array" ref="AA921">IFERROR(IF(INDEX(SubsidieTabel!$AD$1:$AG$12,MATCH($F921,SubsidieTabel!$AD$1:$AD$12,0),IFERROR(MATCH(Methode_Keuze,SubsidieTabel!$AD$1:$AG$1,0),2))&lt;&gt;1=TRUE,"ja",""),"")</f>
        <v/>
      </c>
    </row>
    <row r="922" spans="1:27" x14ac:dyDescent="0.25">
      <c r="A922" s="320"/>
      <c r="B922" s="321" t="str">
        <f>IF(A922&lt;&gt;"",_xlfn.MAXIFS($B$1:B921,$A$1:A921,A922)+1,"")</f>
        <v/>
      </c>
      <c r="C922" s="299"/>
      <c r="D922" s="299"/>
      <c r="E922" s="299"/>
      <c r="F922" s="299"/>
      <c r="G922" s="330"/>
      <c r="H922" s="328"/>
      <c r="I922" s="329"/>
      <c r="J922" s="329"/>
      <c r="K922" s="322"/>
      <c r="L922" s="322"/>
      <c r="M922" s="323" t="str">
        <f>IFERROR(VLOOKUP(H922,Lijsten!$H$1:$I$100,2,0),"")</f>
        <v/>
      </c>
      <c r="N922" s="323" t="str">
        <f ca="1">IFERROR(IF(VLOOKUP(F922,Kostentypen!$A$3:$E$21,3,0)=0,"",IF(OR(F922="Arbeidskosten",F922="Vergoeding"),VLOOKUP(G922,Tb_KostenTypen[],2,0),VLOOKUP(F922,Kostentypen!$A$3:$E$20,3,0))),"")</f>
        <v/>
      </c>
      <c r="O922" s="324"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4"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3"/>
      <c r="R922" s="363"/>
      <c r="S922" s="325"/>
      <c r="T922" s="325"/>
      <c r="U922" s="317" t="str" cm="1">
        <f t="array" aca="1" ref="U922" ca="1">IFERROR(IF(AA922&lt;&gt;"ja",_xlfn.IFNA(_xlfn.IFS(AND(O922&lt;&gt;"",F922&lt;&gt;"",RIGHT($N922,6)="tarief",F922="Vergoeding"),SUM(O922)*FLOOR(SUM(Q922),0.0001),AND(O922&lt;&gt;"",F922&lt;&gt;"",RIGHT($N922,6)="tarief"),SUM(O922)*FLOOR(SUM(Q922),0.01),S922&gt;0,IF(F922&lt;&gt;"",FLOOR(SUM(S922),0.01),"")),""),""),"")</f>
        <v/>
      </c>
      <c r="V922" s="317" t="str" cm="1">
        <f t="array" aca="1" ref="V922" ca="1">IFERROR(IF(AA922&lt;&gt;"ja",_xlfn.IFNA(_xlfn.IFS(AND(P922&lt;&gt;"",R922&lt;&gt;"",RIGHT($N922,6)="tarief",F922="Vergoeding"),SUM(P922)*FLOOR(SUM(R922),0.0001),AND(P922&lt;&gt;"",R922&lt;&gt;"",RIGHT($N922,6)="tarief"),P922*FLOOR(R922,0.01),T922&gt;0,FLOOR(SUM(T922),0.01)),""),""),"")</f>
        <v/>
      </c>
      <c r="W922" s="317" t="str" cm="1">
        <f t="array" aca="1" ref="W922" ca="1">IFERROR(_xlfn.IFS(OR(F922="",LEFT(Methode_Keuze,4)="Geen",Methode_Keuze=""),"",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17" t="str" cm="1">
        <f t="array" aca="1" ref="X922" ca="1">IFERROR(_xlfn.IFS(OR(F922="",LEFT(Methode_Keuze,4)="Geen",Methode_Keuze=""),"",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26"/>
      <c r="Z922" s="319"/>
      <c r="AA922" s="32" t="str" cm="1">
        <f t="array" ref="AA922">IFERROR(IF(INDEX(SubsidieTabel!$AD$1:$AG$12,MATCH($F922,SubsidieTabel!$AD$1:$AD$12,0),IFERROR(MATCH(Methode_Keuze,SubsidieTabel!$AD$1:$AG$1,0),2))&lt;&gt;1=TRUE,"ja",""),"")</f>
        <v/>
      </c>
    </row>
    <row r="923" spans="1:27" x14ac:dyDescent="0.25">
      <c r="A923" s="320"/>
      <c r="B923" s="321" t="str">
        <f>IF(A923&lt;&gt;"",_xlfn.MAXIFS($B$1:B922,$A$1:A922,A923)+1,"")</f>
        <v/>
      </c>
      <c r="C923" s="299"/>
      <c r="D923" s="299"/>
      <c r="E923" s="299"/>
      <c r="F923" s="299"/>
      <c r="G923" s="330"/>
      <c r="H923" s="328"/>
      <c r="I923" s="329"/>
      <c r="J923" s="329"/>
      <c r="K923" s="322"/>
      <c r="L923" s="322"/>
      <c r="M923" s="323" t="str">
        <f>IFERROR(VLOOKUP(H923,Lijsten!$H$1:$I$100,2,0),"")</f>
        <v/>
      </c>
      <c r="N923" s="323" t="str">
        <f ca="1">IFERROR(IF(VLOOKUP(F923,Kostentypen!$A$3:$E$21,3,0)=0,"",IF(OR(F923="Arbeidskosten",F923="Vergoeding"),VLOOKUP(G923,Tb_KostenTypen[],2,0),VLOOKUP(F923,Kostentypen!$A$3:$E$20,3,0))),"")</f>
        <v/>
      </c>
      <c r="O923" s="324"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4"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3"/>
      <c r="R923" s="363"/>
      <c r="S923" s="325"/>
      <c r="T923" s="325"/>
      <c r="U923" s="317" t="str" cm="1">
        <f t="array" aca="1" ref="U923" ca="1">IFERROR(IF(AA923&lt;&gt;"ja",_xlfn.IFNA(_xlfn.IFS(AND(O923&lt;&gt;"",F923&lt;&gt;"",RIGHT($N923,6)="tarief",F923="Vergoeding"),SUM(O923)*FLOOR(SUM(Q923),0.0001),AND(O923&lt;&gt;"",F923&lt;&gt;"",RIGHT($N923,6)="tarief"),SUM(O923)*FLOOR(SUM(Q923),0.01),S923&gt;0,IF(F923&lt;&gt;"",FLOOR(SUM(S923),0.01),"")),""),""),"")</f>
        <v/>
      </c>
      <c r="V923" s="317" t="str" cm="1">
        <f t="array" aca="1" ref="V923" ca="1">IFERROR(IF(AA923&lt;&gt;"ja",_xlfn.IFNA(_xlfn.IFS(AND(P923&lt;&gt;"",R923&lt;&gt;"",RIGHT($N923,6)="tarief",F923="Vergoeding"),SUM(P923)*FLOOR(SUM(R923),0.0001),AND(P923&lt;&gt;"",R923&lt;&gt;"",RIGHT($N923,6)="tarief"),P923*FLOOR(R923,0.01),T923&gt;0,FLOOR(SUM(T923),0.01)),""),""),"")</f>
        <v/>
      </c>
      <c r="W923" s="317" t="str" cm="1">
        <f t="array" aca="1" ref="W923" ca="1">IFERROR(_xlfn.IFS(OR(F923="",LEFT(Methode_Keuze,4)="Geen",Methode_Keuze=""),"",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17" t="str" cm="1">
        <f t="array" aca="1" ref="X923" ca="1">IFERROR(_xlfn.IFS(OR(F923="",LEFT(Methode_Keuze,4)="Geen",Methode_Keuze=""),"",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26"/>
      <c r="Z923" s="319"/>
      <c r="AA923" s="32" t="str" cm="1">
        <f t="array" ref="AA923">IFERROR(IF(INDEX(SubsidieTabel!$AD$1:$AG$12,MATCH($F923,SubsidieTabel!$AD$1:$AD$12,0),IFERROR(MATCH(Methode_Keuze,SubsidieTabel!$AD$1:$AG$1,0),2))&lt;&gt;1=TRUE,"ja",""),"")</f>
        <v/>
      </c>
    </row>
    <row r="924" spans="1:27" x14ac:dyDescent="0.25">
      <c r="A924" s="320"/>
      <c r="B924" s="321" t="str">
        <f>IF(A924&lt;&gt;"",_xlfn.MAXIFS($B$1:B923,$A$1:A923,A924)+1,"")</f>
        <v/>
      </c>
      <c r="C924" s="299"/>
      <c r="D924" s="299"/>
      <c r="E924" s="299"/>
      <c r="F924" s="299"/>
      <c r="G924" s="330"/>
      <c r="H924" s="328"/>
      <c r="I924" s="329"/>
      <c r="J924" s="329"/>
      <c r="K924" s="322"/>
      <c r="L924" s="322"/>
      <c r="M924" s="323" t="str">
        <f>IFERROR(VLOOKUP(H924,Lijsten!$H$1:$I$100,2,0),"")</f>
        <v/>
      </c>
      <c r="N924" s="323" t="str">
        <f ca="1">IFERROR(IF(VLOOKUP(F924,Kostentypen!$A$3:$E$21,3,0)=0,"",IF(OR(F924="Arbeidskosten",F924="Vergoeding"),VLOOKUP(G924,Tb_KostenTypen[],2,0),VLOOKUP(F924,Kostentypen!$A$3:$E$20,3,0))),"")</f>
        <v/>
      </c>
      <c r="O924" s="324"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4"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3"/>
      <c r="R924" s="363"/>
      <c r="S924" s="325"/>
      <c r="T924" s="325"/>
      <c r="U924" s="317" t="str" cm="1">
        <f t="array" aca="1" ref="U924" ca="1">IFERROR(IF(AA924&lt;&gt;"ja",_xlfn.IFNA(_xlfn.IFS(AND(O924&lt;&gt;"",F924&lt;&gt;"",RIGHT($N924,6)="tarief",F924="Vergoeding"),SUM(O924)*FLOOR(SUM(Q924),0.0001),AND(O924&lt;&gt;"",F924&lt;&gt;"",RIGHT($N924,6)="tarief"),SUM(O924)*FLOOR(SUM(Q924),0.01),S924&gt;0,IF(F924&lt;&gt;"",FLOOR(SUM(S924),0.01),"")),""),""),"")</f>
        <v/>
      </c>
      <c r="V924" s="317" t="str" cm="1">
        <f t="array" aca="1" ref="V924" ca="1">IFERROR(IF(AA924&lt;&gt;"ja",_xlfn.IFNA(_xlfn.IFS(AND(P924&lt;&gt;"",R924&lt;&gt;"",RIGHT($N924,6)="tarief",F924="Vergoeding"),SUM(P924)*FLOOR(SUM(R924),0.0001),AND(P924&lt;&gt;"",R924&lt;&gt;"",RIGHT($N924,6)="tarief"),P924*FLOOR(R924,0.01),T924&gt;0,FLOOR(SUM(T924),0.01)),""),""),"")</f>
        <v/>
      </c>
      <c r="W924" s="317" t="str" cm="1">
        <f t="array" aca="1" ref="W924" ca="1">IFERROR(_xlfn.IFS(OR(F924="",LEFT(Methode_Keuze,4)="Geen",Methode_Keuze=""),"",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17" t="str" cm="1">
        <f t="array" aca="1" ref="X924" ca="1">IFERROR(_xlfn.IFS(OR(F924="",LEFT(Methode_Keuze,4)="Geen",Methode_Keuze=""),"",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26"/>
      <c r="Z924" s="319"/>
      <c r="AA924" s="32" t="str" cm="1">
        <f t="array" ref="AA924">IFERROR(IF(INDEX(SubsidieTabel!$AD$1:$AG$12,MATCH($F924,SubsidieTabel!$AD$1:$AD$12,0),IFERROR(MATCH(Methode_Keuze,SubsidieTabel!$AD$1:$AG$1,0),2))&lt;&gt;1=TRUE,"ja",""),"")</f>
        <v/>
      </c>
    </row>
    <row r="925" spans="1:27" x14ac:dyDescent="0.25">
      <c r="A925" s="320"/>
      <c r="B925" s="321" t="str">
        <f>IF(A925&lt;&gt;"",_xlfn.MAXIFS($B$1:B924,$A$1:A924,A925)+1,"")</f>
        <v/>
      </c>
      <c r="C925" s="299"/>
      <c r="D925" s="299"/>
      <c r="E925" s="299"/>
      <c r="F925" s="299"/>
      <c r="G925" s="330"/>
      <c r="H925" s="328"/>
      <c r="I925" s="329"/>
      <c r="J925" s="329"/>
      <c r="K925" s="322"/>
      <c r="L925" s="322"/>
      <c r="M925" s="323" t="str">
        <f>IFERROR(VLOOKUP(H925,Lijsten!$H$1:$I$100,2,0),"")</f>
        <v/>
      </c>
      <c r="N925" s="323" t="str">
        <f ca="1">IFERROR(IF(VLOOKUP(F925,Kostentypen!$A$3:$E$21,3,0)=0,"",IF(OR(F925="Arbeidskosten",F925="Vergoeding"),VLOOKUP(G925,Tb_KostenTypen[],2,0),VLOOKUP(F925,Kostentypen!$A$3:$E$20,3,0))),"")</f>
        <v/>
      </c>
      <c r="O925" s="324"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4"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3"/>
      <c r="R925" s="363"/>
      <c r="S925" s="325"/>
      <c r="T925" s="325"/>
      <c r="U925" s="317" t="str" cm="1">
        <f t="array" aca="1" ref="U925" ca="1">IFERROR(IF(AA925&lt;&gt;"ja",_xlfn.IFNA(_xlfn.IFS(AND(O925&lt;&gt;"",F925&lt;&gt;"",RIGHT($N925,6)="tarief",F925="Vergoeding"),SUM(O925)*FLOOR(SUM(Q925),0.0001),AND(O925&lt;&gt;"",F925&lt;&gt;"",RIGHT($N925,6)="tarief"),SUM(O925)*FLOOR(SUM(Q925),0.01),S925&gt;0,IF(F925&lt;&gt;"",FLOOR(SUM(S925),0.01),"")),""),""),"")</f>
        <v/>
      </c>
      <c r="V925" s="317" t="str" cm="1">
        <f t="array" aca="1" ref="V925" ca="1">IFERROR(IF(AA925&lt;&gt;"ja",_xlfn.IFNA(_xlfn.IFS(AND(P925&lt;&gt;"",R925&lt;&gt;"",RIGHT($N925,6)="tarief",F925="Vergoeding"),SUM(P925)*FLOOR(SUM(R925),0.0001),AND(P925&lt;&gt;"",R925&lt;&gt;"",RIGHT($N925,6)="tarief"),P925*FLOOR(R925,0.01),T925&gt;0,FLOOR(SUM(T925),0.01)),""),""),"")</f>
        <v/>
      </c>
      <c r="W925" s="317" t="str" cm="1">
        <f t="array" aca="1" ref="W925" ca="1">IFERROR(_xlfn.IFS(OR(F925="",LEFT(Methode_Keuze,4)="Geen",Methode_Keuze=""),"",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17" t="str" cm="1">
        <f t="array" aca="1" ref="X925" ca="1">IFERROR(_xlfn.IFS(OR(F925="",LEFT(Methode_Keuze,4)="Geen",Methode_Keuze=""),"",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26"/>
      <c r="Z925" s="319"/>
      <c r="AA925" s="32" t="str" cm="1">
        <f t="array" ref="AA925">IFERROR(IF(INDEX(SubsidieTabel!$AD$1:$AG$12,MATCH($F925,SubsidieTabel!$AD$1:$AD$12,0),IFERROR(MATCH(Methode_Keuze,SubsidieTabel!$AD$1:$AG$1,0),2))&lt;&gt;1=TRUE,"ja",""),"")</f>
        <v/>
      </c>
    </row>
    <row r="926" spans="1:27" x14ac:dyDescent="0.25">
      <c r="A926" s="320"/>
      <c r="B926" s="321" t="str">
        <f>IF(A926&lt;&gt;"",_xlfn.MAXIFS($B$1:B925,$A$1:A925,A926)+1,"")</f>
        <v/>
      </c>
      <c r="C926" s="299"/>
      <c r="D926" s="299"/>
      <c r="E926" s="299"/>
      <c r="F926" s="299"/>
      <c r="G926" s="330"/>
      <c r="H926" s="328"/>
      <c r="I926" s="329"/>
      <c r="J926" s="329"/>
      <c r="K926" s="322"/>
      <c r="L926" s="322"/>
      <c r="M926" s="323" t="str">
        <f>IFERROR(VLOOKUP(H926,Lijsten!$H$1:$I$100,2,0),"")</f>
        <v/>
      </c>
      <c r="N926" s="323" t="str">
        <f ca="1">IFERROR(IF(VLOOKUP(F926,Kostentypen!$A$3:$E$21,3,0)=0,"",IF(OR(F926="Arbeidskosten",F926="Vergoeding"),VLOOKUP(G926,Tb_KostenTypen[],2,0),VLOOKUP(F926,Kostentypen!$A$3:$E$20,3,0))),"")</f>
        <v/>
      </c>
      <c r="O926" s="324"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4"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3"/>
      <c r="R926" s="363"/>
      <c r="S926" s="325"/>
      <c r="T926" s="325"/>
      <c r="U926" s="317" t="str" cm="1">
        <f t="array" aca="1" ref="U926" ca="1">IFERROR(IF(AA926&lt;&gt;"ja",_xlfn.IFNA(_xlfn.IFS(AND(O926&lt;&gt;"",F926&lt;&gt;"",RIGHT($N926,6)="tarief",F926="Vergoeding"),SUM(O926)*FLOOR(SUM(Q926),0.0001),AND(O926&lt;&gt;"",F926&lt;&gt;"",RIGHT($N926,6)="tarief"),SUM(O926)*FLOOR(SUM(Q926),0.01),S926&gt;0,IF(F926&lt;&gt;"",FLOOR(SUM(S926),0.01),"")),""),""),"")</f>
        <v/>
      </c>
      <c r="V926" s="317" t="str" cm="1">
        <f t="array" aca="1" ref="V926" ca="1">IFERROR(IF(AA926&lt;&gt;"ja",_xlfn.IFNA(_xlfn.IFS(AND(P926&lt;&gt;"",R926&lt;&gt;"",RIGHT($N926,6)="tarief",F926="Vergoeding"),SUM(P926)*FLOOR(SUM(R926),0.0001),AND(P926&lt;&gt;"",R926&lt;&gt;"",RIGHT($N926,6)="tarief"),P926*FLOOR(R926,0.01),T926&gt;0,FLOOR(SUM(T926),0.01)),""),""),"")</f>
        <v/>
      </c>
      <c r="W926" s="317" t="str" cm="1">
        <f t="array" aca="1" ref="W926" ca="1">IFERROR(_xlfn.IFS(OR(F926="",LEFT(Methode_Keuze,4)="Geen",Methode_Keuze=""),"",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17" t="str" cm="1">
        <f t="array" aca="1" ref="X926" ca="1">IFERROR(_xlfn.IFS(OR(F926="",LEFT(Methode_Keuze,4)="Geen",Methode_Keuze=""),"",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26"/>
      <c r="Z926" s="319"/>
      <c r="AA926" s="32" t="str" cm="1">
        <f t="array" ref="AA926">IFERROR(IF(INDEX(SubsidieTabel!$AD$1:$AG$12,MATCH($F926,SubsidieTabel!$AD$1:$AD$12,0),IFERROR(MATCH(Methode_Keuze,SubsidieTabel!$AD$1:$AG$1,0),2))&lt;&gt;1=TRUE,"ja",""),"")</f>
        <v/>
      </c>
    </row>
    <row r="927" spans="1:27" x14ac:dyDescent="0.25">
      <c r="A927" s="320"/>
      <c r="B927" s="321" t="str">
        <f>IF(A927&lt;&gt;"",_xlfn.MAXIFS($B$1:B926,$A$1:A926,A927)+1,"")</f>
        <v/>
      </c>
      <c r="C927" s="299"/>
      <c r="D927" s="299"/>
      <c r="E927" s="299"/>
      <c r="F927" s="299"/>
      <c r="G927" s="330"/>
      <c r="H927" s="328"/>
      <c r="I927" s="329"/>
      <c r="J927" s="329"/>
      <c r="K927" s="322"/>
      <c r="L927" s="322"/>
      <c r="M927" s="323" t="str">
        <f>IFERROR(VLOOKUP(H927,Lijsten!$H$1:$I$100,2,0),"")</f>
        <v/>
      </c>
      <c r="N927" s="323" t="str">
        <f ca="1">IFERROR(IF(VLOOKUP(F927,Kostentypen!$A$3:$E$21,3,0)=0,"",IF(OR(F927="Arbeidskosten",F927="Vergoeding"),VLOOKUP(G927,Tb_KostenTypen[],2,0),VLOOKUP(F927,Kostentypen!$A$3:$E$20,3,0))),"")</f>
        <v/>
      </c>
      <c r="O927" s="324"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4"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3"/>
      <c r="R927" s="363"/>
      <c r="S927" s="325"/>
      <c r="T927" s="325"/>
      <c r="U927" s="317" t="str" cm="1">
        <f t="array" aca="1" ref="U927" ca="1">IFERROR(IF(AA927&lt;&gt;"ja",_xlfn.IFNA(_xlfn.IFS(AND(O927&lt;&gt;"",F927&lt;&gt;"",RIGHT($N927,6)="tarief",F927="Vergoeding"),SUM(O927)*FLOOR(SUM(Q927),0.0001),AND(O927&lt;&gt;"",F927&lt;&gt;"",RIGHT($N927,6)="tarief"),SUM(O927)*FLOOR(SUM(Q927),0.01),S927&gt;0,IF(F927&lt;&gt;"",FLOOR(SUM(S927),0.01),"")),""),""),"")</f>
        <v/>
      </c>
      <c r="V927" s="317" t="str" cm="1">
        <f t="array" aca="1" ref="V927" ca="1">IFERROR(IF(AA927&lt;&gt;"ja",_xlfn.IFNA(_xlfn.IFS(AND(P927&lt;&gt;"",R927&lt;&gt;"",RIGHT($N927,6)="tarief",F927="Vergoeding"),SUM(P927)*FLOOR(SUM(R927),0.0001),AND(P927&lt;&gt;"",R927&lt;&gt;"",RIGHT($N927,6)="tarief"),P927*FLOOR(R927,0.01),T927&gt;0,FLOOR(SUM(T927),0.01)),""),""),"")</f>
        <v/>
      </c>
      <c r="W927" s="317" t="str" cm="1">
        <f t="array" aca="1" ref="W927" ca="1">IFERROR(_xlfn.IFS(OR(F927="",LEFT(Methode_Keuze,4)="Geen",Methode_Keuze=""),"",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17" t="str" cm="1">
        <f t="array" aca="1" ref="X927" ca="1">IFERROR(_xlfn.IFS(OR(F927="",LEFT(Methode_Keuze,4)="Geen",Methode_Keuze=""),"",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26"/>
      <c r="Z927" s="319"/>
      <c r="AA927" s="32" t="str" cm="1">
        <f t="array" ref="AA927">IFERROR(IF(INDEX(SubsidieTabel!$AD$1:$AG$12,MATCH($F927,SubsidieTabel!$AD$1:$AD$12,0),IFERROR(MATCH(Methode_Keuze,SubsidieTabel!$AD$1:$AG$1,0),2))&lt;&gt;1=TRUE,"ja",""),"")</f>
        <v/>
      </c>
    </row>
    <row r="928" spans="1:27" x14ac:dyDescent="0.25">
      <c r="A928" s="320"/>
      <c r="B928" s="321" t="str">
        <f>IF(A928&lt;&gt;"",_xlfn.MAXIFS($B$1:B927,$A$1:A927,A928)+1,"")</f>
        <v/>
      </c>
      <c r="C928" s="299"/>
      <c r="D928" s="299"/>
      <c r="E928" s="299"/>
      <c r="F928" s="299"/>
      <c r="G928" s="330"/>
      <c r="H928" s="328"/>
      <c r="I928" s="329"/>
      <c r="J928" s="329"/>
      <c r="K928" s="322"/>
      <c r="L928" s="322"/>
      <c r="M928" s="323" t="str">
        <f>IFERROR(VLOOKUP(H928,Lijsten!$H$1:$I$100,2,0),"")</f>
        <v/>
      </c>
      <c r="N928" s="323" t="str">
        <f ca="1">IFERROR(IF(VLOOKUP(F928,Kostentypen!$A$3:$E$21,3,0)=0,"",IF(OR(F928="Arbeidskosten",F928="Vergoeding"),VLOOKUP(G928,Tb_KostenTypen[],2,0),VLOOKUP(F928,Kostentypen!$A$3:$E$20,3,0))),"")</f>
        <v/>
      </c>
      <c r="O928" s="324"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4"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3"/>
      <c r="R928" s="363"/>
      <c r="S928" s="325"/>
      <c r="T928" s="325"/>
      <c r="U928" s="317" t="str" cm="1">
        <f t="array" aca="1" ref="U928" ca="1">IFERROR(IF(AA928&lt;&gt;"ja",_xlfn.IFNA(_xlfn.IFS(AND(O928&lt;&gt;"",F928&lt;&gt;"",RIGHT($N928,6)="tarief",F928="Vergoeding"),SUM(O928)*FLOOR(SUM(Q928),0.0001),AND(O928&lt;&gt;"",F928&lt;&gt;"",RIGHT($N928,6)="tarief"),SUM(O928)*FLOOR(SUM(Q928),0.01),S928&gt;0,IF(F928&lt;&gt;"",FLOOR(SUM(S928),0.01),"")),""),""),"")</f>
        <v/>
      </c>
      <c r="V928" s="317" t="str" cm="1">
        <f t="array" aca="1" ref="V928" ca="1">IFERROR(IF(AA928&lt;&gt;"ja",_xlfn.IFNA(_xlfn.IFS(AND(P928&lt;&gt;"",R928&lt;&gt;"",RIGHT($N928,6)="tarief",F928="Vergoeding"),SUM(P928)*FLOOR(SUM(R928),0.0001),AND(P928&lt;&gt;"",R928&lt;&gt;"",RIGHT($N928,6)="tarief"),P928*FLOOR(R928,0.01),T928&gt;0,FLOOR(SUM(T928),0.01)),""),""),"")</f>
        <v/>
      </c>
      <c r="W928" s="317" t="str" cm="1">
        <f t="array" aca="1" ref="W928" ca="1">IFERROR(_xlfn.IFS(OR(F928="",LEFT(Methode_Keuze,4)="Geen",Methode_Keuze=""),"",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17" t="str" cm="1">
        <f t="array" aca="1" ref="X928" ca="1">IFERROR(_xlfn.IFS(OR(F928="",LEFT(Methode_Keuze,4)="Geen",Methode_Keuze=""),"",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26"/>
      <c r="Z928" s="319"/>
      <c r="AA928" s="32" t="str" cm="1">
        <f t="array" ref="AA928">IFERROR(IF(INDEX(SubsidieTabel!$AD$1:$AG$12,MATCH($F928,SubsidieTabel!$AD$1:$AD$12,0),IFERROR(MATCH(Methode_Keuze,SubsidieTabel!$AD$1:$AG$1,0),2))&lt;&gt;1=TRUE,"ja",""),"")</f>
        <v/>
      </c>
    </row>
    <row r="929" spans="1:27" x14ac:dyDescent="0.25">
      <c r="A929" s="320"/>
      <c r="B929" s="321" t="str">
        <f>IF(A929&lt;&gt;"",_xlfn.MAXIFS($B$1:B928,$A$1:A928,A929)+1,"")</f>
        <v/>
      </c>
      <c r="C929" s="299"/>
      <c r="D929" s="299"/>
      <c r="E929" s="299"/>
      <c r="F929" s="299"/>
      <c r="G929" s="330"/>
      <c r="H929" s="328"/>
      <c r="I929" s="329"/>
      <c r="J929" s="329"/>
      <c r="K929" s="322"/>
      <c r="L929" s="322"/>
      <c r="M929" s="323" t="str">
        <f>IFERROR(VLOOKUP(H929,Lijsten!$H$1:$I$100,2,0),"")</f>
        <v/>
      </c>
      <c r="N929" s="323" t="str">
        <f ca="1">IFERROR(IF(VLOOKUP(F929,Kostentypen!$A$3:$E$21,3,0)=0,"",IF(OR(F929="Arbeidskosten",F929="Vergoeding"),VLOOKUP(G929,Tb_KostenTypen[],2,0),VLOOKUP(F929,Kostentypen!$A$3:$E$20,3,0))),"")</f>
        <v/>
      </c>
      <c r="O929" s="324"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4"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3"/>
      <c r="R929" s="363"/>
      <c r="S929" s="325"/>
      <c r="T929" s="325"/>
      <c r="U929" s="317" t="str" cm="1">
        <f t="array" aca="1" ref="U929" ca="1">IFERROR(IF(AA929&lt;&gt;"ja",_xlfn.IFNA(_xlfn.IFS(AND(O929&lt;&gt;"",F929&lt;&gt;"",RIGHT($N929,6)="tarief",F929="Vergoeding"),SUM(O929)*FLOOR(SUM(Q929),0.0001),AND(O929&lt;&gt;"",F929&lt;&gt;"",RIGHT($N929,6)="tarief"),SUM(O929)*FLOOR(SUM(Q929),0.01),S929&gt;0,IF(F929&lt;&gt;"",FLOOR(SUM(S929),0.01),"")),""),""),"")</f>
        <v/>
      </c>
      <c r="V929" s="317" t="str" cm="1">
        <f t="array" aca="1" ref="V929" ca="1">IFERROR(IF(AA929&lt;&gt;"ja",_xlfn.IFNA(_xlfn.IFS(AND(P929&lt;&gt;"",R929&lt;&gt;"",RIGHT($N929,6)="tarief",F929="Vergoeding"),SUM(P929)*FLOOR(SUM(R929),0.0001),AND(P929&lt;&gt;"",R929&lt;&gt;"",RIGHT($N929,6)="tarief"),P929*FLOOR(R929,0.01),T929&gt;0,FLOOR(SUM(T929),0.01)),""),""),"")</f>
        <v/>
      </c>
      <c r="W929" s="317" t="str" cm="1">
        <f t="array" aca="1" ref="W929" ca="1">IFERROR(_xlfn.IFS(OR(F929="",LEFT(Methode_Keuze,4)="Geen",Methode_Keuze=""),"",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17" t="str" cm="1">
        <f t="array" aca="1" ref="X929" ca="1">IFERROR(_xlfn.IFS(OR(F929="",LEFT(Methode_Keuze,4)="Geen",Methode_Keuze=""),"",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26"/>
      <c r="Z929" s="319"/>
      <c r="AA929" s="32" t="str" cm="1">
        <f t="array" ref="AA929">IFERROR(IF(INDEX(SubsidieTabel!$AD$1:$AG$12,MATCH($F929,SubsidieTabel!$AD$1:$AD$12,0),IFERROR(MATCH(Methode_Keuze,SubsidieTabel!$AD$1:$AG$1,0),2))&lt;&gt;1=TRUE,"ja",""),"")</f>
        <v/>
      </c>
    </row>
    <row r="930" spans="1:27" x14ac:dyDescent="0.25">
      <c r="A930" s="320"/>
      <c r="B930" s="321" t="str">
        <f>IF(A930&lt;&gt;"",_xlfn.MAXIFS($B$1:B929,$A$1:A929,A930)+1,"")</f>
        <v/>
      </c>
      <c r="C930" s="299"/>
      <c r="D930" s="299"/>
      <c r="E930" s="299"/>
      <c r="F930" s="299"/>
      <c r="G930" s="330"/>
      <c r="H930" s="328"/>
      <c r="I930" s="329"/>
      <c r="J930" s="329"/>
      <c r="K930" s="322"/>
      <c r="L930" s="322"/>
      <c r="M930" s="323" t="str">
        <f>IFERROR(VLOOKUP(H930,Lijsten!$H$1:$I$100,2,0),"")</f>
        <v/>
      </c>
      <c r="N930" s="323" t="str">
        <f ca="1">IFERROR(IF(VLOOKUP(F930,Kostentypen!$A$3:$E$21,3,0)=0,"",IF(OR(F930="Arbeidskosten",F930="Vergoeding"),VLOOKUP(G930,Tb_KostenTypen[],2,0),VLOOKUP(F930,Kostentypen!$A$3:$E$20,3,0))),"")</f>
        <v/>
      </c>
      <c r="O930" s="324"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4"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3"/>
      <c r="R930" s="363"/>
      <c r="S930" s="325"/>
      <c r="T930" s="325"/>
      <c r="U930" s="317" t="str" cm="1">
        <f t="array" aca="1" ref="U930" ca="1">IFERROR(IF(AA930&lt;&gt;"ja",_xlfn.IFNA(_xlfn.IFS(AND(O930&lt;&gt;"",F930&lt;&gt;"",RIGHT($N930,6)="tarief",F930="Vergoeding"),SUM(O930)*FLOOR(SUM(Q930),0.0001),AND(O930&lt;&gt;"",F930&lt;&gt;"",RIGHT($N930,6)="tarief"),SUM(O930)*FLOOR(SUM(Q930),0.01),S930&gt;0,IF(F930&lt;&gt;"",FLOOR(SUM(S930),0.01),"")),""),""),"")</f>
        <v/>
      </c>
      <c r="V930" s="317" t="str" cm="1">
        <f t="array" aca="1" ref="V930" ca="1">IFERROR(IF(AA930&lt;&gt;"ja",_xlfn.IFNA(_xlfn.IFS(AND(P930&lt;&gt;"",R930&lt;&gt;"",RIGHT($N930,6)="tarief",F930="Vergoeding"),SUM(P930)*FLOOR(SUM(R930),0.0001),AND(P930&lt;&gt;"",R930&lt;&gt;"",RIGHT($N930,6)="tarief"),P930*FLOOR(R930,0.01),T930&gt;0,FLOOR(SUM(T930),0.01)),""),""),"")</f>
        <v/>
      </c>
      <c r="W930" s="317" t="str" cm="1">
        <f t="array" aca="1" ref="W930" ca="1">IFERROR(_xlfn.IFS(OR(F930="",LEFT(Methode_Keuze,4)="Geen",Methode_Keuze=""),"",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17" t="str" cm="1">
        <f t="array" aca="1" ref="X930" ca="1">IFERROR(_xlfn.IFS(OR(F930="",LEFT(Methode_Keuze,4)="Geen",Methode_Keuze=""),"",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26"/>
      <c r="Z930" s="319"/>
      <c r="AA930" s="32" t="str" cm="1">
        <f t="array" ref="AA930">IFERROR(IF(INDEX(SubsidieTabel!$AD$1:$AG$12,MATCH($F930,SubsidieTabel!$AD$1:$AD$12,0),IFERROR(MATCH(Methode_Keuze,SubsidieTabel!$AD$1:$AG$1,0),2))&lt;&gt;1=TRUE,"ja",""),"")</f>
        <v/>
      </c>
    </row>
    <row r="931" spans="1:27" x14ac:dyDescent="0.25">
      <c r="A931" s="320"/>
      <c r="B931" s="321" t="str">
        <f>IF(A931&lt;&gt;"",_xlfn.MAXIFS($B$1:B930,$A$1:A930,A931)+1,"")</f>
        <v/>
      </c>
      <c r="C931" s="299"/>
      <c r="D931" s="299"/>
      <c r="E931" s="299"/>
      <c r="F931" s="299"/>
      <c r="G931" s="330"/>
      <c r="H931" s="328"/>
      <c r="I931" s="329"/>
      <c r="J931" s="329"/>
      <c r="K931" s="322"/>
      <c r="L931" s="322"/>
      <c r="M931" s="323" t="str">
        <f>IFERROR(VLOOKUP(H931,Lijsten!$H$1:$I$100,2,0),"")</f>
        <v/>
      </c>
      <c r="N931" s="323" t="str">
        <f ca="1">IFERROR(IF(VLOOKUP(F931,Kostentypen!$A$3:$E$21,3,0)=0,"",IF(OR(F931="Arbeidskosten",F931="Vergoeding"),VLOOKUP(G931,Tb_KostenTypen[],2,0),VLOOKUP(F931,Kostentypen!$A$3:$E$20,3,0))),"")</f>
        <v/>
      </c>
      <c r="O931" s="324"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4"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3"/>
      <c r="R931" s="363"/>
      <c r="S931" s="325"/>
      <c r="T931" s="325"/>
      <c r="U931" s="317" t="str" cm="1">
        <f t="array" aca="1" ref="U931" ca="1">IFERROR(IF(AA931&lt;&gt;"ja",_xlfn.IFNA(_xlfn.IFS(AND(O931&lt;&gt;"",F931&lt;&gt;"",RIGHT($N931,6)="tarief",F931="Vergoeding"),SUM(O931)*FLOOR(SUM(Q931),0.0001),AND(O931&lt;&gt;"",F931&lt;&gt;"",RIGHT($N931,6)="tarief"),SUM(O931)*FLOOR(SUM(Q931),0.01),S931&gt;0,IF(F931&lt;&gt;"",FLOOR(SUM(S931),0.01),"")),""),""),"")</f>
        <v/>
      </c>
      <c r="V931" s="317" t="str" cm="1">
        <f t="array" aca="1" ref="V931" ca="1">IFERROR(IF(AA931&lt;&gt;"ja",_xlfn.IFNA(_xlfn.IFS(AND(P931&lt;&gt;"",R931&lt;&gt;"",RIGHT($N931,6)="tarief",F931="Vergoeding"),SUM(P931)*FLOOR(SUM(R931),0.0001),AND(P931&lt;&gt;"",R931&lt;&gt;"",RIGHT($N931,6)="tarief"),P931*FLOOR(R931,0.01),T931&gt;0,FLOOR(SUM(T931),0.01)),""),""),"")</f>
        <v/>
      </c>
      <c r="W931" s="317" t="str" cm="1">
        <f t="array" aca="1" ref="W931" ca="1">IFERROR(_xlfn.IFS(OR(F931="",LEFT(Methode_Keuze,4)="Geen",Methode_Keuze=""),"",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17" t="str" cm="1">
        <f t="array" aca="1" ref="X931" ca="1">IFERROR(_xlfn.IFS(OR(F931="",LEFT(Methode_Keuze,4)="Geen",Methode_Keuze=""),"",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26"/>
      <c r="Z931" s="319"/>
      <c r="AA931" s="32" t="str" cm="1">
        <f t="array" ref="AA931">IFERROR(IF(INDEX(SubsidieTabel!$AD$1:$AG$12,MATCH($F931,SubsidieTabel!$AD$1:$AD$12,0),IFERROR(MATCH(Methode_Keuze,SubsidieTabel!$AD$1:$AG$1,0),2))&lt;&gt;1=TRUE,"ja",""),"")</f>
        <v/>
      </c>
    </row>
    <row r="932" spans="1:27" x14ac:dyDescent="0.25">
      <c r="A932" s="320"/>
      <c r="B932" s="321" t="str">
        <f>IF(A932&lt;&gt;"",_xlfn.MAXIFS($B$1:B931,$A$1:A931,A932)+1,"")</f>
        <v/>
      </c>
      <c r="C932" s="299"/>
      <c r="D932" s="299"/>
      <c r="E932" s="299"/>
      <c r="F932" s="299"/>
      <c r="G932" s="330"/>
      <c r="H932" s="328"/>
      <c r="I932" s="329"/>
      <c r="J932" s="329"/>
      <c r="K932" s="322"/>
      <c r="L932" s="322"/>
      <c r="M932" s="323" t="str">
        <f>IFERROR(VLOOKUP(H932,Lijsten!$H$1:$I$100,2,0),"")</f>
        <v/>
      </c>
      <c r="N932" s="323" t="str">
        <f ca="1">IFERROR(IF(VLOOKUP(F932,Kostentypen!$A$3:$E$21,3,0)=0,"",IF(OR(F932="Arbeidskosten",F932="Vergoeding"),VLOOKUP(G932,Tb_KostenTypen[],2,0),VLOOKUP(F932,Kostentypen!$A$3:$E$20,3,0))),"")</f>
        <v/>
      </c>
      <c r="O932" s="324"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4"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3"/>
      <c r="R932" s="363"/>
      <c r="S932" s="325"/>
      <c r="T932" s="325"/>
      <c r="U932" s="317" t="str" cm="1">
        <f t="array" aca="1" ref="U932" ca="1">IFERROR(IF(AA932&lt;&gt;"ja",_xlfn.IFNA(_xlfn.IFS(AND(O932&lt;&gt;"",F932&lt;&gt;"",RIGHT($N932,6)="tarief",F932="Vergoeding"),SUM(O932)*FLOOR(SUM(Q932),0.0001),AND(O932&lt;&gt;"",F932&lt;&gt;"",RIGHT($N932,6)="tarief"),SUM(O932)*FLOOR(SUM(Q932),0.01),S932&gt;0,IF(F932&lt;&gt;"",FLOOR(SUM(S932),0.01),"")),""),""),"")</f>
        <v/>
      </c>
      <c r="V932" s="317" t="str" cm="1">
        <f t="array" aca="1" ref="V932" ca="1">IFERROR(IF(AA932&lt;&gt;"ja",_xlfn.IFNA(_xlfn.IFS(AND(P932&lt;&gt;"",R932&lt;&gt;"",RIGHT($N932,6)="tarief",F932="Vergoeding"),SUM(P932)*FLOOR(SUM(R932),0.0001),AND(P932&lt;&gt;"",R932&lt;&gt;"",RIGHT($N932,6)="tarief"),P932*FLOOR(R932,0.01),T932&gt;0,FLOOR(SUM(T932),0.01)),""),""),"")</f>
        <v/>
      </c>
      <c r="W932" s="317" t="str" cm="1">
        <f t="array" aca="1" ref="W932" ca="1">IFERROR(_xlfn.IFS(OR(F932="",LEFT(Methode_Keuze,4)="Geen",Methode_Keuze=""),"",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17" t="str" cm="1">
        <f t="array" aca="1" ref="X932" ca="1">IFERROR(_xlfn.IFS(OR(F932="",LEFT(Methode_Keuze,4)="Geen",Methode_Keuze=""),"",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26"/>
      <c r="Z932" s="319"/>
      <c r="AA932" s="32" t="str" cm="1">
        <f t="array" ref="AA932">IFERROR(IF(INDEX(SubsidieTabel!$AD$1:$AG$12,MATCH($F932,SubsidieTabel!$AD$1:$AD$12,0),IFERROR(MATCH(Methode_Keuze,SubsidieTabel!$AD$1:$AG$1,0),2))&lt;&gt;1=TRUE,"ja",""),"")</f>
        <v/>
      </c>
    </row>
    <row r="933" spans="1:27" x14ac:dyDescent="0.25">
      <c r="A933" s="320"/>
      <c r="B933" s="321" t="str">
        <f>IF(A933&lt;&gt;"",_xlfn.MAXIFS($B$1:B932,$A$1:A932,A933)+1,"")</f>
        <v/>
      </c>
      <c r="C933" s="299"/>
      <c r="D933" s="299"/>
      <c r="E933" s="299"/>
      <c r="F933" s="299"/>
      <c r="G933" s="330"/>
      <c r="H933" s="328"/>
      <c r="I933" s="329"/>
      <c r="J933" s="329"/>
      <c r="K933" s="322"/>
      <c r="L933" s="322"/>
      <c r="M933" s="323" t="str">
        <f>IFERROR(VLOOKUP(H933,Lijsten!$H$1:$I$100,2,0),"")</f>
        <v/>
      </c>
      <c r="N933" s="323" t="str">
        <f ca="1">IFERROR(IF(VLOOKUP(F933,Kostentypen!$A$3:$E$21,3,0)=0,"",IF(OR(F933="Arbeidskosten",F933="Vergoeding"),VLOOKUP(G933,Tb_KostenTypen[],2,0),VLOOKUP(F933,Kostentypen!$A$3:$E$20,3,0))),"")</f>
        <v/>
      </c>
      <c r="O933" s="324"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4"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3"/>
      <c r="R933" s="363"/>
      <c r="S933" s="325"/>
      <c r="T933" s="325"/>
      <c r="U933" s="317" t="str" cm="1">
        <f t="array" aca="1" ref="U933" ca="1">IFERROR(IF(AA933&lt;&gt;"ja",_xlfn.IFNA(_xlfn.IFS(AND(O933&lt;&gt;"",F933&lt;&gt;"",RIGHT($N933,6)="tarief",F933="Vergoeding"),SUM(O933)*FLOOR(SUM(Q933),0.0001),AND(O933&lt;&gt;"",F933&lt;&gt;"",RIGHT($N933,6)="tarief"),SUM(O933)*FLOOR(SUM(Q933),0.01),S933&gt;0,IF(F933&lt;&gt;"",FLOOR(SUM(S933),0.01),"")),""),""),"")</f>
        <v/>
      </c>
      <c r="V933" s="317" t="str" cm="1">
        <f t="array" aca="1" ref="V933" ca="1">IFERROR(IF(AA933&lt;&gt;"ja",_xlfn.IFNA(_xlfn.IFS(AND(P933&lt;&gt;"",R933&lt;&gt;"",RIGHT($N933,6)="tarief",F933="Vergoeding"),SUM(P933)*FLOOR(SUM(R933),0.0001),AND(P933&lt;&gt;"",R933&lt;&gt;"",RIGHT($N933,6)="tarief"),P933*FLOOR(R933,0.01),T933&gt;0,FLOOR(SUM(T933),0.01)),""),""),"")</f>
        <v/>
      </c>
      <c r="W933" s="317" t="str" cm="1">
        <f t="array" aca="1" ref="W933" ca="1">IFERROR(_xlfn.IFS(OR(F933="",LEFT(Methode_Keuze,4)="Geen",Methode_Keuze=""),"",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17" t="str" cm="1">
        <f t="array" aca="1" ref="X933" ca="1">IFERROR(_xlfn.IFS(OR(F933="",LEFT(Methode_Keuze,4)="Geen",Methode_Keuze=""),"",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26"/>
      <c r="Z933" s="319"/>
      <c r="AA933" s="32" t="str" cm="1">
        <f t="array" ref="AA933">IFERROR(IF(INDEX(SubsidieTabel!$AD$1:$AG$12,MATCH($F933,SubsidieTabel!$AD$1:$AD$12,0),IFERROR(MATCH(Methode_Keuze,SubsidieTabel!$AD$1:$AG$1,0),2))&lt;&gt;1=TRUE,"ja",""),"")</f>
        <v/>
      </c>
    </row>
    <row r="934" spans="1:27" x14ac:dyDescent="0.25">
      <c r="A934" s="320"/>
      <c r="B934" s="321" t="str">
        <f>IF(A934&lt;&gt;"",_xlfn.MAXIFS($B$1:B933,$A$1:A933,A934)+1,"")</f>
        <v/>
      </c>
      <c r="C934" s="299"/>
      <c r="D934" s="299"/>
      <c r="E934" s="299"/>
      <c r="F934" s="299"/>
      <c r="G934" s="330"/>
      <c r="H934" s="328"/>
      <c r="I934" s="329"/>
      <c r="J934" s="329"/>
      <c r="K934" s="322"/>
      <c r="L934" s="322"/>
      <c r="M934" s="323" t="str">
        <f>IFERROR(VLOOKUP(H934,Lijsten!$H$1:$I$100,2,0),"")</f>
        <v/>
      </c>
      <c r="N934" s="323" t="str">
        <f ca="1">IFERROR(IF(VLOOKUP(F934,Kostentypen!$A$3:$E$21,3,0)=0,"",IF(OR(F934="Arbeidskosten",F934="Vergoeding"),VLOOKUP(G934,Tb_KostenTypen[],2,0),VLOOKUP(F934,Kostentypen!$A$3:$E$20,3,0))),"")</f>
        <v/>
      </c>
      <c r="O934" s="324"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4"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3"/>
      <c r="R934" s="363"/>
      <c r="S934" s="325"/>
      <c r="T934" s="325"/>
      <c r="U934" s="317" t="str" cm="1">
        <f t="array" aca="1" ref="U934" ca="1">IFERROR(IF(AA934&lt;&gt;"ja",_xlfn.IFNA(_xlfn.IFS(AND(O934&lt;&gt;"",F934&lt;&gt;"",RIGHT($N934,6)="tarief",F934="Vergoeding"),SUM(O934)*FLOOR(SUM(Q934),0.0001),AND(O934&lt;&gt;"",F934&lt;&gt;"",RIGHT($N934,6)="tarief"),SUM(O934)*FLOOR(SUM(Q934),0.01),S934&gt;0,IF(F934&lt;&gt;"",FLOOR(SUM(S934),0.01),"")),""),""),"")</f>
        <v/>
      </c>
      <c r="V934" s="317" t="str" cm="1">
        <f t="array" aca="1" ref="V934" ca="1">IFERROR(IF(AA934&lt;&gt;"ja",_xlfn.IFNA(_xlfn.IFS(AND(P934&lt;&gt;"",R934&lt;&gt;"",RIGHT($N934,6)="tarief",F934="Vergoeding"),SUM(P934)*FLOOR(SUM(R934),0.0001),AND(P934&lt;&gt;"",R934&lt;&gt;"",RIGHT($N934,6)="tarief"),P934*FLOOR(R934,0.01),T934&gt;0,FLOOR(SUM(T934),0.01)),""),""),"")</f>
        <v/>
      </c>
      <c r="W934" s="317" t="str" cm="1">
        <f t="array" aca="1" ref="W934" ca="1">IFERROR(_xlfn.IFS(OR(F934="",LEFT(Methode_Keuze,4)="Geen",Methode_Keuze=""),"",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17" t="str" cm="1">
        <f t="array" aca="1" ref="X934" ca="1">IFERROR(_xlfn.IFS(OR(F934="",LEFT(Methode_Keuze,4)="Geen",Methode_Keuze=""),"",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26"/>
      <c r="Z934" s="319"/>
      <c r="AA934" s="32" t="str" cm="1">
        <f t="array" ref="AA934">IFERROR(IF(INDEX(SubsidieTabel!$AD$1:$AG$12,MATCH($F934,SubsidieTabel!$AD$1:$AD$12,0),IFERROR(MATCH(Methode_Keuze,SubsidieTabel!$AD$1:$AG$1,0),2))&lt;&gt;1=TRUE,"ja",""),"")</f>
        <v/>
      </c>
    </row>
    <row r="935" spans="1:27" x14ac:dyDescent="0.25">
      <c r="A935" s="320"/>
      <c r="B935" s="321" t="str">
        <f>IF(A935&lt;&gt;"",_xlfn.MAXIFS($B$1:B934,$A$1:A934,A935)+1,"")</f>
        <v/>
      </c>
      <c r="C935" s="299"/>
      <c r="D935" s="299"/>
      <c r="E935" s="299"/>
      <c r="F935" s="299"/>
      <c r="G935" s="330"/>
      <c r="H935" s="328"/>
      <c r="I935" s="329"/>
      <c r="J935" s="329"/>
      <c r="K935" s="322"/>
      <c r="L935" s="322"/>
      <c r="M935" s="323" t="str">
        <f>IFERROR(VLOOKUP(H935,Lijsten!$H$1:$I$100,2,0),"")</f>
        <v/>
      </c>
      <c r="N935" s="323" t="str">
        <f ca="1">IFERROR(IF(VLOOKUP(F935,Kostentypen!$A$3:$E$21,3,0)=0,"",IF(OR(F935="Arbeidskosten",F935="Vergoeding"),VLOOKUP(G935,Tb_KostenTypen[],2,0),VLOOKUP(F935,Kostentypen!$A$3:$E$20,3,0))),"")</f>
        <v/>
      </c>
      <c r="O935" s="324"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4"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3"/>
      <c r="R935" s="363"/>
      <c r="S935" s="325"/>
      <c r="T935" s="325"/>
      <c r="U935" s="317" t="str" cm="1">
        <f t="array" aca="1" ref="U935" ca="1">IFERROR(IF(AA935&lt;&gt;"ja",_xlfn.IFNA(_xlfn.IFS(AND(O935&lt;&gt;"",F935&lt;&gt;"",RIGHT($N935,6)="tarief",F935="Vergoeding"),SUM(O935)*FLOOR(SUM(Q935),0.0001),AND(O935&lt;&gt;"",F935&lt;&gt;"",RIGHT($N935,6)="tarief"),SUM(O935)*FLOOR(SUM(Q935),0.01),S935&gt;0,IF(F935&lt;&gt;"",FLOOR(SUM(S935),0.01),"")),""),""),"")</f>
        <v/>
      </c>
      <c r="V935" s="317" t="str" cm="1">
        <f t="array" aca="1" ref="V935" ca="1">IFERROR(IF(AA935&lt;&gt;"ja",_xlfn.IFNA(_xlfn.IFS(AND(P935&lt;&gt;"",R935&lt;&gt;"",RIGHT($N935,6)="tarief",F935="Vergoeding"),SUM(P935)*FLOOR(SUM(R935),0.0001),AND(P935&lt;&gt;"",R935&lt;&gt;"",RIGHT($N935,6)="tarief"),P935*FLOOR(R935,0.01),T935&gt;0,FLOOR(SUM(T935),0.01)),""),""),"")</f>
        <v/>
      </c>
      <c r="W935" s="317" t="str" cm="1">
        <f t="array" aca="1" ref="W935" ca="1">IFERROR(_xlfn.IFS(OR(F935="",LEFT(Methode_Keuze,4)="Geen",Methode_Keuze=""),"",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17" t="str" cm="1">
        <f t="array" aca="1" ref="X935" ca="1">IFERROR(_xlfn.IFS(OR(F935="",LEFT(Methode_Keuze,4)="Geen",Methode_Keuze=""),"",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26"/>
      <c r="Z935" s="319"/>
      <c r="AA935" s="32" t="str" cm="1">
        <f t="array" ref="AA935">IFERROR(IF(INDEX(SubsidieTabel!$AD$1:$AG$12,MATCH($F935,SubsidieTabel!$AD$1:$AD$12,0),IFERROR(MATCH(Methode_Keuze,SubsidieTabel!$AD$1:$AG$1,0),2))&lt;&gt;1=TRUE,"ja",""),"")</f>
        <v/>
      </c>
    </row>
    <row r="936" spans="1:27" x14ac:dyDescent="0.25">
      <c r="A936" s="320"/>
      <c r="B936" s="321" t="str">
        <f>IF(A936&lt;&gt;"",_xlfn.MAXIFS($B$1:B935,$A$1:A935,A936)+1,"")</f>
        <v/>
      </c>
      <c r="C936" s="299"/>
      <c r="D936" s="299"/>
      <c r="E936" s="299"/>
      <c r="F936" s="299"/>
      <c r="G936" s="330"/>
      <c r="H936" s="328"/>
      <c r="I936" s="329"/>
      <c r="J936" s="329"/>
      <c r="K936" s="322"/>
      <c r="L936" s="322"/>
      <c r="M936" s="323" t="str">
        <f>IFERROR(VLOOKUP(H936,Lijsten!$H$1:$I$100,2,0),"")</f>
        <v/>
      </c>
      <c r="N936" s="323" t="str">
        <f ca="1">IFERROR(IF(VLOOKUP(F936,Kostentypen!$A$3:$E$21,3,0)=0,"",IF(OR(F936="Arbeidskosten",F936="Vergoeding"),VLOOKUP(G936,Tb_KostenTypen[],2,0),VLOOKUP(F936,Kostentypen!$A$3:$E$20,3,0))),"")</f>
        <v/>
      </c>
      <c r="O936" s="324"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4"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3"/>
      <c r="R936" s="363"/>
      <c r="S936" s="325"/>
      <c r="T936" s="325"/>
      <c r="U936" s="317" t="str" cm="1">
        <f t="array" aca="1" ref="U936" ca="1">IFERROR(IF(AA936&lt;&gt;"ja",_xlfn.IFNA(_xlfn.IFS(AND(O936&lt;&gt;"",F936&lt;&gt;"",RIGHT($N936,6)="tarief",F936="Vergoeding"),SUM(O936)*FLOOR(SUM(Q936),0.0001),AND(O936&lt;&gt;"",F936&lt;&gt;"",RIGHT($N936,6)="tarief"),SUM(O936)*FLOOR(SUM(Q936),0.01),S936&gt;0,IF(F936&lt;&gt;"",FLOOR(SUM(S936),0.01),"")),""),""),"")</f>
        <v/>
      </c>
      <c r="V936" s="317" t="str" cm="1">
        <f t="array" aca="1" ref="V936" ca="1">IFERROR(IF(AA936&lt;&gt;"ja",_xlfn.IFNA(_xlfn.IFS(AND(P936&lt;&gt;"",R936&lt;&gt;"",RIGHT($N936,6)="tarief",F936="Vergoeding"),SUM(P936)*FLOOR(SUM(R936),0.0001),AND(P936&lt;&gt;"",R936&lt;&gt;"",RIGHT($N936,6)="tarief"),P936*FLOOR(R936,0.01),T936&gt;0,FLOOR(SUM(T936),0.01)),""),""),"")</f>
        <v/>
      </c>
      <c r="W936" s="317" t="str" cm="1">
        <f t="array" aca="1" ref="W936" ca="1">IFERROR(_xlfn.IFS(OR(F936="",LEFT(Methode_Keuze,4)="Geen",Methode_Keuze=""),"",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17" t="str" cm="1">
        <f t="array" aca="1" ref="X936" ca="1">IFERROR(_xlfn.IFS(OR(F936="",LEFT(Methode_Keuze,4)="Geen",Methode_Keuze=""),"",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26"/>
      <c r="Z936" s="319"/>
      <c r="AA936" s="32" t="str" cm="1">
        <f t="array" ref="AA936">IFERROR(IF(INDEX(SubsidieTabel!$AD$1:$AG$12,MATCH($F936,SubsidieTabel!$AD$1:$AD$12,0),IFERROR(MATCH(Methode_Keuze,SubsidieTabel!$AD$1:$AG$1,0),2))&lt;&gt;1=TRUE,"ja",""),"")</f>
        <v/>
      </c>
    </row>
    <row r="937" spans="1:27" x14ac:dyDescent="0.25">
      <c r="A937" s="320"/>
      <c r="B937" s="321" t="str">
        <f>IF(A937&lt;&gt;"",_xlfn.MAXIFS($B$1:B936,$A$1:A936,A937)+1,"")</f>
        <v/>
      </c>
      <c r="C937" s="299"/>
      <c r="D937" s="299"/>
      <c r="E937" s="299"/>
      <c r="F937" s="299"/>
      <c r="G937" s="330"/>
      <c r="H937" s="328"/>
      <c r="I937" s="329"/>
      <c r="J937" s="329"/>
      <c r="K937" s="322"/>
      <c r="L937" s="322"/>
      <c r="M937" s="323" t="str">
        <f>IFERROR(VLOOKUP(H937,Lijsten!$H$1:$I$100,2,0),"")</f>
        <v/>
      </c>
      <c r="N937" s="323" t="str">
        <f ca="1">IFERROR(IF(VLOOKUP(F937,Kostentypen!$A$3:$E$21,3,0)=0,"",IF(OR(F937="Arbeidskosten",F937="Vergoeding"),VLOOKUP(G937,Tb_KostenTypen[],2,0),VLOOKUP(F937,Kostentypen!$A$3:$E$20,3,0))),"")</f>
        <v/>
      </c>
      <c r="O937" s="324"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4"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3"/>
      <c r="R937" s="363"/>
      <c r="S937" s="325"/>
      <c r="T937" s="325"/>
      <c r="U937" s="317" t="str" cm="1">
        <f t="array" aca="1" ref="U937" ca="1">IFERROR(IF(AA937&lt;&gt;"ja",_xlfn.IFNA(_xlfn.IFS(AND(O937&lt;&gt;"",F937&lt;&gt;"",RIGHT($N937,6)="tarief",F937="Vergoeding"),SUM(O937)*FLOOR(SUM(Q937),0.0001),AND(O937&lt;&gt;"",F937&lt;&gt;"",RIGHT($N937,6)="tarief"),SUM(O937)*FLOOR(SUM(Q937),0.01),S937&gt;0,IF(F937&lt;&gt;"",FLOOR(SUM(S937),0.01),"")),""),""),"")</f>
        <v/>
      </c>
      <c r="V937" s="317" t="str" cm="1">
        <f t="array" aca="1" ref="V937" ca="1">IFERROR(IF(AA937&lt;&gt;"ja",_xlfn.IFNA(_xlfn.IFS(AND(P937&lt;&gt;"",R937&lt;&gt;"",RIGHT($N937,6)="tarief",F937="Vergoeding"),SUM(P937)*FLOOR(SUM(R937),0.0001),AND(P937&lt;&gt;"",R937&lt;&gt;"",RIGHT($N937,6)="tarief"),P937*FLOOR(R937,0.01),T937&gt;0,FLOOR(SUM(T937),0.01)),""),""),"")</f>
        <v/>
      </c>
      <c r="W937" s="317" t="str" cm="1">
        <f t="array" aca="1" ref="W937" ca="1">IFERROR(_xlfn.IFS(OR(F937="",LEFT(Methode_Keuze,4)="Geen",Methode_Keuze=""),"",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17" t="str" cm="1">
        <f t="array" aca="1" ref="X937" ca="1">IFERROR(_xlfn.IFS(OR(F937="",LEFT(Methode_Keuze,4)="Geen",Methode_Keuze=""),"",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26"/>
      <c r="Z937" s="319"/>
      <c r="AA937" s="32" t="str" cm="1">
        <f t="array" ref="AA937">IFERROR(IF(INDEX(SubsidieTabel!$AD$1:$AG$12,MATCH($F937,SubsidieTabel!$AD$1:$AD$12,0),IFERROR(MATCH(Methode_Keuze,SubsidieTabel!$AD$1:$AG$1,0),2))&lt;&gt;1=TRUE,"ja",""),"")</f>
        <v/>
      </c>
    </row>
    <row r="938" spans="1:27" x14ac:dyDescent="0.25">
      <c r="A938" s="320"/>
      <c r="B938" s="321" t="str">
        <f>IF(A938&lt;&gt;"",_xlfn.MAXIFS($B$1:B937,$A$1:A937,A938)+1,"")</f>
        <v/>
      </c>
      <c r="C938" s="299"/>
      <c r="D938" s="299"/>
      <c r="E938" s="299"/>
      <c r="F938" s="299"/>
      <c r="G938" s="330"/>
      <c r="H938" s="328"/>
      <c r="I938" s="329"/>
      <c r="J938" s="329"/>
      <c r="K938" s="322"/>
      <c r="L938" s="322"/>
      <c r="M938" s="323" t="str">
        <f>IFERROR(VLOOKUP(H938,Lijsten!$H$1:$I$100,2,0),"")</f>
        <v/>
      </c>
      <c r="N938" s="323" t="str">
        <f ca="1">IFERROR(IF(VLOOKUP(F938,Kostentypen!$A$3:$E$21,3,0)=0,"",IF(OR(F938="Arbeidskosten",F938="Vergoeding"),VLOOKUP(G938,Tb_KostenTypen[],2,0),VLOOKUP(F938,Kostentypen!$A$3:$E$20,3,0))),"")</f>
        <v/>
      </c>
      <c r="O938" s="324"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4"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3"/>
      <c r="R938" s="363"/>
      <c r="S938" s="325"/>
      <c r="T938" s="325"/>
      <c r="U938" s="317" t="str" cm="1">
        <f t="array" aca="1" ref="U938" ca="1">IFERROR(IF(AA938&lt;&gt;"ja",_xlfn.IFNA(_xlfn.IFS(AND(O938&lt;&gt;"",F938&lt;&gt;"",RIGHT($N938,6)="tarief",F938="Vergoeding"),SUM(O938)*FLOOR(SUM(Q938),0.0001),AND(O938&lt;&gt;"",F938&lt;&gt;"",RIGHT($N938,6)="tarief"),SUM(O938)*FLOOR(SUM(Q938),0.01),S938&gt;0,IF(F938&lt;&gt;"",FLOOR(SUM(S938),0.01),"")),""),""),"")</f>
        <v/>
      </c>
      <c r="V938" s="317" t="str" cm="1">
        <f t="array" aca="1" ref="V938" ca="1">IFERROR(IF(AA938&lt;&gt;"ja",_xlfn.IFNA(_xlfn.IFS(AND(P938&lt;&gt;"",R938&lt;&gt;"",RIGHT($N938,6)="tarief",F938="Vergoeding"),SUM(P938)*FLOOR(SUM(R938),0.0001),AND(P938&lt;&gt;"",R938&lt;&gt;"",RIGHT($N938,6)="tarief"),P938*FLOOR(R938,0.01),T938&gt;0,FLOOR(SUM(T938),0.01)),""),""),"")</f>
        <v/>
      </c>
      <c r="W938" s="317" t="str" cm="1">
        <f t="array" aca="1" ref="W938" ca="1">IFERROR(_xlfn.IFS(OR(F938="",LEFT(Methode_Keuze,4)="Geen",Methode_Keuze=""),"",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17" t="str" cm="1">
        <f t="array" aca="1" ref="X938" ca="1">IFERROR(_xlfn.IFS(OR(F938="",LEFT(Methode_Keuze,4)="Geen",Methode_Keuze=""),"",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26"/>
      <c r="Z938" s="319"/>
      <c r="AA938" s="32" t="str" cm="1">
        <f t="array" ref="AA938">IFERROR(IF(INDEX(SubsidieTabel!$AD$1:$AG$12,MATCH($F938,SubsidieTabel!$AD$1:$AD$12,0),IFERROR(MATCH(Methode_Keuze,SubsidieTabel!$AD$1:$AG$1,0),2))&lt;&gt;1=TRUE,"ja",""),"")</f>
        <v/>
      </c>
    </row>
    <row r="939" spans="1:27" x14ac:dyDescent="0.25">
      <c r="A939" s="320"/>
      <c r="B939" s="321" t="str">
        <f>IF(A939&lt;&gt;"",_xlfn.MAXIFS($B$1:B938,$A$1:A938,A939)+1,"")</f>
        <v/>
      </c>
      <c r="C939" s="299"/>
      <c r="D939" s="299"/>
      <c r="E939" s="299"/>
      <c r="F939" s="299"/>
      <c r="G939" s="330"/>
      <c r="H939" s="328"/>
      <c r="I939" s="329"/>
      <c r="J939" s="329"/>
      <c r="K939" s="322"/>
      <c r="L939" s="322"/>
      <c r="M939" s="323" t="str">
        <f>IFERROR(VLOOKUP(H939,Lijsten!$H$1:$I$100,2,0),"")</f>
        <v/>
      </c>
      <c r="N939" s="323" t="str">
        <f ca="1">IFERROR(IF(VLOOKUP(F939,Kostentypen!$A$3:$E$21,3,0)=0,"",IF(OR(F939="Arbeidskosten",F939="Vergoeding"),VLOOKUP(G939,Tb_KostenTypen[],2,0),VLOOKUP(F939,Kostentypen!$A$3:$E$20,3,0))),"")</f>
        <v/>
      </c>
      <c r="O939" s="324"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4"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3"/>
      <c r="R939" s="363"/>
      <c r="S939" s="325"/>
      <c r="T939" s="325"/>
      <c r="U939" s="317" t="str" cm="1">
        <f t="array" aca="1" ref="U939" ca="1">IFERROR(IF(AA939&lt;&gt;"ja",_xlfn.IFNA(_xlfn.IFS(AND(O939&lt;&gt;"",F939&lt;&gt;"",RIGHT($N939,6)="tarief",F939="Vergoeding"),SUM(O939)*FLOOR(SUM(Q939),0.0001),AND(O939&lt;&gt;"",F939&lt;&gt;"",RIGHT($N939,6)="tarief"),SUM(O939)*FLOOR(SUM(Q939),0.01),S939&gt;0,IF(F939&lt;&gt;"",FLOOR(SUM(S939),0.01),"")),""),""),"")</f>
        <v/>
      </c>
      <c r="V939" s="317" t="str" cm="1">
        <f t="array" aca="1" ref="V939" ca="1">IFERROR(IF(AA939&lt;&gt;"ja",_xlfn.IFNA(_xlfn.IFS(AND(P939&lt;&gt;"",R939&lt;&gt;"",RIGHT($N939,6)="tarief",F939="Vergoeding"),SUM(P939)*FLOOR(SUM(R939),0.0001),AND(P939&lt;&gt;"",R939&lt;&gt;"",RIGHT($N939,6)="tarief"),P939*FLOOR(R939,0.01),T939&gt;0,FLOOR(SUM(T939),0.01)),""),""),"")</f>
        <v/>
      </c>
      <c r="W939" s="317" t="str" cm="1">
        <f t="array" aca="1" ref="W939" ca="1">IFERROR(_xlfn.IFS(OR(F939="",LEFT(Methode_Keuze,4)="Geen",Methode_Keuze=""),"",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17" t="str" cm="1">
        <f t="array" aca="1" ref="X939" ca="1">IFERROR(_xlfn.IFS(OR(F939="",LEFT(Methode_Keuze,4)="Geen",Methode_Keuze=""),"",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26"/>
      <c r="Z939" s="319"/>
      <c r="AA939" s="32" t="str" cm="1">
        <f t="array" ref="AA939">IFERROR(IF(INDEX(SubsidieTabel!$AD$1:$AG$12,MATCH($F939,SubsidieTabel!$AD$1:$AD$12,0),IFERROR(MATCH(Methode_Keuze,SubsidieTabel!$AD$1:$AG$1,0),2))&lt;&gt;1=TRUE,"ja",""),"")</f>
        <v/>
      </c>
    </row>
    <row r="940" spans="1:27" x14ac:dyDescent="0.25">
      <c r="A940" s="320"/>
      <c r="B940" s="321" t="str">
        <f>IF(A940&lt;&gt;"",_xlfn.MAXIFS($B$1:B939,$A$1:A939,A940)+1,"")</f>
        <v/>
      </c>
      <c r="C940" s="299"/>
      <c r="D940" s="299"/>
      <c r="E940" s="299"/>
      <c r="F940" s="299"/>
      <c r="G940" s="330"/>
      <c r="H940" s="328"/>
      <c r="I940" s="329"/>
      <c r="J940" s="329"/>
      <c r="K940" s="322"/>
      <c r="L940" s="322"/>
      <c r="M940" s="323" t="str">
        <f>IFERROR(VLOOKUP(H940,Lijsten!$H$1:$I$100,2,0),"")</f>
        <v/>
      </c>
      <c r="N940" s="323" t="str">
        <f ca="1">IFERROR(IF(VLOOKUP(F940,Kostentypen!$A$3:$E$21,3,0)=0,"",IF(OR(F940="Arbeidskosten",F940="Vergoeding"),VLOOKUP(G940,Tb_KostenTypen[],2,0),VLOOKUP(F940,Kostentypen!$A$3:$E$20,3,0))),"")</f>
        <v/>
      </c>
      <c r="O940" s="324"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4"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3"/>
      <c r="R940" s="363"/>
      <c r="S940" s="325"/>
      <c r="T940" s="325"/>
      <c r="U940" s="317" t="str" cm="1">
        <f t="array" aca="1" ref="U940" ca="1">IFERROR(IF(AA940&lt;&gt;"ja",_xlfn.IFNA(_xlfn.IFS(AND(O940&lt;&gt;"",F940&lt;&gt;"",RIGHT($N940,6)="tarief",F940="Vergoeding"),SUM(O940)*FLOOR(SUM(Q940),0.0001),AND(O940&lt;&gt;"",F940&lt;&gt;"",RIGHT($N940,6)="tarief"),SUM(O940)*FLOOR(SUM(Q940),0.01),S940&gt;0,IF(F940&lt;&gt;"",FLOOR(SUM(S940),0.01),"")),""),""),"")</f>
        <v/>
      </c>
      <c r="V940" s="317" t="str" cm="1">
        <f t="array" aca="1" ref="V940" ca="1">IFERROR(IF(AA940&lt;&gt;"ja",_xlfn.IFNA(_xlfn.IFS(AND(P940&lt;&gt;"",R940&lt;&gt;"",RIGHT($N940,6)="tarief",F940="Vergoeding"),SUM(P940)*FLOOR(SUM(R940),0.0001),AND(P940&lt;&gt;"",R940&lt;&gt;"",RIGHT($N940,6)="tarief"),P940*FLOOR(R940,0.01),T940&gt;0,FLOOR(SUM(T940),0.01)),""),""),"")</f>
        <v/>
      </c>
      <c r="W940" s="317" t="str" cm="1">
        <f t="array" aca="1" ref="W940" ca="1">IFERROR(_xlfn.IFS(OR(F940="",LEFT(Methode_Keuze,4)="Geen",Methode_Keuze=""),"",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17" t="str" cm="1">
        <f t="array" aca="1" ref="X940" ca="1">IFERROR(_xlfn.IFS(OR(F940="",LEFT(Methode_Keuze,4)="Geen",Methode_Keuze=""),"",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26"/>
      <c r="Z940" s="319"/>
      <c r="AA940" s="32" t="str" cm="1">
        <f t="array" ref="AA940">IFERROR(IF(INDEX(SubsidieTabel!$AD$1:$AG$12,MATCH($F940,SubsidieTabel!$AD$1:$AD$12,0),IFERROR(MATCH(Methode_Keuze,SubsidieTabel!$AD$1:$AG$1,0),2))&lt;&gt;1=TRUE,"ja",""),"")</f>
        <v/>
      </c>
    </row>
    <row r="941" spans="1:27" x14ac:dyDescent="0.25">
      <c r="A941" s="320"/>
      <c r="B941" s="321" t="str">
        <f>IF(A941&lt;&gt;"",_xlfn.MAXIFS($B$1:B940,$A$1:A940,A941)+1,"")</f>
        <v/>
      </c>
      <c r="C941" s="299"/>
      <c r="D941" s="299"/>
      <c r="E941" s="299"/>
      <c r="F941" s="299"/>
      <c r="G941" s="330"/>
      <c r="H941" s="328"/>
      <c r="I941" s="329"/>
      <c r="J941" s="329"/>
      <c r="K941" s="322"/>
      <c r="L941" s="322"/>
      <c r="M941" s="323" t="str">
        <f>IFERROR(VLOOKUP(H941,Lijsten!$H$1:$I$100,2,0),"")</f>
        <v/>
      </c>
      <c r="N941" s="323" t="str">
        <f ca="1">IFERROR(IF(VLOOKUP(F941,Kostentypen!$A$3:$E$21,3,0)=0,"",IF(OR(F941="Arbeidskosten",F941="Vergoeding"),VLOOKUP(G941,Tb_KostenTypen[],2,0),VLOOKUP(F941,Kostentypen!$A$3:$E$20,3,0))),"")</f>
        <v/>
      </c>
      <c r="O941" s="324"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4"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3"/>
      <c r="R941" s="363"/>
      <c r="S941" s="325"/>
      <c r="T941" s="325"/>
      <c r="U941" s="317" t="str" cm="1">
        <f t="array" aca="1" ref="U941" ca="1">IFERROR(IF(AA941&lt;&gt;"ja",_xlfn.IFNA(_xlfn.IFS(AND(O941&lt;&gt;"",F941&lt;&gt;"",RIGHT($N941,6)="tarief",F941="Vergoeding"),SUM(O941)*FLOOR(SUM(Q941),0.0001),AND(O941&lt;&gt;"",F941&lt;&gt;"",RIGHT($N941,6)="tarief"),SUM(O941)*FLOOR(SUM(Q941),0.01),S941&gt;0,IF(F941&lt;&gt;"",FLOOR(SUM(S941),0.01),"")),""),""),"")</f>
        <v/>
      </c>
      <c r="V941" s="317" t="str" cm="1">
        <f t="array" aca="1" ref="V941" ca="1">IFERROR(IF(AA941&lt;&gt;"ja",_xlfn.IFNA(_xlfn.IFS(AND(P941&lt;&gt;"",R941&lt;&gt;"",RIGHT($N941,6)="tarief",F941="Vergoeding"),SUM(P941)*FLOOR(SUM(R941),0.0001),AND(P941&lt;&gt;"",R941&lt;&gt;"",RIGHT($N941,6)="tarief"),P941*FLOOR(R941,0.01),T941&gt;0,FLOOR(SUM(T941),0.01)),""),""),"")</f>
        <v/>
      </c>
      <c r="W941" s="317" t="str" cm="1">
        <f t="array" aca="1" ref="W941" ca="1">IFERROR(_xlfn.IFS(OR(F941="",LEFT(Methode_Keuze,4)="Geen",Methode_Keuze=""),"",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17" t="str" cm="1">
        <f t="array" aca="1" ref="X941" ca="1">IFERROR(_xlfn.IFS(OR(F941="",LEFT(Methode_Keuze,4)="Geen",Methode_Keuze=""),"",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26"/>
      <c r="Z941" s="319"/>
      <c r="AA941" s="32" t="str" cm="1">
        <f t="array" ref="AA941">IFERROR(IF(INDEX(SubsidieTabel!$AD$1:$AG$12,MATCH($F941,SubsidieTabel!$AD$1:$AD$12,0),IFERROR(MATCH(Methode_Keuze,SubsidieTabel!$AD$1:$AG$1,0),2))&lt;&gt;1=TRUE,"ja",""),"")</f>
        <v/>
      </c>
    </row>
    <row r="942" spans="1:27" x14ac:dyDescent="0.25">
      <c r="A942" s="320"/>
      <c r="B942" s="321" t="str">
        <f>IF(A942&lt;&gt;"",_xlfn.MAXIFS($B$1:B941,$A$1:A941,A942)+1,"")</f>
        <v/>
      </c>
      <c r="C942" s="299"/>
      <c r="D942" s="299"/>
      <c r="E942" s="299"/>
      <c r="F942" s="299"/>
      <c r="G942" s="330"/>
      <c r="H942" s="328"/>
      <c r="I942" s="329"/>
      <c r="J942" s="329"/>
      <c r="K942" s="322"/>
      <c r="L942" s="322"/>
      <c r="M942" s="323" t="str">
        <f>IFERROR(VLOOKUP(H942,Lijsten!$H$1:$I$100,2,0),"")</f>
        <v/>
      </c>
      <c r="N942" s="323" t="str">
        <f ca="1">IFERROR(IF(VLOOKUP(F942,Kostentypen!$A$3:$E$21,3,0)=0,"",IF(OR(F942="Arbeidskosten",F942="Vergoeding"),VLOOKUP(G942,Tb_KostenTypen[],2,0),VLOOKUP(F942,Kostentypen!$A$3:$E$20,3,0))),"")</f>
        <v/>
      </c>
      <c r="O942" s="324"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4"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3"/>
      <c r="R942" s="363"/>
      <c r="S942" s="325"/>
      <c r="T942" s="325"/>
      <c r="U942" s="317" t="str" cm="1">
        <f t="array" aca="1" ref="U942" ca="1">IFERROR(IF(AA942&lt;&gt;"ja",_xlfn.IFNA(_xlfn.IFS(AND(O942&lt;&gt;"",F942&lt;&gt;"",RIGHT($N942,6)="tarief",F942="Vergoeding"),SUM(O942)*FLOOR(SUM(Q942),0.0001),AND(O942&lt;&gt;"",F942&lt;&gt;"",RIGHT($N942,6)="tarief"),SUM(O942)*FLOOR(SUM(Q942),0.01),S942&gt;0,IF(F942&lt;&gt;"",FLOOR(SUM(S942),0.01),"")),""),""),"")</f>
        <v/>
      </c>
      <c r="V942" s="317" t="str" cm="1">
        <f t="array" aca="1" ref="V942" ca="1">IFERROR(IF(AA942&lt;&gt;"ja",_xlfn.IFNA(_xlfn.IFS(AND(P942&lt;&gt;"",R942&lt;&gt;"",RIGHT($N942,6)="tarief",F942="Vergoeding"),SUM(P942)*FLOOR(SUM(R942),0.0001),AND(P942&lt;&gt;"",R942&lt;&gt;"",RIGHT($N942,6)="tarief"),P942*FLOOR(R942,0.01),T942&gt;0,FLOOR(SUM(T942),0.01)),""),""),"")</f>
        <v/>
      </c>
      <c r="W942" s="317" t="str" cm="1">
        <f t="array" aca="1" ref="W942" ca="1">IFERROR(_xlfn.IFS(OR(F942="",LEFT(Methode_Keuze,4)="Geen",Methode_Keuze=""),"",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17" t="str" cm="1">
        <f t="array" aca="1" ref="X942" ca="1">IFERROR(_xlfn.IFS(OR(F942="",LEFT(Methode_Keuze,4)="Geen",Methode_Keuze=""),"",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26"/>
      <c r="Z942" s="319"/>
      <c r="AA942" s="32" t="str" cm="1">
        <f t="array" ref="AA942">IFERROR(IF(INDEX(SubsidieTabel!$AD$1:$AG$12,MATCH($F942,SubsidieTabel!$AD$1:$AD$12,0),IFERROR(MATCH(Methode_Keuze,SubsidieTabel!$AD$1:$AG$1,0),2))&lt;&gt;1=TRUE,"ja",""),"")</f>
        <v/>
      </c>
    </row>
    <row r="943" spans="1:27" x14ac:dyDescent="0.25">
      <c r="A943" s="320"/>
      <c r="B943" s="321" t="str">
        <f>IF(A943&lt;&gt;"",_xlfn.MAXIFS($B$1:B942,$A$1:A942,A943)+1,"")</f>
        <v/>
      </c>
      <c r="C943" s="299"/>
      <c r="D943" s="299"/>
      <c r="E943" s="299"/>
      <c r="F943" s="299"/>
      <c r="G943" s="330"/>
      <c r="H943" s="328"/>
      <c r="I943" s="329"/>
      <c r="J943" s="329"/>
      <c r="K943" s="322"/>
      <c r="L943" s="322"/>
      <c r="M943" s="323" t="str">
        <f>IFERROR(VLOOKUP(H943,Lijsten!$H$1:$I$100,2,0),"")</f>
        <v/>
      </c>
      <c r="N943" s="323" t="str">
        <f ca="1">IFERROR(IF(VLOOKUP(F943,Kostentypen!$A$3:$E$21,3,0)=0,"",IF(OR(F943="Arbeidskosten",F943="Vergoeding"),VLOOKUP(G943,Tb_KostenTypen[],2,0),VLOOKUP(F943,Kostentypen!$A$3:$E$20,3,0))),"")</f>
        <v/>
      </c>
      <c r="O943" s="324"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4"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3"/>
      <c r="R943" s="363"/>
      <c r="S943" s="325"/>
      <c r="T943" s="325"/>
      <c r="U943" s="317" t="str" cm="1">
        <f t="array" aca="1" ref="U943" ca="1">IFERROR(IF(AA943&lt;&gt;"ja",_xlfn.IFNA(_xlfn.IFS(AND(O943&lt;&gt;"",F943&lt;&gt;"",RIGHT($N943,6)="tarief",F943="Vergoeding"),SUM(O943)*FLOOR(SUM(Q943),0.0001),AND(O943&lt;&gt;"",F943&lt;&gt;"",RIGHT($N943,6)="tarief"),SUM(O943)*FLOOR(SUM(Q943),0.01),S943&gt;0,IF(F943&lt;&gt;"",FLOOR(SUM(S943),0.01),"")),""),""),"")</f>
        <v/>
      </c>
      <c r="V943" s="317" t="str" cm="1">
        <f t="array" aca="1" ref="V943" ca="1">IFERROR(IF(AA943&lt;&gt;"ja",_xlfn.IFNA(_xlfn.IFS(AND(P943&lt;&gt;"",R943&lt;&gt;"",RIGHT($N943,6)="tarief",F943="Vergoeding"),SUM(P943)*FLOOR(SUM(R943),0.0001),AND(P943&lt;&gt;"",R943&lt;&gt;"",RIGHT($N943,6)="tarief"),P943*FLOOR(R943,0.01),T943&gt;0,FLOOR(SUM(T943),0.01)),""),""),"")</f>
        <v/>
      </c>
      <c r="W943" s="317" t="str" cm="1">
        <f t="array" aca="1" ref="W943" ca="1">IFERROR(_xlfn.IFS(OR(F943="",LEFT(Methode_Keuze,4)="Geen",Methode_Keuze=""),"",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17" t="str" cm="1">
        <f t="array" aca="1" ref="X943" ca="1">IFERROR(_xlfn.IFS(OR(F943="",LEFT(Methode_Keuze,4)="Geen",Methode_Keuze=""),"",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26"/>
      <c r="Z943" s="319"/>
      <c r="AA943" s="32" t="str" cm="1">
        <f t="array" ref="AA943">IFERROR(IF(INDEX(SubsidieTabel!$AD$1:$AG$12,MATCH($F943,SubsidieTabel!$AD$1:$AD$12,0),IFERROR(MATCH(Methode_Keuze,SubsidieTabel!$AD$1:$AG$1,0),2))&lt;&gt;1=TRUE,"ja",""),"")</f>
        <v/>
      </c>
    </row>
    <row r="944" spans="1:27" x14ac:dyDescent="0.25">
      <c r="A944" s="320"/>
      <c r="B944" s="321" t="str">
        <f>IF(A944&lt;&gt;"",_xlfn.MAXIFS($B$1:B943,$A$1:A943,A944)+1,"")</f>
        <v/>
      </c>
      <c r="C944" s="299"/>
      <c r="D944" s="299"/>
      <c r="E944" s="299"/>
      <c r="F944" s="299"/>
      <c r="G944" s="330"/>
      <c r="H944" s="328"/>
      <c r="I944" s="329"/>
      <c r="J944" s="329"/>
      <c r="K944" s="322"/>
      <c r="L944" s="322"/>
      <c r="M944" s="323" t="str">
        <f>IFERROR(VLOOKUP(H944,Lijsten!$H$1:$I$100,2,0),"")</f>
        <v/>
      </c>
      <c r="N944" s="323" t="str">
        <f ca="1">IFERROR(IF(VLOOKUP(F944,Kostentypen!$A$3:$E$21,3,0)=0,"",IF(OR(F944="Arbeidskosten",F944="Vergoeding"),VLOOKUP(G944,Tb_KostenTypen[],2,0),VLOOKUP(F944,Kostentypen!$A$3:$E$20,3,0))),"")</f>
        <v/>
      </c>
      <c r="O944" s="324"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4"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3"/>
      <c r="R944" s="363"/>
      <c r="S944" s="325"/>
      <c r="T944" s="325"/>
      <c r="U944" s="317" t="str" cm="1">
        <f t="array" aca="1" ref="U944" ca="1">IFERROR(IF(AA944&lt;&gt;"ja",_xlfn.IFNA(_xlfn.IFS(AND(O944&lt;&gt;"",F944&lt;&gt;"",RIGHT($N944,6)="tarief",F944="Vergoeding"),SUM(O944)*FLOOR(SUM(Q944),0.0001),AND(O944&lt;&gt;"",F944&lt;&gt;"",RIGHT($N944,6)="tarief"),SUM(O944)*FLOOR(SUM(Q944),0.01),S944&gt;0,IF(F944&lt;&gt;"",FLOOR(SUM(S944),0.01),"")),""),""),"")</f>
        <v/>
      </c>
      <c r="V944" s="317" t="str" cm="1">
        <f t="array" aca="1" ref="V944" ca="1">IFERROR(IF(AA944&lt;&gt;"ja",_xlfn.IFNA(_xlfn.IFS(AND(P944&lt;&gt;"",R944&lt;&gt;"",RIGHT($N944,6)="tarief",F944="Vergoeding"),SUM(P944)*FLOOR(SUM(R944),0.0001),AND(P944&lt;&gt;"",R944&lt;&gt;"",RIGHT($N944,6)="tarief"),P944*FLOOR(R944,0.01),T944&gt;0,FLOOR(SUM(T944),0.01)),""),""),"")</f>
        <v/>
      </c>
      <c r="W944" s="317" t="str" cm="1">
        <f t="array" aca="1" ref="W944" ca="1">IFERROR(_xlfn.IFS(OR(F944="",LEFT(Methode_Keuze,4)="Geen",Methode_Keuze=""),"",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17" t="str" cm="1">
        <f t="array" aca="1" ref="X944" ca="1">IFERROR(_xlfn.IFS(OR(F944="",LEFT(Methode_Keuze,4)="Geen",Methode_Keuze=""),"",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26"/>
      <c r="Z944" s="319"/>
      <c r="AA944" s="32" t="str" cm="1">
        <f t="array" ref="AA944">IFERROR(IF(INDEX(SubsidieTabel!$AD$1:$AG$12,MATCH($F944,SubsidieTabel!$AD$1:$AD$12,0),IFERROR(MATCH(Methode_Keuze,SubsidieTabel!$AD$1:$AG$1,0),2))&lt;&gt;1=TRUE,"ja",""),"")</f>
        <v/>
      </c>
    </row>
    <row r="945" spans="1:27" x14ac:dyDescent="0.25">
      <c r="A945" s="320"/>
      <c r="B945" s="321" t="str">
        <f>IF(A945&lt;&gt;"",_xlfn.MAXIFS($B$1:B944,$A$1:A944,A945)+1,"")</f>
        <v/>
      </c>
      <c r="C945" s="299"/>
      <c r="D945" s="299"/>
      <c r="E945" s="299"/>
      <c r="F945" s="299"/>
      <c r="G945" s="330"/>
      <c r="H945" s="328"/>
      <c r="I945" s="329"/>
      <c r="J945" s="329"/>
      <c r="K945" s="322"/>
      <c r="L945" s="322"/>
      <c r="M945" s="323" t="str">
        <f>IFERROR(VLOOKUP(H945,Lijsten!$H$1:$I$100,2,0),"")</f>
        <v/>
      </c>
      <c r="N945" s="323" t="str">
        <f ca="1">IFERROR(IF(VLOOKUP(F945,Kostentypen!$A$3:$E$21,3,0)=0,"",IF(OR(F945="Arbeidskosten",F945="Vergoeding"),VLOOKUP(G945,Tb_KostenTypen[],2,0),VLOOKUP(F945,Kostentypen!$A$3:$E$20,3,0))),"")</f>
        <v/>
      </c>
      <c r="O945" s="324"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4"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3"/>
      <c r="R945" s="363"/>
      <c r="S945" s="325"/>
      <c r="T945" s="325"/>
      <c r="U945" s="317" t="str" cm="1">
        <f t="array" aca="1" ref="U945" ca="1">IFERROR(IF(AA945&lt;&gt;"ja",_xlfn.IFNA(_xlfn.IFS(AND(O945&lt;&gt;"",F945&lt;&gt;"",RIGHT($N945,6)="tarief",F945="Vergoeding"),SUM(O945)*FLOOR(SUM(Q945),0.0001),AND(O945&lt;&gt;"",F945&lt;&gt;"",RIGHT($N945,6)="tarief"),SUM(O945)*FLOOR(SUM(Q945),0.01),S945&gt;0,IF(F945&lt;&gt;"",FLOOR(SUM(S945),0.01),"")),""),""),"")</f>
        <v/>
      </c>
      <c r="V945" s="317" t="str" cm="1">
        <f t="array" aca="1" ref="V945" ca="1">IFERROR(IF(AA945&lt;&gt;"ja",_xlfn.IFNA(_xlfn.IFS(AND(P945&lt;&gt;"",R945&lt;&gt;"",RIGHT($N945,6)="tarief",F945="Vergoeding"),SUM(P945)*FLOOR(SUM(R945),0.0001),AND(P945&lt;&gt;"",R945&lt;&gt;"",RIGHT($N945,6)="tarief"),P945*FLOOR(R945,0.01),T945&gt;0,FLOOR(SUM(T945),0.01)),""),""),"")</f>
        <v/>
      </c>
      <c r="W945" s="317" t="str" cm="1">
        <f t="array" aca="1" ref="W945" ca="1">IFERROR(_xlfn.IFS(OR(F945="",LEFT(Methode_Keuze,4)="Geen",Methode_Keuze=""),"",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17" t="str" cm="1">
        <f t="array" aca="1" ref="X945" ca="1">IFERROR(_xlfn.IFS(OR(F945="",LEFT(Methode_Keuze,4)="Geen",Methode_Keuze=""),"",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26"/>
      <c r="Z945" s="319"/>
      <c r="AA945" s="32" t="str" cm="1">
        <f t="array" ref="AA945">IFERROR(IF(INDEX(SubsidieTabel!$AD$1:$AG$12,MATCH($F945,SubsidieTabel!$AD$1:$AD$12,0),IFERROR(MATCH(Methode_Keuze,SubsidieTabel!$AD$1:$AG$1,0),2))&lt;&gt;1=TRUE,"ja",""),"")</f>
        <v/>
      </c>
    </row>
    <row r="946" spans="1:27" x14ac:dyDescent="0.25">
      <c r="A946" s="320"/>
      <c r="B946" s="321" t="str">
        <f>IF(A946&lt;&gt;"",_xlfn.MAXIFS($B$1:B945,$A$1:A945,A946)+1,"")</f>
        <v/>
      </c>
      <c r="C946" s="299"/>
      <c r="D946" s="299"/>
      <c r="E946" s="299"/>
      <c r="F946" s="299"/>
      <c r="G946" s="330"/>
      <c r="H946" s="328"/>
      <c r="I946" s="329"/>
      <c r="J946" s="329"/>
      <c r="K946" s="322"/>
      <c r="L946" s="322"/>
      <c r="M946" s="323" t="str">
        <f>IFERROR(VLOOKUP(H946,Lijsten!$H$1:$I$100,2,0),"")</f>
        <v/>
      </c>
      <c r="N946" s="323" t="str">
        <f ca="1">IFERROR(IF(VLOOKUP(F946,Kostentypen!$A$3:$E$21,3,0)=0,"",IF(OR(F946="Arbeidskosten",F946="Vergoeding"),VLOOKUP(G946,Tb_KostenTypen[],2,0),VLOOKUP(F946,Kostentypen!$A$3:$E$20,3,0))),"")</f>
        <v/>
      </c>
      <c r="O946" s="324"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4"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3"/>
      <c r="R946" s="363"/>
      <c r="S946" s="325"/>
      <c r="T946" s="325"/>
      <c r="U946" s="317" t="str" cm="1">
        <f t="array" aca="1" ref="U946" ca="1">IFERROR(IF(AA946&lt;&gt;"ja",_xlfn.IFNA(_xlfn.IFS(AND(O946&lt;&gt;"",F946&lt;&gt;"",RIGHT($N946,6)="tarief",F946="Vergoeding"),SUM(O946)*FLOOR(SUM(Q946),0.0001),AND(O946&lt;&gt;"",F946&lt;&gt;"",RIGHT($N946,6)="tarief"),SUM(O946)*FLOOR(SUM(Q946),0.01),S946&gt;0,IF(F946&lt;&gt;"",FLOOR(SUM(S946),0.01),"")),""),""),"")</f>
        <v/>
      </c>
      <c r="V946" s="317" t="str" cm="1">
        <f t="array" aca="1" ref="V946" ca="1">IFERROR(IF(AA946&lt;&gt;"ja",_xlfn.IFNA(_xlfn.IFS(AND(P946&lt;&gt;"",R946&lt;&gt;"",RIGHT($N946,6)="tarief",F946="Vergoeding"),SUM(P946)*FLOOR(SUM(R946),0.0001),AND(P946&lt;&gt;"",R946&lt;&gt;"",RIGHT($N946,6)="tarief"),P946*FLOOR(R946,0.01),T946&gt;0,FLOOR(SUM(T946),0.01)),""),""),"")</f>
        <v/>
      </c>
      <c r="W946" s="317" t="str" cm="1">
        <f t="array" aca="1" ref="W946" ca="1">IFERROR(_xlfn.IFS(OR(F946="",LEFT(Methode_Keuze,4)="Geen",Methode_Keuze=""),"",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17" t="str" cm="1">
        <f t="array" aca="1" ref="X946" ca="1">IFERROR(_xlfn.IFS(OR(F946="",LEFT(Methode_Keuze,4)="Geen",Methode_Keuze=""),"",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26"/>
      <c r="Z946" s="319"/>
      <c r="AA946" s="32" t="str" cm="1">
        <f t="array" ref="AA946">IFERROR(IF(INDEX(SubsidieTabel!$AD$1:$AG$12,MATCH($F946,SubsidieTabel!$AD$1:$AD$12,0),IFERROR(MATCH(Methode_Keuze,SubsidieTabel!$AD$1:$AG$1,0),2))&lt;&gt;1=TRUE,"ja",""),"")</f>
        <v/>
      </c>
    </row>
    <row r="947" spans="1:27" x14ac:dyDescent="0.25">
      <c r="A947" s="320"/>
      <c r="B947" s="321" t="str">
        <f>IF(A947&lt;&gt;"",_xlfn.MAXIFS($B$1:B946,$A$1:A946,A947)+1,"")</f>
        <v/>
      </c>
      <c r="C947" s="299"/>
      <c r="D947" s="299"/>
      <c r="E947" s="299"/>
      <c r="F947" s="299"/>
      <c r="G947" s="330"/>
      <c r="H947" s="328"/>
      <c r="I947" s="329"/>
      <c r="J947" s="329"/>
      <c r="K947" s="322"/>
      <c r="L947" s="322"/>
      <c r="M947" s="323" t="str">
        <f>IFERROR(VLOOKUP(H947,Lijsten!$H$1:$I$100,2,0),"")</f>
        <v/>
      </c>
      <c r="N947" s="323" t="str">
        <f ca="1">IFERROR(IF(VLOOKUP(F947,Kostentypen!$A$3:$E$21,3,0)=0,"",IF(OR(F947="Arbeidskosten",F947="Vergoeding"),VLOOKUP(G947,Tb_KostenTypen[],2,0),VLOOKUP(F947,Kostentypen!$A$3:$E$20,3,0))),"")</f>
        <v/>
      </c>
      <c r="O947" s="324"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4"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3"/>
      <c r="R947" s="363"/>
      <c r="S947" s="325"/>
      <c r="T947" s="325"/>
      <c r="U947" s="317" t="str" cm="1">
        <f t="array" aca="1" ref="U947" ca="1">IFERROR(IF(AA947&lt;&gt;"ja",_xlfn.IFNA(_xlfn.IFS(AND(O947&lt;&gt;"",F947&lt;&gt;"",RIGHT($N947,6)="tarief",F947="Vergoeding"),SUM(O947)*FLOOR(SUM(Q947),0.0001),AND(O947&lt;&gt;"",F947&lt;&gt;"",RIGHT($N947,6)="tarief"),SUM(O947)*FLOOR(SUM(Q947),0.01),S947&gt;0,IF(F947&lt;&gt;"",FLOOR(SUM(S947),0.01),"")),""),""),"")</f>
        <v/>
      </c>
      <c r="V947" s="317" t="str" cm="1">
        <f t="array" aca="1" ref="V947" ca="1">IFERROR(IF(AA947&lt;&gt;"ja",_xlfn.IFNA(_xlfn.IFS(AND(P947&lt;&gt;"",R947&lt;&gt;"",RIGHT($N947,6)="tarief",F947="Vergoeding"),SUM(P947)*FLOOR(SUM(R947),0.0001),AND(P947&lt;&gt;"",R947&lt;&gt;"",RIGHT($N947,6)="tarief"),P947*FLOOR(R947,0.01),T947&gt;0,FLOOR(SUM(T947),0.01)),""),""),"")</f>
        <v/>
      </c>
      <c r="W947" s="317" t="str" cm="1">
        <f t="array" aca="1" ref="W947" ca="1">IFERROR(_xlfn.IFS(OR(F947="",LEFT(Methode_Keuze,4)="Geen",Methode_Keuze=""),"",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17" t="str" cm="1">
        <f t="array" aca="1" ref="X947" ca="1">IFERROR(_xlfn.IFS(OR(F947="",LEFT(Methode_Keuze,4)="Geen",Methode_Keuze=""),"",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26"/>
      <c r="Z947" s="319"/>
      <c r="AA947" s="32" t="str" cm="1">
        <f t="array" ref="AA947">IFERROR(IF(INDEX(SubsidieTabel!$AD$1:$AG$12,MATCH($F947,SubsidieTabel!$AD$1:$AD$12,0),IFERROR(MATCH(Methode_Keuze,SubsidieTabel!$AD$1:$AG$1,0),2))&lt;&gt;1=TRUE,"ja",""),"")</f>
        <v/>
      </c>
    </row>
    <row r="948" spans="1:27" x14ac:dyDescent="0.25">
      <c r="A948" s="320"/>
      <c r="B948" s="321" t="str">
        <f>IF(A948&lt;&gt;"",_xlfn.MAXIFS($B$1:B947,$A$1:A947,A948)+1,"")</f>
        <v/>
      </c>
      <c r="C948" s="299"/>
      <c r="D948" s="299"/>
      <c r="E948" s="299"/>
      <c r="F948" s="299"/>
      <c r="G948" s="330"/>
      <c r="H948" s="328"/>
      <c r="I948" s="329"/>
      <c r="J948" s="329"/>
      <c r="K948" s="322"/>
      <c r="L948" s="322"/>
      <c r="M948" s="323" t="str">
        <f>IFERROR(VLOOKUP(H948,Lijsten!$H$1:$I$100,2,0),"")</f>
        <v/>
      </c>
      <c r="N948" s="323" t="str">
        <f ca="1">IFERROR(IF(VLOOKUP(F948,Kostentypen!$A$3:$E$21,3,0)=0,"",IF(OR(F948="Arbeidskosten",F948="Vergoeding"),VLOOKUP(G948,Tb_KostenTypen[],2,0),VLOOKUP(F948,Kostentypen!$A$3:$E$20,3,0))),"")</f>
        <v/>
      </c>
      <c r="O948" s="324"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4"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3"/>
      <c r="R948" s="363"/>
      <c r="S948" s="325"/>
      <c r="T948" s="325"/>
      <c r="U948" s="317" t="str" cm="1">
        <f t="array" aca="1" ref="U948" ca="1">IFERROR(IF(AA948&lt;&gt;"ja",_xlfn.IFNA(_xlfn.IFS(AND(O948&lt;&gt;"",F948&lt;&gt;"",RIGHT($N948,6)="tarief",F948="Vergoeding"),SUM(O948)*FLOOR(SUM(Q948),0.0001),AND(O948&lt;&gt;"",F948&lt;&gt;"",RIGHT($N948,6)="tarief"),SUM(O948)*FLOOR(SUM(Q948),0.01),S948&gt;0,IF(F948&lt;&gt;"",FLOOR(SUM(S948),0.01),"")),""),""),"")</f>
        <v/>
      </c>
      <c r="V948" s="317" t="str" cm="1">
        <f t="array" aca="1" ref="V948" ca="1">IFERROR(IF(AA948&lt;&gt;"ja",_xlfn.IFNA(_xlfn.IFS(AND(P948&lt;&gt;"",R948&lt;&gt;"",RIGHT($N948,6)="tarief",F948="Vergoeding"),SUM(P948)*FLOOR(SUM(R948),0.0001),AND(P948&lt;&gt;"",R948&lt;&gt;"",RIGHT($N948,6)="tarief"),P948*FLOOR(R948,0.01),T948&gt;0,FLOOR(SUM(T948),0.01)),""),""),"")</f>
        <v/>
      </c>
      <c r="W948" s="317" t="str" cm="1">
        <f t="array" aca="1" ref="W948" ca="1">IFERROR(_xlfn.IFS(OR(F948="",LEFT(Methode_Keuze,4)="Geen",Methode_Keuze=""),"",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17" t="str" cm="1">
        <f t="array" aca="1" ref="X948" ca="1">IFERROR(_xlfn.IFS(OR(F948="",LEFT(Methode_Keuze,4)="Geen",Methode_Keuze=""),"",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26"/>
      <c r="Z948" s="319"/>
      <c r="AA948" s="32" t="str" cm="1">
        <f t="array" ref="AA948">IFERROR(IF(INDEX(SubsidieTabel!$AD$1:$AG$12,MATCH($F948,SubsidieTabel!$AD$1:$AD$12,0),IFERROR(MATCH(Methode_Keuze,SubsidieTabel!$AD$1:$AG$1,0),2))&lt;&gt;1=TRUE,"ja",""),"")</f>
        <v/>
      </c>
    </row>
    <row r="949" spans="1:27" x14ac:dyDescent="0.25">
      <c r="A949" s="320"/>
      <c r="B949" s="321" t="str">
        <f>IF(A949&lt;&gt;"",_xlfn.MAXIFS($B$1:B948,$A$1:A948,A949)+1,"")</f>
        <v/>
      </c>
      <c r="C949" s="299"/>
      <c r="D949" s="299"/>
      <c r="E949" s="299"/>
      <c r="F949" s="299"/>
      <c r="G949" s="330"/>
      <c r="H949" s="328"/>
      <c r="I949" s="329"/>
      <c r="J949" s="329"/>
      <c r="K949" s="322"/>
      <c r="L949" s="322"/>
      <c r="M949" s="323" t="str">
        <f>IFERROR(VLOOKUP(H949,Lijsten!$H$1:$I$100,2,0),"")</f>
        <v/>
      </c>
      <c r="N949" s="323" t="str">
        <f ca="1">IFERROR(IF(VLOOKUP(F949,Kostentypen!$A$3:$E$21,3,0)=0,"",IF(OR(F949="Arbeidskosten",F949="Vergoeding"),VLOOKUP(G949,Tb_KostenTypen[],2,0),VLOOKUP(F949,Kostentypen!$A$3:$E$20,3,0))),"")</f>
        <v/>
      </c>
      <c r="O949" s="324"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4"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3"/>
      <c r="R949" s="363"/>
      <c r="S949" s="325"/>
      <c r="T949" s="325"/>
      <c r="U949" s="317" t="str" cm="1">
        <f t="array" aca="1" ref="U949" ca="1">IFERROR(IF(AA949&lt;&gt;"ja",_xlfn.IFNA(_xlfn.IFS(AND(O949&lt;&gt;"",F949&lt;&gt;"",RIGHT($N949,6)="tarief",F949="Vergoeding"),SUM(O949)*FLOOR(SUM(Q949),0.0001),AND(O949&lt;&gt;"",F949&lt;&gt;"",RIGHT($N949,6)="tarief"),SUM(O949)*FLOOR(SUM(Q949),0.01),S949&gt;0,IF(F949&lt;&gt;"",FLOOR(SUM(S949),0.01),"")),""),""),"")</f>
        <v/>
      </c>
      <c r="V949" s="317" t="str" cm="1">
        <f t="array" aca="1" ref="V949" ca="1">IFERROR(IF(AA949&lt;&gt;"ja",_xlfn.IFNA(_xlfn.IFS(AND(P949&lt;&gt;"",R949&lt;&gt;"",RIGHT($N949,6)="tarief",F949="Vergoeding"),SUM(P949)*FLOOR(SUM(R949),0.0001),AND(P949&lt;&gt;"",R949&lt;&gt;"",RIGHT($N949,6)="tarief"),P949*FLOOR(R949,0.01),T949&gt;0,FLOOR(SUM(T949),0.01)),""),""),"")</f>
        <v/>
      </c>
      <c r="W949" s="317" t="str" cm="1">
        <f t="array" aca="1" ref="W949" ca="1">IFERROR(_xlfn.IFS(OR(F949="",LEFT(Methode_Keuze,4)="Geen",Methode_Keuze=""),"",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17" t="str" cm="1">
        <f t="array" aca="1" ref="X949" ca="1">IFERROR(_xlfn.IFS(OR(F949="",LEFT(Methode_Keuze,4)="Geen",Methode_Keuze=""),"",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26"/>
      <c r="Z949" s="319"/>
      <c r="AA949" s="32" t="str" cm="1">
        <f t="array" ref="AA949">IFERROR(IF(INDEX(SubsidieTabel!$AD$1:$AG$12,MATCH($F949,SubsidieTabel!$AD$1:$AD$12,0),IFERROR(MATCH(Methode_Keuze,SubsidieTabel!$AD$1:$AG$1,0),2))&lt;&gt;1=TRUE,"ja",""),"")</f>
        <v/>
      </c>
    </row>
    <row r="950" spans="1:27" x14ac:dyDescent="0.25">
      <c r="A950" s="320"/>
      <c r="B950" s="321" t="str">
        <f>IF(A950&lt;&gt;"",_xlfn.MAXIFS($B$1:B949,$A$1:A949,A950)+1,"")</f>
        <v/>
      </c>
      <c r="C950" s="299"/>
      <c r="D950" s="299"/>
      <c r="E950" s="299"/>
      <c r="F950" s="299"/>
      <c r="G950" s="330"/>
      <c r="H950" s="328"/>
      <c r="I950" s="329"/>
      <c r="J950" s="329"/>
      <c r="K950" s="322"/>
      <c r="L950" s="322"/>
      <c r="M950" s="323" t="str">
        <f>IFERROR(VLOOKUP(H950,Lijsten!$H$1:$I$100,2,0),"")</f>
        <v/>
      </c>
      <c r="N950" s="323" t="str">
        <f ca="1">IFERROR(IF(VLOOKUP(F950,Kostentypen!$A$3:$E$21,3,0)=0,"",IF(OR(F950="Arbeidskosten",F950="Vergoeding"),VLOOKUP(G950,Tb_KostenTypen[],2,0),VLOOKUP(F950,Kostentypen!$A$3:$E$20,3,0))),"")</f>
        <v/>
      </c>
      <c r="O950" s="324"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4"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3"/>
      <c r="R950" s="363"/>
      <c r="S950" s="325"/>
      <c r="T950" s="325"/>
      <c r="U950" s="317" t="str" cm="1">
        <f t="array" aca="1" ref="U950" ca="1">IFERROR(IF(AA950&lt;&gt;"ja",_xlfn.IFNA(_xlfn.IFS(AND(O950&lt;&gt;"",F950&lt;&gt;"",RIGHT($N950,6)="tarief",F950="Vergoeding"),SUM(O950)*FLOOR(SUM(Q950),0.0001),AND(O950&lt;&gt;"",F950&lt;&gt;"",RIGHT($N950,6)="tarief"),SUM(O950)*FLOOR(SUM(Q950),0.01),S950&gt;0,IF(F950&lt;&gt;"",FLOOR(SUM(S950),0.01),"")),""),""),"")</f>
        <v/>
      </c>
      <c r="V950" s="317" t="str" cm="1">
        <f t="array" aca="1" ref="V950" ca="1">IFERROR(IF(AA950&lt;&gt;"ja",_xlfn.IFNA(_xlfn.IFS(AND(P950&lt;&gt;"",R950&lt;&gt;"",RIGHT($N950,6)="tarief",F950="Vergoeding"),SUM(P950)*FLOOR(SUM(R950),0.0001),AND(P950&lt;&gt;"",R950&lt;&gt;"",RIGHT($N950,6)="tarief"),P950*FLOOR(R950,0.01),T950&gt;0,FLOOR(SUM(T950),0.01)),""),""),"")</f>
        <v/>
      </c>
      <c r="W950" s="317" t="str" cm="1">
        <f t="array" aca="1" ref="W950" ca="1">IFERROR(_xlfn.IFS(OR(F950="",LEFT(Methode_Keuze,4)="Geen",Methode_Keuze=""),"",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17" t="str" cm="1">
        <f t="array" aca="1" ref="X950" ca="1">IFERROR(_xlfn.IFS(OR(F950="",LEFT(Methode_Keuze,4)="Geen",Methode_Keuze=""),"",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26"/>
      <c r="Z950" s="319"/>
      <c r="AA950" s="32" t="str" cm="1">
        <f t="array" ref="AA950">IFERROR(IF(INDEX(SubsidieTabel!$AD$1:$AG$12,MATCH($F950,SubsidieTabel!$AD$1:$AD$12,0),IFERROR(MATCH(Methode_Keuze,SubsidieTabel!$AD$1:$AG$1,0),2))&lt;&gt;1=TRUE,"ja",""),"")</f>
        <v/>
      </c>
    </row>
    <row r="951" spans="1:27" x14ac:dyDescent="0.25">
      <c r="A951" s="320"/>
      <c r="B951" s="321" t="str">
        <f>IF(A951&lt;&gt;"",_xlfn.MAXIFS($B$1:B950,$A$1:A950,A951)+1,"")</f>
        <v/>
      </c>
      <c r="C951" s="299"/>
      <c r="D951" s="299"/>
      <c r="E951" s="299"/>
      <c r="F951" s="299"/>
      <c r="G951" s="330"/>
      <c r="H951" s="328"/>
      <c r="I951" s="329"/>
      <c r="J951" s="329"/>
      <c r="K951" s="322"/>
      <c r="L951" s="322"/>
      <c r="M951" s="323" t="str">
        <f>IFERROR(VLOOKUP(H951,Lijsten!$H$1:$I$100,2,0),"")</f>
        <v/>
      </c>
      <c r="N951" s="323" t="str">
        <f ca="1">IFERROR(IF(VLOOKUP(F951,Kostentypen!$A$3:$E$21,3,0)=0,"",IF(OR(F951="Arbeidskosten",F951="Vergoeding"),VLOOKUP(G951,Tb_KostenTypen[],2,0),VLOOKUP(F951,Kostentypen!$A$3:$E$20,3,0))),"")</f>
        <v/>
      </c>
      <c r="O951" s="324"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4"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3"/>
      <c r="R951" s="363"/>
      <c r="S951" s="325"/>
      <c r="T951" s="325"/>
      <c r="U951" s="317" t="str" cm="1">
        <f t="array" aca="1" ref="U951" ca="1">IFERROR(IF(AA951&lt;&gt;"ja",_xlfn.IFNA(_xlfn.IFS(AND(O951&lt;&gt;"",F951&lt;&gt;"",RIGHT($N951,6)="tarief",F951="Vergoeding"),SUM(O951)*FLOOR(SUM(Q951),0.0001),AND(O951&lt;&gt;"",F951&lt;&gt;"",RIGHT($N951,6)="tarief"),SUM(O951)*FLOOR(SUM(Q951),0.01),S951&gt;0,IF(F951&lt;&gt;"",FLOOR(SUM(S951),0.01),"")),""),""),"")</f>
        <v/>
      </c>
      <c r="V951" s="317" t="str" cm="1">
        <f t="array" aca="1" ref="V951" ca="1">IFERROR(IF(AA951&lt;&gt;"ja",_xlfn.IFNA(_xlfn.IFS(AND(P951&lt;&gt;"",R951&lt;&gt;"",RIGHT($N951,6)="tarief",F951="Vergoeding"),SUM(P951)*FLOOR(SUM(R951),0.0001),AND(P951&lt;&gt;"",R951&lt;&gt;"",RIGHT($N951,6)="tarief"),P951*FLOOR(R951,0.01),T951&gt;0,FLOOR(SUM(T951),0.01)),""),""),"")</f>
        <v/>
      </c>
      <c r="W951" s="317" t="str" cm="1">
        <f t="array" aca="1" ref="W951" ca="1">IFERROR(_xlfn.IFS(OR(F951="",LEFT(Methode_Keuze,4)="Geen",Methode_Keuze=""),"",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17" t="str" cm="1">
        <f t="array" aca="1" ref="X951" ca="1">IFERROR(_xlfn.IFS(OR(F951="",LEFT(Methode_Keuze,4)="Geen",Methode_Keuze=""),"",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26"/>
      <c r="Z951" s="319"/>
      <c r="AA951" s="32" t="str" cm="1">
        <f t="array" ref="AA951">IFERROR(IF(INDEX(SubsidieTabel!$AD$1:$AG$12,MATCH($F951,SubsidieTabel!$AD$1:$AD$12,0),IFERROR(MATCH(Methode_Keuze,SubsidieTabel!$AD$1:$AG$1,0),2))&lt;&gt;1=TRUE,"ja",""),"")</f>
        <v/>
      </c>
    </row>
    <row r="952" spans="1:27" x14ac:dyDescent="0.25">
      <c r="A952" s="320"/>
      <c r="B952" s="321" t="str">
        <f>IF(A952&lt;&gt;"",_xlfn.MAXIFS($B$1:B951,$A$1:A951,A952)+1,"")</f>
        <v/>
      </c>
      <c r="C952" s="299"/>
      <c r="D952" s="299"/>
      <c r="E952" s="299"/>
      <c r="F952" s="299"/>
      <c r="G952" s="330"/>
      <c r="H952" s="328"/>
      <c r="I952" s="329"/>
      <c r="J952" s="329"/>
      <c r="K952" s="322"/>
      <c r="L952" s="322"/>
      <c r="M952" s="323" t="str">
        <f>IFERROR(VLOOKUP(H952,Lijsten!$H$1:$I$100,2,0),"")</f>
        <v/>
      </c>
      <c r="N952" s="323" t="str">
        <f ca="1">IFERROR(IF(VLOOKUP(F952,Kostentypen!$A$3:$E$21,3,0)=0,"",IF(OR(F952="Arbeidskosten",F952="Vergoeding"),VLOOKUP(G952,Tb_KostenTypen[],2,0),VLOOKUP(F952,Kostentypen!$A$3:$E$20,3,0))),"")</f>
        <v/>
      </c>
      <c r="O952" s="324"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4"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3"/>
      <c r="R952" s="363"/>
      <c r="S952" s="325"/>
      <c r="T952" s="325"/>
      <c r="U952" s="317" t="str" cm="1">
        <f t="array" aca="1" ref="U952" ca="1">IFERROR(IF(AA952&lt;&gt;"ja",_xlfn.IFNA(_xlfn.IFS(AND(O952&lt;&gt;"",F952&lt;&gt;"",RIGHT($N952,6)="tarief",F952="Vergoeding"),SUM(O952)*FLOOR(SUM(Q952),0.0001),AND(O952&lt;&gt;"",F952&lt;&gt;"",RIGHT($N952,6)="tarief"),SUM(O952)*FLOOR(SUM(Q952),0.01),S952&gt;0,IF(F952&lt;&gt;"",FLOOR(SUM(S952),0.01),"")),""),""),"")</f>
        <v/>
      </c>
      <c r="V952" s="317" t="str" cm="1">
        <f t="array" aca="1" ref="V952" ca="1">IFERROR(IF(AA952&lt;&gt;"ja",_xlfn.IFNA(_xlfn.IFS(AND(P952&lt;&gt;"",R952&lt;&gt;"",RIGHT($N952,6)="tarief",F952="Vergoeding"),SUM(P952)*FLOOR(SUM(R952),0.0001),AND(P952&lt;&gt;"",R952&lt;&gt;"",RIGHT($N952,6)="tarief"),P952*FLOOR(R952,0.01),T952&gt;0,FLOOR(SUM(T952),0.01)),""),""),"")</f>
        <v/>
      </c>
      <c r="W952" s="317" t="str" cm="1">
        <f t="array" aca="1" ref="W952" ca="1">IFERROR(_xlfn.IFS(OR(F952="",LEFT(Methode_Keuze,4)="Geen",Methode_Keuze=""),"",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17" t="str" cm="1">
        <f t="array" aca="1" ref="X952" ca="1">IFERROR(_xlfn.IFS(OR(F952="",LEFT(Methode_Keuze,4)="Geen",Methode_Keuze=""),"",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26"/>
      <c r="Z952" s="319"/>
      <c r="AA952" s="32" t="str" cm="1">
        <f t="array" ref="AA952">IFERROR(IF(INDEX(SubsidieTabel!$AD$1:$AG$12,MATCH($F952,SubsidieTabel!$AD$1:$AD$12,0),IFERROR(MATCH(Methode_Keuze,SubsidieTabel!$AD$1:$AG$1,0),2))&lt;&gt;1=TRUE,"ja",""),"")</f>
        <v/>
      </c>
    </row>
    <row r="953" spans="1:27" x14ac:dyDescent="0.25">
      <c r="A953" s="320"/>
      <c r="B953" s="321" t="str">
        <f>IF(A953&lt;&gt;"",_xlfn.MAXIFS($B$1:B952,$A$1:A952,A953)+1,"")</f>
        <v/>
      </c>
      <c r="C953" s="299"/>
      <c r="D953" s="299"/>
      <c r="E953" s="299"/>
      <c r="F953" s="299"/>
      <c r="G953" s="330"/>
      <c r="H953" s="328"/>
      <c r="I953" s="329"/>
      <c r="J953" s="329"/>
      <c r="K953" s="322"/>
      <c r="L953" s="322"/>
      <c r="M953" s="323" t="str">
        <f>IFERROR(VLOOKUP(H953,Lijsten!$H$1:$I$100,2,0),"")</f>
        <v/>
      </c>
      <c r="N953" s="323" t="str">
        <f ca="1">IFERROR(IF(VLOOKUP(F953,Kostentypen!$A$3:$E$21,3,0)=0,"",IF(OR(F953="Arbeidskosten",F953="Vergoeding"),VLOOKUP(G953,Tb_KostenTypen[],2,0),VLOOKUP(F953,Kostentypen!$A$3:$E$20,3,0))),"")</f>
        <v/>
      </c>
      <c r="O953" s="324"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4"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3"/>
      <c r="R953" s="363"/>
      <c r="S953" s="325"/>
      <c r="T953" s="325"/>
      <c r="U953" s="317" t="str" cm="1">
        <f t="array" aca="1" ref="U953" ca="1">IFERROR(IF(AA953&lt;&gt;"ja",_xlfn.IFNA(_xlfn.IFS(AND(O953&lt;&gt;"",F953&lt;&gt;"",RIGHT($N953,6)="tarief",F953="Vergoeding"),SUM(O953)*FLOOR(SUM(Q953),0.0001),AND(O953&lt;&gt;"",F953&lt;&gt;"",RIGHT($N953,6)="tarief"),SUM(O953)*FLOOR(SUM(Q953),0.01),S953&gt;0,IF(F953&lt;&gt;"",FLOOR(SUM(S953),0.01),"")),""),""),"")</f>
        <v/>
      </c>
      <c r="V953" s="317" t="str" cm="1">
        <f t="array" aca="1" ref="V953" ca="1">IFERROR(IF(AA953&lt;&gt;"ja",_xlfn.IFNA(_xlfn.IFS(AND(P953&lt;&gt;"",R953&lt;&gt;"",RIGHT($N953,6)="tarief",F953="Vergoeding"),SUM(P953)*FLOOR(SUM(R953),0.0001),AND(P953&lt;&gt;"",R953&lt;&gt;"",RIGHT($N953,6)="tarief"),P953*FLOOR(R953,0.01),T953&gt;0,FLOOR(SUM(T953),0.01)),""),""),"")</f>
        <v/>
      </c>
      <c r="W953" s="317" t="str" cm="1">
        <f t="array" aca="1" ref="W953" ca="1">IFERROR(_xlfn.IFS(OR(F953="",LEFT(Methode_Keuze,4)="Geen",Methode_Keuze=""),"",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17" t="str" cm="1">
        <f t="array" aca="1" ref="X953" ca="1">IFERROR(_xlfn.IFS(OR(F953="",LEFT(Methode_Keuze,4)="Geen",Methode_Keuze=""),"",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26"/>
      <c r="Z953" s="319"/>
      <c r="AA953" s="32" t="str" cm="1">
        <f t="array" ref="AA953">IFERROR(IF(INDEX(SubsidieTabel!$AD$1:$AG$12,MATCH($F953,SubsidieTabel!$AD$1:$AD$12,0),IFERROR(MATCH(Methode_Keuze,SubsidieTabel!$AD$1:$AG$1,0),2))&lt;&gt;1=TRUE,"ja",""),"")</f>
        <v/>
      </c>
    </row>
    <row r="954" spans="1:27" x14ac:dyDescent="0.25">
      <c r="A954" s="320"/>
      <c r="B954" s="321" t="str">
        <f>IF(A954&lt;&gt;"",_xlfn.MAXIFS($B$1:B953,$A$1:A953,A954)+1,"")</f>
        <v/>
      </c>
      <c r="C954" s="299"/>
      <c r="D954" s="299"/>
      <c r="E954" s="299"/>
      <c r="F954" s="299"/>
      <c r="G954" s="330"/>
      <c r="H954" s="328"/>
      <c r="I954" s="329"/>
      <c r="J954" s="329"/>
      <c r="K954" s="322"/>
      <c r="L954" s="322"/>
      <c r="M954" s="323" t="str">
        <f>IFERROR(VLOOKUP(H954,Lijsten!$H$1:$I$100,2,0),"")</f>
        <v/>
      </c>
      <c r="N954" s="323" t="str">
        <f ca="1">IFERROR(IF(VLOOKUP(F954,Kostentypen!$A$3:$E$21,3,0)=0,"",IF(OR(F954="Arbeidskosten",F954="Vergoeding"),VLOOKUP(G954,Tb_KostenTypen[],2,0),VLOOKUP(F954,Kostentypen!$A$3:$E$20,3,0))),"")</f>
        <v/>
      </c>
      <c r="O954" s="324"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4"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3"/>
      <c r="R954" s="363"/>
      <c r="S954" s="325"/>
      <c r="T954" s="325"/>
      <c r="U954" s="317" t="str" cm="1">
        <f t="array" aca="1" ref="U954" ca="1">IFERROR(IF(AA954&lt;&gt;"ja",_xlfn.IFNA(_xlfn.IFS(AND(O954&lt;&gt;"",F954&lt;&gt;"",RIGHT($N954,6)="tarief",F954="Vergoeding"),SUM(O954)*FLOOR(SUM(Q954),0.0001),AND(O954&lt;&gt;"",F954&lt;&gt;"",RIGHT($N954,6)="tarief"),SUM(O954)*FLOOR(SUM(Q954),0.01),S954&gt;0,IF(F954&lt;&gt;"",FLOOR(SUM(S954),0.01),"")),""),""),"")</f>
        <v/>
      </c>
      <c r="V954" s="317" t="str" cm="1">
        <f t="array" aca="1" ref="V954" ca="1">IFERROR(IF(AA954&lt;&gt;"ja",_xlfn.IFNA(_xlfn.IFS(AND(P954&lt;&gt;"",R954&lt;&gt;"",RIGHT($N954,6)="tarief",F954="Vergoeding"),SUM(P954)*FLOOR(SUM(R954),0.0001),AND(P954&lt;&gt;"",R954&lt;&gt;"",RIGHT($N954,6)="tarief"),P954*FLOOR(R954,0.01),T954&gt;0,FLOOR(SUM(T954),0.01)),""),""),"")</f>
        <v/>
      </c>
      <c r="W954" s="317" t="str" cm="1">
        <f t="array" aca="1" ref="W954" ca="1">IFERROR(_xlfn.IFS(OR(F954="",LEFT(Methode_Keuze,4)="Geen",Methode_Keuze=""),"",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17" t="str" cm="1">
        <f t="array" aca="1" ref="X954" ca="1">IFERROR(_xlfn.IFS(OR(F954="",LEFT(Methode_Keuze,4)="Geen",Methode_Keuze=""),"",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26"/>
      <c r="Z954" s="319"/>
      <c r="AA954" s="32" t="str" cm="1">
        <f t="array" ref="AA954">IFERROR(IF(INDEX(SubsidieTabel!$AD$1:$AG$12,MATCH($F954,SubsidieTabel!$AD$1:$AD$12,0),IFERROR(MATCH(Methode_Keuze,SubsidieTabel!$AD$1:$AG$1,0),2))&lt;&gt;1=TRUE,"ja",""),"")</f>
        <v/>
      </c>
    </row>
    <row r="955" spans="1:27" x14ac:dyDescent="0.25">
      <c r="A955" s="320"/>
      <c r="B955" s="321" t="str">
        <f>IF(A955&lt;&gt;"",_xlfn.MAXIFS($B$1:B954,$A$1:A954,A955)+1,"")</f>
        <v/>
      </c>
      <c r="C955" s="299"/>
      <c r="D955" s="299"/>
      <c r="E955" s="299"/>
      <c r="F955" s="299"/>
      <c r="G955" s="330"/>
      <c r="H955" s="328"/>
      <c r="I955" s="329"/>
      <c r="J955" s="329"/>
      <c r="K955" s="322"/>
      <c r="L955" s="322"/>
      <c r="M955" s="323" t="str">
        <f>IFERROR(VLOOKUP(H955,Lijsten!$H$1:$I$100,2,0),"")</f>
        <v/>
      </c>
      <c r="N955" s="323" t="str">
        <f ca="1">IFERROR(IF(VLOOKUP(F955,Kostentypen!$A$3:$E$21,3,0)=0,"",IF(OR(F955="Arbeidskosten",F955="Vergoeding"),VLOOKUP(G955,Tb_KostenTypen[],2,0),VLOOKUP(F955,Kostentypen!$A$3:$E$20,3,0))),"")</f>
        <v/>
      </c>
      <c r="O955" s="324"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4"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3"/>
      <c r="R955" s="363"/>
      <c r="S955" s="325"/>
      <c r="T955" s="325"/>
      <c r="U955" s="317" t="str" cm="1">
        <f t="array" aca="1" ref="U955" ca="1">IFERROR(IF(AA955&lt;&gt;"ja",_xlfn.IFNA(_xlfn.IFS(AND(O955&lt;&gt;"",F955&lt;&gt;"",RIGHT($N955,6)="tarief",F955="Vergoeding"),SUM(O955)*FLOOR(SUM(Q955),0.0001),AND(O955&lt;&gt;"",F955&lt;&gt;"",RIGHT($N955,6)="tarief"),SUM(O955)*FLOOR(SUM(Q955),0.01),S955&gt;0,IF(F955&lt;&gt;"",FLOOR(SUM(S955),0.01),"")),""),""),"")</f>
        <v/>
      </c>
      <c r="V955" s="317" t="str" cm="1">
        <f t="array" aca="1" ref="V955" ca="1">IFERROR(IF(AA955&lt;&gt;"ja",_xlfn.IFNA(_xlfn.IFS(AND(P955&lt;&gt;"",R955&lt;&gt;"",RIGHT($N955,6)="tarief",F955="Vergoeding"),SUM(P955)*FLOOR(SUM(R955),0.0001),AND(P955&lt;&gt;"",R955&lt;&gt;"",RIGHT($N955,6)="tarief"),P955*FLOOR(R955,0.01),T955&gt;0,FLOOR(SUM(T955),0.01)),""),""),"")</f>
        <v/>
      </c>
      <c r="W955" s="317" t="str" cm="1">
        <f t="array" aca="1" ref="W955" ca="1">IFERROR(_xlfn.IFS(OR(F955="",LEFT(Methode_Keuze,4)="Geen",Methode_Keuze=""),"",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17" t="str" cm="1">
        <f t="array" aca="1" ref="X955" ca="1">IFERROR(_xlfn.IFS(OR(F955="",LEFT(Methode_Keuze,4)="Geen",Methode_Keuze=""),"",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26"/>
      <c r="Z955" s="319"/>
      <c r="AA955" s="32" t="str" cm="1">
        <f t="array" ref="AA955">IFERROR(IF(INDEX(SubsidieTabel!$AD$1:$AG$12,MATCH($F955,SubsidieTabel!$AD$1:$AD$12,0),IFERROR(MATCH(Methode_Keuze,SubsidieTabel!$AD$1:$AG$1,0),2))&lt;&gt;1=TRUE,"ja",""),"")</f>
        <v/>
      </c>
    </row>
    <row r="956" spans="1:27" x14ac:dyDescent="0.25">
      <c r="A956" s="320"/>
      <c r="B956" s="321" t="str">
        <f>IF(A956&lt;&gt;"",_xlfn.MAXIFS($B$1:B955,$A$1:A955,A956)+1,"")</f>
        <v/>
      </c>
      <c r="C956" s="299"/>
      <c r="D956" s="299"/>
      <c r="E956" s="299"/>
      <c r="F956" s="299"/>
      <c r="G956" s="330"/>
      <c r="H956" s="328"/>
      <c r="I956" s="329"/>
      <c r="J956" s="329"/>
      <c r="K956" s="322"/>
      <c r="L956" s="322"/>
      <c r="M956" s="323" t="str">
        <f>IFERROR(VLOOKUP(H956,Lijsten!$H$1:$I$100,2,0),"")</f>
        <v/>
      </c>
      <c r="N956" s="323" t="str">
        <f ca="1">IFERROR(IF(VLOOKUP(F956,Kostentypen!$A$3:$E$21,3,0)=0,"",IF(OR(F956="Arbeidskosten",F956="Vergoeding"),VLOOKUP(G956,Tb_KostenTypen[],2,0),VLOOKUP(F956,Kostentypen!$A$3:$E$20,3,0))),"")</f>
        <v/>
      </c>
      <c r="O956" s="324"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4"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3"/>
      <c r="R956" s="363"/>
      <c r="S956" s="325"/>
      <c r="T956" s="325"/>
      <c r="U956" s="317" t="str" cm="1">
        <f t="array" aca="1" ref="U956" ca="1">IFERROR(IF(AA956&lt;&gt;"ja",_xlfn.IFNA(_xlfn.IFS(AND(O956&lt;&gt;"",F956&lt;&gt;"",RIGHT($N956,6)="tarief",F956="Vergoeding"),SUM(O956)*FLOOR(SUM(Q956),0.0001),AND(O956&lt;&gt;"",F956&lt;&gt;"",RIGHT($N956,6)="tarief"),SUM(O956)*FLOOR(SUM(Q956),0.01),S956&gt;0,IF(F956&lt;&gt;"",FLOOR(SUM(S956),0.01),"")),""),""),"")</f>
        <v/>
      </c>
      <c r="V956" s="317" t="str" cm="1">
        <f t="array" aca="1" ref="V956" ca="1">IFERROR(IF(AA956&lt;&gt;"ja",_xlfn.IFNA(_xlfn.IFS(AND(P956&lt;&gt;"",R956&lt;&gt;"",RIGHT($N956,6)="tarief",F956="Vergoeding"),SUM(P956)*FLOOR(SUM(R956),0.0001),AND(P956&lt;&gt;"",R956&lt;&gt;"",RIGHT($N956,6)="tarief"),P956*FLOOR(R956,0.01),T956&gt;0,FLOOR(SUM(T956),0.01)),""),""),"")</f>
        <v/>
      </c>
      <c r="W956" s="317" t="str" cm="1">
        <f t="array" aca="1" ref="W956" ca="1">IFERROR(_xlfn.IFS(OR(F956="",LEFT(Methode_Keuze,4)="Geen",Methode_Keuze=""),"",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17" t="str" cm="1">
        <f t="array" aca="1" ref="X956" ca="1">IFERROR(_xlfn.IFS(OR(F956="",LEFT(Methode_Keuze,4)="Geen",Methode_Keuze=""),"",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26"/>
      <c r="Z956" s="319"/>
      <c r="AA956" s="32" t="str" cm="1">
        <f t="array" ref="AA956">IFERROR(IF(INDEX(SubsidieTabel!$AD$1:$AG$12,MATCH($F956,SubsidieTabel!$AD$1:$AD$12,0),IFERROR(MATCH(Methode_Keuze,SubsidieTabel!$AD$1:$AG$1,0),2))&lt;&gt;1=TRUE,"ja",""),"")</f>
        <v/>
      </c>
    </row>
    <row r="957" spans="1:27" x14ac:dyDescent="0.25">
      <c r="A957" s="320"/>
      <c r="B957" s="321" t="str">
        <f>IF(A957&lt;&gt;"",_xlfn.MAXIFS($B$1:B956,$A$1:A956,A957)+1,"")</f>
        <v/>
      </c>
      <c r="C957" s="299"/>
      <c r="D957" s="299"/>
      <c r="E957" s="299"/>
      <c r="F957" s="299"/>
      <c r="G957" s="330"/>
      <c r="H957" s="328"/>
      <c r="I957" s="329"/>
      <c r="J957" s="329"/>
      <c r="K957" s="322"/>
      <c r="L957" s="322"/>
      <c r="M957" s="323" t="str">
        <f>IFERROR(VLOOKUP(H957,Lijsten!$H$1:$I$100,2,0),"")</f>
        <v/>
      </c>
      <c r="N957" s="323" t="str">
        <f ca="1">IFERROR(IF(VLOOKUP(F957,Kostentypen!$A$3:$E$21,3,0)=0,"",IF(OR(F957="Arbeidskosten",F957="Vergoeding"),VLOOKUP(G957,Tb_KostenTypen[],2,0),VLOOKUP(F957,Kostentypen!$A$3:$E$20,3,0))),"")</f>
        <v/>
      </c>
      <c r="O957" s="324"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4"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3"/>
      <c r="R957" s="363"/>
      <c r="S957" s="325"/>
      <c r="T957" s="325"/>
      <c r="U957" s="317" t="str" cm="1">
        <f t="array" aca="1" ref="U957" ca="1">IFERROR(IF(AA957&lt;&gt;"ja",_xlfn.IFNA(_xlfn.IFS(AND(O957&lt;&gt;"",F957&lt;&gt;"",RIGHT($N957,6)="tarief",F957="Vergoeding"),SUM(O957)*FLOOR(SUM(Q957),0.0001),AND(O957&lt;&gt;"",F957&lt;&gt;"",RIGHT($N957,6)="tarief"),SUM(O957)*FLOOR(SUM(Q957),0.01),S957&gt;0,IF(F957&lt;&gt;"",FLOOR(SUM(S957),0.01),"")),""),""),"")</f>
        <v/>
      </c>
      <c r="V957" s="317" t="str" cm="1">
        <f t="array" aca="1" ref="V957" ca="1">IFERROR(IF(AA957&lt;&gt;"ja",_xlfn.IFNA(_xlfn.IFS(AND(P957&lt;&gt;"",R957&lt;&gt;"",RIGHT($N957,6)="tarief",F957="Vergoeding"),SUM(P957)*FLOOR(SUM(R957),0.0001),AND(P957&lt;&gt;"",R957&lt;&gt;"",RIGHT($N957,6)="tarief"),P957*FLOOR(R957,0.01),T957&gt;0,FLOOR(SUM(T957),0.01)),""),""),"")</f>
        <v/>
      </c>
      <c r="W957" s="317" t="str" cm="1">
        <f t="array" aca="1" ref="W957" ca="1">IFERROR(_xlfn.IFS(OR(F957="",LEFT(Methode_Keuze,4)="Geen",Methode_Keuze=""),"",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17" t="str" cm="1">
        <f t="array" aca="1" ref="X957" ca="1">IFERROR(_xlfn.IFS(OR(F957="",LEFT(Methode_Keuze,4)="Geen",Methode_Keuze=""),"",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26"/>
      <c r="Z957" s="319"/>
      <c r="AA957" s="32" t="str" cm="1">
        <f t="array" ref="AA957">IFERROR(IF(INDEX(SubsidieTabel!$AD$1:$AG$12,MATCH($F957,SubsidieTabel!$AD$1:$AD$12,0),IFERROR(MATCH(Methode_Keuze,SubsidieTabel!$AD$1:$AG$1,0),2))&lt;&gt;1=TRUE,"ja",""),"")</f>
        <v/>
      </c>
    </row>
    <row r="958" spans="1:27" x14ac:dyDescent="0.25">
      <c r="A958" s="320"/>
      <c r="B958" s="321" t="str">
        <f>IF(A958&lt;&gt;"",_xlfn.MAXIFS($B$1:B957,$A$1:A957,A958)+1,"")</f>
        <v/>
      </c>
      <c r="C958" s="299"/>
      <c r="D958" s="299"/>
      <c r="E958" s="299"/>
      <c r="F958" s="299"/>
      <c r="G958" s="330"/>
      <c r="H958" s="328"/>
      <c r="I958" s="329"/>
      <c r="J958" s="329"/>
      <c r="K958" s="322"/>
      <c r="L958" s="322"/>
      <c r="M958" s="323" t="str">
        <f>IFERROR(VLOOKUP(H958,Lijsten!$H$1:$I$100,2,0),"")</f>
        <v/>
      </c>
      <c r="N958" s="323" t="str">
        <f ca="1">IFERROR(IF(VLOOKUP(F958,Kostentypen!$A$3:$E$21,3,0)=0,"",IF(OR(F958="Arbeidskosten",F958="Vergoeding"),VLOOKUP(G958,Tb_KostenTypen[],2,0),VLOOKUP(F958,Kostentypen!$A$3:$E$20,3,0))),"")</f>
        <v/>
      </c>
      <c r="O958" s="324"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4"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3"/>
      <c r="R958" s="363"/>
      <c r="S958" s="325"/>
      <c r="T958" s="325"/>
      <c r="U958" s="317" t="str" cm="1">
        <f t="array" aca="1" ref="U958" ca="1">IFERROR(IF(AA958&lt;&gt;"ja",_xlfn.IFNA(_xlfn.IFS(AND(O958&lt;&gt;"",F958&lt;&gt;"",RIGHT($N958,6)="tarief",F958="Vergoeding"),SUM(O958)*FLOOR(SUM(Q958),0.0001),AND(O958&lt;&gt;"",F958&lt;&gt;"",RIGHT($N958,6)="tarief"),SUM(O958)*FLOOR(SUM(Q958),0.01),S958&gt;0,IF(F958&lt;&gt;"",FLOOR(SUM(S958),0.01),"")),""),""),"")</f>
        <v/>
      </c>
      <c r="V958" s="317" t="str" cm="1">
        <f t="array" aca="1" ref="V958" ca="1">IFERROR(IF(AA958&lt;&gt;"ja",_xlfn.IFNA(_xlfn.IFS(AND(P958&lt;&gt;"",R958&lt;&gt;"",RIGHT($N958,6)="tarief",F958="Vergoeding"),SUM(P958)*FLOOR(SUM(R958),0.0001),AND(P958&lt;&gt;"",R958&lt;&gt;"",RIGHT($N958,6)="tarief"),P958*FLOOR(R958,0.01),T958&gt;0,FLOOR(SUM(T958),0.01)),""),""),"")</f>
        <v/>
      </c>
      <c r="W958" s="317" t="str" cm="1">
        <f t="array" aca="1" ref="W958" ca="1">IFERROR(_xlfn.IFS(OR(F958="",LEFT(Methode_Keuze,4)="Geen",Methode_Keuze=""),"",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17" t="str" cm="1">
        <f t="array" aca="1" ref="X958" ca="1">IFERROR(_xlfn.IFS(OR(F958="",LEFT(Methode_Keuze,4)="Geen",Methode_Keuze=""),"",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26"/>
      <c r="Z958" s="319"/>
      <c r="AA958" s="32" t="str" cm="1">
        <f t="array" ref="AA958">IFERROR(IF(INDEX(SubsidieTabel!$AD$1:$AG$12,MATCH($F958,SubsidieTabel!$AD$1:$AD$12,0),IFERROR(MATCH(Methode_Keuze,SubsidieTabel!$AD$1:$AG$1,0),2))&lt;&gt;1=TRUE,"ja",""),"")</f>
        <v/>
      </c>
    </row>
    <row r="959" spans="1:27" x14ac:dyDescent="0.25">
      <c r="A959" s="320"/>
      <c r="B959" s="321" t="str">
        <f>IF(A959&lt;&gt;"",_xlfn.MAXIFS($B$1:B958,$A$1:A958,A959)+1,"")</f>
        <v/>
      </c>
      <c r="C959" s="299"/>
      <c r="D959" s="299"/>
      <c r="E959" s="299"/>
      <c r="F959" s="299"/>
      <c r="G959" s="330"/>
      <c r="H959" s="328"/>
      <c r="I959" s="329"/>
      <c r="J959" s="329"/>
      <c r="K959" s="322"/>
      <c r="L959" s="322"/>
      <c r="M959" s="323" t="str">
        <f>IFERROR(VLOOKUP(H959,Lijsten!$H$1:$I$100,2,0),"")</f>
        <v/>
      </c>
      <c r="N959" s="323" t="str">
        <f ca="1">IFERROR(IF(VLOOKUP(F959,Kostentypen!$A$3:$E$21,3,0)=0,"",IF(OR(F959="Arbeidskosten",F959="Vergoeding"),VLOOKUP(G959,Tb_KostenTypen[],2,0),VLOOKUP(F959,Kostentypen!$A$3:$E$20,3,0))),"")</f>
        <v/>
      </c>
      <c r="O959" s="324"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4"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3"/>
      <c r="R959" s="363"/>
      <c r="S959" s="325"/>
      <c r="T959" s="325"/>
      <c r="U959" s="317" t="str" cm="1">
        <f t="array" aca="1" ref="U959" ca="1">IFERROR(IF(AA959&lt;&gt;"ja",_xlfn.IFNA(_xlfn.IFS(AND(O959&lt;&gt;"",F959&lt;&gt;"",RIGHT($N959,6)="tarief",F959="Vergoeding"),SUM(O959)*FLOOR(SUM(Q959),0.0001),AND(O959&lt;&gt;"",F959&lt;&gt;"",RIGHT($N959,6)="tarief"),SUM(O959)*FLOOR(SUM(Q959),0.01),S959&gt;0,IF(F959&lt;&gt;"",FLOOR(SUM(S959),0.01),"")),""),""),"")</f>
        <v/>
      </c>
      <c r="V959" s="317" t="str" cm="1">
        <f t="array" aca="1" ref="V959" ca="1">IFERROR(IF(AA959&lt;&gt;"ja",_xlfn.IFNA(_xlfn.IFS(AND(P959&lt;&gt;"",R959&lt;&gt;"",RIGHT($N959,6)="tarief",F959="Vergoeding"),SUM(P959)*FLOOR(SUM(R959),0.0001),AND(P959&lt;&gt;"",R959&lt;&gt;"",RIGHT($N959,6)="tarief"),P959*FLOOR(R959,0.01),T959&gt;0,FLOOR(SUM(T959),0.01)),""),""),"")</f>
        <v/>
      </c>
      <c r="W959" s="317" t="str" cm="1">
        <f t="array" aca="1" ref="W959" ca="1">IFERROR(_xlfn.IFS(OR(F959="",LEFT(Methode_Keuze,4)="Geen",Methode_Keuze=""),"",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17" t="str" cm="1">
        <f t="array" aca="1" ref="X959" ca="1">IFERROR(_xlfn.IFS(OR(F959="",LEFT(Methode_Keuze,4)="Geen",Methode_Keuze=""),"",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26"/>
      <c r="Z959" s="319"/>
      <c r="AA959" s="32" t="str" cm="1">
        <f t="array" ref="AA959">IFERROR(IF(INDEX(SubsidieTabel!$AD$1:$AG$12,MATCH($F959,SubsidieTabel!$AD$1:$AD$12,0),IFERROR(MATCH(Methode_Keuze,SubsidieTabel!$AD$1:$AG$1,0),2))&lt;&gt;1=TRUE,"ja",""),"")</f>
        <v/>
      </c>
    </row>
    <row r="960" spans="1:27" x14ac:dyDescent="0.25">
      <c r="A960" s="320"/>
      <c r="B960" s="321" t="str">
        <f>IF(A960&lt;&gt;"",_xlfn.MAXIFS($B$1:B959,$A$1:A959,A960)+1,"")</f>
        <v/>
      </c>
      <c r="C960" s="299"/>
      <c r="D960" s="299"/>
      <c r="E960" s="299"/>
      <c r="F960" s="299"/>
      <c r="G960" s="330"/>
      <c r="H960" s="328"/>
      <c r="I960" s="329"/>
      <c r="J960" s="329"/>
      <c r="K960" s="322"/>
      <c r="L960" s="322"/>
      <c r="M960" s="323" t="str">
        <f>IFERROR(VLOOKUP(H960,Lijsten!$H$1:$I$100,2,0),"")</f>
        <v/>
      </c>
      <c r="N960" s="323" t="str">
        <f ca="1">IFERROR(IF(VLOOKUP(F960,Kostentypen!$A$3:$E$21,3,0)=0,"",IF(OR(F960="Arbeidskosten",F960="Vergoeding"),VLOOKUP(G960,Tb_KostenTypen[],2,0),VLOOKUP(F960,Kostentypen!$A$3:$E$20,3,0))),"")</f>
        <v/>
      </c>
      <c r="O960" s="324"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4"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3"/>
      <c r="R960" s="363"/>
      <c r="S960" s="325"/>
      <c r="T960" s="325"/>
      <c r="U960" s="317" t="str" cm="1">
        <f t="array" aca="1" ref="U960" ca="1">IFERROR(IF(AA960&lt;&gt;"ja",_xlfn.IFNA(_xlfn.IFS(AND(O960&lt;&gt;"",F960&lt;&gt;"",RIGHT($N960,6)="tarief",F960="Vergoeding"),SUM(O960)*FLOOR(SUM(Q960),0.0001),AND(O960&lt;&gt;"",F960&lt;&gt;"",RIGHT($N960,6)="tarief"),SUM(O960)*FLOOR(SUM(Q960),0.01),S960&gt;0,IF(F960&lt;&gt;"",FLOOR(SUM(S960),0.01),"")),""),""),"")</f>
        <v/>
      </c>
      <c r="V960" s="317" t="str" cm="1">
        <f t="array" aca="1" ref="V960" ca="1">IFERROR(IF(AA960&lt;&gt;"ja",_xlfn.IFNA(_xlfn.IFS(AND(P960&lt;&gt;"",R960&lt;&gt;"",RIGHT($N960,6)="tarief",F960="Vergoeding"),SUM(P960)*FLOOR(SUM(R960),0.0001),AND(P960&lt;&gt;"",R960&lt;&gt;"",RIGHT($N960,6)="tarief"),P960*FLOOR(R960,0.01),T960&gt;0,FLOOR(SUM(T960),0.01)),""),""),"")</f>
        <v/>
      </c>
      <c r="W960" s="317" t="str" cm="1">
        <f t="array" aca="1" ref="W960" ca="1">IFERROR(_xlfn.IFS(OR(F960="",LEFT(Methode_Keuze,4)="Geen",Methode_Keuze=""),"",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17" t="str" cm="1">
        <f t="array" aca="1" ref="X960" ca="1">IFERROR(_xlfn.IFS(OR(F960="",LEFT(Methode_Keuze,4)="Geen",Methode_Keuze=""),"",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26"/>
      <c r="Z960" s="319"/>
      <c r="AA960" s="32" t="str" cm="1">
        <f t="array" ref="AA960">IFERROR(IF(INDEX(SubsidieTabel!$AD$1:$AG$12,MATCH($F960,SubsidieTabel!$AD$1:$AD$12,0),IFERROR(MATCH(Methode_Keuze,SubsidieTabel!$AD$1:$AG$1,0),2))&lt;&gt;1=TRUE,"ja",""),"")</f>
        <v/>
      </c>
    </row>
    <row r="961" spans="1:27" x14ac:dyDescent="0.25">
      <c r="A961" s="320"/>
      <c r="B961" s="321" t="str">
        <f>IF(A961&lt;&gt;"",_xlfn.MAXIFS($B$1:B960,$A$1:A960,A961)+1,"")</f>
        <v/>
      </c>
      <c r="C961" s="299"/>
      <c r="D961" s="299"/>
      <c r="E961" s="299"/>
      <c r="F961" s="299"/>
      <c r="G961" s="330"/>
      <c r="H961" s="328"/>
      <c r="I961" s="329"/>
      <c r="J961" s="329"/>
      <c r="K961" s="322"/>
      <c r="L961" s="322"/>
      <c r="M961" s="323" t="str">
        <f>IFERROR(VLOOKUP(H961,Lijsten!$H$1:$I$100,2,0),"")</f>
        <v/>
      </c>
      <c r="N961" s="323" t="str">
        <f ca="1">IFERROR(IF(VLOOKUP(F961,Kostentypen!$A$3:$E$21,3,0)=0,"",IF(OR(F961="Arbeidskosten",F961="Vergoeding"),VLOOKUP(G961,Tb_KostenTypen[],2,0),VLOOKUP(F961,Kostentypen!$A$3:$E$20,3,0))),"")</f>
        <v/>
      </c>
      <c r="O961" s="324"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4"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3"/>
      <c r="R961" s="363"/>
      <c r="S961" s="325"/>
      <c r="T961" s="325"/>
      <c r="U961" s="317" t="str" cm="1">
        <f t="array" aca="1" ref="U961" ca="1">IFERROR(IF(AA961&lt;&gt;"ja",_xlfn.IFNA(_xlfn.IFS(AND(O961&lt;&gt;"",F961&lt;&gt;"",RIGHT($N961,6)="tarief",F961="Vergoeding"),SUM(O961)*FLOOR(SUM(Q961),0.0001),AND(O961&lt;&gt;"",F961&lt;&gt;"",RIGHT($N961,6)="tarief"),SUM(O961)*FLOOR(SUM(Q961),0.01),S961&gt;0,IF(F961&lt;&gt;"",FLOOR(SUM(S961),0.01),"")),""),""),"")</f>
        <v/>
      </c>
      <c r="V961" s="317" t="str" cm="1">
        <f t="array" aca="1" ref="V961" ca="1">IFERROR(IF(AA961&lt;&gt;"ja",_xlfn.IFNA(_xlfn.IFS(AND(P961&lt;&gt;"",R961&lt;&gt;"",RIGHT($N961,6)="tarief",F961="Vergoeding"),SUM(P961)*FLOOR(SUM(R961),0.0001),AND(P961&lt;&gt;"",R961&lt;&gt;"",RIGHT($N961,6)="tarief"),P961*FLOOR(R961,0.01),T961&gt;0,FLOOR(SUM(T961),0.01)),""),""),"")</f>
        <v/>
      </c>
      <c r="W961" s="317" t="str" cm="1">
        <f t="array" aca="1" ref="W961" ca="1">IFERROR(_xlfn.IFS(OR(F961="",LEFT(Methode_Keuze,4)="Geen",Methode_Keuze=""),"",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17" t="str" cm="1">
        <f t="array" aca="1" ref="X961" ca="1">IFERROR(_xlfn.IFS(OR(F961="",LEFT(Methode_Keuze,4)="Geen",Methode_Keuze=""),"",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26"/>
      <c r="Z961" s="319"/>
      <c r="AA961" s="32" t="str" cm="1">
        <f t="array" ref="AA961">IFERROR(IF(INDEX(SubsidieTabel!$AD$1:$AG$12,MATCH($F961,SubsidieTabel!$AD$1:$AD$12,0),IFERROR(MATCH(Methode_Keuze,SubsidieTabel!$AD$1:$AG$1,0),2))&lt;&gt;1=TRUE,"ja",""),"")</f>
        <v/>
      </c>
    </row>
    <row r="962" spans="1:27" x14ac:dyDescent="0.25">
      <c r="A962" s="320"/>
      <c r="B962" s="321" t="str">
        <f>IF(A962&lt;&gt;"",_xlfn.MAXIFS($B$1:B961,$A$1:A961,A962)+1,"")</f>
        <v/>
      </c>
      <c r="C962" s="299"/>
      <c r="D962" s="299"/>
      <c r="E962" s="299"/>
      <c r="F962" s="299"/>
      <c r="G962" s="330"/>
      <c r="H962" s="328"/>
      <c r="I962" s="329"/>
      <c r="J962" s="329"/>
      <c r="K962" s="322"/>
      <c r="L962" s="322"/>
      <c r="M962" s="323" t="str">
        <f>IFERROR(VLOOKUP(H962,Lijsten!$H$1:$I$100,2,0),"")</f>
        <v/>
      </c>
      <c r="N962" s="323" t="str">
        <f ca="1">IFERROR(IF(VLOOKUP(F962,Kostentypen!$A$3:$E$21,3,0)=0,"",IF(OR(F962="Arbeidskosten",F962="Vergoeding"),VLOOKUP(G962,Tb_KostenTypen[],2,0),VLOOKUP(F962,Kostentypen!$A$3:$E$20,3,0))),"")</f>
        <v/>
      </c>
      <c r="O962" s="324"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4"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3"/>
      <c r="R962" s="363"/>
      <c r="S962" s="325"/>
      <c r="T962" s="325"/>
      <c r="U962" s="317" t="str" cm="1">
        <f t="array" aca="1" ref="U962" ca="1">IFERROR(IF(AA962&lt;&gt;"ja",_xlfn.IFNA(_xlfn.IFS(AND(O962&lt;&gt;"",F962&lt;&gt;"",RIGHT($N962,6)="tarief",F962="Vergoeding"),SUM(O962)*FLOOR(SUM(Q962),0.0001),AND(O962&lt;&gt;"",F962&lt;&gt;"",RIGHT($N962,6)="tarief"),SUM(O962)*FLOOR(SUM(Q962),0.01),S962&gt;0,IF(F962&lt;&gt;"",FLOOR(SUM(S962),0.01),"")),""),""),"")</f>
        <v/>
      </c>
      <c r="V962" s="317" t="str" cm="1">
        <f t="array" aca="1" ref="V962" ca="1">IFERROR(IF(AA962&lt;&gt;"ja",_xlfn.IFNA(_xlfn.IFS(AND(P962&lt;&gt;"",R962&lt;&gt;"",RIGHT($N962,6)="tarief",F962="Vergoeding"),SUM(P962)*FLOOR(SUM(R962),0.0001),AND(P962&lt;&gt;"",R962&lt;&gt;"",RIGHT($N962,6)="tarief"),P962*FLOOR(R962,0.01),T962&gt;0,FLOOR(SUM(T962),0.01)),""),""),"")</f>
        <v/>
      </c>
      <c r="W962" s="317" t="str" cm="1">
        <f t="array" aca="1" ref="W962" ca="1">IFERROR(_xlfn.IFS(OR(F962="",LEFT(Methode_Keuze,4)="Geen",Methode_Keuze=""),"",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17" t="str" cm="1">
        <f t="array" aca="1" ref="X962" ca="1">IFERROR(_xlfn.IFS(OR(F962="",LEFT(Methode_Keuze,4)="Geen",Methode_Keuze=""),"",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26"/>
      <c r="Z962" s="319"/>
      <c r="AA962" s="32" t="str" cm="1">
        <f t="array" ref="AA962">IFERROR(IF(INDEX(SubsidieTabel!$AD$1:$AG$12,MATCH($F962,SubsidieTabel!$AD$1:$AD$12,0),IFERROR(MATCH(Methode_Keuze,SubsidieTabel!$AD$1:$AG$1,0),2))&lt;&gt;1=TRUE,"ja",""),"")</f>
        <v/>
      </c>
    </row>
    <row r="963" spans="1:27" x14ac:dyDescent="0.25">
      <c r="A963" s="320"/>
      <c r="B963" s="321" t="str">
        <f>IF(A963&lt;&gt;"",_xlfn.MAXIFS($B$1:B962,$A$1:A962,A963)+1,"")</f>
        <v/>
      </c>
      <c r="C963" s="299"/>
      <c r="D963" s="299"/>
      <c r="E963" s="299"/>
      <c r="F963" s="299"/>
      <c r="G963" s="330"/>
      <c r="H963" s="328"/>
      <c r="I963" s="329"/>
      <c r="J963" s="329"/>
      <c r="K963" s="322"/>
      <c r="L963" s="322"/>
      <c r="M963" s="323" t="str">
        <f>IFERROR(VLOOKUP(H963,Lijsten!$H$1:$I$100,2,0),"")</f>
        <v/>
      </c>
      <c r="N963" s="323" t="str">
        <f ca="1">IFERROR(IF(VLOOKUP(F963,Kostentypen!$A$3:$E$21,3,0)=0,"",IF(OR(F963="Arbeidskosten",F963="Vergoeding"),VLOOKUP(G963,Tb_KostenTypen[],2,0),VLOOKUP(F963,Kostentypen!$A$3:$E$20,3,0))),"")</f>
        <v/>
      </c>
      <c r="O963" s="324"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4"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3"/>
      <c r="R963" s="363"/>
      <c r="S963" s="325"/>
      <c r="T963" s="325"/>
      <c r="U963" s="317" t="str" cm="1">
        <f t="array" aca="1" ref="U963" ca="1">IFERROR(IF(AA963&lt;&gt;"ja",_xlfn.IFNA(_xlfn.IFS(AND(O963&lt;&gt;"",F963&lt;&gt;"",RIGHT($N963,6)="tarief",F963="Vergoeding"),SUM(O963)*FLOOR(SUM(Q963),0.0001),AND(O963&lt;&gt;"",F963&lt;&gt;"",RIGHT($N963,6)="tarief"),SUM(O963)*FLOOR(SUM(Q963),0.01),S963&gt;0,IF(F963&lt;&gt;"",FLOOR(SUM(S963),0.01),"")),""),""),"")</f>
        <v/>
      </c>
      <c r="V963" s="317" t="str" cm="1">
        <f t="array" aca="1" ref="V963" ca="1">IFERROR(IF(AA963&lt;&gt;"ja",_xlfn.IFNA(_xlfn.IFS(AND(P963&lt;&gt;"",R963&lt;&gt;"",RIGHT($N963,6)="tarief",F963="Vergoeding"),SUM(P963)*FLOOR(SUM(R963),0.0001),AND(P963&lt;&gt;"",R963&lt;&gt;"",RIGHT($N963,6)="tarief"),P963*FLOOR(R963,0.01),T963&gt;0,FLOOR(SUM(T963),0.01)),""),""),"")</f>
        <v/>
      </c>
      <c r="W963" s="317" t="str" cm="1">
        <f t="array" aca="1" ref="W963" ca="1">IFERROR(_xlfn.IFS(OR(F963="",LEFT(Methode_Keuze,4)="Geen",Methode_Keuze=""),"",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17" t="str" cm="1">
        <f t="array" aca="1" ref="X963" ca="1">IFERROR(_xlfn.IFS(OR(F963="",LEFT(Methode_Keuze,4)="Geen",Methode_Keuze=""),"",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26"/>
      <c r="Z963" s="319"/>
      <c r="AA963" s="32" t="str" cm="1">
        <f t="array" ref="AA963">IFERROR(IF(INDEX(SubsidieTabel!$AD$1:$AG$12,MATCH($F963,SubsidieTabel!$AD$1:$AD$12,0),IFERROR(MATCH(Methode_Keuze,SubsidieTabel!$AD$1:$AG$1,0),2))&lt;&gt;1=TRUE,"ja",""),"")</f>
        <v/>
      </c>
    </row>
    <row r="964" spans="1:27" x14ac:dyDescent="0.25">
      <c r="A964" s="320"/>
      <c r="B964" s="321" t="str">
        <f>IF(A964&lt;&gt;"",_xlfn.MAXIFS($B$1:B963,$A$1:A963,A964)+1,"")</f>
        <v/>
      </c>
      <c r="C964" s="299"/>
      <c r="D964" s="299"/>
      <c r="E964" s="299"/>
      <c r="F964" s="299"/>
      <c r="G964" s="330"/>
      <c r="H964" s="328"/>
      <c r="I964" s="329"/>
      <c r="J964" s="329"/>
      <c r="K964" s="322"/>
      <c r="L964" s="322"/>
      <c r="M964" s="323" t="str">
        <f>IFERROR(VLOOKUP(H964,Lijsten!$H$1:$I$100,2,0),"")</f>
        <v/>
      </c>
      <c r="N964" s="323" t="str">
        <f ca="1">IFERROR(IF(VLOOKUP(F964,Kostentypen!$A$3:$E$21,3,0)=0,"",IF(OR(F964="Arbeidskosten",F964="Vergoeding"),VLOOKUP(G964,Tb_KostenTypen[],2,0),VLOOKUP(F964,Kostentypen!$A$3:$E$20,3,0))),"")</f>
        <v/>
      </c>
      <c r="O964" s="324"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4"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3"/>
      <c r="R964" s="363"/>
      <c r="S964" s="325"/>
      <c r="T964" s="325"/>
      <c r="U964" s="317" t="str" cm="1">
        <f t="array" aca="1" ref="U964" ca="1">IFERROR(IF(AA964&lt;&gt;"ja",_xlfn.IFNA(_xlfn.IFS(AND(O964&lt;&gt;"",F964&lt;&gt;"",RIGHT($N964,6)="tarief",F964="Vergoeding"),SUM(O964)*FLOOR(SUM(Q964),0.0001),AND(O964&lt;&gt;"",F964&lt;&gt;"",RIGHT($N964,6)="tarief"),SUM(O964)*FLOOR(SUM(Q964),0.01),S964&gt;0,IF(F964&lt;&gt;"",FLOOR(SUM(S964),0.01),"")),""),""),"")</f>
        <v/>
      </c>
      <c r="V964" s="317" t="str" cm="1">
        <f t="array" aca="1" ref="V964" ca="1">IFERROR(IF(AA964&lt;&gt;"ja",_xlfn.IFNA(_xlfn.IFS(AND(P964&lt;&gt;"",R964&lt;&gt;"",RIGHT($N964,6)="tarief",F964="Vergoeding"),SUM(P964)*FLOOR(SUM(R964),0.0001),AND(P964&lt;&gt;"",R964&lt;&gt;"",RIGHT($N964,6)="tarief"),P964*FLOOR(R964,0.01),T964&gt;0,FLOOR(SUM(T964),0.01)),""),""),"")</f>
        <v/>
      </c>
      <c r="W964" s="317" t="str" cm="1">
        <f t="array" aca="1" ref="W964" ca="1">IFERROR(_xlfn.IFS(OR(F964="",LEFT(Methode_Keuze,4)="Geen",Methode_Keuze=""),"",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17" t="str" cm="1">
        <f t="array" aca="1" ref="X964" ca="1">IFERROR(_xlfn.IFS(OR(F964="",LEFT(Methode_Keuze,4)="Geen",Methode_Keuze=""),"",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26"/>
      <c r="Z964" s="319"/>
      <c r="AA964" s="32" t="str" cm="1">
        <f t="array" ref="AA964">IFERROR(IF(INDEX(SubsidieTabel!$AD$1:$AG$12,MATCH($F964,SubsidieTabel!$AD$1:$AD$12,0),IFERROR(MATCH(Methode_Keuze,SubsidieTabel!$AD$1:$AG$1,0),2))&lt;&gt;1=TRUE,"ja",""),"")</f>
        <v/>
      </c>
    </row>
    <row r="965" spans="1:27" x14ac:dyDescent="0.25">
      <c r="A965" s="320"/>
      <c r="B965" s="321" t="str">
        <f>IF(A965&lt;&gt;"",_xlfn.MAXIFS($B$1:B964,$A$1:A964,A965)+1,"")</f>
        <v/>
      </c>
      <c r="C965" s="299"/>
      <c r="D965" s="299"/>
      <c r="E965" s="299"/>
      <c r="F965" s="299"/>
      <c r="G965" s="330"/>
      <c r="H965" s="328"/>
      <c r="I965" s="329"/>
      <c r="J965" s="329"/>
      <c r="K965" s="322"/>
      <c r="L965" s="322"/>
      <c r="M965" s="323" t="str">
        <f>IFERROR(VLOOKUP(H965,Lijsten!$H$1:$I$100,2,0),"")</f>
        <v/>
      </c>
      <c r="N965" s="323" t="str">
        <f ca="1">IFERROR(IF(VLOOKUP(F965,Kostentypen!$A$3:$E$21,3,0)=0,"",IF(OR(F965="Arbeidskosten",F965="Vergoeding"),VLOOKUP(G965,Tb_KostenTypen[],2,0),VLOOKUP(F965,Kostentypen!$A$3:$E$20,3,0))),"")</f>
        <v/>
      </c>
      <c r="O965" s="324"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4"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3"/>
      <c r="R965" s="363"/>
      <c r="S965" s="325"/>
      <c r="T965" s="325"/>
      <c r="U965" s="317" t="str" cm="1">
        <f t="array" aca="1" ref="U965" ca="1">IFERROR(IF(AA965&lt;&gt;"ja",_xlfn.IFNA(_xlfn.IFS(AND(O965&lt;&gt;"",F965&lt;&gt;"",RIGHT($N965,6)="tarief",F965="Vergoeding"),SUM(O965)*FLOOR(SUM(Q965),0.0001),AND(O965&lt;&gt;"",F965&lt;&gt;"",RIGHT($N965,6)="tarief"),SUM(O965)*FLOOR(SUM(Q965),0.01),S965&gt;0,IF(F965&lt;&gt;"",FLOOR(SUM(S965),0.01),"")),""),""),"")</f>
        <v/>
      </c>
      <c r="V965" s="317" t="str" cm="1">
        <f t="array" aca="1" ref="V965" ca="1">IFERROR(IF(AA965&lt;&gt;"ja",_xlfn.IFNA(_xlfn.IFS(AND(P965&lt;&gt;"",R965&lt;&gt;"",RIGHT($N965,6)="tarief",F965="Vergoeding"),SUM(P965)*FLOOR(SUM(R965),0.0001),AND(P965&lt;&gt;"",R965&lt;&gt;"",RIGHT($N965,6)="tarief"),P965*FLOOR(R965,0.01),T965&gt;0,FLOOR(SUM(T965),0.01)),""),""),"")</f>
        <v/>
      </c>
      <c r="W965" s="317" t="str" cm="1">
        <f t="array" aca="1" ref="W965" ca="1">IFERROR(_xlfn.IFS(OR(F965="",LEFT(Methode_Keuze,4)="Geen",Methode_Keuze=""),"",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17" t="str" cm="1">
        <f t="array" aca="1" ref="X965" ca="1">IFERROR(_xlfn.IFS(OR(F965="",LEFT(Methode_Keuze,4)="Geen",Methode_Keuze=""),"",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26"/>
      <c r="Z965" s="319"/>
      <c r="AA965" s="32" t="str" cm="1">
        <f t="array" ref="AA965">IFERROR(IF(INDEX(SubsidieTabel!$AD$1:$AG$12,MATCH($F965,SubsidieTabel!$AD$1:$AD$12,0),IFERROR(MATCH(Methode_Keuze,SubsidieTabel!$AD$1:$AG$1,0),2))&lt;&gt;1=TRUE,"ja",""),"")</f>
        <v/>
      </c>
    </row>
    <row r="966" spans="1:27" x14ac:dyDescent="0.25">
      <c r="A966" s="320"/>
      <c r="B966" s="321" t="str">
        <f>IF(A966&lt;&gt;"",_xlfn.MAXIFS($B$1:B965,$A$1:A965,A966)+1,"")</f>
        <v/>
      </c>
      <c r="C966" s="299"/>
      <c r="D966" s="299"/>
      <c r="E966" s="299"/>
      <c r="F966" s="299"/>
      <c r="G966" s="330"/>
      <c r="H966" s="328"/>
      <c r="I966" s="329"/>
      <c r="J966" s="329"/>
      <c r="K966" s="322"/>
      <c r="L966" s="322"/>
      <c r="M966" s="323" t="str">
        <f>IFERROR(VLOOKUP(H966,Lijsten!$H$1:$I$100,2,0),"")</f>
        <v/>
      </c>
      <c r="N966" s="323" t="str">
        <f ca="1">IFERROR(IF(VLOOKUP(F966,Kostentypen!$A$3:$E$21,3,0)=0,"",IF(OR(F966="Arbeidskosten",F966="Vergoeding"),VLOOKUP(G966,Tb_KostenTypen[],2,0),VLOOKUP(F966,Kostentypen!$A$3:$E$20,3,0))),"")</f>
        <v/>
      </c>
      <c r="O966" s="324"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4"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3"/>
      <c r="R966" s="363"/>
      <c r="S966" s="325"/>
      <c r="T966" s="325"/>
      <c r="U966" s="317" t="str" cm="1">
        <f t="array" aca="1" ref="U966" ca="1">IFERROR(IF(AA966&lt;&gt;"ja",_xlfn.IFNA(_xlfn.IFS(AND(O966&lt;&gt;"",F966&lt;&gt;"",RIGHT($N966,6)="tarief",F966="Vergoeding"),SUM(O966)*FLOOR(SUM(Q966),0.0001),AND(O966&lt;&gt;"",F966&lt;&gt;"",RIGHT($N966,6)="tarief"),SUM(O966)*FLOOR(SUM(Q966),0.01),S966&gt;0,IF(F966&lt;&gt;"",FLOOR(SUM(S966),0.01),"")),""),""),"")</f>
        <v/>
      </c>
      <c r="V966" s="317" t="str" cm="1">
        <f t="array" aca="1" ref="V966" ca="1">IFERROR(IF(AA966&lt;&gt;"ja",_xlfn.IFNA(_xlfn.IFS(AND(P966&lt;&gt;"",R966&lt;&gt;"",RIGHT($N966,6)="tarief",F966="Vergoeding"),SUM(P966)*FLOOR(SUM(R966),0.0001),AND(P966&lt;&gt;"",R966&lt;&gt;"",RIGHT($N966,6)="tarief"),P966*FLOOR(R966,0.01),T966&gt;0,FLOOR(SUM(T966),0.01)),""),""),"")</f>
        <v/>
      </c>
      <c r="W966" s="317" t="str" cm="1">
        <f t="array" aca="1" ref="W966" ca="1">IFERROR(_xlfn.IFS(OR(F966="",LEFT(Methode_Keuze,4)="Geen",Methode_Keuze=""),"",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17" t="str" cm="1">
        <f t="array" aca="1" ref="X966" ca="1">IFERROR(_xlfn.IFS(OR(F966="",LEFT(Methode_Keuze,4)="Geen",Methode_Keuze=""),"",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26"/>
      <c r="Z966" s="319"/>
      <c r="AA966" s="32" t="str" cm="1">
        <f t="array" ref="AA966">IFERROR(IF(INDEX(SubsidieTabel!$AD$1:$AG$12,MATCH($F966,SubsidieTabel!$AD$1:$AD$12,0),IFERROR(MATCH(Methode_Keuze,SubsidieTabel!$AD$1:$AG$1,0),2))&lt;&gt;1=TRUE,"ja",""),"")</f>
        <v/>
      </c>
    </row>
    <row r="967" spans="1:27" x14ac:dyDescent="0.25">
      <c r="A967" s="320"/>
      <c r="B967" s="321" t="str">
        <f>IF(A967&lt;&gt;"",_xlfn.MAXIFS($B$1:B966,$A$1:A966,A967)+1,"")</f>
        <v/>
      </c>
      <c r="C967" s="299"/>
      <c r="D967" s="299"/>
      <c r="E967" s="299"/>
      <c r="F967" s="299"/>
      <c r="G967" s="330"/>
      <c r="H967" s="328"/>
      <c r="I967" s="329"/>
      <c r="J967" s="329"/>
      <c r="K967" s="322"/>
      <c r="L967" s="322"/>
      <c r="M967" s="323" t="str">
        <f>IFERROR(VLOOKUP(H967,Lijsten!$H$1:$I$100,2,0),"")</f>
        <v/>
      </c>
      <c r="N967" s="323" t="str">
        <f ca="1">IFERROR(IF(VLOOKUP(F967,Kostentypen!$A$3:$E$21,3,0)=0,"",IF(OR(F967="Arbeidskosten",F967="Vergoeding"),VLOOKUP(G967,Tb_KostenTypen[],2,0),VLOOKUP(F967,Kostentypen!$A$3:$E$20,3,0))),"")</f>
        <v/>
      </c>
      <c r="O967" s="324"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4"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3"/>
      <c r="R967" s="363"/>
      <c r="S967" s="325"/>
      <c r="T967" s="325"/>
      <c r="U967" s="317" t="str" cm="1">
        <f t="array" aca="1" ref="U967" ca="1">IFERROR(IF(AA967&lt;&gt;"ja",_xlfn.IFNA(_xlfn.IFS(AND(O967&lt;&gt;"",F967&lt;&gt;"",RIGHT($N967,6)="tarief",F967="Vergoeding"),SUM(O967)*FLOOR(SUM(Q967),0.0001),AND(O967&lt;&gt;"",F967&lt;&gt;"",RIGHT($N967,6)="tarief"),SUM(O967)*FLOOR(SUM(Q967),0.01),S967&gt;0,IF(F967&lt;&gt;"",FLOOR(SUM(S967),0.01),"")),""),""),"")</f>
        <v/>
      </c>
      <c r="V967" s="317" t="str" cm="1">
        <f t="array" aca="1" ref="V967" ca="1">IFERROR(IF(AA967&lt;&gt;"ja",_xlfn.IFNA(_xlfn.IFS(AND(P967&lt;&gt;"",R967&lt;&gt;"",RIGHT($N967,6)="tarief",F967="Vergoeding"),SUM(P967)*FLOOR(SUM(R967),0.0001),AND(P967&lt;&gt;"",R967&lt;&gt;"",RIGHT($N967,6)="tarief"),P967*FLOOR(R967,0.01),T967&gt;0,FLOOR(SUM(T967),0.01)),""),""),"")</f>
        <v/>
      </c>
      <c r="W967" s="317" t="str" cm="1">
        <f t="array" aca="1" ref="W967" ca="1">IFERROR(_xlfn.IFS(OR(F967="",LEFT(Methode_Keuze,4)="Geen",Methode_Keuze=""),"",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17" t="str" cm="1">
        <f t="array" aca="1" ref="X967" ca="1">IFERROR(_xlfn.IFS(OR(F967="",LEFT(Methode_Keuze,4)="Geen",Methode_Keuze=""),"",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26"/>
      <c r="Z967" s="319"/>
      <c r="AA967" s="32" t="str" cm="1">
        <f t="array" ref="AA967">IFERROR(IF(INDEX(SubsidieTabel!$AD$1:$AG$12,MATCH($F967,SubsidieTabel!$AD$1:$AD$12,0),IFERROR(MATCH(Methode_Keuze,SubsidieTabel!$AD$1:$AG$1,0),2))&lt;&gt;1=TRUE,"ja",""),"")</f>
        <v/>
      </c>
    </row>
    <row r="968" spans="1:27" x14ac:dyDescent="0.25">
      <c r="A968" s="320"/>
      <c r="B968" s="321" t="str">
        <f>IF(A968&lt;&gt;"",_xlfn.MAXIFS($B$1:B967,$A$1:A967,A968)+1,"")</f>
        <v/>
      </c>
      <c r="C968" s="299"/>
      <c r="D968" s="299"/>
      <c r="E968" s="299"/>
      <c r="F968" s="299"/>
      <c r="G968" s="330"/>
      <c r="H968" s="328"/>
      <c r="I968" s="329"/>
      <c r="J968" s="329"/>
      <c r="K968" s="322"/>
      <c r="L968" s="322"/>
      <c r="M968" s="323" t="str">
        <f>IFERROR(VLOOKUP(H968,Lijsten!$H$1:$I$100,2,0),"")</f>
        <v/>
      </c>
      <c r="N968" s="323" t="str">
        <f ca="1">IFERROR(IF(VLOOKUP(F968,Kostentypen!$A$3:$E$21,3,0)=0,"",IF(OR(F968="Arbeidskosten",F968="Vergoeding"),VLOOKUP(G968,Tb_KostenTypen[],2,0),VLOOKUP(F968,Kostentypen!$A$3:$E$20,3,0))),"")</f>
        <v/>
      </c>
      <c r="O968" s="324"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4"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3"/>
      <c r="R968" s="363"/>
      <c r="S968" s="325"/>
      <c r="T968" s="325"/>
      <c r="U968" s="317" t="str" cm="1">
        <f t="array" aca="1" ref="U968" ca="1">IFERROR(IF(AA968&lt;&gt;"ja",_xlfn.IFNA(_xlfn.IFS(AND(O968&lt;&gt;"",F968&lt;&gt;"",RIGHT($N968,6)="tarief",F968="Vergoeding"),SUM(O968)*FLOOR(SUM(Q968),0.0001),AND(O968&lt;&gt;"",F968&lt;&gt;"",RIGHT($N968,6)="tarief"),SUM(O968)*FLOOR(SUM(Q968),0.01),S968&gt;0,IF(F968&lt;&gt;"",FLOOR(SUM(S968),0.01),"")),""),""),"")</f>
        <v/>
      </c>
      <c r="V968" s="317" t="str" cm="1">
        <f t="array" aca="1" ref="V968" ca="1">IFERROR(IF(AA968&lt;&gt;"ja",_xlfn.IFNA(_xlfn.IFS(AND(P968&lt;&gt;"",R968&lt;&gt;"",RIGHT($N968,6)="tarief",F968="Vergoeding"),SUM(P968)*FLOOR(SUM(R968),0.0001),AND(P968&lt;&gt;"",R968&lt;&gt;"",RIGHT($N968,6)="tarief"),P968*FLOOR(R968,0.01),T968&gt;0,FLOOR(SUM(T968),0.01)),""),""),"")</f>
        <v/>
      </c>
      <c r="W968" s="317" t="str" cm="1">
        <f t="array" aca="1" ref="W968" ca="1">IFERROR(_xlfn.IFS(OR(F968="",LEFT(Methode_Keuze,4)="Geen",Methode_Keuze=""),"",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17" t="str" cm="1">
        <f t="array" aca="1" ref="X968" ca="1">IFERROR(_xlfn.IFS(OR(F968="",LEFT(Methode_Keuze,4)="Geen",Methode_Keuze=""),"",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26"/>
      <c r="Z968" s="319"/>
      <c r="AA968" s="32" t="str" cm="1">
        <f t="array" ref="AA968">IFERROR(IF(INDEX(SubsidieTabel!$AD$1:$AG$12,MATCH($F968,SubsidieTabel!$AD$1:$AD$12,0),IFERROR(MATCH(Methode_Keuze,SubsidieTabel!$AD$1:$AG$1,0),2))&lt;&gt;1=TRUE,"ja",""),"")</f>
        <v/>
      </c>
    </row>
    <row r="969" spans="1:27" x14ac:dyDescent="0.25">
      <c r="A969" s="320"/>
      <c r="B969" s="321" t="str">
        <f>IF(A969&lt;&gt;"",_xlfn.MAXIFS($B$1:B968,$A$1:A968,A969)+1,"")</f>
        <v/>
      </c>
      <c r="C969" s="299"/>
      <c r="D969" s="299"/>
      <c r="E969" s="299"/>
      <c r="F969" s="299"/>
      <c r="G969" s="330"/>
      <c r="H969" s="328"/>
      <c r="I969" s="329"/>
      <c r="J969" s="329"/>
      <c r="K969" s="322"/>
      <c r="L969" s="322"/>
      <c r="M969" s="323" t="str">
        <f>IFERROR(VLOOKUP(H969,Lijsten!$H$1:$I$100,2,0),"")</f>
        <v/>
      </c>
      <c r="N969" s="323" t="str">
        <f ca="1">IFERROR(IF(VLOOKUP(F969,Kostentypen!$A$3:$E$21,3,0)=0,"",IF(OR(F969="Arbeidskosten",F969="Vergoeding"),VLOOKUP(G969,Tb_KostenTypen[],2,0),VLOOKUP(F969,Kostentypen!$A$3:$E$20,3,0))),"")</f>
        <v/>
      </c>
      <c r="O969" s="324"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4"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3"/>
      <c r="R969" s="363"/>
      <c r="S969" s="325"/>
      <c r="T969" s="325"/>
      <c r="U969" s="317" t="str" cm="1">
        <f t="array" aca="1" ref="U969" ca="1">IFERROR(IF(AA969&lt;&gt;"ja",_xlfn.IFNA(_xlfn.IFS(AND(O969&lt;&gt;"",F969&lt;&gt;"",RIGHT($N969,6)="tarief",F969="Vergoeding"),SUM(O969)*FLOOR(SUM(Q969),0.0001),AND(O969&lt;&gt;"",F969&lt;&gt;"",RIGHT($N969,6)="tarief"),SUM(O969)*FLOOR(SUM(Q969),0.01),S969&gt;0,IF(F969&lt;&gt;"",FLOOR(SUM(S969),0.01),"")),""),""),"")</f>
        <v/>
      </c>
      <c r="V969" s="317" t="str" cm="1">
        <f t="array" aca="1" ref="V969" ca="1">IFERROR(IF(AA969&lt;&gt;"ja",_xlfn.IFNA(_xlfn.IFS(AND(P969&lt;&gt;"",R969&lt;&gt;"",RIGHT($N969,6)="tarief",F969="Vergoeding"),SUM(P969)*FLOOR(SUM(R969),0.0001),AND(P969&lt;&gt;"",R969&lt;&gt;"",RIGHT($N969,6)="tarief"),P969*FLOOR(R969,0.01),T969&gt;0,FLOOR(SUM(T969),0.01)),""),""),"")</f>
        <v/>
      </c>
      <c r="W969" s="317" t="str" cm="1">
        <f t="array" aca="1" ref="W969" ca="1">IFERROR(_xlfn.IFS(OR(F969="",LEFT(Methode_Keuze,4)="Geen",Methode_Keuze=""),"",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17" t="str" cm="1">
        <f t="array" aca="1" ref="X969" ca="1">IFERROR(_xlfn.IFS(OR(F969="",LEFT(Methode_Keuze,4)="Geen",Methode_Keuze=""),"",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26"/>
      <c r="Z969" s="319"/>
      <c r="AA969" s="32" t="str" cm="1">
        <f t="array" ref="AA969">IFERROR(IF(INDEX(SubsidieTabel!$AD$1:$AG$12,MATCH($F969,SubsidieTabel!$AD$1:$AD$12,0),IFERROR(MATCH(Methode_Keuze,SubsidieTabel!$AD$1:$AG$1,0),2))&lt;&gt;1=TRUE,"ja",""),"")</f>
        <v/>
      </c>
    </row>
    <row r="970" spans="1:27" x14ac:dyDescent="0.25">
      <c r="A970" s="320"/>
      <c r="B970" s="321" t="str">
        <f>IF(A970&lt;&gt;"",_xlfn.MAXIFS($B$1:B969,$A$1:A969,A970)+1,"")</f>
        <v/>
      </c>
      <c r="C970" s="299"/>
      <c r="D970" s="299"/>
      <c r="E970" s="299"/>
      <c r="F970" s="299"/>
      <c r="G970" s="330"/>
      <c r="H970" s="328"/>
      <c r="I970" s="329"/>
      <c r="J970" s="329"/>
      <c r="K970" s="322"/>
      <c r="L970" s="322"/>
      <c r="M970" s="323" t="str">
        <f>IFERROR(VLOOKUP(H970,Lijsten!$H$1:$I$100,2,0),"")</f>
        <v/>
      </c>
      <c r="N970" s="323" t="str">
        <f ca="1">IFERROR(IF(VLOOKUP(F970,Kostentypen!$A$3:$E$21,3,0)=0,"",IF(OR(F970="Arbeidskosten",F970="Vergoeding"),VLOOKUP(G970,Tb_KostenTypen[],2,0),VLOOKUP(F970,Kostentypen!$A$3:$E$20,3,0))),"")</f>
        <v/>
      </c>
      <c r="O970" s="324"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4"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3"/>
      <c r="R970" s="363"/>
      <c r="S970" s="325"/>
      <c r="T970" s="325"/>
      <c r="U970" s="317" t="str" cm="1">
        <f t="array" aca="1" ref="U970" ca="1">IFERROR(IF(AA970&lt;&gt;"ja",_xlfn.IFNA(_xlfn.IFS(AND(O970&lt;&gt;"",F970&lt;&gt;"",RIGHT($N970,6)="tarief",F970="Vergoeding"),SUM(O970)*FLOOR(SUM(Q970),0.0001),AND(O970&lt;&gt;"",F970&lt;&gt;"",RIGHT($N970,6)="tarief"),SUM(O970)*FLOOR(SUM(Q970),0.01),S970&gt;0,IF(F970&lt;&gt;"",FLOOR(SUM(S970),0.01),"")),""),""),"")</f>
        <v/>
      </c>
      <c r="V970" s="317" t="str" cm="1">
        <f t="array" aca="1" ref="V970" ca="1">IFERROR(IF(AA970&lt;&gt;"ja",_xlfn.IFNA(_xlfn.IFS(AND(P970&lt;&gt;"",R970&lt;&gt;"",RIGHT($N970,6)="tarief",F970="Vergoeding"),SUM(P970)*FLOOR(SUM(R970),0.0001),AND(P970&lt;&gt;"",R970&lt;&gt;"",RIGHT($N970,6)="tarief"),P970*FLOOR(R970,0.01),T970&gt;0,FLOOR(SUM(T970),0.01)),""),""),"")</f>
        <v/>
      </c>
      <c r="W970" s="317" t="str" cm="1">
        <f t="array" aca="1" ref="W970" ca="1">IFERROR(_xlfn.IFS(OR(F970="",LEFT(Methode_Keuze,4)="Geen",Methode_Keuze=""),"",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17" t="str" cm="1">
        <f t="array" aca="1" ref="X970" ca="1">IFERROR(_xlfn.IFS(OR(F970="",LEFT(Methode_Keuze,4)="Geen",Methode_Keuze=""),"",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26"/>
      <c r="Z970" s="319"/>
      <c r="AA970" s="32" t="str" cm="1">
        <f t="array" ref="AA970">IFERROR(IF(INDEX(SubsidieTabel!$AD$1:$AG$12,MATCH($F970,SubsidieTabel!$AD$1:$AD$12,0),IFERROR(MATCH(Methode_Keuze,SubsidieTabel!$AD$1:$AG$1,0),2))&lt;&gt;1=TRUE,"ja",""),"")</f>
        <v/>
      </c>
    </row>
    <row r="971" spans="1:27" x14ac:dyDescent="0.25">
      <c r="A971" s="320"/>
      <c r="B971" s="321" t="str">
        <f>IF(A971&lt;&gt;"",_xlfn.MAXIFS($B$1:B970,$A$1:A970,A971)+1,"")</f>
        <v/>
      </c>
      <c r="C971" s="299"/>
      <c r="D971" s="299"/>
      <c r="E971" s="299"/>
      <c r="F971" s="299"/>
      <c r="G971" s="330"/>
      <c r="H971" s="328"/>
      <c r="I971" s="329"/>
      <c r="J971" s="329"/>
      <c r="K971" s="322"/>
      <c r="L971" s="322"/>
      <c r="M971" s="323" t="str">
        <f>IFERROR(VLOOKUP(H971,Lijsten!$H$1:$I$100,2,0),"")</f>
        <v/>
      </c>
      <c r="N971" s="323" t="str">
        <f ca="1">IFERROR(IF(VLOOKUP(F971,Kostentypen!$A$3:$E$21,3,0)=0,"",IF(OR(F971="Arbeidskosten",F971="Vergoeding"),VLOOKUP(G971,Tb_KostenTypen[],2,0),VLOOKUP(F971,Kostentypen!$A$3:$E$20,3,0))),"")</f>
        <v/>
      </c>
      <c r="O971" s="324"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4"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3"/>
      <c r="R971" s="363"/>
      <c r="S971" s="325"/>
      <c r="T971" s="325"/>
      <c r="U971" s="317" t="str" cm="1">
        <f t="array" aca="1" ref="U971" ca="1">IFERROR(IF(AA971&lt;&gt;"ja",_xlfn.IFNA(_xlfn.IFS(AND(O971&lt;&gt;"",F971&lt;&gt;"",RIGHT($N971,6)="tarief",F971="Vergoeding"),SUM(O971)*FLOOR(SUM(Q971),0.0001),AND(O971&lt;&gt;"",F971&lt;&gt;"",RIGHT($N971,6)="tarief"),SUM(O971)*FLOOR(SUM(Q971),0.01),S971&gt;0,IF(F971&lt;&gt;"",FLOOR(SUM(S971),0.01),"")),""),""),"")</f>
        <v/>
      </c>
      <c r="V971" s="317" t="str" cm="1">
        <f t="array" aca="1" ref="V971" ca="1">IFERROR(IF(AA971&lt;&gt;"ja",_xlfn.IFNA(_xlfn.IFS(AND(P971&lt;&gt;"",R971&lt;&gt;"",RIGHT($N971,6)="tarief",F971="Vergoeding"),SUM(P971)*FLOOR(SUM(R971),0.0001),AND(P971&lt;&gt;"",R971&lt;&gt;"",RIGHT($N971,6)="tarief"),P971*FLOOR(R971,0.01),T971&gt;0,FLOOR(SUM(T971),0.01)),""),""),"")</f>
        <v/>
      </c>
      <c r="W971" s="317" t="str" cm="1">
        <f t="array" aca="1" ref="W971" ca="1">IFERROR(_xlfn.IFS(OR(F971="",LEFT(Methode_Keuze,4)="Geen",Methode_Keuze=""),"",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17" t="str" cm="1">
        <f t="array" aca="1" ref="X971" ca="1">IFERROR(_xlfn.IFS(OR(F971="",LEFT(Methode_Keuze,4)="Geen",Methode_Keuze=""),"",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26"/>
      <c r="Z971" s="319"/>
      <c r="AA971" s="32" t="str" cm="1">
        <f t="array" ref="AA971">IFERROR(IF(INDEX(SubsidieTabel!$AD$1:$AG$12,MATCH($F971,SubsidieTabel!$AD$1:$AD$12,0),IFERROR(MATCH(Methode_Keuze,SubsidieTabel!$AD$1:$AG$1,0),2))&lt;&gt;1=TRUE,"ja",""),"")</f>
        <v/>
      </c>
    </row>
    <row r="972" spans="1:27" x14ac:dyDescent="0.25">
      <c r="A972" s="320"/>
      <c r="B972" s="321" t="str">
        <f>IF(A972&lt;&gt;"",_xlfn.MAXIFS($B$1:B971,$A$1:A971,A972)+1,"")</f>
        <v/>
      </c>
      <c r="C972" s="299"/>
      <c r="D972" s="299"/>
      <c r="E972" s="299"/>
      <c r="F972" s="299"/>
      <c r="G972" s="330"/>
      <c r="H972" s="328"/>
      <c r="I972" s="329"/>
      <c r="J972" s="329"/>
      <c r="K972" s="322"/>
      <c r="L972" s="322"/>
      <c r="M972" s="323" t="str">
        <f>IFERROR(VLOOKUP(H972,Lijsten!$H$1:$I$100,2,0),"")</f>
        <v/>
      </c>
      <c r="N972" s="323" t="str">
        <f ca="1">IFERROR(IF(VLOOKUP(F972,Kostentypen!$A$3:$E$21,3,0)=0,"",IF(OR(F972="Arbeidskosten",F972="Vergoeding"),VLOOKUP(G972,Tb_KostenTypen[],2,0),VLOOKUP(F972,Kostentypen!$A$3:$E$20,3,0))),"")</f>
        <v/>
      </c>
      <c r="O972" s="324"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4"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3"/>
      <c r="R972" s="363"/>
      <c r="S972" s="325"/>
      <c r="T972" s="325"/>
      <c r="U972" s="317" t="str" cm="1">
        <f t="array" aca="1" ref="U972" ca="1">IFERROR(IF(AA972&lt;&gt;"ja",_xlfn.IFNA(_xlfn.IFS(AND(O972&lt;&gt;"",F972&lt;&gt;"",RIGHT($N972,6)="tarief",F972="Vergoeding"),SUM(O972)*FLOOR(SUM(Q972),0.0001),AND(O972&lt;&gt;"",F972&lt;&gt;"",RIGHT($N972,6)="tarief"),SUM(O972)*FLOOR(SUM(Q972),0.01),S972&gt;0,IF(F972&lt;&gt;"",FLOOR(SUM(S972),0.01),"")),""),""),"")</f>
        <v/>
      </c>
      <c r="V972" s="317" t="str" cm="1">
        <f t="array" aca="1" ref="V972" ca="1">IFERROR(IF(AA972&lt;&gt;"ja",_xlfn.IFNA(_xlfn.IFS(AND(P972&lt;&gt;"",R972&lt;&gt;"",RIGHT($N972,6)="tarief",F972="Vergoeding"),SUM(P972)*FLOOR(SUM(R972),0.0001),AND(P972&lt;&gt;"",R972&lt;&gt;"",RIGHT($N972,6)="tarief"),P972*FLOOR(R972,0.01),T972&gt;0,FLOOR(SUM(T972),0.01)),""),""),"")</f>
        <v/>
      </c>
      <c r="W972" s="317" t="str" cm="1">
        <f t="array" aca="1" ref="W972" ca="1">IFERROR(_xlfn.IFS(OR(F972="",LEFT(Methode_Keuze,4)="Geen",Methode_Keuze=""),"",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17" t="str" cm="1">
        <f t="array" aca="1" ref="X972" ca="1">IFERROR(_xlfn.IFS(OR(F972="",LEFT(Methode_Keuze,4)="Geen",Methode_Keuze=""),"",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26"/>
      <c r="Z972" s="319"/>
      <c r="AA972" s="32" t="str" cm="1">
        <f t="array" ref="AA972">IFERROR(IF(INDEX(SubsidieTabel!$AD$1:$AG$12,MATCH($F972,SubsidieTabel!$AD$1:$AD$12,0),IFERROR(MATCH(Methode_Keuze,SubsidieTabel!$AD$1:$AG$1,0),2))&lt;&gt;1=TRUE,"ja",""),"")</f>
        <v/>
      </c>
    </row>
    <row r="973" spans="1:27" x14ac:dyDescent="0.25">
      <c r="A973" s="320"/>
      <c r="B973" s="321" t="str">
        <f>IF(A973&lt;&gt;"",_xlfn.MAXIFS($B$1:B972,$A$1:A972,A973)+1,"")</f>
        <v/>
      </c>
      <c r="C973" s="299"/>
      <c r="D973" s="299"/>
      <c r="E973" s="299"/>
      <c r="F973" s="299"/>
      <c r="G973" s="330"/>
      <c r="H973" s="328"/>
      <c r="I973" s="329"/>
      <c r="J973" s="329"/>
      <c r="K973" s="322"/>
      <c r="L973" s="322"/>
      <c r="M973" s="323" t="str">
        <f>IFERROR(VLOOKUP(H973,Lijsten!$H$1:$I$100,2,0),"")</f>
        <v/>
      </c>
      <c r="N973" s="323" t="str">
        <f ca="1">IFERROR(IF(VLOOKUP(F973,Kostentypen!$A$3:$E$21,3,0)=0,"",IF(OR(F973="Arbeidskosten",F973="Vergoeding"),VLOOKUP(G973,Tb_KostenTypen[],2,0),VLOOKUP(F973,Kostentypen!$A$3:$E$20,3,0))),"")</f>
        <v/>
      </c>
      <c r="O973" s="324"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4"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3"/>
      <c r="R973" s="363"/>
      <c r="S973" s="325"/>
      <c r="T973" s="325"/>
      <c r="U973" s="317" t="str" cm="1">
        <f t="array" aca="1" ref="U973" ca="1">IFERROR(IF(AA973&lt;&gt;"ja",_xlfn.IFNA(_xlfn.IFS(AND(O973&lt;&gt;"",F973&lt;&gt;"",RIGHT($N973,6)="tarief",F973="Vergoeding"),SUM(O973)*FLOOR(SUM(Q973),0.0001),AND(O973&lt;&gt;"",F973&lt;&gt;"",RIGHT($N973,6)="tarief"),SUM(O973)*FLOOR(SUM(Q973),0.01),S973&gt;0,IF(F973&lt;&gt;"",FLOOR(SUM(S973),0.01),"")),""),""),"")</f>
        <v/>
      </c>
      <c r="V973" s="317" t="str" cm="1">
        <f t="array" aca="1" ref="V973" ca="1">IFERROR(IF(AA973&lt;&gt;"ja",_xlfn.IFNA(_xlfn.IFS(AND(P973&lt;&gt;"",R973&lt;&gt;"",RIGHT($N973,6)="tarief",F973="Vergoeding"),SUM(P973)*FLOOR(SUM(R973),0.0001),AND(P973&lt;&gt;"",R973&lt;&gt;"",RIGHT($N973,6)="tarief"),P973*FLOOR(R973,0.01),T973&gt;0,FLOOR(SUM(T973),0.01)),""),""),"")</f>
        <v/>
      </c>
      <c r="W973" s="317" t="str" cm="1">
        <f t="array" aca="1" ref="W973" ca="1">IFERROR(_xlfn.IFS(OR(F973="",LEFT(Methode_Keuze,4)="Geen",Methode_Keuze=""),"",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17" t="str" cm="1">
        <f t="array" aca="1" ref="X973" ca="1">IFERROR(_xlfn.IFS(OR(F973="",LEFT(Methode_Keuze,4)="Geen",Methode_Keuze=""),"",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26"/>
      <c r="Z973" s="319"/>
      <c r="AA973" s="32" t="str" cm="1">
        <f t="array" ref="AA973">IFERROR(IF(INDEX(SubsidieTabel!$AD$1:$AG$12,MATCH($F973,SubsidieTabel!$AD$1:$AD$12,0),IFERROR(MATCH(Methode_Keuze,SubsidieTabel!$AD$1:$AG$1,0),2))&lt;&gt;1=TRUE,"ja",""),"")</f>
        <v/>
      </c>
    </row>
    <row r="974" spans="1:27" x14ac:dyDescent="0.25">
      <c r="A974" s="320"/>
      <c r="B974" s="321" t="str">
        <f>IF(A974&lt;&gt;"",_xlfn.MAXIFS($B$1:B973,$A$1:A973,A974)+1,"")</f>
        <v/>
      </c>
      <c r="C974" s="299"/>
      <c r="D974" s="299"/>
      <c r="E974" s="299"/>
      <c r="F974" s="299"/>
      <c r="G974" s="330"/>
      <c r="H974" s="328"/>
      <c r="I974" s="329"/>
      <c r="J974" s="329"/>
      <c r="K974" s="322"/>
      <c r="L974" s="322"/>
      <c r="M974" s="323" t="str">
        <f>IFERROR(VLOOKUP(H974,Lijsten!$H$1:$I$100,2,0),"")</f>
        <v/>
      </c>
      <c r="N974" s="323" t="str">
        <f ca="1">IFERROR(IF(VLOOKUP(F974,Kostentypen!$A$3:$E$21,3,0)=0,"",IF(OR(F974="Arbeidskosten",F974="Vergoeding"),VLOOKUP(G974,Tb_KostenTypen[],2,0),VLOOKUP(F974,Kostentypen!$A$3:$E$20,3,0))),"")</f>
        <v/>
      </c>
      <c r="O974" s="324"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4"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3"/>
      <c r="R974" s="363"/>
      <c r="S974" s="325"/>
      <c r="T974" s="325"/>
      <c r="U974" s="317" t="str" cm="1">
        <f t="array" aca="1" ref="U974" ca="1">IFERROR(IF(AA974&lt;&gt;"ja",_xlfn.IFNA(_xlfn.IFS(AND(O974&lt;&gt;"",F974&lt;&gt;"",RIGHT($N974,6)="tarief",F974="Vergoeding"),SUM(O974)*FLOOR(SUM(Q974),0.0001),AND(O974&lt;&gt;"",F974&lt;&gt;"",RIGHT($N974,6)="tarief"),SUM(O974)*FLOOR(SUM(Q974),0.01),S974&gt;0,IF(F974&lt;&gt;"",FLOOR(SUM(S974),0.01),"")),""),""),"")</f>
        <v/>
      </c>
      <c r="V974" s="317" t="str" cm="1">
        <f t="array" aca="1" ref="V974" ca="1">IFERROR(IF(AA974&lt;&gt;"ja",_xlfn.IFNA(_xlfn.IFS(AND(P974&lt;&gt;"",R974&lt;&gt;"",RIGHT($N974,6)="tarief",F974="Vergoeding"),SUM(P974)*FLOOR(SUM(R974),0.0001),AND(P974&lt;&gt;"",R974&lt;&gt;"",RIGHT($N974,6)="tarief"),P974*FLOOR(R974,0.01),T974&gt;0,FLOOR(SUM(T974),0.01)),""),""),"")</f>
        <v/>
      </c>
      <c r="W974" s="317" t="str" cm="1">
        <f t="array" aca="1" ref="W974" ca="1">IFERROR(_xlfn.IFS(OR(F974="",LEFT(Methode_Keuze,4)="Geen",Methode_Keuze=""),"",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17" t="str" cm="1">
        <f t="array" aca="1" ref="X974" ca="1">IFERROR(_xlfn.IFS(OR(F974="",LEFT(Methode_Keuze,4)="Geen",Methode_Keuze=""),"",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26"/>
      <c r="Z974" s="319"/>
      <c r="AA974" s="32" t="str" cm="1">
        <f t="array" ref="AA974">IFERROR(IF(INDEX(SubsidieTabel!$AD$1:$AG$12,MATCH($F974,SubsidieTabel!$AD$1:$AD$12,0),IFERROR(MATCH(Methode_Keuze,SubsidieTabel!$AD$1:$AG$1,0),2))&lt;&gt;1=TRUE,"ja",""),"")</f>
        <v/>
      </c>
    </row>
    <row r="975" spans="1:27" x14ac:dyDescent="0.25">
      <c r="A975" s="320"/>
      <c r="B975" s="321" t="str">
        <f>IF(A975&lt;&gt;"",_xlfn.MAXIFS($B$1:B974,$A$1:A974,A975)+1,"")</f>
        <v/>
      </c>
      <c r="C975" s="299"/>
      <c r="D975" s="299"/>
      <c r="E975" s="299"/>
      <c r="F975" s="299"/>
      <c r="G975" s="330"/>
      <c r="H975" s="328"/>
      <c r="I975" s="329"/>
      <c r="J975" s="329"/>
      <c r="K975" s="322"/>
      <c r="L975" s="322"/>
      <c r="M975" s="323" t="str">
        <f>IFERROR(VLOOKUP(H975,Lijsten!$H$1:$I$100,2,0),"")</f>
        <v/>
      </c>
      <c r="N975" s="323" t="str">
        <f ca="1">IFERROR(IF(VLOOKUP(F975,Kostentypen!$A$3:$E$21,3,0)=0,"",IF(OR(F975="Arbeidskosten",F975="Vergoeding"),VLOOKUP(G975,Tb_KostenTypen[],2,0),VLOOKUP(F975,Kostentypen!$A$3:$E$20,3,0))),"")</f>
        <v/>
      </c>
      <c r="O975" s="324"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4"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3"/>
      <c r="R975" s="363"/>
      <c r="S975" s="325"/>
      <c r="T975" s="325"/>
      <c r="U975" s="317" t="str" cm="1">
        <f t="array" aca="1" ref="U975" ca="1">IFERROR(IF(AA975&lt;&gt;"ja",_xlfn.IFNA(_xlfn.IFS(AND(O975&lt;&gt;"",F975&lt;&gt;"",RIGHT($N975,6)="tarief",F975="Vergoeding"),SUM(O975)*FLOOR(SUM(Q975),0.0001),AND(O975&lt;&gt;"",F975&lt;&gt;"",RIGHT($N975,6)="tarief"),SUM(O975)*FLOOR(SUM(Q975),0.01),S975&gt;0,IF(F975&lt;&gt;"",FLOOR(SUM(S975),0.01),"")),""),""),"")</f>
        <v/>
      </c>
      <c r="V975" s="317" t="str" cm="1">
        <f t="array" aca="1" ref="V975" ca="1">IFERROR(IF(AA975&lt;&gt;"ja",_xlfn.IFNA(_xlfn.IFS(AND(P975&lt;&gt;"",R975&lt;&gt;"",RIGHT($N975,6)="tarief",F975="Vergoeding"),SUM(P975)*FLOOR(SUM(R975),0.0001),AND(P975&lt;&gt;"",R975&lt;&gt;"",RIGHT($N975,6)="tarief"),P975*FLOOR(R975,0.01),T975&gt;0,FLOOR(SUM(T975),0.01)),""),""),"")</f>
        <v/>
      </c>
      <c r="W975" s="317" t="str" cm="1">
        <f t="array" aca="1" ref="W975" ca="1">IFERROR(_xlfn.IFS(OR(F975="",LEFT(Methode_Keuze,4)="Geen",Methode_Keuze=""),"",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17" t="str" cm="1">
        <f t="array" aca="1" ref="X975" ca="1">IFERROR(_xlfn.IFS(OR(F975="",LEFT(Methode_Keuze,4)="Geen",Methode_Keuze=""),"",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26"/>
      <c r="Z975" s="319"/>
      <c r="AA975" s="32" t="str" cm="1">
        <f t="array" ref="AA975">IFERROR(IF(INDEX(SubsidieTabel!$AD$1:$AG$12,MATCH($F975,SubsidieTabel!$AD$1:$AD$12,0),IFERROR(MATCH(Methode_Keuze,SubsidieTabel!$AD$1:$AG$1,0),2))&lt;&gt;1=TRUE,"ja",""),"")</f>
        <v/>
      </c>
    </row>
    <row r="976" spans="1:27" x14ac:dyDescent="0.25">
      <c r="A976" s="320"/>
      <c r="B976" s="321" t="str">
        <f>IF(A976&lt;&gt;"",_xlfn.MAXIFS($B$1:B975,$A$1:A975,A976)+1,"")</f>
        <v/>
      </c>
      <c r="C976" s="299"/>
      <c r="D976" s="299"/>
      <c r="E976" s="299"/>
      <c r="F976" s="299"/>
      <c r="G976" s="330"/>
      <c r="H976" s="328"/>
      <c r="I976" s="329"/>
      <c r="J976" s="329"/>
      <c r="K976" s="322"/>
      <c r="L976" s="322"/>
      <c r="M976" s="323" t="str">
        <f>IFERROR(VLOOKUP(H976,Lijsten!$H$1:$I$100,2,0),"")</f>
        <v/>
      </c>
      <c r="N976" s="323" t="str">
        <f ca="1">IFERROR(IF(VLOOKUP(F976,Kostentypen!$A$3:$E$21,3,0)=0,"",IF(OR(F976="Arbeidskosten",F976="Vergoeding"),VLOOKUP(G976,Tb_KostenTypen[],2,0),VLOOKUP(F976,Kostentypen!$A$3:$E$20,3,0))),"")</f>
        <v/>
      </c>
      <c r="O976" s="324"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4"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3"/>
      <c r="R976" s="363"/>
      <c r="S976" s="325"/>
      <c r="T976" s="325"/>
      <c r="U976" s="317" t="str" cm="1">
        <f t="array" aca="1" ref="U976" ca="1">IFERROR(IF(AA976&lt;&gt;"ja",_xlfn.IFNA(_xlfn.IFS(AND(O976&lt;&gt;"",F976&lt;&gt;"",RIGHT($N976,6)="tarief",F976="Vergoeding"),SUM(O976)*FLOOR(SUM(Q976),0.0001),AND(O976&lt;&gt;"",F976&lt;&gt;"",RIGHT($N976,6)="tarief"),SUM(O976)*FLOOR(SUM(Q976),0.01),S976&gt;0,IF(F976&lt;&gt;"",FLOOR(SUM(S976),0.01),"")),""),""),"")</f>
        <v/>
      </c>
      <c r="V976" s="317" t="str" cm="1">
        <f t="array" aca="1" ref="V976" ca="1">IFERROR(IF(AA976&lt;&gt;"ja",_xlfn.IFNA(_xlfn.IFS(AND(P976&lt;&gt;"",R976&lt;&gt;"",RIGHT($N976,6)="tarief",F976="Vergoeding"),SUM(P976)*FLOOR(SUM(R976),0.0001),AND(P976&lt;&gt;"",R976&lt;&gt;"",RIGHT($N976,6)="tarief"),P976*FLOOR(R976,0.01),T976&gt;0,FLOOR(SUM(T976),0.01)),""),""),"")</f>
        <v/>
      </c>
      <c r="W976" s="317" t="str" cm="1">
        <f t="array" aca="1" ref="W976" ca="1">IFERROR(_xlfn.IFS(OR(F976="",LEFT(Methode_Keuze,4)="Geen",Methode_Keuze=""),"",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17" t="str" cm="1">
        <f t="array" aca="1" ref="X976" ca="1">IFERROR(_xlfn.IFS(OR(F976="",LEFT(Methode_Keuze,4)="Geen",Methode_Keuze=""),"",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26"/>
      <c r="Z976" s="319"/>
      <c r="AA976" s="32" t="str" cm="1">
        <f t="array" ref="AA976">IFERROR(IF(INDEX(SubsidieTabel!$AD$1:$AG$12,MATCH($F976,SubsidieTabel!$AD$1:$AD$12,0),IFERROR(MATCH(Methode_Keuze,SubsidieTabel!$AD$1:$AG$1,0),2))&lt;&gt;1=TRUE,"ja",""),"")</f>
        <v/>
      </c>
    </row>
    <row r="977" spans="1:27" x14ac:dyDescent="0.25">
      <c r="A977" s="320"/>
      <c r="B977" s="321" t="str">
        <f>IF(A977&lt;&gt;"",_xlfn.MAXIFS($B$1:B976,$A$1:A976,A977)+1,"")</f>
        <v/>
      </c>
      <c r="C977" s="299"/>
      <c r="D977" s="299"/>
      <c r="E977" s="299"/>
      <c r="F977" s="299"/>
      <c r="G977" s="330"/>
      <c r="H977" s="328"/>
      <c r="I977" s="329"/>
      <c r="J977" s="329"/>
      <c r="K977" s="322"/>
      <c r="L977" s="322"/>
      <c r="M977" s="323" t="str">
        <f>IFERROR(VLOOKUP(H977,Lijsten!$H$1:$I$100,2,0),"")</f>
        <v/>
      </c>
      <c r="N977" s="323" t="str">
        <f ca="1">IFERROR(IF(VLOOKUP(F977,Kostentypen!$A$3:$E$21,3,0)=0,"",IF(OR(F977="Arbeidskosten",F977="Vergoeding"),VLOOKUP(G977,Tb_KostenTypen[],2,0),VLOOKUP(F977,Kostentypen!$A$3:$E$20,3,0))),"")</f>
        <v/>
      </c>
      <c r="O977" s="324"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4"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3"/>
      <c r="R977" s="363"/>
      <c r="S977" s="325"/>
      <c r="T977" s="325"/>
      <c r="U977" s="317" t="str" cm="1">
        <f t="array" aca="1" ref="U977" ca="1">IFERROR(IF(AA977&lt;&gt;"ja",_xlfn.IFNA(_xlfn.IFS(AND(O977&lt;&gt;"",F977&lt;&gt;"",RIGHT($N977,6)="tarief",F977="Vergoeding"),SUM(O977)*FLOOR(SUM(Q977),0.0001),AND(O977&lt;&gt;"",F977&lt;&gt;"",RIGHT($N977,6)="tarief"),SUM(O977)*FLOOR(SUM(Q977),0.01),S977&gt;0,IF(F977&lt;&gt;"",FLOOR(SUM(S977),0.01),"")),""),""),"")</f>
        <v/>
      </c>
      <c r="V977" s="317" t="str" cm="1">
        <f t="array" aca="1" ref="V977" ca="1">IFERROR(IF(AA977&lt;&gt;"ja",_xlfn.IFNA(_xlfn.IFS(AND(P977&lt;&gt;"",R977&lt;&gt;"",RIGHT($N977,6)="tarief",F977="Vergoeding"),SUM(P977)*FLOOR(SUM(R977),0.0001),AND(P977&lt;&gt;"",R977&lt;&gt;"",RIGHT($N977,6)="tarief"),P977*FLOOR(R977,0.01),T977&gt;0,FLOOR(SUM(T977),0.01)),""),""),"")</f>
        <v/>
      </c>
      <c r="W977" s="317" t="str" cm="1">
        <f t="array" aca="1" ref="W977" ca="1">IFERROR(_xlfn.IFS(OR(F977="",LEFT(Methode_Keuze,4)="Geen",Methode_Keuze=""),"",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17" t="str" cm="1">
        <f t="array" aca="1" ref="X977" ca="1">IFERROR(_xlfn.IFS(OR(F977="",LEFT(Methode_Keuze,4)="Geen",Methode_Keuze=""),"",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26"/>
      <c r="Z977" s="319"/>
      <c r="AA977" s="32" t="str" cm="1">
        <f t="array" ref="AA977">IFERROR(IF(INDEX(SubsidieTabel!$AD$1:$AG$12,MATCH($F977,SubsidieTabel!$AD$1:$AD$12,0),IFERROR(MATCH(Methode_Keuze,SubsidieTabel!$AD$1:$AG$1,0),2))&lt;&gt;1=TRUE,"ja",""),"")</f>
        <v/>
      </c>
    </row>
    <row r="978" spans="1:27" x14ac:dyDescent="0.25">
      <c r="A978" s="320"/>
      <c r="B978" s="321" t="str">
        <f>IF(A978&lt;&gt;"",_xlfn.MAXIFS($B$1:B977,$A$1:A977,A978)+1,"")</f>
        <v/>
      </c>
      <c r="C978" s="299"/>
      <c r="D978" s="299"/>
      <c r="E978" s="299"/>
      <c r="F978" s="299"/>
      <c r="G978" s="330"/>
      <c r="H978" s="328"/>
      <c r="I978" s="329"/>
      <c r="J978" s="329"/>
      <c r="K978" s="322"/>
      <c r="L978" s="322"/>
      <c r="M978" s="323" t="str">
        <f>IFERROR(VLOOKUP(H978,Lijsten!$H$1:$I$100,2,0),"")</f>
        <v/>
      </c>
      <c r="N978" s="323" t="str">
        <f ca="1">IFERROR(IF(VLOOKUP(F978,Kostentypen!$A$3:$E$21,3,0)=0,"",IF(OR(F978="Arbeidskosten",F978="Vergoeding"),VLOOKUP(G978,Tb_KostenTypen[],2,0),VLOOKUP(F978,Kostentypen!$A$3:$E$20,3,0))),"")</f>
        <v/>
      </c>
      <c r="O978" s="324"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4"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3"/>
      <c r="R978" s="363"/>
      <c r="S978" s="325"/>
      <c r="T978" s="325"/>
      <c r="U978" s="317" t="str" cm="1">
        <f t="array" aca="1" ref="U978" ca="1">IFERROR(IF(AA978&lt;&gt;"ja",_xlfn.IFNA(_xlfn.IFS(AND(O978&lt;&gt;"",F978&lt;&gt;"",RIGHT($N978,6)="tarief",F978="Vergoeding"),SUM(O978)*FLOOR(SUM(Q978),0.0001),AND(O978&lt;&gt;"",F978&lt;&gt;"",RIGHT($N978,6)="tarief"),SUM(O978)*FLOOR(SUM(Q978),0.01),S978&gt;0,IF(F978&lt;&gt;"",FLOOR(SUM(S978),0.01),"")),""),""),"")</f>
        <v/>
      </c>
      <c r="V978" s="317" t="str" cm="1">
        <f t="array" aca="1" ref="V978" ca="1">IFERROR(IF(AA978&lt;&gt;"ja",_xlfn.IFNA(_xlfn.IFS(AND(P978&lt;&gt;"",R978&lt;&gt;"",RIGHT($N978,6)="tarief",F978="Vergoeding"),SUM(P978)*FLOOR(SUM(R978),0.0001),AND(P978&lt;&gt;"",R978&lt;&gt;"",RIGHT($N978,6)="tarief"),P978*FLOOR(R978,0.01),T978&gt;0,FLOOR(SUM(T978),0.01)),""),""),"")</f>
        <v/>
      </c>
      <c r="W978" s="317" t="str" cm="1">
        <f t="array" aca="1" ref="W978" ca="1">IFERROR(_xlfn.IFS(OR(F978="",LEFT(Methode_Keuze,4)="Geen",Methode_Keuze=""),"",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17" t="str" cm="1">
        <f t="array" aca="1" ref="X978" ca="1">IFERROR(_xlfn.IFS(OR(F978="",LEFT(Methode_Keuze,4)="Geen",Methode_Keuze=""),"",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26"/>
      <c r="Z978" s="319"/>
      <c r="AA978" s="32" t="str" cm="1">
        <f t="array" ref="AA978">IFERROR(IF(INDEX(SubsidieTabel!$AD$1:$AG$12,MATCH($F978,SubsidieTabel!$AD$1:$AD$12,0),IFERROR(MATCH(Methode_Keuze,SubsidieTabel!$AD$1:$AG$1,0),2))&lt;&gt;1=TRUE,"ja",""),"")</f>
        <v/>
      </c>
    </row>
    <row r="979" spans="1:27" x14ac:dyDescent="0.25">
      <c r="A979" s="320"/>
      <c r="B979" s="321" t="str">
        <f>IF(A979&lt;&gt;"",_xlfn.MAXIFS($B$1:B978,$A$1:A978,A979)+1,"")</f>
        <v/>
      </c>
      <c r="C979" s="299"/>
      <c r="D979" s="299"/>
      <c r="E979" s="299"/>
      <c r="F979" s="299"/>
      <c r="G979" s="330"/>
      <c r="H979" s="328"/>
      <c r="I979" s="329"/>
      <c r="J979" s="329"/>
      <c r="K979" s="322"/>
      <c r="L979" s="322"/>
      <c r="M979" s="323" t="str">
        <f>IFERROR(VLOOKUP(H979,Lijsten!$H$1:$I$100,2,0),"")</f>
        <v/>
      </c>
      <c r="N979" s="323" t="str">
        <f ca="1">IFERROR(IF(VLOOKUP(F979,Kostentypen!$A$3:$E$21,3,0)=0,"",IF(OR(F979="Arbeidskosten",F979="Vergoeding"),VLOOKUP(G979,Tb_KostenTypen[],2,0),VLOOKUP(F979,Kostentypen!$A$3:$E$20,3,0))),"")</f>
        <v/>
      </c>
      <c r="O979" s="324"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4"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3"/>
      <c r="R979" s="363"/>
      <c r="S979" s="325"/>
      <c r="T979" s="325"/>
      <c r="U979" s="317" t="str" cm="1">
        <f t="array" aca="1" ref="U979" ca="1">IFERROR(IF(AA979&lt;&gt;"ja",_xlfn.IFNA(_xlfn.IFS(AND(O979&lt;&gt;"",F979&lt;&gt;"",RIGHT($N979,6)="tarief",F979="Vergoeding"),SUM(O979)*FLOOR(SUM(Q979),0.0001),AND(O979&lt;&gt;"",F979&lt;&gt;"",RIGHT($N979,6)="tarief"),SUM(O979)*FLOOR(SUM(Q979),0.01),S979&gt;0,IF(F979&lt;&gt;"",FLOOR(SUM(S979),0.01),"")),""),""),"")</f>
        <v/>
      </c>
      <c r="V979" s="317" t="str" cm="1">
        <f t="array" aca="1" ref="V979" ca="1">IFERROR(IF(AA979&lt;&gt;"ja",_xlfn.IFNA(_xlfn.IFS(AND(P979&lt;&gt;"",R979&lt;&gt;"",RIGHT($N979,6)="tarief",F979="Vergoeding"),SUM(P979)*FLOOR(SUM(R979),0.0001),AND(P979&lt;&gt;"",R979&lt;&gt;"",RIGHT($N979,6)="tarief"),P979*FLOOR(R979,0.01),T979&gt;0,FLOOR(SUM(T979),0.01)),""),""),"")</f>
        <v/>
      </c>
      <c r="W979" s="317" t="str" cm="1">
        <f t="array" aca="1" ref="W979" ca="1">IFERROR(_xlfn.IFS(OR(F979="",LEFT(Methode_Keuze,4)="Geen",Methode_Keuze=""),"",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17" t="str" cm="1">
        <f t="array" aca="1" ref="X979" ca="1">IFERROR(_xlfn.IFS(OR(F979="",LEFT(Methode_Keuze,4)="Geen",Methode_Keuze=""),"",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26"/>
      <c r="Z979" s="319"/>
      <c r="AA979" s="32" t="str" cm="1">
        <f t="array" ref="AA979">IFERROR(IF(INDEX(SubsidieTabel!$AD$1:$AG$12,MATCH($F979,SubsidieTabel!$AD$1:$AD$12,0),IFERROR(MATCH(Methode_Keuze,SubsidieTabel!$AD$1:$AG$1,0),2))&lt;&gt;1=TRUE,"ja",""),"")</f>
        <v/>
      </c>
    </row>
    <row r="980" spans="1:27" x14ac:dyDescent="0.25">
      <c r="A980" s="320"/>
      <c r="B980" s="321" t="str">
        <f>IF(A980&lt;&gt;"",_xlfn.MAXIFS($B$1:B979,$A$1:A979,A980)+1,"")</f>
        <v/>
      </c>
      <c r="C980" s="299"/>
      <c r="D980" s="299"/>
      <c r="E980" s="299"/>
      <c r="F980" s="299"/>
      <c r="G980" s="330"/>
      <c r="H980" s="328"/>
      <c r="I980" s="329"/>
      <c r="J980" s="329"/>
      <c r="K980" s="322"/>
      <c r="L980" s="322"/>
      <c r="M980" s="323" t="str">
        <f>IFERROR(VLOOKUP(H980,Lijsten!$H$1:$I$100,2,0),"")</f>
        <v/>
      </c>
      <c r="N980" s="323" t="str">
        <f ca="1">IFERROR(IF(VLOOKUP(F980,Kostentypen!$A$3:$E$21,3,0)=0,"",IF(OR(F980="Arbeidskosten",F980="Vergoeding"),VLOOKUP(G980,Tb_KostenTypen[],2,0),VLOOKUP(F980,Kostentypen!$A$3:$E$20,3,0))),"")</f>
        <v/>
      </c>
      <c r="O980" s="324"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4"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3"/>
      <c r="R980" s="363"/>
      <c r="S980" s="325"/>
      <c r="T980" s="325"/>
      <c r="U980" s="317" t="str" cm="1">
        <f t="array" aca="1" ref="U980" ca="1">IFERROR(IF(AA980&lt;&gt;"ja",_xlfn.IFNA(_xlfn.IFS(AND(O980&lt;&gt;"",F980&lt;&gt;"",RIGHT($N980,6)="tarief",F980="Vergoeding"),SUM(O980)*FLOOR(SUM(Q980),0.0001),AND(O980&lt;&gt;"",F980&lt;&gt;"",RIGHT($N980,6)="tarief"),SUM(O980)*FLOOR(SUM(Q980),0.01),S980&gt;0,IF(F980&lt;&gt;"",FLOOR(SUM(S980),0.01),"")),""),""),"")</f>
        <v/>
      </c>
      <c r="V980" s="317" t="str" cm="1">
        <f t="array" aca="1" ref="V980" ca="1">IFERROR(IF(AA980&lt;&gt;"ja",_xlfn.IFNA(_xlfn.IFS(AND(P980&lt;&gt;"",R980&lt;&gt;"",RIGHT($N980,6)="tarief",F980="Vergoeding"),SUM(P980)*FLOOR(SUM(R980),0.0001),AND(P980&lt;&gt;"",R980&lt;&gt;"",RIGHT($N980,6)="tarief"),P980*FLOOR(R980,0.01),T980&gt;0,FLOOR(SUM(T980),0.01)),""),""),"")</f>
        <v/>
      </c>
      <c r="W980" s="317" t="str" cm="1">
        <f t="array" aca="1" ref="W980" ca="1">IFERROR(_xlfn.IFS(OR(F980="",LEFT(Methode_Keuze,4)="Geen",Methode_Keuze=""),"",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17" t="str" cm="1">
        <f t="array" aca="1" ref="X980" ca="1">IFERROR(_xlfn.IFS(OR(F980="",LEFT(Methode_Keuze,4)="Geen",Methode_Keuze=""),"",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26"/>
      <c r="Z980" s="319"/>
      <c r="AA980" s="32" t="str" cm="1">
        <f t="array" ref="AA980">IFERROR(IF(INDEX(SubsidieTabel!$AD$1:$AG$12,MATCH($F980,SubsidieTabel!$AD$1:$AD$12,0),IFERROR(MATCH(Methode_Keuze,SubsidieTabel!$AD$1:$AG$1,0),2))&lt;&gt;1=TRUE,"ja",""),"")</f>
        <v/>
      </c>
    </row>
    <row r="981" spans="1:27" x14ac:dyDescent="0.25">
      <c r="A981" s="320"/>
      <c r="B981" s="321" t="str">
        <f>IF(A981&lt;&gt;"",_xlfn.MAXIFS($B$1:B980,$A$1:A980,A981)+1,"")</f>
        <v/>
      </c>
      <c r="C981" s="299"/>
      <c r="D981" s="299"/>
      <c r="E981" s="299"/>
      <c r="F981" s="299"/>
      <c r="G981" s="330"/>
      <c r="H981" s="328"/>
      <c r="I981" s="329"/>
      <c r="J981" s="329"/>
      <c r="K981" s="322"/>
      <c r="L981" s="322"/>
      <c r="M981" s="323" t="str">
        <f>IFERROR(VLOOKUP(H981,Lijsten!$H$1:$I$100,2,0),"")</f>
        <v/>
      </c>
      <c r="N981" s="323" t="str">
        <f ca="1">IFERROR(IF(VLOOKUP(F981,Kostentypen!$A$3:$E$21,3,0)=0,"",IF(OR(F981="Arbeidskosten",F981="Vergoeding"),VLOOKUP(G981,Tb_KostenTypen[],2,0),VLOOKUP(F981,Kostentypen!$A$3:$E$20,3,0))),"")</f>
        <v/>
      </c>
      <c r="O981" s="324"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4"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3"/>
      <c r="R981" s="363"/>
      <c r="S981" s="325"/>
      <c r="T981" s="325"/>
      <c r="U981" s="317" t="str" cm="1">
        <f t="array" aca="1" ref="U981" ca="1">IFERROR(IF(AA981&lt;&gt;"ja",_xlfn.IFNA(_xlfn.IFS(AND(O981&lt;&gt;"",F981&lt;&gt;"",RIGHT($N981,6)="tarief",F981="Vergoeding"),SUM(O981)*FLOOR(SUM(Q981),0.0001),AND(O981&lt;&gt;"",F981&lt;&gt;"",RIGHT($N981,6)="tarief"),SUM(O981)*FLOOR(SUM(Q981),0.01),S981&gt;0,IF(F981&lt;&gt;"",FLOOR(SUM(S981),0.01),"")),""),""),"")</f>
        <v/>
      </c>
      <c r="V981" s="317" t="str" cm="1">
        <f t="array" aca="1" ref="V981" ca="1">IFERROR(IF(AA981&lt;&gt;"ja",_xlfn.IFNA(_xlfn.IFS(AND(P981&lt;&gt;"",R981&lt;&gt;"",RIGHT($N981,6)="tarief",F981="Vergoeding"),SUM(P981)*FLOOR(SUM(R981),0.0001),AND(P981&lt;&gt;"",R981&lt;&gt;"",RIGHT($N981,6)="tarief"),P981*FLOOR(R981,0.01),T981&gt;0,FLOOR(SUM(T981),0.01)),""),""),"")</f>
        <v/>
      </c>
      <c r="W981" s="317" t="str" cm="1">
        <f t="array" aca="1" ref="W981" ca="1">IFERROR(_xlfn.IFS(OR(F981="",LEFT(Methode_Keuze,4)="Geen",Methode_Keuze=""),"",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17" t="str" cm="1">
        <f t="array" aca="1" ref="X981" ca="1">IFERROR(_xlfn.IFS(OR(F981="",LEFT(Methode_Keuze,4)="Geen",Methode_Keuze=""),"",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26"/>
      <c r="Z981" s="319"/>
      <c r="AA981" s="32" t="str" cm="1">
        <f t="array" ref="AA981">IFERROR(IF(INDEX(SubsidieTabel!$AD$1:$AG$12,MATCH($F981,SubsidieTabel!$AD$1:$AD$12,0),IFERROR(MATCH(Methode_Keuze,SubsidieTabel!$AD$1:$AG$1,0),2))&lt;&gt;1=TRUE,"ja",""),"")</f>
        <v/>
      </c>
    </row>
    <row r="982" spans="1:27" x14ac:dyDescent="0.25">
      <c r="A982" s="320"/>
      <c r="B982" s="321" t="str">
        <f>IF(A982&lt;&gt;"",_xlfn.MAXIFS($B$1:B981,$A$1:A981,A982)+1,"")</f>
        <v/>
      </c>
      <c r="C982" s="299"/>
      <c r="D982" s="299"/>
      <c r="E982" s="299"/>
      <c r="F982" s="299"/>
      <c r="G982" s="330"/>
      <c r="H982" s="328"/>
      <c r="I982" s="329"/>
      <c r="J982" s="329"/>
      <c r="K982" s="322"/>
      <c r="L982" s="322"/>
      <c r="M982" s="323" t="str">
        <f>IFERROR(VLOOKUP(H982,Lijsten!$H$1:$I$100,2,0),"")</f>
        <v/>
      </c>
      <c r="N982" s="323" t="str">
        <f ca="1">IFERROR(IF(VLOOKUP(F982,Kostentypen!$A$3:$E$21,3,0)=0,"",IF(OR(F982="Arbeidskosten",F982="Vergoeding"),VLOOKUP(G982,Tb_KostenTypen[],2,0),VLOOKUP(F982,Kostentypen!$A$3:$E$20,3,0))),"")</f>
        <v/>
      </c>
      <c r="O982" s="324"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4"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3"/>
      <c r="R982" s="363"/>
      <c r="S982" s="325"/>
      <c r="T982" s="325"/>
      <c r="U982" s="317" t="str" cm="1">
        <f t="array" aca="1" ref="U982" ca="1">IFERROR(IF(AA982&lt;&gt;"ja",_xlfn.IFNA(_xlfn.IFS(AND(O982&lt;&gt;"",F982&lt;&gt;"",RIGHT($N982,6)="tarief",F982="Vergoeding"),SUM(O982)*FLOOR(SUM(Q982),0.0001),AND(O982&lt;&gt;"",F982&lt;&gt;"",RIGHT($N982,6)="tarief"),SUM(O982)*FLOOR(SUM(Q982),0.01),S982&gt;0,IF(F982&lt;&gt;"",FLOOR(SUM(S982),0.01),"")),""),""),"")</f>
        <v/>
      </c>
      <c r="V982" s="317" t="str" cm="1">
        <f t="array" aca="1" ref="V982" ca="1">IFERROR(IF(AA982&lt;&gt;"ja",_xlfn.IFNA(_xlfn.IFS(AND(P982&lt;&gt;"",R982&lt;&gt;"",RIGHT($N982,6)="tarief",F982="Vergoeding"),SUM(P982)*FLOOR(SUM(R982),0.0001),AND(P982&lt;&gt;"",R982&lt;&gt;"",RIGHT($N982,6)="tarief"),P982*FLOOR(R982,0.01),T982&gt;0,FLOOR(SUM(T982),0.01)),""),""),"")</f>
        <v/>
      </c>
      <c r="W982" s="317" t="str" cm="1">
        <f t="array" aca="1" ref="W982" ca="1">IFERROR(_xlfn.IFS(OR(F982="",LEFT(Methode_Keuze,4)="Geen",Methode_Keuze=""),"",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17" t="str" cm="1">
        <f t="array" aca="1" ref="X982" ca="1">IFERROR(_xlfn.IFS(OR(F982="",LEFT(Methode_Keuze,4)="Geen",Methode_Keuze=""),"",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26"/>
      <c r="Z982" s="319"/>
      <c r="AA982" s="32" t="str" cm="1">
        <f t="array" ref="AA982">IFERROR(IF(INDEX(SubsidieTabel!$AD$1:$AG$12,MATCH($F982,SubsidieTabel!$AD$1:$AD$12,0),IFERROR(MATCH(Methode_Keuze,SubsidieTabel!$AD$1:$AG$1,0),2))&lt;&gt;1=TRUE,"ja",""),"")</f>
        <v/>
      </c>
    </row>
    <row r="983" spans="1:27" x14ac:dyDescent="0.25">
      <c r="A983" s="320"/>
      <c r="B983" s="321" t="str">
        <f>IF(A983&lt;&gt;"",_xlfn.MAXIFS($B$1:B982,$A$1:A982,A983)+1,"")</f>
        <v/>
      </c>
      <c r="C983" s="299"/>
      <c r="D983" s="299"/>
      <c r="E983" s="299"/>
      <c r="F983" s="299"/>
      <c r="G983" s="330"/>
      <c r="H983" s="328"/>
      <c r="I983" s="329"/>
      <c r="J983" s="329"/>
      <c r="K983" s="322"/>
      <c r="L983" s="322"/>
      <c r="M983" s="323" t="str">
        <f>IFERROR(VLOOKUP(H983,Lijsten!$H$1:$I$100,2,0),"")</f>
        <v/>
      </c>
      <c r="N983" s="323" t="str">
        <f ca="1">IFERROR(IF(VLOOKUP(F983,Kostentypen!$A$3:$E$21,3,0)=0,"",IF(OR(F983="Arbeidskosten",F983="Vergoeding"),VLOOKUP(G983,Tb_KostenTypen[],2,0),VLOOKUP(F983,Kostentypen!$A$3:$E$20,3,0))),"")</f>
        <v/>
      </c>
      <c r="O983" s="324"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4"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3"/>
      <c r="R983" s="363"/>
      <c r="S983" s="325"/>
      <c r="T983" s="325"/>
      <c r="U983" s="317" t="str" cm="1">
        <f t="array" aca="1" ref="U983" ca="1">IFERROR(IF(AA983&lt;&gt;"ja",_xlfn.IFNA(_xlfn.IFS(AND(O983&lt;&gt;"",F983&lt;&gt;"",RIGHT($N983,6)="tarief",F983="Vergoeding"),SUM(O983)*FLOOR(SUM(Q983),0.0001),AND(O983&lt;&gt;"",F983&lt;&gt;"",RIGHT($N983,6)="tarief"),SUM(O983)*FLOOR(SUM(Q983),0.01),S983&gt;0,IF(F983&lt;&gt;"",FLOOR(SUM(S983),0.01),"")),""),""),"")</f>
        <v/>
      </c>
      <c r="V983" s="317" t="str" cm="1">
        <f t="array" aca="1" ref="V983" ca="1">IFERROR(IF(AA983&lt;&gt;"ja",_xlfn.IFNA(_xlfn.IFS(AND(P983&lt;&gt;"",R983&lt;&gt;"",RIGHT($N983,6)="tarief",F983="Vergoeding"),SUM(P983)*FLOOR(SUM(R983),0.0001),AND(P983&lt;&gt;"",R983&lt;&gt;"",RIGHT($N983,6)="tarief"),P983*FLOOR(R983,0.01),T983&gt;0,FLOOR(SUM(T983),0.01)),""),""),"")</f>
        <v/>
      </c>
      <c r="W983" s="317" t="str" cm="1">
        <f t="array" aca="1" ref="W983" ca="1">IFERROR(_xlfn.IFS(OR(F983="",LEFT(Methode_Keuze,4)="Geen",Methode_Keuze=""),"",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17" t="str" cm="1">
        <f t="array" aca="1" ref="X983" ca="1">IFERROR(_xlfn.IFS(OR(F983="",LEFT(Methode_Keuze,4)="Geen",Methode_Keuze=""),"",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26"/>
      <c r="Z983" s="319"/>
      <c r="AA983" s="32" t="str" cm="1">
        <f t="array" ref="AA983">IFERROR(IF(INDEX(SubsidieTabel!$AD$1:$AG$12,MATCH($F983,SubsidieTabel!$AD$1:$AD$12,0),IFERROR(MATCH(Methode_Keuze,SubsidieTabel!$AD$1:$AG$1,0),2))&lt;&gt;1=TRUE,"ja",""),"")</f>
        <v/>
      </c>
    </row>
    <row r="984" spans="1:27" x14ac:dyDescent="0.25">
      <c r="A984" s="320"/>
      <c r="B984" s="321" t="str">
        <f>IF(A984&lt;&gt;"",_xlfn.MAXIFS($B$1:B983,$A$1:A983,A984)+1,"")</f>
        <v/>
      </c>
      <c r="C984" s="299"/>
      <c r="D984" s="299"/>
      <c r="E984" s="299"/>
      <c r="F984" s="299"/>
      <c r="G984" s="330"/>
      <c r="H984" s="328"/>
      <c r="I984" s="329"/>
      <c r="J984" s="329"/>
      <c r="K984" s="322"/>
      <c r="L984" s="322"/>
      <c r="M984" s="323" t="str">
        <f>IFERROR(VLOOKUP(H984,Lijsten!$H$1:$I$100,2,0),"")</f>
        <v/>
      </c>
      <c r="N984" s="323" t="str">
        <f ca="1">IFERROR(IF(VLOOKUP(F984,Kostentypen!$A$3:$E$21,3,0)=0,"",IF(OR(F984="Arbeidskosten",F984="Vergoeding"),VLOOKUP(G984,Tb_KostenTypen[],2,0),VLOOKUP(F984,Kostentypen!$A$3:$E$20,3,0))),"")</f>
        <v/>
      </c>
      <c r="O984" s="324"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4"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3"/>
      <c r="R984" s="363"/>
      <c r="S984" s="325"/>
      <c r="T984" s="325"/>
      <c r="U984" s="317" t="str" cm="1">
        <f t="array" aca="1" ref="U984" ca="1">IFERROR(IF(AA984&lt;&gt;"ja",_xlfn.IFNA(_xlfn.IFS(AND(O984&lt;&gt;"",F984&lt;&gt;"",RIGHT($N984,6)="tarief",F984="Vergoeding"),SUM(O984)*FLOOR(SUM(Q984),0.0001),AND(O984&lt;&gt;"",F984&lt;&gt;"",RIGHT($N984,6)="tarief"),SUM(O984)*FLOOR(SUM(Q984),0.01),S984&gt;0,IF(F984&lt;&gt;"",FLOOR(SUM(S984),0.01),"")),""),""),"")</f>
        <v/>
      </c>
      <c r="V984" s="317" t="str" cm="1">
        <f t="array" aca="1" ref="V984" ca="1">IFERROR(IF(AA984&lt;&gt;"ja",_xlfn.IFNA(_xlfn.IFS(AND(P984&lt;&gt;"",R984&lt;&gt;"",RIGHT($N984,6)="tarief",F984="Vergoeding"),SUM(P984)*FLOOR(SUM(R984),0.0001),AND(P984&lt;&gt;"",R984&lt;&gt;"",RIGHT($N984,6)="tarief"),P984*FLOOR(R984,0.01),T984&gt;0,FLOOR(SUM(T984),0.01)),""),""),"")</f>
        <v/>
      </c>
      <c r="W984" s="317" t="str" cm="1">
        <f t="array" aca="1" ref="W984" ca="1">IFERROR(_xlfn.IFS(OR(F984="",LEFT(Methode_Keuze,4)="Geen",Methode_Keuze=""),"",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17" t="str" cm="1">
        <f t="array" aca="1" ref="X984" ca="1">IFERROR(_xlfn.IFS(OR(F984="",LEFT(Methode_Keuze,4)="Geen",Methode_Keuze=""),"",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26"/>
      <c r="Z984" s="319"/>
      <c r="AA984" s="32" t="str" cm="1">
        <f t="array" ref="AA984">IFERROR(IF(INDEX(SubsidieTabel!$AD$1:$AG$12,MATCH($F984,SubsidieTabel!$AD$1:$AD$12,0),IFERROR(MATCH(Methode_Keuze,SubsidieTabel!$AD$1:$AG$1,0),2))&lt;&gt;1=TRUE,"ja",""),"")</f>
        <v/>
      </c>
    </row>
    <row r="985" spans="1:27" x14ac:dyDescent="0.25">
      <c r="A985" s="320"/>
      <c r="B985" s="321" t="str">
        <f>IF(A985&lt;&gt;"",_xlfn.MAXIFS($B$1:B984,$A$1:A984,A985)+1,"")</f>
        <v/>
      </c>
      <c r="C985" s="299"/>
      <c r="D985" s="299"/>
      <c r="E985" s="299"/>
      <c r="F985" s="299"/>
      <c r="G985" s="330"/>
      <c r="H985" s="328"/>
      <c r="I985" s="329"/>
      <c r="J985" s="329"/>
      <c r="K985" s="322"/>
      <c r="L985" s="322"/>
      <c r="M985" s="323" t="str">
        <f>IFERROR(VLOOKUP(H985,Lijsten!$H$1:$I$100,2,0),"")</f>
        <v/>
      </c>
      <c r="N985" s="323" t="str">
        <f ca="1">IFERROR(IF(VLOOKUP(F985,Kostentypen!$A$3:$E$21,3,0)=0,"",IF(OR(F985="Arbeidskosten",F985="Vergoeding"),VLOOKUP(G985,Tb_KostenTypen[],2,0),VLOOKUP(F985,Kostentypen!$A$3:$E$20,3,0))),"")</f>
        <v/>
      </c>
      <c r="O985" s="324"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4"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3"/>
      <c r="R985" s="363"/>
      <c r="S985" s="325"/>
      <c r="T985" s="325"/>
      <c r="U985" s="317" t="str" cm="1">
        <f t="array" aca="1" ref="U985" ca="1">IFERROR(IF(AA985&lt;&gt;"ja",_xlfn.IFNA(_xlfn.IFS(AND(O985&lt;&gt;"",F985&lt;&gt;"",RIGHT($N985,6)="tarief",F985="Vergoeding"),SUM(O985)*FLOOR(SUM(Q985),0.0001),AND(O985&lt;&gt;"",F985&lt;&gt;"",RIGHT($N985,6)="tarief"),SUM(O985)*FLOOR(SUM(Q985),0.01),S985&gt;0,IF(F985&lt;&gt;"",FLOOR(SUM(S985),0.01),"")),""),""),"")</f>
        <v/>
      </c>
      <c r="V985" s="317" t="str" cm="1">
        <f t="array" aca="1" ref="V985" ca="1">IFERROR(IF(AA985&lt;&gt;"ja",_xlfn.IFNA(_xlfn.IFS(AND(P985&lt;&gt;"",R985&lt;&gt;"",RIGHT($N985,6)="tarief",F985="Vergoeding"),SUM(P985)*FLOOR(SUM(R985),0.0001),AND(P985&lt;&gt;"",R985&lt;&gt;"",RIGHT($N985,6)="tarief"),P985*FLOOR(R985,0.01),T985&gt;0,FLOOR(SUM(T985),0.01)),""),""),"")</f>
        <v/>
      </c>
      <c r="W985" s="317" t="str" cm="1">
        <f t="array" aca="1" ref="W985" ca="1">IFERROR(_xlfn.IFS(OR(F985="",LEFT(Methode_Keuze,4)="Geen",Methode_Keuze=""),"",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17" t="str" cm="1">
        <f t="array" aca="1" ref="X985" ca="1">IFERROR(_xlfn.IFS(OR(F985="",LEFT(Methode_Keuze,4)="Geen",Methode_Keuze=""),"",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26"/>
      <c r="Z985" s="319"/>
      <c r="AA985" s="32" t="str" cm="1">
        <f t="array" ref="AA985">IFERROR(IF(INDEX(SubsidieTabel!$AD$1:$AG$12,MATCH($F985,SubsidieTabel!$AD$1:$AD$12,0),IFERROR(MATCH(Methode_Keuze,SubsidieTabel!$AD$1:$AG$1,0),2))&lt;&gt;1=TRUE,"ja",""),"")</f>
        <v/>
      </c>
    </row>
    <row r="986" spans="1:27" x14ac:dyDescent="0.25">
      <c r="A986" s="320"/>
      <c r="B986" s="321" t="str">
        <f>IF(A986&lt;&gt;"",_xlfn.MAXIFS($B$1:B985,$A$1:A985,A986)+1,"")</f>
        <v/>
      </c>
      <c r="C986" s="299"/>
      <c r="D986" s="299"/>
      <c r="E986" s="299"/>
      <c r="F986" s="299"/>
      <c r="G986" s="330"/>
      <c r="H986" s="328"/>
      <c r="I986" s="329"/>
      <c r="J986" s="329"/>
      <c r="K986" s="322"/>
      <c r="L986" s="322"/>
      <c r="M986" s="323" t="str">
        <f>IFERROR(VLOOKUP(H986,Lijsten!$H$1:$I$100,2,0),"")</f>
        <v/>
      </c>
      <c r="N986" s="323" t="str">
        <f ca="1">IFERROR(IF(VLOOKUP(F986,Kostentypen!$A$3:$E$21,3,0)=0,"",IF(OR(F986="Arbeidskosten",F986="Vergoeding"),VLOOKUP(G986,Tb_KostenTypen[],2,0),VLOOKUP(F986,Kostentypen!$A$3:$E$20,3,0))),"")</f>
        <v/>
      </c>
      <c r="O986" s="324"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4"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3"/>
      <c r="R986" s="363"/>
      <c r="S986" s="325"/>
      <c r="T986" s="325"/>
      <c r="U986" s="317" t="str" cm="1">
        <f t="array" aca="1" ref="U986" ca="1">IFERROR(IF(AA986&lt;&gt;"ja",_xlfn.IFNA(_xlfn.IFS(AND(O986&lt;&gt;"",F986&lt;&gt;"",RIGHT($N986,6)="tarief",F986="Vergoeding"),SUM(O986)*FLOOR(SUM(Q986),0.0001),AND(O986&lt;&gt;"",F986&lt;&gt;"",RIGHT($N986,6)="tarief"),SUM(O986)*FLOOR(SUM(Q986),0.01),S986&gt;0,IF(F986&lt;&gt;"",FLOOR(SUM(S986),0.01),"")),""),""),"")</f>
        <v/>
      </c>
      <c r="V986" s="317" t="str" cm="1">
        <f t="array" aca="1" ref="V986" ca="1">IFERROR(IF(AA986&lt;&gt;"ja",_xlfn.IFNA(_xlfn.IFS(AND(P986&lt;&gt;"",R986&lt;&gt;"",RIGHT($N986,6)="tarief",F986="Vergoeding"),SUM(P986)*FLOOR(SUM(R986),0.0001),AND(P986&lt;&gt;"",R986&lt;&gt;"",RIGHT($N986,6)="tarief"),P986*FLOOR(R986,0.01),T986&gt;0,FLOOR(SUM(T986),0.01)),""),""),"")</f>
        <v/>
      </c>
      <c r="W986" s="317" t="str" cm="1">
        <f t="array" aca="1" ref="W986" ca="1">IFERROR(_xlfn.IFS(OR(F986="",LEFT(Methode_Keuze,4)="Geen",Methode_Keuze=""),"",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17" t="str" cm="1">
        <f t="array" aca="1" ref="X986" ca="1">IFERROR(_xlfn.IFS(OR(F986="",LEFT(Methode_Keuze,4)="Geen",Methode_Keuze=""),"",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26"/>
      <c r="Z986" s="319"/>
      <c r="AA986" s="32" t="str" cm="1">
        <f t="array" ref="AA986">IFERROR(IF(INDEX(SubsidieTabel!$AD$1:$AG$12,MATCH($F986,SubsidieTabel!$AD$1:$AD$12,0),IFERROR(MATCH(Methode_Keuze,SubsidieTabel!$AD$1:$AG$1,0),2))&lt;&gt;1=TRUE,"ja",""),"")</f>
        <v/>
      </c>
    </row>
    <row r="987" spans="1:27" x14ac:dyDescent="0.25">
      <c r="A987" s="320"/>
      <c r="B987" s="321" t="str">
        <f>IF(A987&lt;&gt;"",_xlfn.MAXIFS($B$1:B986,$A$1:A986,A987)+1,"")</f>
        <v/>
      </c>
      <c r="C987" s="299"/>
      <c r="D987" s="299"/>
      <c r="E987" s="299"/>
      <c r="F987" s="299"/>
      <c r="G987" s="330"/>
      <c r="H987" s="328"/>
      <c r="I987" s="329"/>
      <c r="J987" s="329"/>
      <c r="K987" s="322"/>
      <c r="L987" s="322"/>
      <c r="M987" s="323" t="str">
        <f>IFERROR(VLOOKUP(H987,Lijsten!$H$1:$I$100,2,0),"")</f>
        <v/>
      </c>
      <c r="N987" s="323" t="str">
        <f ca="1">IFERROR(IF(VLOOKUP(F987,Kostentypen!$A$3:$E$21,3,0)=0,"",IF(OR(F987="Arbeidskosten",F987="Vergoeding"),VLOOKUP(G987,Tb_KostenTypen[],2,0),VLOOKUP(F987,Kostentypen!$A$3:$E$20,3,0))),"")</f>
        <v/>
      </c>
      <c r="O987" s="324"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4"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3"/>
      <c r="R987" s="363"/>
      <c r="S987" s="325"/>
      <c r="T987" s="325"/>
      <c r="U987" s="317" t="str" cm="1">
        <f t="array" aca="1" ref="U987" ca="1">IFERROR(IF(AA987&lt;&gt;"ja",_xlfn.IFNA(_xlfn.IFS(AND(O987&lt;&gt;"",F987&lt;&gt;"",RIGHT($N987,6)="tarief",F987="Vergoeding"),SUM(O987)*FLOOR(SUM(Q987),0.0001),AND(O987&lt;&gt;"",F987&lt;&gt;"",RIGHT($N987,6)="tarief"),SUM(O987)*FLOOR(SUM(Q987),0.01),S987&gt;0,IF(F987&lt;&gt;"",FLOOR(SUM(S987),0.01),"")),""),""),"")</f>
        <v/>
      </c>
      <c r="V987" s="317" t="str" cm="1">
        <f t="array" aca="1" ref="V987" ca="1">IFERROR(IF(AA987&lt;&gt;"ja",_xlfn.IFNA(_xlfn.IFS(AND(P987&lt;&gt;"",R987&lt;&gt;"",RIGHT($N987,6)="tarief",F987="Vergoeding"),SUM(P987)*FLOOR(SUM(R987),0.0001),AND(P987&lt;&gt;"",R987&lt;&gt;"",RIGHT($N987,6)="tarief"),P987*FLOOR(R987,0.01),T987&gt;0,FLOOR(SUM(T987),0.01)),""),""),"")</f>
        <v/>
      </c>
      <c r="W987" s="317" t="str" cm="1">
        <f t="array" aca="1" ref="W987" ca="1">IFERROR(_xlfn.IFS(OR(F987="",LEFT(Methode_Keuze,4)="Geen",Methode_Keuze=""),"",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17" t="str" cm="1">
        <f t="array" aca="1" ref="X987" ca="1">IFERROR(_xlfn.IFS(OR(F987="",LEFT(Methode_Keuze,4)="Geen",Methode_Keuze=""),"",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26"/>
      <c r="Z987" s="319"/>
      <c r="AA987" s="32" t="str" cm="1">
        <f t="array" ref="AA987">IFERROR(IF(INDEX(SubsidieTabel!$AD$1:$AG$12,MATCH($F987,SubsidieTabel!$AD$1:$AD$12,0),IFERROR(MATCH(Methode_Keuze,SubsidieTabel!$AD$1:$AG$1,0),2))&lt;&gt;1=TRUE,"ja",""),"")</f>
        <v/>
      </c>
    </row>
    <row r="988" spans="1:27" x14ac:dyDescent="0.25">
      <c r="A988" s="320"/>
      <c r="B988" s="321" t="str">
        <f>IF(A988&lt;&gt;"",_xlfn.MAXIFS($B$1:B987,$A$1:A987,A988)+1,"")</f>
        <v/>
      </c>
      <c r="C988" s="299"/>
      <c r="D988" s="299"/>
      <c r="E988" s="299"/>
      <c r="F988" s="299"/>
      <c r="G988" s="330"/>
      <c r="H988" s="328"/>
      <c r="I988" s="329"/>
      <c r="J988" s="329"/>
      <c r="K988" s="322"/>
      <c r="L988" s="322"/>
      <c r="M988" s="323" t="str">
        <f>IFERROR(VLOOKUP(H988,Lijsten!$H$1:$I$100,2,0),"")</f>
        <v/>
      </c>
      <c r="N988" s="323" t="str">
        <f ca="1">IFERROR(IF(VLOOKUP(F988,Kostentypen!$A$3:$E$21,3,0)=0,"",IF(OR(F988="Arbeidskosten",F988="Vergoeding"),VLOOKUP(G988,Tb_KostenTypen[],2,0),VLOOKUP(F988,Kostentypen!$A$3:$E$20,3,0))),"")</f>
        <v/>
      </c>
      <c r="O988" s="324"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4"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3"/>
      <c r="R988" s="363"/>
      <c r="S988" s="325"/>
      <c r="T988" s="325"/>
      <c r="U988" s="317" t="str" cm="1">
        <f t="array" aca="1" ref="U988" ca="1">IFERROR(IF(AA988&lt;&gt;"ja",_xlfn.IFNA(_xlfn.IFS(AND(O988&lt;&gt;"",F988&lt;&gt;"",RIGHT($N988,6)="tarief",F988="Vergoeding"),SUM(O988)*FLOOR(SUM(Q988),0.0001),AND(O988&lt;&gt;"",F988&lt;&gt;"",RIGHT($N988,6)="tarief"),SUM(O988)*FLOOR(SUM(Q988),0.01),S988&gt;0,IF(F988&lt;&gt;"",FLOOR(SUM(S988),0.01),"")),""),""),"")</f>
        <v/>
      </c>
      <c r="V988" s="317" t="str" cm="1">
        <f t="array" aca="1" ref="V988" ca="1">IFERROR(IF(AA988&lt;&gt;"ja",_xlfn.IFNA(_xlfn.IFS(AND(P988&lt;&gt;"",R988&lt;&gt;"",RIGHT($N988,6)="tarief",F988="Vergoeding"),SUM(P988)*FLOOR(SUM(R988),0.0001),AND(P988&lt;&gt;"",R988&lt;&gt;"",RIGHT($N988,6)="tarief"),P988*FLOOR(R988,0.01),T988&gt;0,FLOOR(SUM(T988),0.01)),""),""),"")</f>
        <v/>
      </c>
      <c r="W988" s="317" t="str" cm="1">
        <f t="array" aca="1" ref="W988" ca="1">IFERROR(_xlfn.IFS(OR(F988="",LEFT(Methode_Keuze,4)="Geen",Methode_Keuze=""),"",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17" t="str" cm="1">
        <f t="array" aca="1" ref="X988" ca="1">IFERROR(_xlfn.IFS(OR(F988="",LEFT(Methode_Keuze,4)="Geen",Methode_Keuze=""),"",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26"/>
      <c r="Z988" s="319"/>
      <c r="AA988" s="32" t="str" cm="1">
        <f t="array" ref="AA988">IFERROR(IF(INDEX(SubsidieTabel!$AD$1:$AG$12,MATCH($F988,SubsidieTabel!$AD$1:$AD$12,0),IFERROR(MATCH(Methode_Keuze,SubsidieTabel!$AD$1:$AG$1,0),2))&lt;&gt;1=TRUE,"ja",""),"")</f>
        <v/>
      </c>
    </row>
    <row r="989" spans="1:27" x14ac:dyDescent="0.25">
      <c r="A989" s="320"/>
      <c r="B989" s="321" t="str">
        <f>IF(A989&lt;&gt;"",_xlfn.MAXIFS($B$1:B988,$A$1:A988,A989)+1,"")</f>
        <v/>
      </c>
      <c r="C989" s="299"/>
      <c r="D989" s="299"/>
      <c r="E989" s="299"/>
      <c r="F989" s="299"/>
      <c r="G989" s="330"/>
      <c r="H989" s="328"/>
      <c r="I989" s="329"/>
      <c r="J989" s="329"/>
      <c r="K989" s="322"/>
      <c r="L989" s="322"/>
      <c r="M989" s="323" t="str">
        <f>IFERROR(VLOOKUP(H989,Lijsten!$H$1:$I$100,2,0),"")</f>
        <v/>
      </c>
      <c r="N989" s="323" t="str">
        <f ca="1">IFERROR(IF(VLOOKUP(F989,Kostentypen!$A$3:$E$21,3,0)=0,"",IF(OR(F989="Arbeidskosten",F989="Vergoeding"),VLOOKUP(G989,Tb_KostenTypen[],2,0),VLOOKUP(F989,Kostentypen!$A$3:$E$20,3,0))),"")</f>
        <v/>
      </c>
      <c r="O989" s="324"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4"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3"/>
      <c r="R989" s="363"/>
      <c r="S989" s="325"/>
      <c r="T989" s="325"/>
      <c r="U989" s="317" t="str" cm="1">
        <f t="array" aca="1" ref="U989" ca="1">IFERROR(IF(AA989&lt;&gt;"ja",_xlfn.IFNA(_xlfn.IFS(AND(O989&lt;&gt;"",F989&lt;&gt;"",RIGHT($N989,6)="tarief",F989="Vergoeding"),SUM(O989)*FLOOR(SUM(Q989),0.0001),AND(O989&lt;&gt;"",F989&lt;&gt;"",RIGHT($N989,6)="tarief"),SUM(O989)*FLOOR(SUM(Q989),0.01),S989&gt;0,IF(F989&lt;&gt;"",FLOOR(SUM(S989),0.01),"")),""),""),"")</f>
        <v/>
      </c>
      <c r="V989" s="317" t="str" cm="1">
        <f t="array" aca="1" ref="V989" ca="1">IFERROR(IF(AA989&lt;&gt;"ja",_xlfn.IFNA(_xlfn.IFS(AND(P989&lt;&gt;"",R989&lt;&gt;"",RIGHT($N989,6)="tarief",F989="Vergoeding"),SUM(P989)*FLOOR(SUM(R989),0.0001),AND(P989&lt;&gt;"",R989&lt;&gt;"",RIGHT($N989,6)="tarief"),P989*FLOOR(R989,0.01),T989&gt;0,FLOOR(SUM(T989),0.01)),""),""),"")</f>
        <v/>
      </c>
      <c r="W989" s="317" t="str" cm="1">
        <f t="array" aca="1" ref="W989" ca="1">IFERROR(_xlfn.IFS(OR(F989="",LEFT(Methode_Keuze,4)="Geen",Methode_Keuze=""),"",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17" t="str" cm="1">
        <f t="array" aca="1" ref="X989" ca="1">IFERROR(_xlfn.IFS(OR(F989="",LEFT(Methode_Keuze,4)="Geen",Methode_Keuze=""),"",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26"/>
      <c r="Z989" s="319"/>
      <c r="AA989" s="32" t="str" cm="1">
        <f t="array" ref="AA989">IFERROR(IF(INDEX(SubsidieTabel!$AD$1:$AG$12,MATCH($F989,SubsidieTabel!$AD$1:$AD$12,0),IFERROR(MATCH(Methode_Keuze,SubsidieTabel!$AD$1:$AG$1,0),2))&lt;&gt;1=TRUE,"ja",""),"")</f>
        <v/>
      </c>
    </row>
    <row r="990" spans="1:27" x14ac:dyDescent="0.25">
      <c r="A990" s="320"/>
      <c r="B990" s="321" t="str">
        <f>IF(A990&lt;&gt;"",_xlfn.MAXIFS($B$1:B989,$A$1:A989,A990)+1,"")</f>
        <v/>
      </c>
      <c r="C990" s="299"/>
      <c r="D990" s="299"/>
      <c r="E990" s="299"/>
      <c r="F990" s="299"/>
      <c r="G990" s="330"/>
      <c r="H990" s="328"/>
      <c r="I990" s="329"/>
      <c r="J990" s="329"/>
      <c r="K990" s="322"/>
      <c r="L990" s="322"/>
      <c r="M990" s="323" t="str">
        <f>IFERROR(VLOOKUP(H990,Lijsten!$H$1:$I$100,2,0),"")</f>
        <v/>
      </c>
      <c r="N990" s="323" t="str">
        <f ca="1">IFERROR(IF(VLOOKUP(F990,Kostentypen!$A$3:$E$21,3,0)=0,"",IF(OR(F990="Arbeidskosten",F990="Vergoeding"),VLOOKUP(G990,Tb_KostenTypen[],2,0),VLOOKUP(F990,Kostentypen!$A$3:$E$20,3,0))),"")</f>
        <v/>
      </c>
      <c r="O990" s="324"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4"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3"/>
      <c r="R990" s="363"/>
      <c r="S990" s="325"/>
      <c r="T990" s="325"/>
      <c r="U990" s="317" t="str" cm="1">
        <f t="array" aca="1" ref="U990" ca="1">IFERROR(IF(AA990&lt;&gt;"ja",_xlfn.IFNA(_xlfn.IFS(AND(O990&lt;&gt;"",F990&lt;&gt;"",RIGHT($N990,6)="tarief",F990="Vergoeding"),SUM(O990)*FLOOR(SUM(Q990),0.0001),AND(O990&lt;&gt;"",F990&lt;&gt;"",RIGHT($N990,6)="tarief"),SUM(O990)*FLOOR(SUM(Q990),0.01),S990&gt;0,IF(F990&lt;&gt;"",FLOOR(SUM(S990),0.01),"")),""),""),"")</f>
        <v/>
      </c>
      <c r="V990" s="317" t="str" cm="1">
        <f t="array" aca="1" ref="V990" ca="1">IFERROR(IF(AA990&lt;&gt;"ja",_xlfn.IFNA(_xlfn.IFS(AND(P990&lt;&gt;"",R990&lt;&gt;"",RIGHT($N990,6)="tarief",F990="Vergoeding"),SUM(P990)*FLOOR(SUM(R990),0.0001),AND(P990&lt;&gt;"",R990&lt;&gt;"",RIGHT($N990,6)="tarief"),P990*FLOOR(R990,0.01),T990&gt;0,FLOOR(SUM(T990),0.01)),""),""),"")</f>
        <v/>
      </c>
      <c r="W990" s="317" t="str" cm="1">
        <f t="array" aca="1" ref="W990" ca="1">IFERROR(_xlfn.IFS(OR(F990="",LEFT(Methode_Keuze,4)="Geen",Methode_Keuze=""),"",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17" t="str" cm="1">
        <f t="array" aca="1" ref="X990" ca="1">IFERROR(_xlfn.IFS(OR(F990="",LEFT(Methode_Keuze,4)="Geen",Methode_Keuze=""),"",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26"/>
      <c r="Z990" s="319"/>
      <c r="AA990" s="32" t="str" cm="1">
        <f t="array" ref="AA990">IFERROR(IF(INDEX(SubsidieTabel!$AD$1:$AG$12,MATCH($F990,SubsidieTabel!$AD$1:$AD$12,0),IFERROR(MATCH(Methode_Keuze,SubsidieTabel!$AD$1:$AG$1,0),2))&lt;&gt;1=TRUE,"ja",""),"")</f>
        <v/>
      </c>
    </row>
    <row r="991" spans="1:27" x14ac:dyDescent="0.25">
      <c r="A991" s="320"/>
      <c r="B991" s="321" t="str">
        <f>IF(A991&lt;&gt;"",_xlfn.MAXIFS($B$1:B990,$A$1:A990,A991)+1,"")</f>
        <v/>
      </c>
      <c r="C991" s="299"/>
      <c r="D991" s="299"/>
      <c r="E991" s="299"/>
      <c r="F991" s="299"/>
      <c r="G991" s="330"/>
      <c r="H991" s="328"/>
      <c r="I991" s="329"/>
      <c r="J991" s="329"/>
      <c r="K991" s="322"/>
      <c r="L991" s="322"/>
      <c r="M991" s="323" t="str">
        <f>IFERROR(VLOOKUP(H991,Lijsten!$H$1:$I$100,2,0),"")</f>
        <v/>
      </c>
      <c r="N991" s="323" t="str">
        <f ca="1">IFERROR(IF(VLOOKUP(F991,Kostentypen!$A$3:$E$21,3,0)=0,"",IF(OR(F991="Arbeidskosten",F991="Vergoeding"),VLOOKUP(G991,Tb_KostenTypen[],2,0),VLOOKUP(F991,Kostentypen!$A$3:$E$20,3,0))),"")</f>
        <v/>
      </c>
      <c r="O991" s="324"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4"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3"/>
      <c r="R991" s="363"/>
      <c r="S991" s="325"/>
      <c r="T991" s="325"/>
      <c r="U991" s="317" t="str" cm="1">
        <f t="array" aca="1" ref="U991" ca="1">IFERROR(IF(AA991&lt;&gt;"ja",_xlfn.IFNA(_xlfn.IFS(AND(O991&lt;&gt;"",F991&lt;&gt;"",RIGHT($N991,6)="tarief",F991="Vergoeding"),SUM(O991)*FLOOR(SUM(Q991),0.0001),AND(O991&lt;&gt;"",F991&lt;&gt;"",RIGHT($N991,6)="tarief"),SUM(O991)*FLOOR(SUM(Q991),0.01),S991&gt;0,IF(F991&lt;&gt;"",FLOOR(SUM(S991),0.01),"")),""),""),"")</f>
        <v/>
      </c>
      <c r="V991" s="317" t="str" cm="1">
        <f t="array" aca="1" ref="V991" ca="1">IFERROR(IF(AA991&lt;&gt;"ja",_xlfn.IFNA(_xlfn.IFS(AND(P991&lt;&gt;"",R991&lt;&gt;"",RIGHT($N991,6)="tarief",F991="Vergoeding"),SUM(P991)*FLOOR(SUM(R991),0.0001),AND(P991&lt;&gt;"",R991&lt;&gt;"",RIGHT($N991,6)="tarief"),P991*FLOOR(R991,0.01),T991&gt;0,FLOOR(SUM(T991),0.01)),""),""),"")</f>
        <v/>
      </c>
      <c r="W991" s="317" t="str" cm="1">
        <f t="array" aca="1" ref="W991" ca="1">IFERROR(_xlfn.IFS(OR(F991="",LEFT(Methode_Keuze,4)="Geen",Methode_Keuze=""),"",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17" t="str" cm="1">
        <f t="array" aca="1" ref="X991" ca="1">IFERROR(_xlfn.IFS(OR(F991="",LEFT(Methode_Keuze,4)="Geen",Methode_Keuze=""),"",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26"/>
      <c r="Z991" s="319"/>
      <c r="AA991" s="32" t="str" cm="1">
        <f t="array" ref="AA991">IFERROR(IF(INDEX(SubsidieTabel!$AD$1:$AG$12,MATCH($F991,SubsidieTabel!$AD$1:$AD$12,0),IFERROR(MATCH(Methode_Keuze,SubsidieTabel!$AD$1:$AG$1,0),2))&lt;&gt;1=TRUE,"ja",""),"")</f>
        <v/>
      </c>
    </row>
    <row r="992" spans="1:27" x14ac:dyDescent="0.25">
      <c r="A992" s="320"/>
      <c r="B992" s="321" t="str">
        <f>IF(A992&lt;&gt;"",_xlfn.MAXIFS($B$1:B991,$A$1:A991,A992)+1,"")</f>
        <v/>
      </c>
      <c r="C992" s="299"/>
      <c r="D992" s="299"/>
      <c r="E992" s="299"/>
      <c r="F992" s="299"/>
      <c r="G992" s="330"/>
      <c r="H992" s="328"/>
      <c r="I992" s="329"/>
      <c r="J992" s="329"/>
      <c r="K992" s="322"/>
      <c r="L992" s="322"/>
      <c r="M992" s="323" t="str">
        <f>IFERROR(VLOOKUP(H992,Lijsten!$H$1:$I$100,2,0),"")</f>
        <v/>
      </c>
      <c r="N992" s="323" t="str">
        <f ca="1">IFERROR(IF(VLOOKUP(F992,Kostentypen!$A$3:$E$21,3,0)=0,"",IF(OR(F992="Arbeidskosten",F992="Vergoeding"),VLOOKUP(G992,Tb_KostenTypen[],2,0),VLOOKUP(F992,Kostentypen!$A$3:$E$20,3,0))),"")</f>
        <v/>
      </c>
      <c r="O992" s="324"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4"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3"/>
      <c r="R992" s="363"/>
      <c r="S992" s="325"/>
      <c r="T992" s="325"/>
      <c r="U992" s="317" t="str" cm="1">
        <f t="array" aca="1" ref="U992" ca="1">IFERROR(IF(AA992&lt;&gt;"ja",_xlfn.IFNA(_xlfn.IFS(AND(O992&lt;&gt;"",F992&lt;&gt;"",RIGHT($N992,6)="tarief",F992="Vergoeding"),SUM(O992)*FLOOR(SUM(Q992),0.0001),AND(O992&lt;&gt;"",F992&lt;&gt;"",RIGHT($N992,6)="tarief"),SUM(O992)*FLOOR(SUM(Q992),0.01),S992&gt;0,IF(F992&lt;&gt;"",FLOOR(SUM(S992),0.01),"")),""),""),"")</f>
        <v/>
      </c>
      <c r="V992" s="317" t="str" cm="1">
        <f t="array" aca="1" ref="V992" ca="1">IFERROR(IF(AA992&lt;&gt;"ja",_xlfn.IFNA(_xlfn.IFS(AND(P992&lt;&gt;"",R992&lt;&gt;"",RIGHT($N992,6)="tarief",F992="Vergoeding"),SUM(P992)*FLOOR(SUM(R992),0.0001),AND(P992&lt;&gt;"",R992&lt;&gt;"",RIGHT($N992,6)="tarief"),P992*FLOOR(R992,0.01),T992&gt;0,FLOOR(SUM(T992),0.01)),""),""),"")</f>
        <v/>
      </c>
      <c r="W992" s="317" t="str" cm="1">
        <f t="array" aca="1" ref="W992" ca="1">IFERROR(_xlfn.IFS(OR(F992="",LEFT(Methode_Keuze,4)="Geen",Methode_Keuze=""),"",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17" t="str" cm="1">
        <f t="array" aca="1" ref="X992" ca="1">IFERROR(_xlfn.IFS(OR(F992="",LEFT(Methode_Keuze,4)="Geen",Methode_Keuze=""),"",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26"/>
      <c r="Z992" s="319"/>
      <c r="AA992" s="32" t="str" cm="1">
        <f t="array" ref="AA992">IFERROR(IF(INDEX(SubsidieTabel!$AD$1:$AG$12,MATCH($F992,SubsidieTabel!$AD$1:$AD$12,0),IFERROR(MATCH(Methode_Keuze,SubsidieTabel!$AD$1:$AG$1,0),2))&lt;&gt;1=TRUE,"ja",""),"")</f>
        <v/>
      </c>
    </row>
    <row r="993" spans="1:27" x14ac:dyDescent="0.25">
      <c r="A993" s="320"/>
      <c r="B993" s="321" t="str">
        <f>IF(A993&lt;&gt;"",_xlfn.MAXIFS($B$1:B992,$A$1:A992,A993)+1,"")</f>
        <v/>
      </c>
      <c r="C993" s="299"/>
      <c r="D993" s="299"/>
      <c r="E993" s="299"/>
      <c r="F993" s="299"/>
      <c r="G993" s="330"/>
      <c r="H993" s="328"/>
      <c r="I993" s="329"/>
      <c r="J993" s="329"/>
      <c r="K993" s="322"/>
      <c r="L993" s="322"/>
      <c r="M993" s="323" t="str">
        <f>IFERROR(VLOOKUP(H993,Lijsten!$H$1:$I$100,2,0),"")</f>
        <v/>
      </c>
      <c r="N993" s="323" t="str">
        <f ca="1">IFERROR(IF(VLOOKUP(F993,Kostentypen!$A$3:$E$21,3,0)=0,"",IF(OR(F993="Arbeidskosten",F993="Vergoeding"),VLOOKUP(G993,Tb_KostenTypen[],2,0),VLOOKUP(F993,Kostentypen!$A$3:$E$20,3,0))),"")</f>
        <v/>
      </c>
      <c r="O993" s="324"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4"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3"/>
      <c r="R993" s="363"/>
      <c r="S993" s="325"/>
      <c r="T993" s="325"/>
      <c r="U993" s="317" t="str" cm="1">
        <f t="array" aca="1" ref="U993" ca="1">IFERROR(IF(AA993&lt;&gt;"ja",_xlfn.IFNA(_xlfn.IFS(AND(O993&lt;&gt;"",F993&lt;&gt;"",RIGHT($N993,6)="tarief",F993="Vergoeding"),SUM(O993)*FLOOR(SUM(Q993),0.0001),AND(O993&lt;&gt;"",F993&lt;&gt;"",RIGHT($N993,6)="tarief"),SUM(O993)*FLOOR(SUM(Q993),0.01),S993&gt;0,IF(F993&lt;&gt;"",FLOOR(SUM(S993),0.01),"")),""),""),"")</f>
        <v/>
      </c>
      <c r="V993" s="317" t="str" cm="1">
        <f t="array" aca="1" ref="V993" ca="1">IFERROR(IF(AA993&lt;&gt;"ja",_xlfn.IFNA(_xlfn.IFS(AND(P993&lt;&gt;"",R993&lt;&gt;"",RIGHT($N993,6)="tarief",F993="Vergoeding"),SUM(P993)*FLOOR(SUM(R993),0.0001),AND(P993&lt;&gt;"",R993&lt;&gt;"",RIGHT($N993,6)="tarief"),P993*FLOOR(R993,0.01),T993&gt;0,FLOOR(SUM(T993),0.01)),""),""),"")</f>
        <v/>
      </c>
      <c r="W993" s="317" t="str" cm="1">
        <f t="array" aca="1" ref="W993" ca="1">IFERROR(_xlfn.IFS(OR(F993="",LEFT(Methode_Keuze,4)="Geen",Methode_Keuze=""),"",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17" t="str" cm="1">
        <f t="array" aca="1" ref="X993" ca="1">IFERROR(_xlfn.IFS(OR(F993="",LEFT(Methode_Keuze,4)="Geen",Methode_Keuze=""),"",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26"/>
      <c r="Z993" s="319"/>
      <c r="AA993" s="32" t="str" cm="1">
        <f t="array" ref="AA993">IFERROR(IF(INDEX(SubsidieTabel!$AD$1:$AG$12,MATCH($F993,SubsidieTabel!$AD$1:$AD$12,0),IFERROR(MATCH(Methode_Keuze,SubsidieTabel!$AD$1:$AG$1,0),2))&lt;&gt;1=TRUE,"ja",""),"")</f>
        <v/>
      </c>
    </row>
    <row r="994" spans="1:27" x14ac:dyDescent="0.25">
      <c r="A994" s="320"/>
      <c r="B994" s="321" t="str">
        <f>IF(A994&lt;&gt;"",_xlfn.MAXIFS($B$1:B993,$A$1:A993,A994)+1,"")</f>
        <v/>
      </c>
      <c r="C994" s="299"/>
      <c r="D994" s="299"/>
      <c r="E994" s="299"/>
      <c r="F994" s="299"/>
      <c r="G994" s="330"/>
      <c r="H994" s="328"/>
      <c r="I994" s="329"/>
      <c r="J994" s="329"/>
      <c r="K994" s="322"/>
      <c r="L994" s="322"/>
      <c r="M994" s="323" t="str">
        <f>IFERROR(VLOOKUP(H994,Lijsten!$H$1:$I$100,2,0),"")</f>
        <v/>
      </c>
      <c r="N994" s="323" t="str">
        <f ca="1">IFERROR(IF(VLOOKUP(F994,Kostentypen!$A$3:$E$21,3,0)=0,"",IF(OR(F994="Arbeidskosten",F994="Vergoeding"),VLOOKUP(G994,Tb_KostenTypen[],2,0),VLOOKUP(F994,Kostentypen!$A$3:$E$20,3,0))),"")</f>
        <v/>
      </c>
      <c r="O994" s="324"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4"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3"/>
      <c r="R994" s="363"/>
      <c r="S994" s="325"/>
      <c r="T994" s="325"/>
      <c r="U994" s="317" t="str" cm="1">
        <f t="array" aca="1" ref="U994" ca="1">IFERROR(IF(AA994&lt;&gt;"ja",_xlfn.IFNA(_xlfn.IFS(AND(O994&lt;&gt;"",F994&lt;&gt;"",RIGHT($N994,6)="tarief",F994="Vergoeding"),SUM(O994)*FLOOR(SUM(Q994),0.0001),AND(O994&lt;&gt;"",F994&lt;&gt;"",RIGHT($N994,6)="tarief"),SUM(O994)*FLOOR(SUM(Q994),0.01),S994&gt;0,IF(F994&lt;&gt;"",FLOOR(SUM(S994),0.01),"")),""),""),"")</f>
        <v/>
      </c>
      <c r="V994" s="317" t="str" cm="1">
        <f t="array" aca="1" ref="V994" ca="1">IFERROR(IF(AA994&lt;&gt;"ja",_xlfn.IFNA(_xlfn.IFS(AND(P994&lt;&gt;"",R994&lt;&gt;"",RIGHT($N994,6)="tarief",F994="Vergoeding"),SUM(P994)*FLOOR(SUM(R994),0.0001),AND(P994&lt;&gt;"",R994&lt;&gt;"",RIGHT($N994,6)="tarief"),P994*FLOOR(R994,0.01),T994&gt;0,FLOOR(SUM(T994),0.01)),""),""),"")</f>
        <v/>
      </c>
      <c r="W994" s="317" t="str" cm="1">
        <f t="array" aca="1" ref="W994" ca="1">IFERROR(_xlfn.IFS(OR(F994="",LEFT(Methode_Keuze,4)="Geen",Methode_Keuze=""),"",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17" t="str" cm="1">
        <f t="array" aca="1" ref="X994" ca="1">IFERROR(_xlfn.IFS(OR(F994="",LEFT(Methode_Keuze,4)="Geen",Methode_Keuze=""),"",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26"/>
      <c r="Z994" s="319"/>
      <c r="AA994" s="32" t="str" cm="1">
        <f t="array" ref="AA994">IFERROR(IF(INDEX(SubsidieTabel!$AD$1:$AG$12,MATCH($F994,SubsidieTabel!$AD$1:$AD$12,0),IFERROR(MATCH(Methode_Keuze,SubsidieTabel!$AD$1:$AG$1,0),2))&lt;&gt;1=TRUE,"ja",""),"")</f>
        <v/>
      </c>
    </row>
    <row r="995" spans="1:27" x14ac:dyDescent="0.25">
      <c r="A995" s="320"/>
      <c r="B995" s="321" t="str">
        <f>IF(A995&lt;&gt;"",_xlfn.MAXIFS($B$1:B994,$A$1:A994,A995)+1,"")</f>
        <v/>
      </c>
      <c r="C995" s="299"/>
      <c r="D995" s="299"/>
      <c r="E995" s="299"/>
      <c r="F995" s="299"/>
      <c r="G995" s="330"/>
      <c r="H995" s="328"/>
      <c r="I995" s="329"/>
      <c r="J995" s="329"/>
      <c r="K995" s="322"/>
      <c r="L995" s="322"/>
      <c r="M995" s="323" t="str">
        <f>IFERROR(VLOOKUP(H995,Lijsten!$H$1:$I$100,2,0),"")</f>
        <v/>
      </c>
      <c r="N995" s="323" t="str">
        <f ca="1">IFERROR(IF(VLOOKUP(F995,Kostentypen!$A$3:$E$21,3,0)=0,"",IF(OR(F995="Arbeidskosten",F995="Vergoeding"),VLOOKUP(G995,Tb_KostenTypen[],2,0),VLOOKUP(F995,Kostentypen!$A$3:$E$20,3,0))),"")</f>
        <v/>
      </c>
      <c r="O995" s="324"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4"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3"/>
      <c r="R995" s="363"/>
      <c r="S995" s="325"/>
      <c r="T995" s="325"/>
      <c r="U995" s="317" t="str" cm="1">
        <f t="array" aca="1" ref="U995" ca="1">IFERROR(IF(AA995&lt;&gt;"ja",_xlfn.IFNA(_xlfn.IFS(AND(O995&lt;&gt;"",F995&lt;&gt;"",RIGHT($N995,6)="tarief",F995="Vergoeding"),SUM(O995)*FLOOR(SUM(Q995),0.0001),AND(O995&lt;&gt;"",F995&lt;&gt;"",RIGHT($N995,6)="tarief"),SUM(O995)*FLOOR(SUM(Q995),0.01),S995&gt;0,IF(F995&lt;&gt;"",FLOOR(SUM(S995),0.01),"")),""),""),"")</f>
        <v/>
      </c>
      <c r="V995" s="317" t="str" cm="1">
        <f t="array" aca="1" ref="V995" ca="1">IFERROR(IF(AA995&lt;&gt;"ja",_xlfn.IFNA(_xlfn.IFS(AND(P995&lt;&gt;"",R995&lt;&gt;"",RIGHT($N995,6)="tarief",F995="Vergoeding"),SUM(P995)*FLOOR(SUM(R995),0.0001),AND(P995&lt;&gt;"",R995&lt;&gt;"",RIGHT($N995,6)="tarief"),P995*FLOOR(R995,0.01),T995&gt;0,FLOOR(SUM(T995),0.01)),""),""),"")</f>
        <v/>
      </c>
      <c r="W995" s="317" t="str" cm="1">
        <f t="array" aca="1" ref="W995" ca="1">IFERROR(_xlfn.IFS(OR(F995="",LEFT(Methode_Keuze,4)="Geen",Methode_Keuze=""),"",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17" t="str" cm="1">
        <f t="array" aca="1" ref="X995" ca="1">IFERROR(_xlfn.IFS(OR(F995="",LEFT(Methode_Keuze,4)="Geen",Methode_Keuze=""),"",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26"/>
      <c r="Z995" s="319"/>
      <c r="AA995" s="32" t="str" cm="1">
        <f t="array" ref="AA995">IFERROR(IF(INDEX(SubsidieTabel!$AD$1:$AG$12,MATCH($F995,SubsidieTabel!$AD$1:$AD$12,0),IFERROR(MATCH(Methode_Keuze,SubsidieTabel!$AD$1:$AG$1,0),2))&lt;&gt;1=TRUE,"ja",""),"")</f>
        <v/>
      </c>
    </row>
    <row r="996" spans="1:27" x14ac:dyDescent="0.25">
      <c r="A996" s="320"/>
      <c r="B996" s="321" t="str">
        <f>IF(A996&lt;&gt;"",_xlfn.MAXIFS($B$1:B995,$A$1:A995,A996)+1,"")</f>
        <v/>
      </c>
      <c r="C996" s="299"/>
      <c r="D996" s="299"/>
      <c r="E996" s="299"/>
      <c r="F996" s="299"/>
      <c r="G996" s="330"/>
      <c r="H996" s="328"/>
      <c r="I996" s="329"/>
      <c r="J996" s="329"/>
      <c r="K996" s="322"/>
      <c r="L996" s="322"/>
      <c r="M996" s="323" t="str">
        <f>IFERROR(VLOOKUP(H996,Lijsten!$H$1:$I$100,2,0),"")</f>
        <v/>
      </c>
      <c r="N996" s="323" t="str">
        <f ca="1">IFERROR(IF(VLOOKUP(F996,Kostentypen!$A$3:$E$21,3,0)=0,"",IF(OR(F996="Arbeidskosten",F996="Vergoeding"),VLOOKUP(G996,Tb_KostenTypen[],2,0),VLOOKUP(F996,Kostentypen!$A$3:$E$20,3,0))),"")</f>
        <v/>
      </c>
      <c r="O996" s="324"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4"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3"/>
      <c r="R996" s="363"/>
      <c r="S996" s="325"/>
      <c r="T996" s="325"/>
      <c r="U996" s="317" t="str" cm="1">
        <f t="array" aca="1" ref="U996" ca="1">IFERROR(IF(AA996&lt;&gt;"ja",_xlfn.IFNA(_xlfn.IFS(AND(O996&lt;&gt;"",F996&lt;&gt;"",RIGHT($N996,6)="tarief",F996="Vergoeding"),SUM(O996)*FLOOR(SUM(Q996),0.0001),AND(O996&lt;&gt;"",F996&lt;&gt;"",RIGHT($N996,6)="tarief"),SUM(O996)*FLOOR(SUM(Q996),0.01),S996&gt;0,IF(F996&lt;&gt;"",FLOOR(SUM(S996),0.01),"")),""),""),"")</f>
        <v/>
      </c>
      <c r="V996" s="317" t="str" cm="1">
        <f t="array" aca="1" ref="V996" ca="1">IFERROR(IF(AA996&lt;&gt;"ja",_xlfn.IFNA(_xlfn.IFS(AND(P996&lt;&gt;"",R996&lt;&gt;"",RIGHT($N996,6)="tarief",F996="Vergoeding"),SUM(P996)*FLOOR(SUM(R996),0.0001),AND(P996&lt;&gt;"",R996&lt;&gt;"",RIGHT($N996,6)="tarief"),P996*FLOOR(R996,0.01),T996&gt;0,FLOOR(SUM(T996),0.01)),""),""),"")</f>
        <v/>
      </c>
      <c r="W996" s="317" t="str" cm="1">
        <f t="array" aca="1" ref="W996" ca="1">IFERROR(_xlfn.IFS(OR(F996="",LEFT(Methode_Keuze,4)="Geen",Methode_Keuze=""),"",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17" t="str" cm="1">
        <f t="array" aca="1" ref="X996" ca="1">IFERROR(_xlfn.IFS(OR(F996="",LEFT(Methode_Keuze,4)="Geen",Methode_Keuze=""),"",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26"/>
      <c r="Z996" s="319"/>
      <c r="AA996" s="32" t="str" cm="1">
        <f t="array" ref="AA996">IFERROR(IF(INDEX(SubsidieTabel!$AD$1:$AG$12,MATCH($F996,SubsidieTabel!$AD$1:$AD$12,0),IFERROR(MATCH(Methode_Keuze,SubsidieTabel!$AD$1:$AG$1,0),2))&lt;&gt;1=TRUE,"ja",""),"")</f>
        <v/>
      </c>
    </row>
    <row r="997" spans="1:27" x14ac:dyDescent="0.25">
      <c r="A997" s="320"/>
      <c r="B997" s="321" t="str">
        <f>IF(A997&lt;&gt;"",_xlfn.MAXIFS($B$1:B996,$A$1:A996,A997)+1,"")</f>
        <v/>
      </c>
      <c r="C997" s="299"/>
      <c r="D997" s="299"/>
      <c r="E997" s="299"/>
      <c r="F997" s="299"/>
      <c r="G997" s="330"/>
      <c r="H997" s="328"/>
      <c r="I997" s="329"/>
      <c r="J997" s="329"/>
      <c r="K997" s="322"/>
      <c r="L997" s="322"/>
      <c r="M997" s="323" t="str">
        <f>IFERROR(VLOOKUP(H997,Lijsten!$H$1:$I$100,2,0),"")</f>
        <v/>
      </c>
      <c r="N997" s="323" t="str">
        <f ca="1">IFERROR(IF(VLOOKUP(F997,Kostentypen!$A$3:$E$21,3,0)=0,"",IF(OR(F997="Arbeidskosten",F997="Vergoeding"),VLOOKUP(G997,Tb_KostenTypen[],2,0),VLOOKUP(F997,Kostentypen!$A$3:$E$20,3,0))),"")</f>
        <v/>
      </c>
      <c r="O997" s="324"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4"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3"/>
      <c r="R997" s="363"/>
      <c r="S997" s="325"/>
      <c r="T997" s="325"/>
      <c r="U997" s="317" t="str" cm="1">
        <f t="array" aca="1" ref="U997" ca="1">IFERROR(IF(AA997&lt;&gt;"ja",_xlfn.IFNA(_xlfn.IFS(AND(O997&lt;&gt;"",F997&lt;&gt;"",RIGHT($N997,6)="tarief",F997="Vergoeding"),SUM(O997)*FLOOR(SUM(Q997),0.0001),AND(O997&lt;&gt;"",F997&lt;&gt;"",RIGHT($N997,6)="tarief"),SUM(O997)*FLOOR(SUM(Q997),0.01),S997&gt;0,IF(F997&lt;&gt;"",FLOOR(SUM(S997),0.01),"")),""),""),"")</f>
        <v/>
      </c>
      <c r="V997" s="317" t="str" cm="1">
        <f t="array" aca="1" ref="V997" ca="1">IFERROR(IF(AA997&lt;&gt;"ja",_xlfn.IFNA(_xlfn.IFS(AND(P997&lt;&gt;"",R997&lt;&gt;"",RIGHT($N997,6)="tarief",F997="Vergoeding"),SUM(P997)*FLOOR(SUM(R997),0.0001),AND(P997&lt;&gt;"",R997&lt;&gt;"",RIGHT($N997,6)="tarief"),P997*FLOOR(R997,0.01),T997&gt;0,FLOOR(SUM(T997),0.01)),""),""),"")</f>
        <v/>
      </c>
      <c r="W997" s="317" t="str" cm="1">
        <f t="array" aca="1" ref="W997" ca="1">IFERROR(_xlfn.IFS(OR(F997="",LEFT(Methode_Keuze,4)="Geen",Methode_Keuze=""),"",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17" t="str" cm="1">
        <f t="array" aca="1" ref="X997" ca="1">IFERROR(_xlfn.IFS(OR(F997="",LEFT(Methode_Keuze,4)="Geen",Methode_Keuze=""),"",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26"/>
      <c r="Z997" s="319"/>
      <c r="AA997" s="32" t="str" cm="1">
        <f t="array" ref="AA997">IFERROR(IF(INDEX(SubsidieTabel!$AD$1:$AG$12,MATCH($F997,SubsidieTabel!$AD$1:$AD$12,0),IFERROR(MATCH(Methode_Keuze,SubsidieTabel!$AD$1:$AG$1,0),2))&lt;&gt;1=TRUE,"ja",""),"")</f>
        <v/>
      </c>
    </row>
    <row r="998" spans="1:27" x14ac:dyDescent="0.25">
      <c r="A998" s="320"/>
      <c r="B998" s="321" t="str">
        <f>IF(A998&lt;&gt;"",_xlfn.MAXIFS($B$1:B997,$A$1:A997,A998)+1,"")</f>
        <v/>
      </c>
      <c r="C998" s="299"/>
      <c r="D998" s="299"/>
      <c r="E998" s="299"/>
      <c r="F998" s="299"/>
      <c r="G998" s="330"/>
      <c r="H998" s="328"/>
      <c r="I998" s="329"/>
      <c r="J998" s="329"/>
      <c r="K998" s="322"/>
      <c r="L998" s="322"/>
      <c r="M998" s="323" t="str">
        <f>IFERROR(VLOOKUP(H998,Lijsten!$H$1:$I$100,2,0),"")</f>
        <v/>
      </c>
      <c r="N998" s="323" t="str">
        <f ca="1">IFERROR(IF(VLOOKUP(F998,Kostentypen!$A$3:$E$21,3,0)=0,"",IF(OR(F998="Arbeidskosten",F998="Vergoeding"),VLOOKUP(G998,Tb_KostenTypen[],2,0),VLOOKUP(F998,Kostentypen!$A$3:$E$20,3,0))),"")</f>
        <v/>
      </c>
      <c r="O998" s="324"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4"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3"/>
      <c r="R998" s="363"/>
      <c r="S998" s="325"/>
      <c r="T998" s="325"/>
      <c r="U998" s="317" t="str" cm="1">
        <f t="array" aca="1" ref="U998" ca="1">IFERROR(IF(AA998&lt;&gt;"ja",_xlfn.IFNA(_xlfn.IFS(AND(O998&lt;&gt;"",F998&lt;&gt;"",RIGHT($N998,6)="tarief",F998="Vergoeding"),SUM(O998)*FLOOR(SUM(Q998),0.0001),AND(O998&lt;&gt;"",F998&lt;&gt;"",RIGHT($N998,6)="tarief"),SUM(O998)*FLOOR(SUM(Q998),0.01),S998&gt;0,IF(F998&lt;&gt;"",FLOOR(SUM(S998),0.01),"")),""),""),"")</f>
        <v/>
      </c>
      <c r="V998" s="317" t="str" cm="1">
        <f t="array" aca="1" ref="V998" ca="1">IFERROR(IF(AA998&lt;&gt;"ja",_xlfn.IFNA(_xlfn.IFS(AND(P998&lt;&gt;"",R998&lt;&gt;"",RIGHT($N998,6)="tarief",F998="Vergoeding"),SUM(P998)*FLOOR(SUM(R998),0.0001),AND(P998&lt;&gt;"",R998&lt;&gt;"",RIGHT($N998,6)="tarief"),P998*FLOOR(R998,0.01),T998&gt;0,FLOOR(SUM(T998),0.01)),""),""),"")</f>
        <v/>
      </c>
      <c r="W998" s="317" t="str" cm="1">
        <f t="array" aca="1" ref="W998" ca="1">IFERROR(_xlfn.IFS(OR(F998="",LEFT(Methode_Keuze,4)="Geen",Methode_Keuze=""),"",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17" t="str" cm="1">
        <f t="array" aca="1" ref="X998" ca="1">IFERROR(_xlfn.IFS(OR(F998="",LEFT(Methode_Keuze,4)="Geen",Methode_Keuze=""),"",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26"/>
      <c r="Z998" s="319"/>
      <c r="AA998" s="32" t="str" cm="1">
        <f t="array" ref="AA998">IFERROR(IF(INDEX(SubsidieTabel!$AD$1:$AG$12,MATCH($F998,SubsidieTabel!$AD$1:$AD$12,0),IFERROR(MATCH(Methode_Keuze,SubsidieTabel!$AD$1:$AG$1,0),2))&lt;&gt;1=TRUE,"ja",""),"")</f>
        <v/>
      </c>
    </row>
    <row r="999" spans="1:27" x14ac:dyDescent="0.25">
      <c r="A999" s="320"/>
      <c r="B999" s="321" t="str">
        <f>IF(A999&lt;&gt;"",_xlfn.MAXIFS($B$1:B998,$A$1:A998,A999)+1,"")</f>
        <v/>
      </c>
      <c r="C999" s="299"/>
      <c r="D999" s="299"/>
      <c r="E999" s="299"/>
      <c r="F999" s="299"/>
      <c r="G999" s="330"/>
      <c r="H999" s="328"/>
      <c r="I999" s="329"/>
      <c r="J999" s="329"/>
      <c r="K999" s="322"/>
      <c r="L999" s="322"/>
      <c r="M999" s="323" t="str">
        <f>IFERROR(VLOOKUP(H999,Lijsten!$H$1:$I$100,2,0),"")</f>
        <v/>
      </c>
      <c r="N999" s="323" t="str">
        <f ca="1">IFERROR(IF(VLOOKUP(F999,Kostentypen!$A$3:$E$21,3,0)=0,"",IF(OR(F999="Arbeidskosten",F999="Vergoeding"),VLOOKUP(G999,Tb_KostenTypen[],2,0),VLOOKUP(F999,Kostentypen!$A$3:$E$20,3,0))),"")</f>
        <v/>
      </c>
      <c r="O999" s="324"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4"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3"/>
      <c r="R999" s="363"/>
      <c r="S999" s="325"/>
      <c r="T999" s="325"/>
      <c r="U999" s="317" t="str" cm="1">
        <f t="array" aca="1" ref="U999" ca="1">IFERROR(IF(AA999&lt;&gt;"ja",_xlfn.IFNA(_xlfn.IFS(AND(O999&lt;&gt;"",F999&lt;&gt;"",RIGHT($N999,6)="tarief",F999="Vergoeding"),SUM(O999)*FLOOR(SUM(Q999),0.0001),AND(O999&lt;&gt;"",F999&lt;&gt;"",RIGHT($N999,6)="tarief"),SUM(O999)*FLOOR(SUM(Q999),0.01),S999&gt;0,IF(F999&lt;&gt;"",FLOOR(SUM(S999),0.01),"")),""),""),"")</f>
        <v/>
      </c>
      <c r="V999" s="317" t="str" cm="1">
        <f t="array" aca="1" ref="V999" ca="1">IFERROR(IF(AA999&lt;&gt;"ja",_xlfn.IFNA(_xlfn.IFS(AND(P999&lt;&gt;"",R999&lt;&gt;"",RIGHT($N999,6)="tarief",F999="Vergoeding"),SUM(P999)*FLOOR(SUM(R999),0.0001),AND(P999&lt;&gt;"",R999&lt;&gt;"",RIGHT($N999,6)="tarief"),P999*FLOOR(R999,0.01),T999&gt;0,FLOOR(SUM(T999),0.01)),""),""),"")</f>
        <v/>
      </c>
      <c r="W999" s="317" t="str" cm="1">
        <f t="array" aca="1" ref="W999" ca="1">IFERROR(_xlfn.IFS(OR(F999="",LEFT(Methode_Keuze,4)="Geen",Methode_Keuze=""),"",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17" t="str" cm="1">
        <f t="array" aca="1" ref="X999" ca="1">IFERROR(_xlfn.IFS(OR(F999="",LEFT(Methode_Keuze,4)="Geen",Methode_Keuze=""),"",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26"/>
      <c r="Z999" s="319"/>
      <c r="AA999" s="32" t="str" cm="1">
        <f t="array" ref="AA999">IFERROR(IF(INDEX(SubsidieTabel!$AD$1:$AG$12,MATCH($F999,SubsidieTabel!$AD$1:$AD$12,0),IFERROR(MATCH(Methode_Keuze,SubsidieTabel!$AD$1:$AG$1,0),2))&lt;&gt;1=TRUE,"ja",""),"")</f>
        <v/>
      </c>
    </row>
    <row r="1000" spans="1:27" x14ac:dyDescent="0.25">
      <c r="A1000" s="320"/>
      <c r="B1000" s="321" t="str">
        <f>IF(A1000&lt;&gt;"",_xlfn.MAXIFS($B$1:B999,$A$1:A999,A1000)+1,"")</f>
        <v/>
      </c>
      <c r="C1000" s="299"/>
      <c r="D1000" s="299"/>
      <c r="E1000" s="299"/>
      <c r="F1000" s="299"/>
      <c r="G1000" s="330"/>
      <c r="H1000" s="328"/>
      <c r="I1000" s="329"/>
      <c r="J1000" s="329"/>
      <c r="K1000" s="322"/>
      <c r="L1000" s="322"/>
      <c r="M1000" s="323" t="str">
        <f>IFERROR(VLOOKUP(H1000,Lijsten!$H$1:$I$100,2,0),"")</f>
        <v/>
      </c>
      <c r="N1000" s="323" t="str">
        <f ca="1">IFERROR(IF(VLOOKUP(F1000,Kostentypen!$A$3:$E$21,3,0)=0,"",IF(OR(F1000="Arbeidskosten",F1000="Vergoeding"),VLOOKUP(G1000,Tb_KostenTypen[],2,0),VLOOKUP(F1000,Kostentypen!$A$3:$E$20,3,0))),"")</f>
        <v/>
      </c>
      <c r="O1000" s="324"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4"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3"/>
      <c r="R1000" s="363"/>
      <c r="S1000" s="325"/>
      <c r="T1000" s="325"/>
      <c r="U1000" s="317" t="str" cm="1">
        <f t="array" aca="1" ref="U1000" ca="1">IFERROR(IF(AA1000&lt;&gt;"ja",_xlfn.IFNA(_xlfn.IFS(AND(O1000&lt;&gt;"",F1000&lt;&gt;"",RIGHT($N1000,6)="tarief",F1000="Vergoeding"),SUM(O1000)*FLOOR(SUM(Q1000),0.0001),AND(O1000&lt;&gt;"",F1000&lt;&gt;"",RIGHT($N1000,6)="tarief"),SUM(O1000)*FLOOR(SUM(Q1000),0.01),S1000&gt;0,IF(F1000&lt;&gt;"",FLOOR(SUM(S1000),0.01),"")),""),""),"")</f>
        <v/>
      </c>
      <c r="V1000" s="317" t="str" cm="1">
        <f t="array" aca="1" ref="V1000" ca="1">IFERROR(IF(AA1000&lt;&gt;"ja",_xlfn.IFNA(_xlfn.IFS(AND(P1000&lt;&gt;"",R1000&lt;&gt;"",RIGHT($N1000,6)="tarief",F1000="Vergoeding"),SUM(P1000)*FLOOR(SUM(R1000),0.0001),AND(P1000&lt;&gt;"",R1000&lt;&gt;"",RIGHT($N1000,6)="tarief"),P1000*FLOOR(R1000,0.01),T1000&gt;0,FLOOR(SUM(T1000),0.01)),""),""),"")</f>
        <v/>
      </c>
      <c r="W1000" s="317" t="str" cm="1">
        <f t="array" aca="1" ref="W1000" ca="1">IFERROR(_xlfn.IFS(OR(F1000="",LEFT(Methode_Keuze,4)="Geen",Methode_Keuze=""),"",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17" t="str" cm="1">
        <f t="array" aca="1" ref="X1000" ca="1">IFERROR(_xlfn.IFS(OR(F1000="",LEFT(Methode_Keuze,4)="Geen",Methode_Keuze=""),"",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26"/>
      <c r="Z1000" s="319"/>
      <c r="AA1000" s="32" t="str" cm="1">
        <f t="array" ref="AA1000">IFERROR(IF(INDEX(SubsidieTabel!$AD$1:$AG$12,MATCH($F1000,SubsidieTabel!$AD$1:$AD$12,0),IFERROR(MATCH(Methode_Keuze,SubsidieTabel!$AD$1:$AG$1,0),2))&lt;&gt;1=TRUE,"ja",""),"")</f>
        <v/>
      </c>
    </row>
    <row r="1001" spans="1:27" x14ac:dyDescent="0.25">
      <c r="A1001" s="320"/>
      <c r="B1001" s="321" t="str">
        <f>IF(A1001&lt;&gt;"",_xlfn.MAXIFS($B$1:B1000,$A$1:A1000,A1001)+1,"")</f>
        <v/>
      </c>
      <c r="C1001" s="299"/>
      <c r="D1001" s="299"/>
      <c r="E1001" s="299"/>
      <c r="F1001" s="299"/>
      <c r="G1001" s="330"/>
      <c r="H1001" s="328"/>
      <c r="I1001" s="329"/>
      <c r="J1001" s="329"/>
      <c r="K1001" s="322"/>
      <c r="L1001" s="322"/>
      <c r="M1001" s="323" t="str">
        <f>IFERROR(VLOOKUP(H1001,Lijsten!$H$1:$I$100,2,0),"")</f>
        <v/>
      </c>
      <c r="N1001" s="323" t="str">
        <f ca="1">IFERROR(IF(VLOOKUP(F1001,Kostentypen!$A$3:$E$21,3,0)=0,"",IF(OR(F1001="Arbeidskosten",F1001="Vergoeding"),VLOOKUP(G1001,Tb_KostenTypen[],2,0),VLOOKUP(F1001,Kostentypen!$A$3:$E$20,3,0))),"")</f>
        <v/>
      </c>
      <c r="O1001" s="324"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4"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3"/>
      <c r="R1001" s="363"/>
      <c r="S1001" s="325"/>
      <c r="T1001" s="325"/>
      <c r="U1001" s="317" t="str" cm="1">
        <f t="array" aca="1" ref="U1001" ca="1">IFERROR(IF(AA1001&lt;&gt;"ja",_xlfn.IFNA(_xlfn.IFS(AND(O1001&lt;&gt;"",F1001&lt;&gt;"",RIGHT($N1001,6)="tarief",F1001="Vergoeding"),SUM(O1001)*FLOOR(SUM(Q1001),0.0001),AND(O1001&lt;&gt;"",F1001&lt;&gt;"",RIGHT($N1001,6)="tarief"),SUM(O1001)*FLOOR(SUM(Q1001),0.01),S1001&gt;0,IF(F1001&lt;&gt;"",FLOOR(SUM(S1001),0.01),"")),""),""),"")</f>
        <v/>
      </c>
      <c r="V1001" s="317" t="str" cm="1">
        <f t="array" aca="1" ref="V1001" ca="1">IFERROR(IF(AA1001&lt;&gt;"ja",_xlfn.IFNA(_xlfn.IFS(AND(P1001&lt;&gt;"",R1001&lt;&gt;"",RIGHT($N1001,6)="tarief",F1001="Vergoeding"),SUM(P1001)*FLOOR(SUM(R1001),0.0001),AND(P1001&lt;&gt;"",R1001&lt;&gt;"",RIGHT($N1001,6)="tarief"),P1001*FLOOR(R1001,0.01),T1001&gt;0,FLOOR(SUM(T1001),0.01)),""),""),"")</f>
        <v/>
      </c>
      <c r="W1001" s="317" t="str" cm="1">
        <f t="array" aca="1" ref="W1001" ca="1">IFERROR(_xlfn.IFS(OR(F1001="",LEFT(Methode_Keuze,4)="Geen",Methode_Keuze=""),"",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17" t="str" cm="1">
        <f t="array" aca="1" ref="X1001" ca="1">IFERROR(_xlfn.IFS(OR(F1001="",LEFT(Methode_Keuze,4)="Geen",Methode_Keuze=""),"",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26"/>
      <c r="Z1001" s="319"/>
      <c r="AA1001" s="32" t="str" cm="1">
        <f t="array" ref="AA1001">IFERROR(IF(INDEX(SubsidieTabel!$AD$1:$AG$12,MATCH($F1001,SubsidieTabel!$AD$1:$AD$12,0),IFERROR(MATCH(Methode_Keuze,SubsidieTabel!$AD$1:$AG$1,0),2))&lt;&gt;1=TRUE,"ja",""),"")</f>
        <v/>
      </c>
    </row>
    <row r="1002" spans="1:27" x14ac:dyDescent="0.25">
      <c r="A1002" s="320"/>
      <c r="B1002" s="321" t="str">
        <f>IF(A1002&lt;&gt;"",_xlfn.MAXIFS($B$1:B1001,$A$1:A1001,A1002)+1,"")</f>
        <v/>
      </c>
      <c r="C1002" s="299"/>
      <c r="D1002" s="299"/>
      <c r="E1002" s="299"/>
      <c r="F1002" s="299"/>
      <c r="G1002" s="330"/>
      <c r="H1002" s="328"/>
      <c r="I1002" s="329"/>
      <c r="J1002" s="329"/>
      <c r="K1002" s="322"/>
      <c r="L1002" s="322"/>
      <c r="M1002" s="323" t="str">
        <f>IFERROR(VLOOKUP(H1002,Lijsten!$H$1:$I$100,2,0),"")</f>
        <v/>
      </c>
      <c r="N1002" s="323" t="str">
        <f ca="1">IFERROR(IF(VLOOKUP(F1002,Kostentypen!$A$3:$E$21,3,0)=0,"",IF(OR(F1002="Arbeidskosten",F1002="Vergoeding"),VLOOKUP(G1002,Tb_KostenTypen[],2,0),VLOOKUP(F1002,Kostentypen!$A$3:$E$20,3,0))),"")</f>
        <v/>
      </c>
      <c r="O1002" s="324"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4"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3"/>
      <c r="R1002" s="363"/>
      <c r="S1002" s="325"/>
      <c r="T1002" s="325"/>
      <c r="U1002" s="317" t="str" cm="1">
        <f t="array" aca="1" ref="U1002" ca="1">IFERROR(IF(AA1002&lt;&gt;"ja",_xlfn.IFNA(_xlfn.IFS(AND(O1002&lt;&gt;"",F1002&lt;&gt;"",RIGHT($N1002,6)="tarief",F1002="Vergoeding"),SUM(O1002)*FLOOR(SUM(Q1002),0.0001),AND(O1002&lt;&gt;"",F1002&lt;&gt;"",RIGHT($N1002,6)="tarief"),SUM(O1002)*FLOOR(SUM(Q1002),0.01),S1002&gt;0,IF(F1002&lt;&gt;"",FLOOR(SUM(S1002),0.01),"")),""),""),"")</f>
        <v/>
      </c>
      <c r="V1002" s="317" t="str" cm="1">
        <f t="array" aca="1" ref="V1002" ca="1">IFERROR(IF(AA1002&lt;&gt;"ja",_xlfn.IFNA(_xlfn.IFS(AND(P1002&lt;&gt;"",R1002&lt;&gt;"",RIGHT($N1002,6)="tarief",F1002="Vergoeding"),SUM(P1002)*FLOOR(SUM(R1002),0.0001),AND(P1002&lt;&gt;"",R1002&lt;&gt;"",RIGHT($N1002,6)="tarief"),P1002*FLOOR(R1002,0.01),T1002&gt;0,FLOOR(SUM(T1002),0.01)),""),""),"")</f>
        <v/>
      </c>
      <c r="W1002" s="317" t="str" cm="1">
        <f t="array" aca="1" ref="W1002" ca="1">IFERROR(_xlfn.IFS(OR(F1002="",LEFT(Methode_Keuze,4)="Geen",Methode_Keuze=""),"",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17" t="str" cm="1">
        <f t="array" aca="1" ref="X1002" ca="1">IFERROR(_xlfn.IFS(OR(F1002="",LEFT(Methode_Keuze,4)="Geen",Methode_Keuze=""),"",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26"/>
      <c r="Z1002" s="319"/>
      <c r="AA1002" s="32" t="str" cm="1">
        <f t="array" ref="AA1002">IFERROR(IF(INDEX(SubsidieTabel!$AD$1:$AG$12,MATCH($F1002,SubsidieTabel!$AD$1:$AD$12,0),IFERROR(MATCH(Methode_Keuze,SubsidieTabel!$AD$1:$AG$1,0),2))&lt;&gt;1=TRUE,"ja",""),"")</f>
        <v/>
      </c>
    </row>
    <row r="1003" spans="1:27" x14ac:dyDescent="0.25">
      <c r="A1003" s="320"/>
      <c r="B1003" s="321" t="str">
        <f>IF(A1003&lt;&gt;"",_xlfn.MAXIFS($B$1:B1002,$A$1:A1002,A1003)+1,"")</f>
        <v/>
      </c>
      <c r="C1003" s="299"/>
      <c r="D1003" s="299"/>
      <c r="E1003" s="299"/>
      <c r="F1003" s="299"/>
      <c r="G1003" s="330"/>
      <c r="H1003" s="328"/>
      <c r="I1003" s="329"/>
      <c r="J1003" s="329"/>
      <c r="K1003" s="322"/>
      <c r="L1003" s="322"/>
      <c r="M1003" s="323" t="str">
        <f>IFERROR(VLOOKUP(H1003,Lijsten!$H$1:$I$100,2,0),"")</f>
        <v/>
      </c>
      <c r="N1003" s="323" t="str">
        <f ca="1">IFERROR(IF(VLOOKUP(F1003,Kostentypen!$A$3:$E$21,3,0)=0,"",IF(OR(F1003="Arbeidskosten",F1003="Vergoeding"),VLOOKUP(G1003,Tb_KostenTypen[],2,0),VLOOKUP(F1003,Kostentypen!$A$3:$E$20,3,0))),"")</f>
        <v/>
      </c>
      <c r="O1003" s="324"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4"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3"/>
      <c r="R1003" s="363"/>
      <c r="S1003" s="325"/>
      <c r="T1003" s="325"/>
      <c r="U1003" s="317" t="str" cm="1">
        <f t="array" aca="1" ref="U1003" ca="1">IFERROR(IF(AA1003&lt;&gt;"ja",_xlfn.IFNA(_xlfn.IFS(AND(O1003&lt;&gt;"",F1003&lt;&gt;"",RIGHT($N1003,6)="tarief",F1003="Vergoeding"),SUM(O1003)*FLOOR(SUM(Q1003),0.0001),AND(O1003&lt;&gt;"",F1003&lt;&gt;"",RIGHT($N1003,6)="tarief"),SUM(O1003)*FLOOR(SUM(Q1003),0.01),S1003&gt;0,IF(F1003&lt;&gt;"",FLOOR(SUM(S1003),0.01),"")),""),""),"")</f>
        <v/>
      </c>
      <c r="V1003" s="317" t="str" cm="1">
        <f t="array" aca="1" ref="V1003" ca="1">IFERROR(IF(AA1003&lt;&gt;"ja",_xlfn.IFNA(_xlfn.IFS(AND(P1003&lt;&gt;"",R1003&lt;&gt;"",RIGHT($N1003,6)="tarief",F1003="Vergoeding"),SUM(P1003)*FLOOR(SUM(R1003),0.0001),AND(P1003&lt;&gt;"",R1003&lt;&gt;"",RIGHT($N1003,6)="tarief"),P1003*FLOOR(R1003,0.01),T1003&gt;0,FLOOR(SUM(T1003),0.01)),""),""),"")</f>
        <v/>
      </c>
      <c r="W1003" s="317" t="str" cm="1">
        <f t="array" aca="1" ref="W1003" ca="1">IFERROR(_xlfn.IFS(OR(F1003="",LEFT(Methode_Keuze,4)="Geen",Methode_Keuze=""),"",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17" t="str" cm="1">
        <f t="array" aca="1" ref="X1003" ca="1">IFERROR(_xlfn.IFS(OR(F1003="",LEFT(Methode_Keuze,4)="Geen",Methode_Keuze=""),"",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26"/>
      <c r="Z1003" s="319"/>
      <c r="AA1003" s="32" t="str" cm="1">
        <f t="array" ref="AA1003">IFERROR(IF(INDEX(SubsidieTabel!$AD$1:$AG$12,MATCH($F1003,SubsidieTabel!$AD$1:$AD$12,0),IFERROR(MATCH(Methode_Keuze,SubsidieTabel!$AD$1:$AG$1,0),2))&lt;&gt;1=TRUE,"ja",""),"")</f>
        <v/>
      </c>
    </row>
    <row r="1004" spans="1:27" x14ac:dyDescent="0.25">
      <c r="A1004" s="320"/>
      <c r="B1004" s="321" t="str">
        <f>IF(A1004&lt;&gt;"",_xlfn.MAXIFS($B$1:B1003,$A$1:A1003,A1004)+1,"")</f>
        <v/>
      </c>
      <c r="C1004" s="299"/>
      <c r="D1004" s="299"/>
      <c r="E1004" s="299"/>
      <c r="F1004" s="299"/>
      <c r="G1004" s="330"/>
      <c r="H1004" s="328"/>
      <c r="I1004" s="329"/>
      <c r="J1004" s="329"/>
      <c r="K1004" s="322"/>
      <c r="L1004" s="322"/>
      <c r="M1004" s="323" t="str">
        <f>IFERROR(VLOOKUP(H1004,Lijsten!$H$1:$I$100,2,0),"")</f>
        <v/>
      </c>
      <c r="N1004" s="323" t="str">
        <f ca="1">IFERROR(IF(VLOOKUP(F1004,Kostentypen!$A$3:$E$21,3,0)=0,"",IF(OR(F1004="Arbeidskosten",F1004="Vergoeding"),VLOOKUP(G1004,Tb_KostenTypen[],2,0),VLOOKUP(F1004,Kostentypen!$A$3:$E$20,3,0))),"")</f>
        <v/>
      </c>
      <c r="O1004" s="324"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4"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3"/>
      <c r="R1004" s="363"/>
      <c r="S1004" s="325"/>
      <c r="T1004" s="325"/>
      <c r="U1004" s="317" t="str" cm="1">
        <f t="array" aca="1" ref="U1004" ca="1">IFERROR(IF(AA1004&lt;&gt;"ja",_xlfn.IFNA(_xlfn.IFS(AND(O1004&lt;&gt;"",F1004&lt;&gt;"",RIGHT($N1004,6)="tarief",F1004="Vergoeding"),SUM(O1004)*FLOOR(SUM(Q1004),0.0001),AND(O1004&lt;&gt;"",F1004&lt;&gt;"",RIGHT($N1004,6)="tarief"),SUM(O1004)*FLOOR(SUM(Q1004),0.01),S1004&gt;0,IF(F1004&lt;&gt;"",FLOOR(SUM(S1004),0.01),"")),""),""),"")</f>
        <v/>
      </c>
      <c r="V1004" s="317" t="str" cm="1">
        <f t="array" aca="1" ref="V1004" ca="1">IFERROR(IF(AA1004&lt;&gt;"ja",_xlfn.IFNA(_xlfn.IFS(AND(P1004&lt;&gt;"",R1004&lt;&gt;"",RIGHT($N1004,6)="tarief",F1004="Vergoeding"),SUM(P1004)*FLOOR(SUM(R1004),0.0001),AND(P1004&lt;&gt;"",R1004&lt;&gt;"",RIGHT($N1004,6)="tarief"),P1004*FLOOR(R1004,0.01),T1004&gt;0,FLOOR(SUM(T1004),0.01)),""),""),"")</f>
        <v/>
      </c>
      <c r="W1004" s="317" t="str" cm="1">
        <f t="array" aca="1" ref="W1004" ca="1">IFERROR(_xlfn.IFS(OR(F1004="",LEFT(Methode_Keuze,4)="Geen",Methode_Keuze=""),"",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17" t="str" cm="1">
        <f t="array" aca="1" ref="X1004" ca="1">IFERROR(_xlfn.IFS(OR(F1004="",LEFT(Methode_Keuze,4)="Geen",Methode_Keuze=""),"",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26"/>
      <c r="Z1004" s="319"/>
      <c r="AA1004" s="32" t="str" cm="1">
        <f t="array" ref="AA1004">IFERROR(IF(INDEX(SubsidieTabel!$AD$1:$AG$12,MATCH($F1004,SubsidieTabel!$AD$1:$AD$12,0),IFERROR(MATCH(Methode_Keuze,SubsidieTabel!$AD$1:$AG$1,0),2))&lt;&gt;1=TRUE,"ja",""),"")</f>
        <v/>
      </c>
    </row>
    <row r="1005" spans="1:27" x14ac:dyDescent="0.25">
      <c r="A1005" s="320"/>
      <c r="B1005" s="321" t="str">
        <f>IF(A1005&lt;&gt;"",_xlfn.MAXIFS($B$1:B1004,$A$1:A1004,A1005)+1,"")</f>
        <v/>
      </c>
      <c r="C1005" s="299"/>
      <c r="D1005" s="299"/>
      <c r="E1005" s="299"/>
      <c r="F1005" s="299"/>
      <c r="G1005" s="330"/>
      <c r="H1005" s="328"/>
      <c r="I1005" s="329"/>
      <c r="J1005" s="329"/>
      <c r="K1005" s="322"/>
      <c r="L1005" s="322"/>
      <c r="M1005" s="323" t="str">
        <f>IFERROR(VLOOKUP(H1005,Lijsten!$H$1:$I$100,2,0),"")</f>
        <v/>
      </c>
      <c r="N1005" s="323" t="str">
        <f ca="1">IFERROR(IF(VLOOKUP(F1005,Kostentypen!$A$3:$E$21,3,0)=0,"",IF(OR(F1005="Arbeidskosten",F1005="Vergoeding"),VLOOKUP(G1005,Tb_KostenTypen[],2,0),VLOOKUP(F1005,Kostentypen!$A$3:$E$20,3,0))),"")</f>
        <v/>
      </c>
      <c r="O1005" s="324"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4"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3"/>
      <c r="R1005" s="363"/>
      <c r="S1005" s="325"/>
      <c r="T1005" s="325"/>
      <c r="U1005" s="317" t="str" cm="1">
        <f t="array" aca="1" ref="U1005" ca="1">IFERROR(IF(AA1005&lt;&gt;"ja",_xlfn.IFNA(_xlfn.IFS(AND(O1005&lt;&gt;"",F1005&lt;&gt;"",RIGHT($N1005,6)="tarief",F1005="Vergoeding"),SUM(O1005)*FLOOR(SUM(Q1005),0.0001),AND(O1005&lt;&gt;"",F1005&lt;&gt;"",RIGHT($N1005,6)="tarief"),SUM(O1005)*FLOOR(SUM(Q1005),0.01),S1005&gt;0,IF(F1005&lt;&gt;"",FLOOR(SUM(S1005),0.01),"")),""),""),"")</f>
        <v/>
      </c>
      <c r="V1005" s="317" t="str" cm="1">
        <f t="array" aca="1" ref="V1005" ca="1">IFERROR(IF(AA1005&lt;&gt;"ja",_xlfn.IFNA(_xlfn.IFS(AND(P1005&lt;&gt;"",R1005&lt;&gt;"",RIGHT($N1005,6)="tarief",F1005="Vergoeding"),SUM(P1005)*FLOOR(SUM(R1005),0.0001),AND(P1005&lt;&gt;"",R1005&lt;&gt;"",RIGHT($N1005,6)="tarief"),P1005*FLOOR(R1005,0.01),T1005&gt;0,FLOOR(SUM(T1005),0.01)),""),""),"")</f>
        <v/>
      </c>
      <c r="W1005" s="317" t="str" cm="1">
        <f t="array" aca="1" ref="W1005" ca="1">IFERROR(_xlfn.IFS(OR(F1005="",LEFT(Methode_Keuze,4)="Geen",Methode_Keuze=""),"",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17" t="str" cm="1">
        <f t="array" aca="1" ref="X1005" ca="1">IFERROR(_xlfn.IFS(OR(F1005="",LEFT(Methode_Keuze,4)="Geen",Methode_Keuze=""),"",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26"/>
      <c r="Z1005" s="319"/>
      <c r="AA1005" s="32" t="str" cm="1">
        <f t="array" ref="AA1005">IFERROR(IF(INDEX(SubsidieTabel!$AD$1:$AG$12,MATCH($F1005,SubsidieTabel!$AD$1:$AD$12,0),IFERROR(MATCH(Methode_Keuze,SubsidieTabel!$AD$1:$AG$1,0),2))&lt;&gt;1=TRUE,"ja",""),"")</f>
        <v/>
      </c>
    </row>
    <row r="1006" spans="1:27" x14ac:dyDescent="0.25">
      <c r="A1006" s="320"/>
      <c r="B1006" s="321" t="str">
        <f>IF(A1006&lt;&gt;"",_xlfn.MAXIFS($B$1:B1005,$A$1:A1005,A1006)+1,"")</f>
        <v/>
      </c>
      <c r="C1006" s="299"/>
      <c r="D1006" s="299"/>
      <c r="E1006" s="299"/>
      <c r="F1006" s="299"/>
      <c r="G1006" s="330"/>
      <c r="H1006" s="328"/>
      <c r="I1006" s="329"/>
      <c r="J1006" s="329"/>
      <c r="K1006" s="322"/>
      <c r="L1006" s="322"/>
      <c r="M1006" s="323" t="str">
        <f>IFERROR(VLOOKUP(H1006,Lijsten!$H$1:$I$100,2,0),"")</f>
        <v/>
      </c>
      <c r="N1006" s="323" t="str">
        <f ca="1">IFERROR(IF(VLOOKUP(F1006,Kostentypen!$A$3:$E$21,3,0)=0,"",IF(OR(F1006="Arbeidskosten",F1006="Vergoeding"),VLOOKUP(G1006,Tb_KostenTypen[],2,0),VLOOKUP(F1006,Kostentypen!$A$3:$E$20,3,0))),"")</f>
        <v/>
      </c>
      <c r="O1006" s="324"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4"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3"/>
      <c r="R1006" s="363"/>
      <c r="S1006" s="325"/>
      <c r="T1006" s="325"/>
      <c r="U1006" s="317" t="str" cm="1">
        <f t="array" aca="1" ref="U1006" ca="1">IFERROR(IF(AA1006&lt;&gt;"ja",_xlfn.IFNA(_xlfn.IFS(AND(O1006&lt;&gt;"",F1006&lt;&gt;"",RIGHT($N1006,6)="tarief",F1006="Vergoeding"),SUM(O1006)*FLOOR(SUM(Q1006),0.0001),AND(O1006&lt;&gt;"",F1006&lt;&gt;"",RIGHT($N1006,6)="tarief"),SUM(O1006)*FLOOR(SUM(Q1006),0.01),S1006&gt;0,IF(F1006&lt;&gt;"",FLOOR(SUM(S1006),0.01),"")),""),""),"")</f>
        <v/>
      </c>
      <c r="V1006" s="317" t="str" cm="1">
        <f t="array" aca="1" ref="V1006" ca="1">IFERROR(IF(AA1006&lt;&gt;"ja",_xlfn.IFNA(_xlfn.IFS(AND(P1006&lt;&gt;"",R1006&lt;&gt;"",RIGHT($N1006,6)="tarief",F1006="Vergoeding"),SUM(P1006)*FLOOR(SUM(R1006),0.0001),AND(P1006&lt;&gt;"",R1006&lt;&gt;"",RIGHT($N1006,6)="tarief"),P1006*FLOOR(R1006,0.01),T1006&gt;0,FLOOR(SUM(T1006),0.01)),""),""),"")</f>
        <v/>
      </c>
      <c r="W1006" s="317" t="str" cm="1">
        <f t="array" aca="1" ref="W1006" ca="1">IFERROR(_xlfn.IFS(OR(F1006="",LEFT(Methode_Keuze,4)="Geen",Methode_Keuze=""),"",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17" t="str" cm="1">
        <f t="array" aca="1" ref="X1006" ca="1">IFERROR(_xlfn.IFS(OR(F1006="",LEFT(Methode_Keuze,4)="Geen",Methode_Keuze=""),"",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26"/>
      <c r="Z1006" s="319"/>
      <c r="AA1006" s="32" t="str" cm="1">
        <f t="array" ref="AA1006">IFERROR(IF(INDEX(SubsidieTabel!$AD$1:$AG$12,MATCH($F1006,SubsidieTabel!$AD$1:$AD$12,0),IFERROR(MATCH(Methode_Keuze,SubsidieTabel!$AD$1:$AG$1,0),2))&lt;&gt;1=TRUE,"ja",""),"")</f>
        <v/>
      </c>
    </row>
    <row r="1007" spans="1:27" x14ac:dyDescent="0.25">
      <c r="A1007" s="320"/>
      <c r="B1007" s="321" t="str">
        <f>IF(A1007&lt;&gt;"",_xlfn.MAXIFS($B$1:B1006,$A$1:A1006,A1007)+1,"")</f>
        <v/>
      </c>
      <c r="C1007" s="299"/>
      <c r="D1007" s="299"/>
      <c r="E1007" s="299"/>
      <c r="F1007" s="299"/>
      <c r="G1007" s="330"/>
      <c r="H1007" s="328"/>
      <c r="I1007" s="329"/>
      <c r="J1007" s="329"/>
      <c r="K1007" s="322"/>
      <c r="L1007" s="322"/>
      <c r="M1007" s="323" t="str">
        <f>IFERROR(VLOOKUP(H1007,Lijsten!$H$1:$I$100,2,0),"")</f>
        <v/>
      </c>
      <c r="N1007" s="323" t="str">
        <f ca="1">IFERROR(IF(VLOOKUP(F1007,Kostentypen!$A$3:$E$21,3,0)=0,"",IF(OR(F1007="Arbeidskosten",F1007="Vergoeding"),VLOOKUP(G1007,Tb_KostenTypen[],2,0),VLOOKUP(F1007,Kostentypen!$A$3:$E$20,3,0))),"")</f>
        <v/>
      </c>
      <c r="O1007" s="324"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4"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3"/>
      <c r="R1007" s="363"/>
      <c r="S1007" s="325"/>
      <c r="T1007" s="325"/>
      <c r="U1007" s="317" t="str" cm="1">
        <f t="array" aca="1" ref="U1007" ca="1">IFERROR(IF(AA1007&lt;&gt;"ja",_xlfn.IFNA(_xlfn.IFS(AND(O1007&lt;&gt;"",F1007&lt;&gt;"",RIGHT($N1007,6)="tarief",F1007="Vergoeding"),SUM(O1007)*FLOOR(SUM(Q1007),0.0001),AND(O1007&lt;&gt;"",F1007&lt;&gt;"",RIGHT($N1007,6)="tarief"),SUM(O1007)*FLOOR(SUM(Q1007),0.01),S1007&gt;0,IF(F1007&lt;&gt;"",FLOOR(SUM(S1007),0.01),"")),""),""),"")</f>
        <v/>
      </c>
      <c r="V1007" s="317" t="str" cm="1">
        <f t="array" aca="1" ref="V1007" ca="1">IFERROR(IF(AA1007&lt;&gt;"ja",_xlfn.IFNA(_xlfn.IFS(AND(P1007&lt;&gt;"",R1007&lt;&gt;"",RIGHT($N1007,6)="tarief",F1007="Vergoeding"),SUM(P1007)*FLOOR(SUM(R1007),0.0001),AND(P1007&lt;&gt;"",R1007&lt;&gt;"",RIGHT($N1007,6)="tarief"),P1007*FLOOR(R1007,0.01),T1007&gt;0,FLOOR(SUM(T1007),0.01)),""),""),"")</f>
        <v/>
      </c>
      <c r="W1007" s="317" t="str" cm="1">
        <f t="array" aca="1" ref="W1007" ca="1">IFERROR(_xlfn.IFS(OR(F1007="",LEFT(Methode_Keuze,4)="Geen",Methode_Keuze=""),"",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17" t="str" cm="1">
        <f t="array" aca="1" ref="X1007" ca="1">IFERROR(_xlfn.IFS(OR(F1007="",LEFT(Methode_Keuze,4)="Geen",Methode_Keuze=""),"",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26"/>
      <c r="Z1007" s="319"/>
      <c r="AA1007" s="32" t="str" cm="1">
        <f t="array" ref="AA1007">IFERROR(IF(INDEX(SubsidieTabel!$AD$1:$AG$12,MATCH($F1007,SubsidieTabel!$AD$1:$AD$12,0),IFERROR(MATCH(Methode_Keuze,SubsidieTabel!$AD$1:$AG$1,0),2))&lt;&gt;1=TRUE,"ja",""),"")</f>
        <v/>
      </c>
    </row>
    <row r="1008" spans="1:27" x14ac:dyDescent="0.25">
      <c r="A1008" s="320"/>
      <c r="B1008" s="321" t="str">
        <f>IF(A1008&lt;&gt;"",_xlfn.MAXIFS($B$1:B1007,$A$1:A1007,A1008)+1,"")</f>
        <v/>
      </c>
      <c r="C1008" s="299"/>
      <c r="D1008" s="299"/>
      <c r="E1008" s="299"/>
      <c r="F1008" s="299"/>
      <c r="G1008" s="330"/>
      <c r="H1008" s="328"/>
      <c r="I1008" s="329"/>
      <c r="J1008" s="329"/>
      <c r="K1008" s="322"/>
      <c r="L1008" s="322"/>
      <c r="M1008" s="323" t="str">
        <f>IFERROR(VLOOKUP(H1008,Lijsten!$H$1:$I$100,2,0),"")</f>
        <v/>
      </c>
      <c r="N1008" s="323" t="str">
        <f ca="1">IFERROR(IF(VLOOKUP(F1008,Kostentypen!$A$3:$E$21,3,0)=0,"",IF(OR(F1008="Arbeidskosten",F1008="Vergoeding"),VLOOKUP(G1008,Tb_KostenTypen[],2,0),VLOOKUP(F1008,Kostentypen!$A$3:$E$20,3,0))),"")</f>
        <v/>
      </c>
      <c r="O1008" s="324"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4"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3"/>
      <c r="R1008" s="363"/>
      <c r="S1008" s="325"/>
      <c r="T1008" s="325"/>
      <c r="U1008" s="317" t="str" cm="1">
        <f t="array" aca="1" ref="U1008" ca="1">IFERROR(IF(AA1008&lt;&gt;"ja",_xlfn.IFNA(_xlfn.IFS(AND(O1008&lt;&gt;"",F1008&lt;&gt;"",RIGHT($N1008,6)="tarief",F1008="Vergoeding"),SUM(O1008)*FLOOR(SUM(Q1008),0.0001),AND(O1008&lt;&gt;"",F1008&lt;&gt;"",RIGHT($N1008,6)="tarief"),SUM(O1008)*FLOOR(SUM(Q1008),0.01),S1008&gt;0,IF(F1008&lt;&gt;"",FLOOR(SUM(S1008),0.01),"")),""),""),"")</f>
        <v/>
      </c>
      <c r="V1008" s="317" t="str" cm="1">
        <f t="array" aca="1" ref="V1008" ca="1">IFERROR(IF(AA1008&lt;&gt;"ja",_xlfn.IFNA(_xlfn.IFS(AND(P1008&lt;&gt;"",R1008&lt;&gt;"",RIGHT($N1008,6)="tarief",F1008="Vergoeding"),SUM(P1008)*FLOOR(SUM(R1008),0.0001),AND(P1008&lt;&gt;"",R1008&lt;&gt;"",RIGHT($N1008,6)="tarief"),P1008*FLOOR(R1008,0.01),T1008&gt;0,FLOOR(SUM(T1008),0.01)),""),""),"")</f>
        <v/>
      </c>
      <c r="W1008" s="317" t="str" cm="1">
        <f t="array" aca="1" ref="W1008" ca="1">IFERROR(_xlfn.IFS(OR(F1008="",LEFT(Methode_Keuze,4)="Geen",Methode_Keuze=""),"",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17" t="str" cm="1">
        <f t="array" aca="1" ref="X1008" ca="1">IFERROR(_xlfn.IFS(OR(F1008="",LEFT(Methode_Keuze,4)="Geen",Methode_Keuze=""),"",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26"/>
      <c r="Z1008" s="319"/>
      <c r="AA1008" s="32" t="str" cm="1">
        <f t="array" ref="AA1008">IFERROR(IF(INDEX(SubsidieTabel!$AD$1:$AG$12,MATCH($F1008,SubsidieTabel!$AD$1:$AD$12,0),IFERROR(MATCH(Methode_Keuze,SubsidieTabel!$AD$1:$AG$1,0),2))&lt;&gt;1=TRUE,"ja",""),"")</f>
        <v/>
      </c>
    </row>
    <row r="1009" spans="1:27" x14ac:dyDescent="0.25">
      <c r="A1009" s="320"/>
      <c r="B1009" s="321" t="str">
        <f>IF(A1009&lt;&gt;"",_xlfn.MAXIFS($B$1:B1008,$A$1:A1008,A1009)+1,"")</f>
        <v/>
      </c>
      <c r="C1009" s="299"/>
      <c r="D1009" s="299"/>
      <c r="E1009" s="299"/>
      <c r="F1009" s="299"/>
      <c r="G1009" s="330"/>
      <c r="H1009" s="328"/>
      <c r="I1009" s="329"/>
      <c r="J1009" s="329"/>
      <c r="K1009" s="322"/>
      <c r="L1009" s="322"/>
      <c r="M1009" s="323" t="str">
        <f>IFERROR(VLOOKUP(H1009,Lijsten!$H$1:$I$100,2,0),"")</f>
        <v/>
      </c>
      <c r="N1009" s="323" t="str">
        <f ca="1">IFERROR(IF(VLOOKUP(F1009,Kostentypen!$A$3:$E$21,3,0)=0,"",IF(OR(F1009="Arbeidskosten",F1009="Vergoeding"),VLOOKUP(G1009,Tb_KostenTypen[],2,0),VLOOKUP(F1009,Kostentypen!$A$3:$E$20,3,0))),"")</f>
        <v/>
      </c>
      <c r="O1009" s="324"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4"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3"/>
      <c r="R1009" s="363"/>
      <c r="S1009" s="325"/>
      <c r="T1009" s="325"/>
      <c r="U1009" s="317" t="str" cm="1">
        <f t="array" aca="1" ref="U1009" ca="1">IFERROR(IF(AA1009&lt;&gt;"ja",_xlfn.IFNA(_xlfn.IFS(AND(O1009&lt;&gt;"",F1009&lt;&gt;"",RIGHT($N1009,6)="tarief",F1009="Vergoeding"),SUM(O1009)*FLOOR(SUM(Q1009),0.0001),AND(O1009&lt;&gt;"",F1009&lt;&gt;"",RIGHT($N1009,6)="tarief"),SUM(O1009)*FLOOR(SUM(Q1009),0.01),S1009&gt;0,IF(F1009&lt;&gt;"",FLOOR(SUM(S1009),0.01),"")),""),""),"")</f>
        <v/>
      </c>
      <c r="V1009" s="317" t="str" cm="1">
        <f t="array" aca="1" ref="V1009" ca="1">IFERROR(IF(AA1009&lt;&gt;"ja",_xlfn.IFNA(_xlfn.IFS(AND(P1009&lt;&gt;"",R1009&lt;&gt;"",RIGHT($N1009,6)="tarief",F1009="Vergoeding"),SUM(P1009)*FLOOR(SUM(R1009),0.0001),AND(P1009&lt;&gt;"",R1009&lt;&gt;"",RIGHT($N1009,6)="tarief"),P1009*FLOOR(R1009,0.01),T1009&gt;0,FLOOR(SUM(T1009),0.01)),""),""),"")</f>
        <v/>
      </c>
      <c r="W1009" s="317" t="str" cm="1">
        <f t="array" aca="1" ref="W1009" ca="1">IFERROR(_xlfn.IFS(OR(F1009="",LEFT(Methode_Keuze,4)="Geen",Methode_Keuze=""),"",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17" t="str" cm="1">
        <f t="array" aca="1" ref="X1009" ca="1">IFERROR(_xlfn.IFS(OR(F1009="",LEFT(Methode_Keuze,4)="Geen",Methode_Keuze=""),"",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26"/>
      <c r="Z1009" s="319"/>
      <c r="AA1009" s="32" t="str" cm="1">
        <f t="array" ref="AA1009">IFERROR(IF(INDEX(SubsidieTabel!$AD$1:$AG$12,MATCH($F1009,SubsidieTabel!$AD$1:$AD$12,0),IFERROR(MATCH(Methode_Keuze,SubsidieTabel!$AD$1:$AG$1,0),2))&lt;&gt;1=TRUE,"ja",""),"")</f>
        <v/>
      </c>
    </row>
    <row r="1010" spans="1:27" x14ac:dyDescent="0.25">
      <c r="A1010" s="320"/>
      <c r="B1010" s="321" t="str">
        <f>IF(A1010&lt;&gt;"",_xlfn.MAXIFS($B$1:B1009,$A$1:A1009,A1010)+1,"")</f>
        <v/>
      </c>
      <c r="C1010" s="299"/>
      <c r="D1010" s="299"/>
      <c r="E1010" s="299"/>
      <c r="F1010" s="299"/>
      <c r="G1010" s="330"/>
      <c r="H1010" s="328"/>
      <c r="I1010" s="329"/>
      <c r="J1010" s="329"/>
      <c r="K1010" s="322"/>
      <c r="L1010" s="322"/>
      <c r="M1010" s="323" t="str">
        <f>IFERROR(VLOOKUP(H1010,Lijsten!$H$1:$I$100,2,0),"")</f>
        <v/>
      </c>
      <c r="N1010" s="323" t="str">
        <f ca="1">IFERROR(IF(VLOOKUP(F1010,Kostentypen!$A$3:$E$21,3,0)=0,"",IF(OR(F1010="Arbeidskosten",F1010="Vergoeding"),VLOOKUP(G1010,Tb_KostenTypen[],2,0),VLOOKUP(F1010,Kostentypen!$A$3:$E$20,3,0))),"")</f>
        <v/>
      </c>
      <c r="O1010" s="324"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4"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3"/>
      <c r="R1010" s="363"/>
      <c r="S1010" s="325"/>
      <c r="T1010" s="325"/>
      <c r="U1010" s="317" t="str" cm="1">
        <f t="array" aca="1" ref="U1010" ca="1">IFERROR(IF(AA1010&lt;&gt;"ja",_xlfn.IFNA(_xlfn.IFS(AND(O1010&lt;&gt;"",F1010&lt;&gt;"",RIGHT($N1010,6)="tarief",F1010="Vergoeding"),SUM(O1010)*FLOOR(SUM(Q1010),0.0001),AND(O1010&lt;&gt;"",F1010&lt;&gt;"",RIGHT($N1010,6)="tarief"),SUM(O1010)*FLOOR(SUM(Q1010),0.01),S1010&gt;0,IF(F1010&lt;&gt;"",FLOOR(SUM(S1010),0.01),"")),""),""),"")</f>
        <v/>
      </c>
      <c r="V1010" s="317" t="str" cm="1">
        <f t="array" aca="1" ref="V1010" ca="1">IFERROR(IF(AA1010&lt;&gt;"ja",_xlfn.IFNA(_xlfn.IFS(AND(P1010&lt;&gt;"",R1010&lt;&gt;"",RIGHT($N1010,6)="tarief",F1010="Vergoeding"),SUM(P1010)*FLOOR(SUM(R1010),0.0001),AND(P1010&lt;&gt;"",R1010&lt;&gt;"",RIGHT($N1010,6)="tarief"),P1010*FLOOR(R1010,0.01),T1010&gt;0,FLOOR(SUM(T1010),0.01)),""),""),"")</f>
        <v/>
      </c>
      <c r="W1010" s="317" t="str" cm="1">
        <f t="array" aca="1" ref="W1010" ca="1">IFERROR(_xlfn.IFS(OR(F1010="",LEFT(Methode_Keuze,4)="Geen",Methode_Keuze=""),"",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17" t="str" cm="1">
        <f t="array" aca="1" ref="X1010" ca="1">IFERROR(_xlfn.IFS(OR(F1010="",LEFT(Methode_Keuze,4)="Geen",Methode_Keuze=""),"",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26"/>
      <c r="Z1010" s="319"/>
      <c r="AA1010" s="32" t="str" cm="1">
        <f t="array" ref="AA1010">IFERROR(IF(INDEX(SubsidieTabel!$AD$1:$AG$12,MATCH($F1010,SubsidieTabel!$AD$1:$AD$12,0),IFERROR(MATCH(Methode_Keuze,SubsidieTabel!$AD$1:$AG$1,0),2))&lt;&gt;1=TRUE,"ja",""),"")</f>
        <v/>
      </c>
    </row>
    <row r="1011" spans="1:27" x14ac:dyDescent="0.25">
      <c r="A1011" s="320"/>
      <c r="B1011" s="321" t="str">
        <f>IF(A1011&lt;&gt;"",_xlfn.MAXIFS($B$1:B1010,$A$1:A1010,A1011)+1,"")</f>
        <v/>
      </c>
      <c r="C1011" s="299"/>
      <c r="D1011" s="299"/>
      <c r="E1011" s="299"/>
      <c r="F1011" s="299"/>
      <c r="G1011" s="330"/>
      <c r="H1011" s="328"/>
      <c r="I1011" s="329"/>
      <c r="J1011" s="329"/>
      <c r="K1011" s="322"/>
      <c r="L1011" s="322"/>
      <c r="M1011" s="323" t="str">
        <f>IFERROR(VLOOKUP(H1011,Lijsten!$H$1:$I$100,2,0),"")</f>
        <v/>
      </c>
      <c r="N1011" s="323" t="str">
        <f ca="1">IFERROR(IF(VLOOKUP(F1011,Kostentypen!$A$3:$E$21,3,0)=0,"",IF(OR(F1011="Arbeidskosten",F1011="Vergoeding"),VLOOKUP(G1011,Tb_KostenTypen[],2,0),VLOOKUP(F1011,Kostentypen!$A$3:$E$20,3,0))),"")</f>
        <v/>
      </c>
      <c r="O1011" s="324"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4"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3"/>
      <c r="R1011" s="363"/>
      <c r="S1011" s="325"/>
      <c r="T1011" s="325"/>
      <c r="U1011" s="317" t="str" cm="1">
        <f t="array" aca="1" ref="U1011" ca="1">IFERROR(IF(AA1011&lt;&gt;"ja",_xlfn.IFNA(_xlfn.IFS(AND(O1011&lt;&gt;"",F1011&lt;&gt;"",RIGHT($N1011,6)="tarief",F1011="Vergoeding"),SUM(O1011)*FLOOR(SUM(Q1011),0.0001),AND(O1011&lt;&gt;"",F1011&lt;&gt;"",RIGHT($N1011,6)="tarief"),SUM(O1011)*FLOOR(SUM(Q1011),0.01),S1011&gt;0,IF(F1011&lt;&gt;"",FLOOR(SUM(S1011),0.01),"")),""),""),"")</f>
        <v/>
      </c>
      <c r="V1011" s="317" t="str" cm="1">
        <f t="array" aca="1" ref="V1011" ca="1">IFERROR(IF(AA1011&lt;&gt;"ja",_xlfn.IFNA(_xlfn.IFS(AND(P1011&lt;&gt;"",R1011&lt;&gt;"",RIGHT($N1011,6)="tarief",F1011="Vergoeding"),SUM(P1011)*FLOOR(SUM(R1011),0.0001),AND(P1011&lt;&gt;"",R1011&lt;&gt;"",RIGHT($N1011,6)="tarief"),P1011*FLOOR(R1011,0.01),T1011&gt;0,FLOOR(SUM(T1011),0.01)),""),""),"")</f>
        <v/>
      </c>
      <c r="W1011" s="317" t="str" cm="1">
        <f t="array" aca="1" ref="W1011" ca="1">IFERROR(_xlfn.IFS(OR(F1011="",LEFT(Methode_Keuze,4)="Geen",Methode_Keuze=""),"",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17" t="str" cm="1">
        <f t="array" aca="1" ref="X1011" ca="1">IFERROR(_xlfn.IFS(OR(F1011="",LEFT(Methode_Keuze,4)="Geen",Methode_Keuze=""),"",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26"/>
      <c r="Z1011" s="319"/>
      <c r="AA1011" s="32" t="str" cm="1">
        <f t="array" ref="AA1011">IFERROR(IF(INDEX(SubsidieTabel!$AD$1:$AG$12,MATCH($F1011,SubsidieTabel!$AD$1:$AD$12,0),IFERROR(MATCH(Methode_Keuze,SubsidieTabel!$AD$1:$AG$1,0),2))&lt;&gt;1=TRUE,"ja",""),"")</f>
        <v/>
      </c>
    </row>
    <row r="1012" spans="1:27" x14ac:dyDescent="0.25">
      <c r="A1012" s="320"/>
      <c r="B1012" s="321" t="str">
        <f>IF(A1012&lt;&gt;"",_xlfn.MAXIFS($B$1:B1011,$A$1:A1011,A1012)+1,"")</f>
        <v/>
      </c>
      <c r="C1012" s="299"/>
      <c r="D1012" s="299"/>
      <c r="E1012" s="299"/>
      <c r="F1012" s="299"/>
      <c r="G1012" s="330"/>
      <c r="H1012" s="328"/>
      <c r="I1012" s="329"/>
      <c r="J1012" s="329"/>
      <c r="K1012" s="322"/>
      <c r="L1012" s="322"/>
      <c r="M1012" s="323" t="str">
        <f>IFERROR(VLOOKUP(H1012,Lijsten!$H$1:$I$100,2,0),"")</f>
        <v/>
      </c>
      <c r="N1012" s="323" t="str">
        <f ca="1">IFERROR(IF(VLOOKUP(F1012,Kostentypen!$A$3:$E$21,3,0)=0,"",IF(OR(F1012="Arbeidskosten",F1012="Vergoeding"),VLOOKUP(G1012,Tb_KostenTypen[],2,0),VLOOKUP(F1012,Kostentypen!$A$3:$E$20,3,0))),"")</f>
        <v/>
      </c>
      <c r="O1012" s="324"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4"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3"/>
      <c r="R1012" s="363"/>
      <c r="S1012" s="325"/>
      <c r="T1012" s="325"/>
      <c r="U1012" s="317" t="str" cm="1">
        <f t="array" aca="1" ref="U1012" ca="1">IFERROR(IF(AA1012&lt;&gt;"ja",_xlfn.IFNA(_xlfn.IFS(AND(O1012&lt;&gt;"",F1012&lt;&gt;"",RIGHT($N1012,6)="tarief",F1012="Vergoeding"),SUM(O1012)*FLOOR(SUM(Q1012),0.0001),AND(O1012&lt;&gt;"",F1012&lt;&gt;"",RIGHT($N1012,6)="tarief"),SUM(O1012)*FLOOR(SUM(Q1012),0.01),S1012&gt;0,IF(F1012&lt;&gt;"",FLOOR(SUM(S1012),0.01),"")),""),""),"")</f>
        <v/>
      </c>
      <c r="V1012" s="317" t="str" cm="1">
        <f t="array" aca="1" ref="V1012" ca="1">IFERROR(IF(AA1012&lt;&gt;"ja",_xlfn.IFNA(_xlfn.IFS(AND(P1012&lt;&gt;"",R1012&lt;&gt;"",RIGHT($N1012,6)="tarief",F1012="Vergoeding"),SUM(P1012)*FLOOR(SUM(R1012),0.0001),AND(P1012&lt;&gt;"",R1012&lt;&gt;"",RIGHT($N1012,6)="tarief"),P1012*FLOOR(R1012,0.01),T1012&gt;0,FLOOR(SUM(T1012),0.01)),""),""),"")</f>
        <v/>
      </c>
      <c r="W1012" s="317" t="str" cm="1">
        <f t="array" aca="1" ref="W1012" ca="1">IFERROR(_xlfn.IFS(OR(F1012="",LEFT(Methode_Keuze,4)="Geen",Methode_Keuze=""),"",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17" t="str" cm="1">
        <f t="array" aca="1" ref="X1012" ca="1">IFERROR(_xlfn.IFS(OR(F1012="",LEFT(Methode_Keuze,4)="Geen",Methode_Keuze=""),"",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26"/>
      <c r="Z1012" s="319"/>
      <c r="AA1012" s="32" t="str" cm="1">
        <f t="array" ref="AA1012">IFERROR(IF(INDEX(SubsidieTabel!$AD$1:$AG$12,MATCH($F1012,SubsidieTabel!$AD$1:$AD$12,0),IFERROR(MATCH(Methode_Keuze,SubsidieTabel!$AD$1:$AG$1,0),2))&lt;&gt;1=TRUE,"ja",""),"")</f>
        <v/>
      </c>
    </row>
    <row r="1013" spans="1:27" x14ac:dyDescent="0.25">
      <c r="A1013" s="320"/>
      <c r="B1013" s="321" t="str">
        <f>IF(A1013&lt;&gt;"",_xlfn.MAXIFS($B$1:B1012,$A$1:A1012,A1013)+1,"")</f>
        <v/>
      </c>
      <c r="C1013" s="299"/>
      <c r="D1013" s="299"/>
      <c r="E1013" s="299"/>
      <c r="F1013" s="299"/>
      <c r="G1013" s="330"/>
      <c r="H1013" s="328"/>
      <c r="I1013" s="329"/>
      <c r="J1013" s="329"/>
      <c r="K1013" s="322"/>
      <c r="L1013" s="322"/>
      <c r="M1013" s="323" t="str">
        <f>IFERROR(VLOOKUP(H1013,Lijsten!$H$1:$I$100,2,0),"")</f>
        <v/>
      </c>
      <c r="N1013" s="323" t="str">
        <f ca="1">IFERROR(IF(VLOOKUP(F1013,Kostentypen!$A$3:$E$21,3,0)=0,"",IF(OR(F1013="Arbeidskosten",F1013="Vergoeding"),VLOOKUP(G1013,Tb_KostenTypen[],2,0),VLOOKUP(F1013,Kostentypen!$A$3:$E$20,3,0))),"")</f>
        <v/>
      </c>
      <c r="O1013" s="324"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4"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3"/>
      <c r="R1013" s="363"/>
      <c r="S1013" s="325"/>
      <c r="T1013" s="325"/>
      <c r="U1013" s="317" t="str" cm="1">
        <f t="array" aca="1" ref="U1013" ca="1">IFERROR(IF(AA1013&lt;&gt;"ja",_xlfn.IFNA(_xlfn.IFS(AND(O1013&lt;&gt;"",F1013&lt;&gt;"",RIGHT($N1013,6)="tarief",F1013="Vergoeding"),SUM(O1013)*FLOOR(SUM(Q1013),0.0001),AND(O1013&lt;&gt;"",F1013&lt;&gt;"",RIGHT($N1013,6)="tarief"),SUM(O1013)*FLOOR(SUM(Q1013),0.01),S1013&gt;0,IF(F1013&lt;&gt;"",FLOOR(SUM(S1013),0.01),"")),""),""),"")</f>
        <v/>
      </c>
      <c r="V1013" s="317" t="str" cm="1">
        <f t="array" aca="1" ref="V1013" ca="1">IFERROR(IF(AA1013&lt;&gt;"ja",_xlfn.IFNA(_xlfn.IFS(AND(P1013&lt;&gt;"",R1013&lt;&gt;"",RIGHT($N1013,6)="tarief",F1013="Vergoeding"),SUM(P1013)*FLOOR(SUM(R1013),0.0001),AND(P1013&lt;&gt;"",R1013&lt;&gt;"",RIGHT($N1013,6)="tarief"),P1013*FLOOR(R1013,0.01),T1013&gt;0,FLOOR(SUM(T1013),0.01)),""),""),"")</f>
        <v/>
      </c>
      <c r="W1013" s="317" t="str" cm="1">
        <f t="array" aca="1" ref="W1013" ca="1">IFERROR(_xlfn.IFS(OR(F1013="",LEFT(Methode_Keuze,4)="Geen",Methode_Keuze=""),"",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17" t="str" cm="1">
        <f t="array" aca="1" ref="X1013" ca="1">IFERROR(_xlfn.IFS(OR(F1013="",LEFT(Methode_Keuze,4)="Geen",Methode_Keuze=""),"",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26"/>
      <c r="Z1013" s="319"/>
      <c r="AA1013" s="32" t="str" cm="1">
        <f t="array" ref="AA1013">IFERROR(IF(INDEX(SubsidieTabel!$AD$1:$AG$12,MATCH($F1013,SubsidieTabel!$AD$1:$AD$12,0),IFERROR(MATCH(Methode_Keuze,SubsidieTabel!$AD$1:$AG$1,0),2))&lt;&gt;1=TRUE,"ja",""),"")</f>
        <v/>
      </c>
    </row>
    <row r="1014" spans="1:27" x14ac:dyDescent="0.25">
      <c r="A1014" s="320"/>
      <c r="B1014" s="321" t="str">
        <f>IF(A1014&lt;&gt;"",_xlfn.MAXIFS($B$1:B1013,$A$1:A1013,A1014)+1,"")</f>
        <v/>
      </c>
      <c r="C1014" s="299"/>
      <c r="D1014" s="299"/>
      <c r="E1014" s="299"/>
      <c r="F1014" s="299"/>
      <c r="G1014" s="330"/>
      <c r="H1014" s="328"/>
      <c r="I1014" s="329"/>
      <c r="J1014" s="329"/>
      <c r="K1014" s="322"/>
      <c r="L1014" s="322"/>
      <c r="M1014" s="323" t="str">
        <f>IFERROR(VLOOKUP(H1014,Lijsten!$H$1:$I$100,2,0),"")</f>
        <v/>
      </c>
      <c r="N1014" s="323" t="str">
        <f ca="1">IFERROR(IF(VLOOKUP(F1014,Kostentypen!$A$3:$E$21,3,0)=0,"",IF(OR(F1014="Arbeidskosten",F1014="Vergoeding"),VLOOKUP(G1014,Tb_KostenTypen[],2,0),VLOOKUP(F1014,Kostentypen!$A$3:$E$20,3,0))),"")</f>
        <v/>
      </c>
      <c r="O1014" s="324"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4"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3"/>
      <c r="R1014" s="363"/>
      <c r="S1014" s="325"/>
      <c r="T1014" s="325"/>
      <c r="U1014" s="317" t="str" cm="1">
        <f t="array" aca="1" ref="U1014" ca="1">IFERROR(IF(AA1014&lt;&gt;"ja",_xlfn.IFNA(_xlfn.IFS(AND(O1014&lt;&gt;"",F1014&lt;&gt;"",RIGHT($N1014,6)="tarief",F1014="Vergoeding"),SUM(O1014)*FLOOR(SUM(Q1014),0.0001),AND(O1014&lt;&gt;"",F1014&lt;&gt;"",RIGHT($N1014,6)="tarief"),SUM(O1014)*FLOOR(SUM(Q1014),0.01),S1014&gt;0,IF(F1014&lt;&gt;"",FLOOR(SUM(S1014),0.01),"")),""),""),"")</f>
        <v/>
      </c>
      <c r="V1014" s="317" t="str" cm="1">
        <f t="array" aca="1" ref="V1014" ca="1">IFERROR(IF(AA1014&lt;&gt;"ja",_xlfn.IFNA(_xlfn.IFS(AND(P1014&lt;&gt;"",R1014&lt;&gt;"",RIGHT($N1014,6)="tarief",F1014="Vergoeding"),SUM(P1014)*FLOOR(SUM(R1014),0.0001),AND(P1014&lt;&gt;"",R1014&lt;&gt;"",RIGHT($N1014,6)="tarief"),P1014*FLOOR(R1014,0.01),T1014&gt;0,FLOOR(SUM(T1014),0.01)),""),""),"")</f>
        <v/>
      </c>
      <c r="W1014" s="317" t="str" cm="1">
        <f t="array" aca="1" ref="W1014" ca="1">IFERROR(_xlfn.IFS(OR(F1014="",LEFT(Methode_Keuze,4)="Geen",Methode_Keuze=""),"",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17" t="str" cm="1">
        <f t="array" aca="1" ref="X1014" ca="1">IFERROR(_xlfn.IFS(OR(F1014="",LEFT(Methode_Keuze,4)="Geen",Methode_Keuze=""),"",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26"/>
      <c r="Z1014" s="319"/>
      <c r="AA1014" s="32" t="str" cm="1">
        <f t="array" ref="AA1014">IFERROR(IF(INDEX(SubsidieTabel!$AD$1:$AG$12,MATCH($F1014,SubsidieTabel!$AD$1:$AD$12,0),IFERROR(MATCH(Methode_Keuze,SubsidieTabel!$AD$1:$AG$1,0),2))&lt;&gt;1=TRUE,"ja",""),"")</f>
        <v/>
      </c>
    </row>
    <row r="1015" spans="1:27" x14ac:dyDescent="0.25">
      <c r="A1015" s="320"/>
      <c r="B1015" s="321" t="str">
        <f>IF(A1015&lt;&gt;"",_xlfn.MAXIFS($B$1:B1014,$A$1:A1014,A1015)+1,"")</f>
        <v/>
      </c>
      <c r="C1015" s="299"/>
      <c r="D1015" s="299"/>
      <c r="E1015" s="299"/>
      <c r="F1015" s="299"/>
      <c r="G1015" s="330"/>
      <c r="H1015" s="328"/>
      <c r="I1015" s="329"/>
      <c r="J1015" s="329"/>
      <c r="K1015" s="322"/>
      <c r="L1015" s="322"/>
      <c r="M1015" s="323" t="str">
        <f>IFERROR(VLOOKUP(H1015,Lijsten!$H$1:$I$100,2,0),"")</f>
        <v/>
      </c>
      <c r="N1015" s="323" t="str">
        <f ca="1">IFERROR(IF(VLOOKUP(F1015,Kostentypen!$A$3:$E$21,3,0)=0,"",IF(OR(F1015="Arbeidskosten",F1015="Vergoeding"),VLOOKUP(G1015,Tb_KostenTypen[],2,0),VLOOKUP(F1015,Kostentypen!$A$3:$E$20,3,0))),"")</f>
        <v/>
      </c>
      <c r="O1015" s="324"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4"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3"/>
      <c r="R1015" s="363"/>
      <c r="S1015" s="325"/>
      <c r="T1015" s="325"/>
      <c r="U1015" s="317" t="str" cm="1">
        <f t="array" aca="1" ref="U1015" ca="1">IFERROR(IF(AA1015&lt;&gt;"ja",_xlfn.IFNA(_xlfn.IFS(AND(O1015&lt;&gt;"",F1015&lt;&gt;"",RIGHT($N1015,6)="tarief",F1015="Vergoeding"),SUM(O1015)*FLOOR(SUM(Q1015),0.0001),AND(O1015&lt;&gt;"",F1015&lt;&gt;"",RIGHT($N1015,6)="tarief"),SUM(O1015)*FLOOR(SUM(Q1015),0.01),S1015&gt;0,IF(F1015&lt;&gt;"",FLOOR(SUM(S1015),0.01),"")),""),""),"")</f>
        <v/>
      </c>
      <c r="V1015" s="317" t="str" cm="1">
        <f t="array" aca="1" ref="V1015" ca="1">IFERROR(IF(AA1015&lt;&gt;"ja",_xlfn.IFNA(_xlfn.IFS(AND(P1015&lt;&gt;"",R1015&lt;&gt;"",RIGHT($N1015,6)="tarief",F1015="Vergoeding"),SUM(P1015)*FLOOR(SUM(R1015),0.0001),AND(P1015&lt;&gt;"",R1015&lt;&gt;"",RIGHT($N1015,6)="tarief"),P1015*FLOOR(R1015,0.01),T1015&gt;0,FLOOR(SUM(T1015),0.01)),""),""),"")</f>
        <v/>
      </c>
      <c r="W1015" s="317" t="str" cm="1">
        <f t="array" aca="1" ref="W1015" ca="1">IFERROR(_xlfn.IFS(OR(F1015="",LEFT(Methode_Keuze,4)="Geen",Methode_Keuze=""),"",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17" t="str" cm="1">
        <f t="array" aca="1" ref="X1015" ca="1">IFERROR(_xlfn.IFS(OR(F1015="",LEFT(Methode_Keuze,4)="Geen",Methode_Keuze=""),"",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26"/>
      <c r="Z1015" s="319"/>
      <c r="AA1015" s="32" t="str" cm="1">
        <f t="array" ref="AA1015">IFERROR(IF(INDEX(SubsidieTabel!$AD$1:$AG$12,MATCH($F1015,SubsidieTabel!$AD$1:$AD$12,0),IFERROR(MATCH(Methode_Keuze,SubsidieTabel!$AD$1:$AG$1,0),2))&lt;&gt;1=TRUE,"ja",""),"")</f>
        <v/>
      </c>
    </row>
    <row r="1016" spans="1:27" x14ac:dyDescent="0.25">
      <c r="A1016" s="320"/>
      <c r="B1016" s="321" t="str">
        <f>IF(A1016&lt;&gt;"",_xlfn.MAXIFS($B$1:B1015,$A$1:A1015,A1016)+1,"")</f>
        <v/>
      </c>
      <c r="C1016" s="299"/>
      <c r="D1016" s="299"/>
      <c r="E1016" s="299"/>
      <c r="F1016" s="299"/>
      <c r="G1016" s="330"/>
      <c r="H1016" s="328"/>
      <c r="I1016" s="329"/>
      <c r="J1016" s="329"/>
      <c r="K1016" s="322"/>
      <c r="L1016" s="322"/>
      <c r="M1016" s="323" t="str">
        <f>IFERROR(VLOOKUP(H1016,Lijsten!$H$1:$I$100,2,0),"")</f>
        <v/>
      </c>
      <c r="N1016" s="323" t="str">
        <f ca="1">IFERROR(IF(VLOOKUP(F1016,Kostentypen!$A$3:$E$21,3,0)=0,"",IF(OR(F1016="Arbeidskosten",F1016="Vergoeding"),VLOOKUP(G1016,Tb_KostenTypen[],2,0),VLOOKUP(F1016,Kostentypen!$A$3:$E$20,3,0))),"")</f>
        <v/>
      </c>
      <c r="O1016" s="324"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4"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3"/>
      <c r="R1016" s="363"/>
      <c r="S1016" s="325"/>
      <c r="T1016" s="325"/>
      <c r="U1016" s="317" t="str" cm="1">
        <f t="array" aca="1" ref="U1016" ca="1">IFERROR(IF(AA1016&lt;&gt;"ja",_xlfn.IFNA(_xlfn.IFS(AND(O1016&lt;&gt;"",F1016&lt;&gt;"",RIGHT($N1016,6)="tarief",F1016="Vergoeding"),SUM(O1016)*FLOOR(SUM(Q1016),0.0001),AND(O1016&lt;&gt;"",F1016&lt;&gt;"",RIGHT($N1016,6)="tarief"),SUM(O1016)*FLOOR(SUM(Q1016),0.01),S1016&gt;0,IF(F1016&lt;&gt;"",FLOOR(SUM(S1016),0.01),"")),""),""),"")</f>
        <v/>
      </c>
      <c r="V1016" s="317" t="str" cm="1">
        <f t="array" aca="1" ref="V1016" ca="1">IFERROR(IF(AA1016&lt;&gt;"ja",_xlfn.IFNA(_xlfn.IFS(AND(P1016&lt;&gt;"",R1016&lt;&gt;"",RIGHT($N1016,6)="tarief",F1016="Vergoeding"),SUM(P1016)*FLOOR(SUM(R1016),0.0001),AND(P1016&lt;&gt;"",R1016&lt;&gt;"",RIGHT($N1016,6)="tarief"),P1016*FLOOR(R1016,0.01),T1016&gt;0,FLOOR(SUM(T1016),0.01)),""),""),"")</f>
        <v/>
      </c>
      <c r="W1016" s="317" t="str" cm="1">
        <f t="array" aca="1" ref="W1016" ca="1">IFERROR(_xlfn.IFS(OR(F1016="",LEFT(Methode_Keuze,4)="Geen",Methode_Keuze=""),"",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17" t="str" cm="1">
        <f t="array" aca="1" ref="X1016" ca="1">IFERROR(_xlfn.IFS(OR(F1016="",LEFT(Methode_Keuze,4)="Geen",Methode_Keuze=""),"",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26"/>
      <c r="Z1016" s="319"/>
      <c r="AA1016" s="32" t="str" cm="1">
        <f t="array" ref="AA1016">IFERROR(IF(INDEX(SubsidieTabel!$AD$1:$AG$12,MATCH($F1016,SubsidieTabel!$AD$1:$AD$12,0),IFERROR(MATCH(Methode_Keuze,SubsidieTabel!$AD$1:$AG$1,0),2))&lt;&gt;1=TRUE,"ja",""),"")</f>
        <v/>
      </c>
    </row>
    <row r="1017" spans="1:27" x14ac:dyDescent="0.25">
      <c r="A1017" s="320"/>
      <c r="B1017" s="321" t="str">
        <f>IF(A1017&lt;&gt;"",_xlfn.MAXIFS($B$1:B1016,$A$1:A1016,A1017)+1,"")</f>
        <v/>
      </c>
      <c r="C1017" s="299"/>
      <c r="D1017" s="299"/>
      <c r="E1017" s="299"/>
      <c r="F1017" s="299"/>
      <c r="G1017" s="330"/>
      <c r="H1017" s="328"/>
      <c r="I1017" s="329"/>
      <c r="J1017" s="329"/>
      <c r="K1017" s="322"/>
      <c r="L1017" s="322"/>
      <c r="M1017" s="323" t="str">
        <f>IFERROR(VLOOKUP(H1017,Lijsten!$H$1:$I$100,2,0),"")</f>
        <v/>
      </c>
      <c r="N1017" s="323" t="str">
        <f ca="1">IFERROR(IF(VLOOKUP(F1017,Kostentypen!$A$3:$E$21,3,0)=0,"",IF(OR(F1017="Arbeidskosten",F1017="Vergoeding"),VLOOKUP(G1017,Tb_KostenTypen[],2,0),VLOOKUP(F1017,Kostentypen!$A$3:$E$20,3,0))),"")</f>
        <v/>
      </c>
      <c r="O1017" s="324"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4"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3"/>
      <c r="R1017" s="363"/>
      <c r="S1017" s="325"/>
      <c r="T1017" s="325"/>
      <c r="U1017" s="317" t="str" cm="1">
        <f t="array" aca="1" ref="U1017" ca="1">IFERROR(IF(AA1017&lt;&gt;"ja",_xlfn.IFNA(_xlfn.IFS(AND(O1017&lt;&gt;"",F1017&lt;&gt;"",RIGHT($N1017,6)="tarief",F1017="Vergoeding"),SUM(O1017)*FLOOR(SUM(Q1017),0.0001),AND(O1017&lt;&gt;"",F1017&lt;&gt;"",RIGHT($N1017,6)="tarief"),SUM(O1017)*FLOOR(SUM(Q1017),0.01),S1017&gt;0,IF(F1017&lt;&gt;"",FLOOR(SUM(S1017),0.01),"")),""),""),"")</f>
        <v/>
      </c>
      <c r="V1017" s="317" t="str" cm="1">
        <f t="array" aca="1" ref="V1017" ca="1">IFERROR(IF(AA1017&lt;&gt;"ja",_xlfn.IFNA(_xlfn.IFS(AND(P1017&lt;&gt;"",R1017&lt;&gt;"",RIGHT($N1017,6)="tarief",F1017="Vergoeding"),SUM(P1017)*FLOOR(SUM(R1017),0.0001),AND(P1017&lt;&gt;"",R1017&lt;&gt;"",RIGHT($N1017,6)="tarief"),P1017*FLOOR(R1017,0.01),T1017&gt;0,FLOOR(SUM(T1017),0.01)),""),""),"")</f>
        <v/>
      </c>
      <c r="W1017" s="317" t="str" cm="1">
        <f t="array" aca="1" ref="W1017" ca="1">IFERROR(_xlfn.IFS(OR(F1017="",LEFT(Methode_Keuze,4)="Geen",Methode_Keuze=""),"",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17" t="str" cm="1">
        <f t="array" aca="1" ref="X1017" ca="1">IFERROR(_xlfn.IFS(OR(F1017="",LEFT(Methode_Keuze,4)="Geen",Methode_Keuze=""),"",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26"/>
      <c r="Z1017" s="319"/>
      <c r="AA1017" s="32" t="str" cm="1">
        <f t="array" ref="AA1017">IFERROR(IF(INDEX(SubsidieTabel!$AD$1:$AG$12,MATCH($F1017,SubsidieTabel!$AD$1:$AD$12,0),IFERROR(MATCH(Methode_Keuze,SubsidieTabel!$AD$1:$AG$1,0),2))&lt;&gt;1=TRUE,"ja",""),"")</f>
        <v/>
      </c>
    </row>
    <row r="1018" spans="1:27" x14ac:dyDescent="0.25">
      <c r="A1018" s="320"/>
      <c r="B1018" s="321" t="str">
        <f>IF(A1018&lt;&gt;"",_xlfn.MAXIFS($B$1:B1017,$A$1:A1017,A1018)+1,"")</f>
        <v/>
      </c>
      <c r="C1018" s="299"/>
      <c r="D1018" s="299"/>
      <c r="E1018" s="299"/>
      <c r="F1018" s="299"/>
      <c r="G1018" s="330"/>
      <c r="H1018" s="328"/>
      <c r="I1018" s="329"/>
      <c r="J1018" s="329"/>
      <c r="K1018" s="322"/>
      <c r="L1018" s="322"/>
      <c r="M1018" s="323" t="str">
        <f>IFERROR(VLOOKUP(H1018,Lijsten!$H$1:$I$100,2,0),"")</f>
        <v/>
      </c>
      <c r="N1018" s="323" t="str">
        <f ca="1">IFERROR(IF(VLOOKUP(F1018,Kostentypen!$A$3:$E$21,3,0)=0,"",IF(OR(F1018="Arbeidskosten",F1018="Vergoeding"),VLOOKUP(G1018,Tb_KostenTypen[],2,0),VLOOKUP(F1018,Kostentypen!$A$3:$E$20,3,0))),"")</f>
        <v/>
      </c>
      <c r="O1018" s="324"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4"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3"/>
      <c r="R1018" s="363"/>
      <c r="S1018" s="325"/>
      <c r="T1018" s="325"/>
      <c r="U1018" s="317" t="str" cm="1">
        <f t="array" aca="1" ref="U1018" ca="1">IFERROR(IF(AA1018&lt;&gt;"ja",_xlfn.IFNA(_xlfn.IFS(AND(O1018&lt;&gt;"",F1018&lt;&gt;"",RIGHT($N1018,6)="tarief",F1018="Vergoeding"),SUM(O1018)*FLOOR(SUM(Q1018),0.0001),AND(O1018&lt;&gt;"",F1018&lt;&gt;"",RIGHT($N1018,6)="tarief"),SUM(O1018)*FLOOR(SUM(Q1018),0.01),S1018&gt;0,IF(F1018&lt;&gt;"",FLOOR(SUM(S1018),0.01),"")),""),""),"")</f>
        <v/>
      </c>
      <c r="V1018" s="317" t="str" cm="1">
        <f t="array" aca="1" ref="V1018" ca="1">IFERROR(IF(AA1018&lt;&gt;"ja",_xlfn.IFNA(_xlfn.IFS(AND(P1018&lt;&gt;"",R1018&lt;&gt;"",RIGHT($N1018,6)="tarief",F1018="Vergoeding"),SUM(P1018)*FLOOR(SUM(R1018),0.0001),AND(P1018&lt;&gt;"",R1018&lt;&gt;"",RIGHT($N1018,6)="tarief"),P1018*FLOOR(R1018,0.01),T1018&gt;0,FLOOR(SUM(T1018),0.01)),""),""),"")</f>
        <v/>
      </c>
      <c r="W1018" s="317" t="str" cm="1">
        <f t="array" aca="1" ref="W1018" ca="1">IFERROR(_xlfn.IFS(OR(F1018="",LEFT(Methode_Keuze,4)="Geen",Methode_Keuze=""),"",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17" t="str" cm="1">
        <f t="array" aca="1" ref="X1018" ca="1">IFERROR(_xlfn.IFS(OR(F1018="",LEFT(Methode_Keuze,4)="Geen",Methode_Keuze=""),"",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26"/>
      <c r="Z1018" s="319"/>
      <c r="AA1018" s="32" t="str" cm="1">
        <f t="array" ref="AA1018">IFERROR(IF(INDEX(SubsidieTabel!$AD$1:$AG$12,MATCH($F1018,SubsidieTabel!$AD$1:$AD$12,0),IFERROR(MATCH(Methode_Keuze,SubsidieTabel!$AD$1:$AG$1,0),2))&lt;&gt;1=TRUE,"ja",""),"")</f>
        <v/>
      </c>
    </row>
    <row r="1019" spans="1:27" x14ac:dyDescent="0.25">
      <c r="A1019" s="320"/>
      <c r="B1019" s="321" t="str">
        <f>IF(A1019&lt;&gt;"",_xlfn.MAXIFS($B$1:B1018,$A$1:A1018,A1019)+1,"")</f>
        <v/>
      </c>
      <c r="C1019" s="299"/>
      <c r="D1019" s="299"/>
      <c r="E1019" s="299"/>
      <c r="F1019" s="299"/>
      <c r="G1019" s="330"/>
      <c r="H1019" s="328"/>
      <c r="I1019" s="329"/>
      <c r="J1019" s="329"/>
      <c r="K1019" s="322"/>
      <c r="L1019" s="322"/>
      <c r="M1019" s="323" t="str">
        <f>IFERROR(VLOOKUP(H1019,Lijsten!$H$1:$I$100,2,0),"")</f>
        <v/>
      </c>
      <c r="N1019" s="323" t="str">
        <f ca="1">IFERROR(IF(VLOOKUP(F1019,Kostentypen!$A$3:$E$21,3,0)=0,"",IF(OR(F1019="Arbeidskosten",F1019="Vergoeding"),VLOOKUP(G1019,Tb_KostenTypen[],2,0),VLOOKUP(F1019,Kostentypen!$A$3:$E$20,3,0))),"")</f>
        <v/>
      </c>
      <c r="O1019" s="324"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4"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3"/>
      <c r="R1019" s="363"/>
      <c r="S1019" s="325"/>
      <c r="T1019" s="325"/>
      <c r="U1019" s="317" t="str" cm="1">
        <f t="array" aca="1" ref="U1019" ca="1">IFERROR(IF(AA1019&lt;&gt;"ja",_xlfn.IFNA(_xlfn.IFS(AND(O1019&lt;&gt;"",F1019&lt;&gt;"",RIGHT($N1019,6)="tarief",F1019="Vergoeding"),SUM(O1019)*FLOOR(SUM(Q1019),0.0001),AND(O1019&lt;&gt;"",F1019&lt;&gt;"",RIGHT($N1019,6)="tarief"),SUM(O1019)*FLOOR(SUM(Q1019),0.01),S1019&gt;0,IF(F1019&lt;&gt;"",FLOOR(SUM(S1019),0.01),"")),""),""),"")</f>
        <v/>
      </c>
      <c r="V1019" s="317" t="str" cm="1">
        <f t="array" aca="1" ref="V1019" ca="1">IFERROR(IF(AA1019&lt;&gt;"ja",_xlfn.IFNA(_xlfn.IFS(AND(P1019&lt;&gt;"",R1019&lt;&gt;"",RIGHT($N1019,6)="tarief",F1019="Vergoeding"),SUM(P1019)*FLOOR(SUM(R1019),0.0001),AND(P1019&lt;&gt;"",R1019&lt;&gt;"",RIGHT($N1019,6)="tarief"),P1019*FLOOR(R1019,0.01),T1019&gt;0,FLOOR(SUM(T1019),0.01)),""),""),"")</f>
        <v/>
      </c>
      <c r="W1019" s="317" t="str" cm="1">
        <f t="array" aca="1" ref="W1019" ca="1">IFERROR(_xlfn.IFS(OR(F1019="",LEFT(Methode_Keuze,4)="Geen",Methode_Keuze=""),"",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17" t="str" cm="1">
        <f t="array" aca="1" ref="X1019" ca="1">IFERROR(_xlfn.IFS(OR(F1019="",LEFT(Methode_Keuze,4)="Geen",Methode_Keuze=""),"",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26"/>
      <c r="Z1019" s="319"/>
      <c r="AA1019" s="32" t="str" cm="1">
        <f t="array" ref="AA1019">IFERROR(IF(INDEX(SubsidieTabel!$AD$1:$AG$12,MATCH($F1019,SubsidieTabel!$AD$1:$AD$12,0),IFERROR(MATCH(Methode_Keuze,SubsidieTabel!$AD$1:$AG$1,0),2))&lt;&gt;1=TRUE,"ja",""),"")</f>
        <v/>
      </c>
    </row>
    <row r="1020" spans="1:27" x14ac:dyDescent="0.25">
      <c r="A1020" s="320"/>
      <c r="B1020" s="321" t="str">
        <f>IF(A1020&lt;&gt;"",_xlfn.MAXIFS($B$1:B1019,$A$1:A1019,A1020)+1,"")</f>
        <v/>
      </c>
      <c r="C1020" s="299"/>
      <c r="D1020" s="299"/>
      <c r="E1020" s="299"/>
      <c r="F1020" s="299"/>
      <c r="G1020" s="330"/>
      <c r="H1020" s="328"/>
      <c r="I1020" s="329"/>
      <c r="J1020" s="329"/>
      <c r="K1020" s="322"/>
      <c r="L1020" s="322"/>
      <c r="M1020" s="323" t="str">
        <f>IFERROR(VLOOKUP(H1020,Lijsten!$H$1:$I$100,2,0),"")</f>
        <v/>
      </c>
      <c r="N1020" s="323" t="str">
        <f ca="1">IFERROR(IF(VLOOKUP(F1020,Kostentypen!$A$3:$E$21,3,0)=0,"",IF(OR(F1020="Arbeidskosten",F1020="Vergoeding"),VLOOKUP(G1020,Tb_KostenTypen[],2,0),VLOOKUP(F1020,Kostentypen!$A$3:$E$20,3,0))),"")</f>
        <v/>
      </c>
      <c r="O1020" s="324"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4"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3"/>
      <c r="R1020" s="363"/>
      <c r="S1020" s="325"/>
      <c r="T1020" s="325"/>
      <c r="U1020" s="317" t="str" cm="1">
        <f t="array" aca="1" ref="U1020" ca="1">IFERROR(IF(AA1020&lt;&gt;"ja",_xlfn.IFNA(_xlfn.IFS(AND(O1020&lt;&gt;"",F1020&lt;&gt;"",RIGHT($N1020,6)="tarief",F1020="Vergoeding"),SUM(O1020)*FLOOR(SUM(Q1020),0.0001),AND(O1020&lt;&gt;"",F1020&lt;&gt;"",RIGHT($N1020,6)="tarief"),SUM(O1020)*FLOOR(SUM(Q1020),0.01),S1020&gt;0,IF(F1020&lt;&gt;"",FLOOR(SUM(S1020),0.01),"")),""),""),"")</f>
        <v/>
      </c>
      <c r="V1020" s="317" t="str" cm="1">
        <f t="array" aca="1" ref="V1020" ca="1">IFERROR(IF(AA1020&lt;&gt;"ja",_xlfn.IFNA(_xlfn.IFS(AND(P1020&lt;&gt;"",R1020&lt;&gt;"",RIGHT($N1020,6)="tarief",F1020="Vergoeding"),SUM(P1020)*FLOOR(SUM(R1020),0.0001),AND(P1020&lt;&gt;"",R1020&lt;&gt;"",RIGHT($N1020,6)="tarief"),P1020*FLOOR(R1020,0.01),T1020&gt;0,FLOOR(SUM(T1020),0.01)),""),""),"")</f>
        <v/>
      </c>
      <c r="W1020" s="317" t="str" cm="1">
        <f t="array" aca="1" ref="W1020" ca="1">IFERROR(_xlfn.IFS(OR(F1020="",LEFT(Methode_Keuze,4)="Geen",Methode_Keuze=""),"",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17" t="str" cm="1">
        <f t="array" aca="1" ref="X1020" ca="1">IFERROR(_xlfn.IFS(OR(F1020="",LEFT(Methode_Keuze,4)="Geen",Methode_Keuze=""),"",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26"/>
      <c r="Z1020" s="319"/>
      <c r="AA1020" s="32" t="str" cm="1">
        <f t="array" ref="AA1020">IFERROR(IF(INDEX(SubsidieTabel!$AD$1:$AG$12,MATCH($F1020,SubsidieTabel!$AD$1:$AD$12,0),IFERROR(MATCH(Methode_Keuze,SubsidieTabel!$AD$1:$AG$1,0),2))&lt;&gt;1=TRUE,"ja",""),"")</f>
        <v/>
      </c>
    </row>
    <row r="1021" spans="1:27" x14ac:dyDescent="0.25">
      <c r="A1021" s="320"/>
      <c r="B1021" s="321" t="str">
        <f>IF(A1021&lt;&gt;"",_xlfn.MAXIFS($B$1:B1020,$A$1:A1020,A1021)+1,"")</f>
        <v/>
      </c>
      <c r="C1021" s="299"/>
      <c r="D1021" s="299"/>
      <c r="E1021" s="299"/>
      <c r="F1021" s="299"/>
      <c r="G1021" s="330"/>
      <c r="H1021" s="328"/>
      <c r="I1021" s="329"/>
      <c r="J1021" s="329"/>
      <c r="K1021" s="322"/>
      <c r="L1021" s="322"/>
      <c r="M1021" s="323" t="str">
        <f>IFERROR(VLOOKUP(H1021,Lijsten!$H$1:$I$100,2,0),"")</f>
        <v/>
      </c>
      <c r="N1021" s="323" t="str">
        <f ca="1">IFERROR(IF(VLOOKUP(F1021,Kostentypen!$A$3:$E$21,3,0)=0,"",IF(OR(F1021="Arbeidskosten",F1021="Vergoeding"),VLOOKUP(G1021,Tb_KostenTypen[],2,0),VLOOKUP(F1021,Kostentypen!$A$3:$E$20,3,0))),"")</f>
        <v/>
      </c>
      <c r="O1021" s="324"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4"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3"/>
      <c r="R1021" s="363"/>
      <c r="S1021" s="325"/>
      <c r="T1021" s="325"/>
      <c r="U1021" s="317" t="str" cm="1">
        <f t="array" aca="1" ref="U1021" ca="1">IFERROR(IF(AA1021&lt;&gt;"ja",_xlfn.IFNA(_xlfn.IFS(AND(O1021&lt;&gt;"",F1021&lt;&gt;"",RIGHT($N1021,6)="tarief",F1021="Vergoeding"),SUM(O1021)*FLOOR(SUM(Q1021),0.0001),AND(O1021&lt;&gt;"",F1021&lt;&gt;"",RIGHT($N1021,6)="tarief"),SUM(O1021)*FLOOR(SUM(Q1021),0.01),S1021&gt;0,IF(F1021&lt;&gt;"",FLOOR(SUM(S1021),0.01),"")),""),""),"")</f>
        <v/>
      </c>
      <c r="V1021" s="317" t="str" cm="1">
        <f t="array" aca="1" ref="V1021" ca="1">IFERROR(IF(AA1021&lt;&gt;"ja",_xlfn.IFNA(_xlfn.IFS(AND(P1021&lt;&gt;"",R1021&lt;&gt;"",RIGHT($N1021,6)="tarief",F1021="Vergoeding"),SUM(P1021)*FLOOR(SUM(R1021),0.0001),AND(P1021&lt;&gt;"",R1021&lt;&gt;"",RIGHT($N1021,6)="tarief"),P1021*FLOOR(R1021,0.01),T1021&gt;0,FLOOR(SUM(T1021),0.01)),""),""),"")</f>
        <v/>
      </c>
      <c r="W1021" s="317" t="str" cm="1">
        <f t="array" aca="1" ref="W1021" ca="1">IFERROR(_xlfn.IFS(OR(F1021="",LEFT(Methode_Keuze,4)="Geen",Methode_Keuze=""),"",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17" t="str" cm="1">
        <f t="array" aca="1" ref="X1021" ca="1">IFERROR(_xlfn.IFS(OR(F1021="",LEFT(Methode_Keuze,4)="Geen",Methode_Keuze=""),"",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26"/>
      <c r="Z1021" s="319"/>
      <c r="AA1021" s="32" t="str" cm="1">
        <f t="array" ref="AA1021">IFERROR(IF(INDEX(SubsidieTabel!$AD$1:$AG$12,MATCH($F1021,SubsidieTabel!$AD$1:$AD$12,0),IFERROR(MATCH(Methode_Keuze,SubsidieTabel!$AD$1:$AG$1,0),2))&lt;&gt;1=TRUE,"ja",""),"")</f>
        <v/>
      </c>
    </row>
    <row r="1022" spans="1:27" x14ac:dyDescent="0.25">
      <c r="A1022" s="320"/>
      <c r="B1022" s="321" t="str">
        <f>IF(A1022&lt;&gt;"",_xlfn.MAXIFS($B$1:B1021,$A$1:A1021,A1022)+1,"")</f>
        <v/>
      </c>
      <c r="C1022" s="299"/>
      <c r="D1022" s="299"/>
      <c r="E1022" s="299"/>
      <c r="F1022" s="299"/>
      <c r="G1022" s="330"/>
      <c r="H1022" s="328"/>
      <c r="I1022" s="329"/>
      <c r="J1022" s="329"/>
      <c r="K1022" s="322"/>
      <c r="L1022" s="322"/>
      <c r="M1022" s="323" t="str">
        <f>IFERROR(VLOOKUP(H1022,Lijsten!$H$1:$I$100,2,0),"")</f>
        <v/>
      </c>
      <c r="N1022" s="323" t="str">
        <f ca="1">IFERROR(IF(VLOOKUP(F1022,Kostentypen!$A$3:$E$21,3,0)=0,"",IF(OR(F1022="Arbeidskosten",F1022="Vergoeding"),VLOOKUP(G1022,Tb_KostenTypen[],2,0),VLOOKUP(F1022,Kostentypen!$A$3:$E$20,3,0))),"")</f>
        <v/>
      </c>
      <c r="O1022" s="324"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4"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3"/>
      <c r="R1022" s="363"/>
      <c r="S1022" s="325"/>
      <c r="T1022" s="325"/>
      <c r="U1022" s="317" t="str" cm="1">
        <f t="array" aca="1" ref="U1022" ca="1">IFERROR(IF(AA1022&lt;&gt;"ja",_xlfn.IFNA(_xlfn.IFS(AND(O1022&lt;&gt;"",F1022&lt;&gt;"",RIGHT($N1022,6)="tarief",F1022="Vergoeding"),SUM(O1022)*FLOOR(SUM(Q1022),0.0001),AND(O1022&lt;&gt;"",F1022&lt;&gt;"",RIGHT($N1022,6)="tarief"),SUM(O1022)*FLOOR(SUM(Q1022),0.01),S1022&gt;0,IF(F1022&lt;&gt;"",FLOOR(SUM(S1022),0.01),"")),""),""),"")</f>
        <v/>
      </c>
      <c r="V1022" s="317" t="str" cm="1">
        <f t="array" aca="1" ref="V1022" ca="1">IFERROR(IF(AA1022&lt;&gt;"ja",_xlfn.IFNA(_xlfn.IFS(AND(P1022&lt;&gt;"",R1022&lt;&gt;"",RIGHT($N1022,6)="tarief",F1022="Vergoeding"),SUM(P1022)*FLOOR(SUM(R1022),0.0001),AND(P1022&lt;&gt;"",R1022&lt;&gt;"",RIGHT($N1022,6)="tarief"),P1022*FLOOR(R1022,0.01),T1022&gt;0,FLOOR(SUM(T1022),0.01)),""),""),"")</f>
        <v/>
      </c>
      <c r="W1022" s="317" t="str" cm="1">
        <f t="array" aca="1" ref="W1022" ca="1">IFERROR(_xlfn.IFS(OR(F1022="",LEFT(Methode_Keuze,4)="Geen",Methode_Keuze=""),"",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17" t="str" cm="1">
        <f t="array" aca="1" ref="X1022" ca="1">IFERROR(_xlfn.IFS(OR(F1022="",LEFT(Methode_Keuze,4)="Geen",Methode_Keuze=""),"",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26"/>
      <c r="Z1022" s="319"/>
      <c r="AA1022" s="32" t="str" cm="1">
        <f t="array" ref="AA1022">IFERROR(IF(INDEX(SubsidieTabel!$AD$1:$AG$12,MATCH($F1022,SubsidieTabel!$AD$1:$AD$12,0),IFERROR(MATCH(Methode_Keuze,SubsidieTabel!$AD$1:$AG$1,0),2))&lt;&gt;1=TRUE,"ja",""),"")</f>
        <v/>
      </c>
    </row>
    <row r="1023" spans="1:27" x14ac:dyDescent="0.25">
      <c r="A1023" s="320"/>
      <c r="B1023" s="321" t="str">
        <f>IF(A1023&lt;&gt;"",_xlfn.MAXIFS($B$1:B1022,$A$1:A1022,A1023)+1,"")</f>
        <v/>
      </c>
      <c r="C1023" s="299"/>
      <c r="D1023" s="299"/>
      <c r="E1023" s="299"/>
      <c r="F1023" s="299"/>
      <c r="G1023" s="330"/>
      <c r="H1023" s="328"/>
      <c r="I1023" s="329"/>
      <c r="J1023" s="329"/>
      <c r="K1023" s="322"/>
      <c r="L1023" s="322"/>
      <c r="M1023" s="323" t="str">
        <f>IFERROR(VLOOKUP(H1023,Lijsten!$H$1:$I$100,2,0),"")</f>
        <v/>
      </c>
      <c r="N1023" s="323" t="str">
        <f ca="1">IFERROR(IF(VLOOKUP(F1023,Kostentypen!$A$3:$E$21,3,0)=0,"",IF(OR(F1023="Arbeidskosten",F1023="Vergoeding"),VLOOKUP(G1023,Tb_KostenTypen[],2,0),VLOOKUP(F1023,Kostentypen!$A$3:$E$20,3,0))),"")</f>
        <v/>
      </c>
      <c r="O1023" s="324"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4"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3"/>
      <c r="R1023" s="363"/>
      <c r="S1023" s="325"/>
      <c r="T1023" s="325"/>
      <c r="U1023" s="317" t="str" cm="1">
        <f t="array" aca="1" ref="U1023" ca="1">IFERROR(IF(AA1023&lt;&gt;"ja",_xlfn.IFNA(_xlfn.IFS(AND(O1023&lt;&gt;"",F1023&lt;&gt;"",RIGHT($N1023,6)="tarief",F1023="Vergoeding"),SUM(O1023)*FLOOR(SUM(Q1023),0.0001),AND(O1023&lt;&gt;"",F1023&lt;&gt;"",RIGHT($N1023,6)="tarief"),SUM(O1023)*FLOOR(SUM(Q1023),0.01),S1023&gt;0,IF(F1023&lt;&gt;"",FLOOR(SUM(S1023),0.01),"")),""),""),"")</f>
        <v/>
      </c>
      <c r="V1023" s="317" t="str" cm="1">
        <f t="array" aca="1" ref="V1023" ca="1">IFERROR(IF(AA1023&lt;&gt;"ja",_xlfn.IFNA(_xlfn.IFS(AND(P1023&lt;&gt;"",R1023&lt;&gt;"",RIGHT($N1023,6)="tarief",F1023="Vergoeding"),SUM(P1023)*FLOOR(SUM(R1023),0.0001),AND(P1023&lt;&gt;"",R1023&lt;&gt;"",RIGHT($N1023,6)="tarief"),P1023*FLOOR(R1023,0.01),T1023&gt;0,FLOOR(SUM(T1023),0.01)),""),""),"")</f>
        <v/>
      </c>
      <c r="W1023" s="317" t="str" cm="1">
        <f t="array" aca="1" ref="W1023" ca="1">IFERROR(_xlfn.IFS(OR(F1023="",LEFT(Methode_Keuze,4)="Geen",Methode_Keuze=""),"",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17" t="str" cm="1">
        <f t="array" aca="1" ref="X1023" ca="1">IFERROR(_xlfn.IFS(OR(F1023="",LEFT(Methode_Keuze,4)="Geen",Methode_Keuze=""),"",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26"/>
      <c r="Z1023" s="319"/>
      <c r="AA1023" s="32" t="str" cm="1">
        <f t="array" ref="AA1023">IFERROR(IF(INDEX(SubsidieTabel!$AD$1:$AG$12,MATCH($F1023,SubsidieTabel!$AD$1:$AD$12,0),IFERROR(MATCH(Methode_Keuze,SubsidieTabel!$AD$1:$AG$1,0),2))&lt;&gt;1=TRUE,"ja",""),"")</f>
        <v/>
      </c>
    </row>
    <row r="1024" spans="1:27" x14ac:dyDescent="0.25">
      <c r="A1024" s="320"/>
      <c r="B1024" s="321" t="str">
        <f>IF(A1024&lt;&gt;"",_xlfn.MAXIFS($B$1:B1023,$A$1:A1023,A1024)+1,"")</f>
        <v/>
      </c>
      <c r="C1024" s="299"/>
      <c r="D1024" s="299"/>
      <c r="E1024" s="299"/>
      <c r="F1024" s="299"/>
      <c r="G1024" s="330"/>
      <c r="H1024" s="328"/>
      <c r="I1024" s="329"/>
      <c r="J1024" s="329"/>
      <c r="K1024" s="322"/>
      <c r="L1024" s="322"/>
      <c r="M1024" s="323" t="str">
        <f>IFERROR(VLOOKUP(H1024,Lijsten!$H$1:$I$100,2,0),"")</f>
        <v/>
      </c>
      <c r="N1024" s="323" t="str">
        <f ca="1">IFERROR(IF(VLOOKUP(F1024,Kostentypen!$A$3:$E$21,3,0)=0,"",IF(OR(F1024="Arbeidskosten",F1024="Vergoeding"),VLOOKUP(G1024,Tb_KostenTypen[],2,0),VLOOKUP(F1024,Kostentypen!$A$3:$E$20,3,0))),"")</f>
        <v/>
      </c>
      <c r="O1024" s="324"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4"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3"/>
      <c r="R1024" s="363"/>
      <c r="S1024" s="325"/>
      <c r="T1024" s="325"/>
      <c r="U1024" s="317" t="str" cm="1">
        <f t="array" aca="1" ref="U1024" ca="1">IFERROR(IF(AA1024&lt;&gt;"ja",_xlfn.IFNA(_xlfn.IFS(AND(O1024&lt;&gt;"",F1024&lt;&gt;"",RIGHT($N1024,6)="tarief",F1024="Vergoeding"),SUM(O1024)*FLOOR(SUM(Q1024),0.0001),AND(O1024&lt;&gt;"",F1024&lt;&gt;"",RIGHT($N1024,6)="tarief"),SUM(O1024)*FLOOR(SUM(Q1024),0.01),S1024&gt;0,IF(F1024&lt;&gt;"",FLOOR(SUM(S1024),0.01),"")),""),""),"")</f>
        <v/>
      </c>
      <c r="V1024" s="317" t="str" cm="1">
        <f t="array" aca="1" ref="V1024" ca="1">IFERROR(IF(AA1024&lt;&gt;"ja",_xlfn.IFNA(_xlfn.IFS(AND(P1024&lt;&gt;"",R1024&lt;&gt;"",RIGHT($N1024,6)="tarief",F1024="Vergoeding"),SUM(P1024)*FLOOR(SUM(R1024),0.0001),AND(P1024&lt;&gt;"",R1024&lt;&gt;"",RIGHT($N1024,6)="tarief"),P1024*FLOOR(R1024,0.01),T1024&gt;0,FLOOR(SUM(T1024),0.01)),""),""),"")</f>
        <v/>
      </c>
      <c r="W1024" s="317" t="str" cm="1">
        <f t="array" aca="1" ref="W1024" ca="1">IFERROR(_xlfn.IFS(OR(F1024="",LEFT(Methode_Keuze,4)="Geen",Methode_Keuze=""),"",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17" t="str" cm="1">
        <f t="array" aca="1" ref="X1024" ca="1">IFERROR(_xlfn.IFS(OR(F1024="",LEFT(Methode_Keuze,4)="Geen",Methode_Keuze=""),"",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26"/>
      <c r="Z1024" s="319"/>
      <c r="AA1024" s="32" t="str" cm="1">
        <f t="array" ref="AA1024">IFERROR(IF(INDEX(SubsidieTabel!$AD$1:$AG$12,MATCH($F1024,SubsidieTabel!$AD$1:$AD$12,0),IFERROR(MATCH(Methode_Keuze,SubsidieTabel!$AD$1:$AG$1,0),2))&lt;&gt;1=TRUE,"ja",""),"")</f>
        <v/>
      </c>
    </row>
    <row r="1025" spans="1:27" x14ac:dyDescent="0.25">
      <c r="A1025" s="320"/>
      <c r="B1025" s="321" t="str">
        <f>IF(A1025&lt;&gt;"",_xlfn.MAXIFS($B$1:B1024,$A$1:A1024,A1025)+1,"")</f>
        <v/>
      </c>
      <c r="C1025" s="299"/>
      <c r="D1025" s="299"/>
      <c r="E1025" s="299"/>
      <c r="F1025" s="299"/>
      <c r="G1025" s="330"/>
      <c r="H1025" s="328"/>
      <c r="I1025" s="329"/>
      <c r="J1025" s="329"/>
      <c r="K1025" s="322"/>
      <c r="L1025" s="322"/>
      <c r="M1025" s="323" t="str">
        <f>IFERROR(VLOOKUP(H1025,Lijsten!$H$1:$I$100,2,0),"")</f>
        <v/>
      </c>
      <c r="N1025" s="323" t="str">
        <f ca="1">IFERROR(IF(VLOOKUP(F1025,Kostentypen!$A$3:$E$21,3,0)=0,"",IF(OR(F1025="Arbeidskosten",F1025="Vergoeding"),VLOOKUP(G1025,Tb_KostenTypen[],2,0),VLOOKUP(F1025,Kostentypen!$A$3:$E$20,3,0))),"")</f>
        <v/>
      </c>
      <c r="O1025" s="324"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4"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3"/>
      <c r="R1025" s="363"/>
      <c r="S1025" s="325"/>
      <c r="T1025" s="325"/>
      <c r="U1025" s="317" t="str" cm="1">
        <f t="array" aca="1" ref="U1025" ca="1">IFERROR(IF(AA1025&lt;&gt;"ja",_xlfn.IFNA(_xlfn.IFS(AND(O1025&lt;&gt;"",F1025&lt;&gt;"",RIGHT($N1025,6)="tarief",F1025="Vergoeding"),SUM(O1025)*FLOOR(SUM(Q1025),0.0001),AND(O1025&lt;&gt;"",F1025&lt;&gt;"",RIGHT($N1025,6)="tarief"),SUM(O1025)*FLOOR(SUM(Q1025),0.01),S1025&gt;0,IF(F1025&lt;&gt;"",FLOOR(SUM(S1025),0.01),"")),""),""),"")</f>
        <v/>
      </c>
      <c r="V1025" s="317" t="str" cm="1">
        <f t="array" aca="1" ref="V1025" ca="1">IFERROR(IF(AA1025&lt;&gt;"ja",_xlfn.IFNA(_xlfn.IFS(AND(P1025&lt;&gt;"",R1025&lt;&gt;"",RIGHT($N1025,6)="tarief",F1025="Vergoeding"),SUM(P1025)*FLOOR(SUM(R1025),0.0001),AND(P1025&lt;&gt;"",R1025&lt;&gt;"",RIGHT($N1025,6)="tarief"),P1025*FLOOR(R1025,0.01),T1025&gt;0,FLOOR(SUM(T1025),0.01)),""),""),"")</f>
        <v/>
      </c>
      <c r="W1025" s="317" t="str" cm="1">
        <f t="array" aca="1" ref="W1025" ca="1">IFERROR(_xlfn.IFS(OR(F1025="",LEFT(Methode_Keuze,4)="Geen",Methode_Keuze=""),"",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17" t="str" cm="1">
        <f t="array" aca="1" ref="X1025" ca="1">IFERROR(_xlfn.IFS(OR(F1025="",LEFT(Methode_Keuze,4)="Geen",Methode_Keuze=""),"",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26"/>
      <c r="Z1025" s="319"/>
      <c r="AA1025" s="32" t="str" cm="1">
        <f t="array" ref="AA1025">IFERROR(IF(INDEX(SubsidieTabel!$AD$1:$AG$12,MATCH($F1025,SubsidieTabel!$AD$1:$AD$12,0),IFERROR(MATCH(Methode_Keuze,SubsidieTabel!$AD$1:$AG$1,0),2))&lt;&gt;1=TRUE,"ja",""),"")</f>
        <v/>
      </c>
    </row>
    <row r="1026" spans="1:27" x14ac:dyDescent="0.25">
      <c r="A1026" s="320"/>
      <c r="B1026" s="321" t="str">
        <f>IF(A1026&lt;&gt;"",_xlfn.MAXIFS($B$1:B1025,$A$1:A1025,A1026)+1,"")</f>
        <v/>
      </c>
      <c r="C1026" s="299"/>
      <c r="D1026" s="299"/>
      <c r="E1026" s="299"/>
      <c r="F1026" s="299"/>
      <c r="G1026" s="330"/>
      <c r="H1026" s="328"/>
      <c r="I1026" s="329"/>
      <c r="J1026" s="329"/>
      <c r="K1026" s="322"/>
      <c r="L1026" s="322"/>
      <c r="M1026" s="323" t="str">
        <f>IFERROR(VLOOKUP(H1026,Lijsten!$H$1:$I$100,2,0),"")</f>
        <v/>
      </c>
      <c r="N1026" s="323" t="str">
        <f ca="1">IFERROR(IF(VLOOKUP(F1026,Kostentypen!$A$3:$E$21,3,0)=0,"",IF(OR(F1026="Arbeidskosten",F1026="Vergoeding"),VLOOKUP(G1026,Tb_KostenTypen[],2,0),VLOOKUP(F1026,Kostentypen!$A$3:$E$20,3,0))),"")</f>
        <v/>
      </c>
      <c r="O1026" s="324"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4"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3"/>
      <c r="R1026" s="363"/>
      <c r="S1026" s="325"/>
      <c r="T1026" s="325"/>
      <c r="U1026" s="317" t="str" cm="1">
        <f t="array" aca="1" ref="U1026" ca="1">IFERROR(IF(AA1026&lt;&gt;"ja",_xlfn.IFNA(_xlfn.IFS(AND(O1026&lt;&gt;"",F1026&lt;&gt;"",RIGHT($N1026,6)="tarief",F1026="Vergoeding"),SUM(O1026)*FLOOR(SUM(Q1026),0.0001),AND(O1026&lt;&gt;"",F1026&lt;&gt;"",RIGHT($N1026,6)="tarief"),SUM(O1026)*FLOOR(SUM(Q1026),0.01),S1026&gt;0,IF(F1026&lt;&gt;"",FLOOR(SUM(S1026),0.01),"")),""),""),"")</f>
        <v/>
      </c>
      <c r="V1026" s="317" t="str" cm="1">
        <f t="array" aca="1" ref="V1026" ca="1">IFERROR(IF(AA1026&lt;&gt;"ja",_xlfn.IFNA(_xlfn.IFS(AND(P1026&lt;&gt;"",R1026&lt;&gt;"",RIGHT($N1026,6)="tarief",F1026="Vergoeding"),SUM(P1026)*FLOOR(SUM(R1026),0.0001),AND(P1026&lt;&gt;"",R1026&lt;&gt;"",RIGHT($N1026,6)="tarief"),P1026*FLOOR(R1026,0.01),T1026&gt;0,FLOOR(SUM(T1026),0.01)),""),""),"")</f>
        <v/>
      </c>
      <c r="W1026" s="317" t="str" cm="1">
        <f t="array" aca="1" ref="W1026" ca="1">IFERROR(_xlfn.IFS(OR(F1026="",LEFT(Methode_Keuze,4)="Geen",Methode_Keuze=""),"",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17" t="str" cm="1">
        <f t="array" aca="1" ref="X1026" ca="1">IFERROR(_xlfn.IFS(OR(F1026="",LEFT(Methode_Keuze,4)="Geen",Methode_Keuze=""),"",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26"/>
      <c r="Z1026" s="319"/>
      <c r="AA1026" s="32" t="str" cm="1">
        <f t="array" ref="AA1026">IFERROR(IF(INDEX(SubsidieTabel!$AD$1:$AG$12,MATCH($F1026,SubsidieTabel!$AD$1:$AD$12,0),IFERROR(MATCH(Methode_Keuze,SubsidieTabel!$AD$1:$AG$1,0),2))&lt;&gt;1=TRUE,"ja",""),"")</f>
        <v/>
      </c>
    </row>
    <row r="1027" spans="1:27" x14ac:dyDescent="0.25">
      <c r="A1027" s="320"/>
      <c r="B1027" s="321" t="str">
        <f>IF(A1027&lt;&gt;"",_xlfn.MAXIFS($B$1:B1026,$A$1:A1026,A1027)+1,"")</f>
        <v/>
      </c>
      <c r="C1027" s="299"/>
      <c r="D1027" s="299"/>
      <c r="E1027" s="299"/>
      <c r="F1027" s="299"/>
      <c r="G1027" s="330"/>
      <c r="H1027" s="328"/>
      <c r="I1027" s="329"/>
      <c r="J1027" s="329"/>
      <c r="K1027" s="322"/>
      <c r="L1027" s="322"/>
      <c r="M1027" s="323" t="str">
        <f>IFERROR(VLOOKUP(H1027,Lijsten!$H$1:$I$100,2,0),"")</f>
        <v/>
      </c>
      <c r="N1027" s="323" t="str">
        <f ca="1">IFERROR(IF(VLOOKUP(F1027,Kostentypen!$A$3:$E$21,3,0)=0,"",IF(OR(F1027="Arbeidskosten",F1027="Vergoeding"),VLOOKUP(G1027,Tb_KostenTypen[],2,0),VLOOKUP(F1027,Kostentypen!$A$3:$E$20,3,0))),"")</f>
        <v/>
      </c>
      <c r="O1027" s="324"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4"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3"/>
      <c r="R1027" s="363"/>
      <c r="S1027" s="325"/>
      <c r="T1027" s="325"/>
      <c r="U1027" s="317" t="str" cm="1">
        <f t="array" aca="1" ref="U1027" ca="1">IFERROR(IF(AA1027&lt;&gt;"ja",_xlfn.IFNA(_xlfn.IFS(AND(O1027&lt;&gt;"",F1027&lt;&gt;"",RIGHT($N1027,6)="tarief",F1027="Vergoeding"),SUM(O1027)*FLOOR(SUM(Q1027),0.0001),AND(O1027&lt;&gt;"",F1027&lt;&gt;"",RIGHT($N1027,6)="tarief"),SUM(O1027)*FLOOR(SUM(Q1027),0.01),S1027&gt;0,IF(F1027&lt;&gt;"",FLOOR(SUM(S1027),0.01),"")),""),""),"")</f>
        <v/>
      </c>
      <c r="V1027" s="317" t="str" cm="1">
        <f t="array" aca="1" ref="V1027" ca="1">IFERROR(IF(AA1027&lt;&gt;"ja",_xlfn.IFNA(_xlfn.IFS(AND(P1027&lt;&gt;"",R1027&lt;&gt;"",RIGHT($N1027,6)="tarief",F1027="Vergoeding"),SUM(P1027)*FLOOR(SUM(R1027),0.0001),AND(P1027&lt;&gt;"",R1027&lt;&gt;"",RIGHT($N1027,6)="tarief"),P1027*FLOOR(R1027,0.01),T1027&gt;0,FLOOR(SUM(T1027),0.01)),""),""),"")</f>
        <v/>
      </c>
      <c r="W1027" s="317" t="str" cm="1">
        <f t="array" aca="1" ref="W1027" ca="1">IFERROR(_xlfn.IFS(OR(F1027="",LEFT(Methode_Keuze,4)="Geen",Methode_Keuze=""),"",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17" t="str" cm="1">
        <f t="array" aca="1" ref="X1027" ca="1">IFERROR(_xlfn.IFS(OR(F1027="",LEFT(Methode_Keuze,4)="Geen",Methode_Keuze=""),"",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26"/>
      <c r="Z1027" s="319"/>
      <c r="AA1027" s="32" t="str" cm="1">
        <f t="array" ref="AA1027">IFERROR(IF(INDEX(SubsidieTabel!$AD$1:$AG$12,MATCH($F1027,SubsidieTabel!$AD$1:$AD$12,0),IFERROR(MATCH(Methode_Keuze,SubsidieTabel!$AD$1:$AG$1,0),2))&lt;&gt;1=TRUE,"ja",""),"")</f>
        <v/>
      </c>
    </row>
    <row r="1028" spans="1:27" x14ac:dyDescent="0.25">
      <c r="A1028" s="320"/>
      <c r="B1028" s="321" t="str">
        <f>IF(A1028&lt;&gt;"",_xlfn.MAXIFS($B$1:B1027,$A$1:A1027,A1028)+1,"")</f>
        <v/>
      </c>
      <c r="C1028" s="299"/>
      <c r="D1028" s="299"/>
      <c r="E1028" s="299"/>
      <c r="F1028" s="299"/>
      <c r="G1028" s="330"/>
      <c r="H1028" s="328"/>
      <c r="I1028" s="329"/>
      <c r="J1028" s="329"/>
      <c r="K1028" s="322"/>
      <c r="L1028" s="322"/>
      <c r="M1028" s="323" t="str">
        <f>IFERROR(VLOOKUP(H1028,Lijsten!$H$1:$I$100,2,0),"")</f>
        <v/>
      </c>
      <c r="N1028" s="323" t="str">
        <f ca="1">IFERROR(IF(VLOOKUP(F1028,Kostentypen!$A$3:$E$21,3,0)=0,"",IF(OR(F1028="Arbeidskosten",F1028="Vergoeding"),VLOOKUP(G1028,Tb_KostenTypen[],2,0),VLOOKUP(F1028,Kostentypen!$A$3:$E$20,3,0))),"")</f>
        <v/>
      </c>
      <c r="O1028" s="324"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4"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3"/>
      <c r="R1028" s="363"/>
      <c r="S1028" s="325"/>
      <c r="T1028" s="325"/>
      <c r="U1028" s="317" t="str" cm="1">
        <f t="array" aca="1" ref="U1028" ca="1">IFERROR(IF(AA1028&lt;&gt;"ja",_xlfn.IFNA(_xlfn.IFS(AND(O1028&lt;&gt;"",F1028&lt;&gt;"",RIGHT($N1028,6)="tarief",F1028="Vergoeding"),SUM(O1028)*FLOOR(SUM(Q1028),0.0001),AND(O1028&lt;&gt;"",F1028&lt;&gt;"",RIGHT($N1028,6)="tarief"),SUM(O1028)*FLOOR(SUM(Q1028),0.01),S1028&gt;0,IF(F1028&lt;&gt;"",FLOOR(SUM(S1028),0.01),"")),""),""),"")</f>
        <v/>
      </c>
      <c r="V1028" s="317" t="str" cm="1">
        <f t="array" aca="1" ref="V1028" ca="1">IFERROR(IF(AA1028&lt;&gt;"ja",_xlfn.IFNA(_xlfn.IFS(AND(P1028&lt;&gt;"",R1028&lt;&gt;"",RIGHT($N1028,6)="tarief",F1028="Vergoeding"),SUM(P1028)*FLOOR(SUM(R1028),0.0001),AND(P1028&lt;&gt;"",R1028&lt;&gt;"",RIGHT($N1028,6)="tarief"),P1028*FLOOR(R1028,0.01),T1028&gt;0,FLOOR(SUM(T1028),0.01)),""),""),"")</f>
        <v/>
      </c>
      <c r="W1028" s="317" t="str" cm="1">
        <f t="array" aca="1" ref="W1028" ca="1">IFERROR(_xlfn.IFS(OR(F1028="",LEFT(Methode_Keuze,4)="Geen",Methode_Keuze=""),"",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17" t="str" cm="1">
        <f t="array" aca="1" ref="X1028" ca="1">IFERROR(_xlfn.IFS(OR(F1028="",LEFT(Methode_Keuze,4)="Geen",Methode_Keuze=""),"",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26"/>
      <c r="Z1028" s="319"/>
      <c r="AA1028" s="32" t="str" cm="1">
        <f t="array" ref="AA1028">IFERROR(IF(INDEX(SubsidieTabel!$AD$1:$AG$12,MATCH($F1028,SubsidieTabel!$AD$1:$AD$12,0),IFERROR(MATCH(Methode_Keuze,SubsidieTabel!$AD$1:$AG$1,0),2))&lt;&gt;1=TRUE,"ja",""),"")</f>
        <v/>
      </c>
    </row>
    <row r="1029" spans="1:27" x14ac:dyDescent="0.25">
      <c r="A1029" s="320"/>
      <c r="B1029" s="321" t="str">
        <f>IF(A1029&lt;&gt;"",_xlfn.MAXIFS($B$1:B1028,$A$1:A1028,A1029)+1,"")</f>
        <v/>
      </c>
      <c r="C1029" s="299"/>
      <c r="D1029" s="299"/>
      <c r="E1029" s="299"/>
      <c r="F1029" s="299"/>
      <c r="G1029" s="330"/>
      <c r="H1029" s="328"/>
      <c r="I1029" s="329"/>
      <c r="J1029" s="329"/>
      <c r="K1029" s="322"/>
      <c r="L1029" s="322"/>
      <c r="M1029" s="323" t="str">
        <f>IFERROR(VLOOKUP(H1029,Lijsten!$H$1:$I$100,2,0),"")</f>
        <v/>
      </c>
      <c r="N1029" s="323" t="str">
        <f ca="1">IFERROR(IF(VLOOKUP(F1029,Kostentypen!$A$3:$E$21,3,0)=0,"",IF(OR(F1029="Arbeidskosten",F1029="Vergoeding"),VLOOKUP(G1029,Tb_KostenTypen[],2,0),VLOOKUP(F1029,Kostentypen!$A$3:$E$20,3,0))),"")</f>
        <v/>
      </c>
      <c r="O1029" s="324"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4"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3"/>
      <c r="R1029" s="363"/>
      <c r="S1029" s="325"/>
      <c r="T1029" s="325"/>
      <c r="U1029" s="317" t="str" cm="1">
        <f t="array" aca="1" ref="U1029" ca="1">IFERROR(IF(AA1029&lt;&gt;"ja",_xlfn.IFNA(_xlfn.IFS(AND(O1029&lt;&gt;"",F1029&lt;&gt;"",RIGHT($N1029,6)="tarief",F1029="Vergoeding"),SUM(O1029)*FLOOR(SUM(Q1029),0.0001),AND(O1029&lt;&gt;"",F1029&lt;&gt;"",RIGHT($N1029,6)="tarief"),SUM(O1029)*FLOOR(SUM(Q1029),0.01),S1029&gt;0,IF(F1029&lt;&gt;"",FLOOR(SUM(S1029),0.01),"")),""),""),"")</f>
        <v/>
      </c>
      <c r="V1029" s="317" t="str" cm="1">
        <f t="array" aca="1" ref="V1029" ca="1">IFERROR(IF(AA1029&lt;&gt;"ja",_xlfn.IFNA(_xlfn.IFS(AND(P1029&lt;&gt;"",R1029&lt;&gt;"",RIGHT($N1029,6)="tarief",F1029="Vergoeding"),SUM(P1029)*FLOOR(SUM(R1029),0.0001),AND(P1029&lt;&gt;"",R1029&lt;&gt;"",RIGHT($N1029,6)="tarief"),P1029*FLOOR(R1029,0.01),T1029&gt;0,FLOOR(SUM(T1029),0.01)),""),""),"")</f>
        <v/>
      </c>
      <c r="W1029" s="317" t="str" cm="1">
        <f t="array" aca="1" ref="W1029" ca="1">IFERROR(_xlfn.IFS(OR(F1029="",LEFT(Methode_Keuze,4)="Geen",Methode_Keuze=""),"",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17" t="str" cm="1">
        <f t="array" aca="1" ref="X1029" ca="1">IFERROR(_xlfn.IFS(OR(F1029="",LEFT(Methode_Keuze,4)="Geen",Methode_Keuze=""),"",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26"/>
      <c r="Z1029" s="319"/>
      <c r="AA1029" s="32" t="str" cm="1">
        <f t="array" ref="AA1029">IFERROR(IF(INDEX(SubsidieTabel!$AD$1:$AG$12,MATCH($F1029,SubsidieTabel!$AD$1:$AD$12,0),IFERROR(MATCH(Methode_Keuze,SubsidieTabel!$AD$1:$AG$1,0),2))&lt;&gt;1=TRUE,"ja",""),"")</f>
        <v/>
      </c>
    </row>
    <row r="1030" spans="1:27" x14ac:dyDescent="0.25">
      <c r="A1030" s="320"/>
      <c r="B1030" s="321" t="str">
        <f>IF(A1030&lt;&gt;"",_xlfn.MAXIFS($B$1:B1029,$A$1:A1029,A1030)+1,"")</f>
        <v/>
      </c>
      <c r="C1030" s="299"/>
      <c r="D1030" s="299"/>
      <c r="E1030" s="299"/>
      <c r="F1030" s="299"/>
      <c r="G1030" s="330"/>
      <c r="H1030" s="328"/>
      <c r="I1030" s="329"/>
      <c r="J1030" s="329"/>
      <c r="K1030" s="322"/>
      <c r="L1030" s="322"/>
      <c r="M1030" s="323" t="str">
        <f>IFERROR(VLOOKUP(H1030,Lijsten!$H$1:$I$100,2,0),"")</f>
        <v/>
      </c>
      <c r="N1030" s="323" t="str">
        <f ca="1">IFERROR(IF(VLOOKUP(F1030,Kostentypen!$A$3:$E$21,3,0)=0,"",IF(OR(F1030="Arbeidskosten",F1030="Vergoeding"),VLOOKUP(G1030,Tb_KostenTypen[],2,0),VLOOKUP(F1030,Kostentypen!$A$3:$E$20,3,0))),"")</f>
        <v/>
      </c>
      <c r="O1030" s="324"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4"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3"/>
      <c r="R1030" s="363"/>
      <c r="S1030" s="325"/>
      <c r="T1030" s="325"/>
      <c r="U1030" s="317" t="str" cm="1">
        <f t="array" aca="1" ref="U1030" ca="1">IFERROR(IF(AA1030&lt;&gt;"ja",_xlfn.IFNA(_xlfn.IFS(AND(O1030&lt;&gt;"",F1030&lt;&gt;"",RIGHT($N1030,6)="tarief",F1030="Vergoeding"),SUM(O1030)*FLOOR(SUM(Q1030),0.0001),AND(O1030&lt;&gt;"",F1030&lt;&gt;"",RIGHT($N1030,6)="tarief"),SUM(O1030)*FLOOR(SUM(Q1030),0.01),S1030&gt;0,IF(F1030&lt;&gt;"",FLOOR(SUM(S1030),0.01),"")),""),""),"")</f>
        <v/>
      </c>
      <c r="V1030" s="317" t="str" cm="1">
        <f t="array" aca="1" ref="V1030" ca="1">IFERROR(IF(AA1030&lt;&gt;"ja",_xlfn.IFNA(_xlfn.IFS(AND(P1030&lt;&gt;"",R1030&lt;&gt;"",RIGHT($N1030,6)="tarief",F1030="Vergoeding"),SUM(P1030)*FLOOR(SUM(R1030),0.0001),AND(P1030&lt;&gt;"",R1030&lt;&gt;"",RIGHT($N1030,6)="tarief"),P1030*FLOOR(R1030,0.01),T1030&gt;0,FLOOR(SUM(T1030),0.01)),""),""),"")</f>
        <v/>
      </c>
      <c r="W1030" s="317" t="str" cm="1">
        <f t="array" aca="1" ref="W1030" ca="1">IFERROR(_xlfn.IFS(OR(F1030="",LEFT(Methode_Keuze,4)="Geen",Methode_Keuze=""),"",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17" t="str" cm="1">
        <f t="array" aca="1" ref="X1030" ca="1">IFERROR(_xlfn.IFS(OR(F1030="",LEFT(Methode_Keuze,4)="Geen",Methode_Keuze=""),"",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26"/>
      <c r="Z1030" s="319"/>
      <c r="AA1030" s="32" t="str" cm="1">
        <f t="array" ref="AA1030">IFERROR(IF(INDEX(SubsidieTabel!$AD$1:$AG$12,MATCH($F1030,SubsidieTabel!$AD$1:$AD$12,0),IFERROR(MATCH(Methode_Keuze,SubsidieTabel!$AD$1:$AG$1,0),2))&lt;&gt;1=TRUE,"ja",""),"")</f>
        <v/>
      </c>
    </row>
    <row r="1031" spans="1:27" x14ac:dyDescent="0.25">
      <c r="A1031" s="320"/>
      <c r="B1031" s="321" t="str">
        <f>IF(A1031&lt;&gt;"",_xlfn.MAXIFS($B$1:B1030,$A$1:A1030,A1031)+1,"")</f>
        <v/>
      </c>
      <c r="C1031" s="299"/>
      <c r="D1031" s="299"/>
      <c r="E1031" s="299"/>
      <c r="F1031" s="299"/>
      <c r="G1031" s="330"/>
      <c r="H1031" s="328"/>
      <c r="I1031" s="329"/>
      <c r="J1031" s="329"/>
      <c r="K1031" s="322"/>
      <c r="L1031" s="322"/>
      <c r="M1031" s="323" t="str">
        <f>IFERROR(VLOOKUP(H1031,Lijsten!$H$1:$I$100,2,0),"")</f>
        <v/>
      </c>
      <c r="N1031" s="323" t="str">
        <f ca="1">IFERROR(IF(VLOOKUP(F1031,Kostentypen!$A$3:$E$21,3,0)=0,"",IF(OR(F1031="Arbeidskosten",F1031="Vergoeding"),VLOOKUP(G1031,Tb_KostenTypen[],2,0),VLOOKUP(F1031,Kostentypen!$A$3:$E$20,3,0))),"")</f>
        <v/>
      </c>
      <c r="O1031" s="324"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4"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3"/>
      <c r="R1031" s="363"/>
      <c r="S1031" s="325"/>
      <c r="T1031" s="325"/>
      <c r="U1031" s="317" t="str" cm="1">
        <f t="array" aca="1" ref="U1031" ca="1">IFERROR(IF(AA1031&lt;&gt;"ja",_xlfn.IFNA(_xlfn.IFS(AND(O1031&lt;&gt;"",F1031&lt;&gt;"",RIGHT($N1031,6)="tarief",F1031="Vergoeding"),SUM(O1031)*FLOOR(SUM(Q1031),0.0001),AND(O1031&lt;&gt;"",F1031&lt;&gt;"",RIGHT($N1031,6)="tarief"),SUM(O1031)*FLOOR(SUM(Q1031),0.01),S1031&gt;0,IF(F1031&lt;&gt;"",FLOOR(SUM(S1031),0.01),"")),""),""),"")</f>
        <v/>
      </c>
      <c r="V1031" s="317" t="str" cm="1">
        <f t="array" aca="1" ref="V1031" ca="1">IFERROR(IF(AA1031&lt;&gt;"ja",_xlfn.IFNA(_xlfn.IFS(AND(P1031&lt;&gt;"",R1031&lt;&gt;"",RIGHT($N1031,6)="tarief",F1031="Vergoeding"),SUM(P1031)*FLOOR(SUM(R1031),0.0001),AND(P1031&lt;&gt;"",R1031&lt;&gt;"",RIGHT($N1031,6)="tarief"),P1031*FLOOR(R1031,0.01),T1031&gt;0,FLOOR(SUM(T1031),0.01)),""),""),"")</f>
        <v/>
      </c>
      <c r="W1031" s="317" t="str" cm="1">
        <f t="array" aca="1" ref="W1031" ca="1">IFERROR(_xlfn.IFS(OR(F1031="",LEFT(Methode_Keuze,4)="Geen",Methode_Keuze=""),"",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17" t="str" cm="1">
        <f t="array" aca="1" ref="X1031" ca="1">IFERROR(_xlfn.IFS(OR(F1031="",LEFT(Methode_Keuze,4)="Geen",Methode_Keuze=""),"",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26"/>
      <c r="Z1031" s="319"/>
      <c r="AA1031" s="32" t="str" cm="1">
        <f t="array" ref="AA1031">IFERROR(IF(INDEX(SubsidieTabel!$AD$1:$AG$12,MATCH($F1031,SubsidieTabel!$AD$1:$AD$12,0),IFERROR(MATCH(Methode_Keuze,SubsidieTabel!$AD$1:$AG$1,0),2))&lt;&gt;1=TRUE,"ja",""),"")</f>
        <v/>
      </c>
    </row>
    <row r="1032" spans="1:27" x14ac:dyDescent="0.25">
      <c r="A1032" s="320"/>
      <c r="B1032" s="321" t="str">
        <f>IF(A1032&lt;&gt;"",_xlfn.MAXIFS($B$1:B1031,$A$1:A1031,A1032)+1,"")</f>
        <v/>
      </c>
      <c r="C1032" s="299"/>
      <c r="D1032" s="299"/>
      <c r="E1032" s="299"/>
      <c r="F1032" s="299"/>
      <c r="G1032" s="330"/>
      <c r="H1032" s="328"/>
      <c r="I1032" s="329"/>
      <c r="J1032" s="329"/>
      <c r="K1032" s="322"/>
      <c r="L1032" s="322"/>
      <c r="M1032" s="323" t="str">
        <f>IFERROR(VLOOKUP(H1032,Lijsten!$H$1:$I$100,2,0),"")</f>
        <v/>
      </c>
      <c r="N1032" s="323" t="str">
        <f ca="1">IFERROR(IF(VLOOKUP(F1032,Kostentypen!$A$3:$E$21,3,0)=0,"",IF(OR(F1032="Arbeidskosten",F1032="Vergoeding"),VLOOKUP(G1032,Tb_KostenTypen[],2,0),VLOOKUP(F1032,Kostentypen!$A$3:$E$20,3,0))),"")</f>
        <v/>
      </c>
      <c r="O1032" s="324"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4"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3"/>
      <c r="R1032" s="363"/>
      <c r="S1032" s="325"/>
      <c r="T1032" s="325"/>
      <c r="U1032" s="317" t="str" cm="1">
        <f t="array" aca="1" ref="U1032" ca="1">IFERROR(IF(AA1032&lt;&gt;"ja",_xlfn.IFNA(_xlfn.IFS(AND(O1032&lt;&gt;"",F1032&lt;&gt;"",RIGHT($N1032,6)="tarief",F1032="Vergoeding"),SUM(O1032)*FLOOR(SUM(Q1032),0.0001),AND(O1032&lt;&gt;"",F1032&lt;&gt;"",RIGHT($N1032,6)="tarief"),SUM(O1032)*FLOOR(SUM(Q1032),0.01),S1032&gt;0,IF(F1032&lt;&gt;"",FLOOR(SUM(S1032),0.01),"")),""),""),"")</f>
        <v/>
      </c>
      <c r="V1032" s="317" t="str" cm="1">
        <f t="array" aca="1" ref="V1032" ca="1">IFERROR(IF(AA1032&lt;&gt;"ja",_xlfn.IFNA(_xlfn.IFS(AND(P1032&lt;&gt;"",R1032&lt;&gt;"",RIGHT($N1032,6)="tarief",F1032="Vergoeding"),SUM(P1032)*FLOOR(SUM(R1032),0.0001),AND(P1032&lt;&gt;"",R1032&lt;&gt;"",RIGHT($N1032,6)="tarief"),P1032*FLOOR(R1032,0.01),T1032&gt;0,FLOOR(SUM(T1032),0.01)),""),""),"")</f>
        <v/>
      </c>
      <c r="W1032" s="317" t="str" cm="1">
        <f t="array" aca="1" ref="W1032" ca="1">IFERROR(_xlfn.IFS(OR(F1032="",LEFT(Methode_Keuze,4)="Geen",Methode_Keuze=""),"",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17" t="str" cm="1">
        <f t="array" aca="1" ref="X1032" ca="1">IFERROR(_xlfn.IFS(OR(F1032="",LEFT(Methode_Keuze,4)="Geen",Methode_Keuze=""),"",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26"/>
      <c r="Z1032" s="319"/>
      <c r="AA1032" s="32" t="str" cm="1">
        <f t="array" ref="AA1032">IFERROR(IF(INDEX(SubsidieTabel!$AD$1:$AG$12,MATCH($F1032,SubsidieTabel!$AD$1:$AD$12,0),IFERROR(MATCH(Methode_Keuze,SubsidieTabel!$AD$1:$AG$1,0),2))&lt;&gt;1=TRUE,"ja",""),"")</f>
        <v/>
      </c>
    </row>
    <row r="1033" spans="1:27" x14ac:dyDescent="0.25">
      <c r="A1033" s="320"/>
      <c r="B1033" s="321" t="str">
        <f>IF(A1033&lt;&gt;"",_xlfn.MAXIFS($B$1:B1032,$A$1:A1032,A1033)+1,"")</f>
        <v/>
      </c>
      <c r="C1033" s="299"/>
      <c r="D1033" s="299"/>
      <c r="E1033" s="299"/>
      <c r="F1033" s="299"/>
      <c r="G1033" s="330"/>
      <c r="H1033" s="328"/>
      <c r="I1033" s="329"/>
      <c r="J1033" s="329"/>
      <c r="K1033" s="322"/>
      <c r="L1033" s="322"/>
      <c r="M1033" s="323" t="str">
        <f>IFERROR(VLOOKUP(H1033,Lijsten!$H$1:$I$100,2,0),"")</f>
        <v/>
      </c>
      <c r="N1033" s="323" t="str">
        <f ca="1">IFERROR(IF(VLOOKUP(F1033,Kostentypen!$A$3:$E$21,3,0)=0,"",IF(OR(F1033="Arbeidskosten",F1033="Vergoeding"),VLOOKUP(G1033,Tb_KostenTypen[],2,0),VLOOKUP(F1033,Kostentypen!$A$3:$E$20,3,0))),"")</f>
        <v/>
      </c>
      <c r="O1033" s="324"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4"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3"/>
      <c r="R1033" s="363"/>
      <c r="S1033" s="325"/>
      <c r="T1033" s="325"/>
      <c r="U1033" s="317" t="str" cm="1">
        <f t="array" aca="1" ref="U1033" ca="1">IFERROR(IF(AA1033&lt;&gt;"ja",_xlfn.IFNA(_xlfn.IFS(AND(O1033&lt;&gt;"",F1033&lt;&gt;"",RIGHT($N1033,6)="tarief",F1033="Vergoeding"),SUM(O1033)*FLOOR(SUM(Q1033),0.0001),AND(O1033&lt;&gt;"",F1033&lt;&gt;"",RIGHT($N1033,6)="tarief"),SUM(O1033)*FLOOR(SUM(Q1033),0.01),S1033&gt;0,IF(F1033&lt;&gt;"",FLOOR(SUM(S1033),0.01),"")),""),""),"")</f>
        <v/>
      </c>
      <c r="V1033" s="317" t="str" cm="1">
        <f t="array" aca="1" ref="V1033" ca="1">IFERROR(IF(AA1033&lt;&gt;"ja",_xlfn.IFNA(_xlfn.IFS(AND(P1033&lt;&gt;"",R1033&lt;&gt;"",RIGHT($N1033,6)="tarief",F1033="Vergoeding"),SUM(P1033)*FLOOR(SUM(R1033),0.0001),AND(P1033&lt;&gt;"",R1033&lt;&gt;"",RIGHT($N1033,6)="tarief"),P1033*FLOOR(R1033,0.01),T1033&gt;0,FLOOR(SUM(T1033),0.01)),""),""),"")</f>
        <v/>
      </c>
      <c r="W1033" s="317" t="str" cm="1">
        <f t="array" aca="1" ref="W1033" ca="1">IFERROR(_xlfn.IFS(OR(F1033="",LEFT(Methode_Keuze,4)="Geen",Methode_Keuze=""),"",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17" t="str" cm="1">
        <f t="array" aca="1" ref="X1033" ca="1">IFERROR(_xlfn.IFS(OR(F1033="",LEFT(Methode_Keuze,4)="Geen",Methode_Keuze=""),"",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26"/>
      <c r="Z1033" s="319"/>
      <c r="AA1033" s="32" t="str" cm="1">
        <f t="array" ref="AA1033">IFERROR(IF(INDEX(SubsidieTabel!$AD$1:$AG$12,MATCH($F1033,SubsidieTabel!$AD$1:$AD$12,0),IFERROR(MATCH(Methode_Keuze,SubsidieTabel!$AD$1:$AG$1,0),2))&lt;&gt;1=TRUE,"ja",""),"")</f>
        <v/>
      </c>
    </row>
    <row r="1034" spans="1:27" x14ac:dyDescent="0.25">
      <c r="A1034" s="320"/>
      <c r="B1034" s="321" t="str">
        <f>IF(A1034&lt;&gt;"",_xlfn.MAXIFS($B$1:B1033,$A$1:A1033,A1034)+1,"")</f>
        <v/>
      </c>
      <c r="C1034" s="299"/>
      <c r="D1034" s="299"/>
      <c r="E1034" s="299"/>
      <c r="F1034" s="299"/>
      <c r="G1034" s="330"/>
      <c r="H1034" s="328"/>
      <c r="I1034" s="329"/>
      <c r="J1034" s="329"/>
      <c r="K1034" s="322"/>
      <c r="L1034" s="322"/>
      <c r="M1034" s="323" t="str">
        <f>IFERROR(VLOOKUP(H1034,Lijsten!$H$1:$I$100,2,0),"")</f>
        <v/>
      </c>
      <c r="N1034" s="323" t="str">
        <f ca="1">IFERROR(IF(VLOOKUP(F1034,Kostentypen!$A$3:$E$21,3,0)=0,"",IF(OR(F1034="Arbeidskosten",F1034="Vergoeding"),VLOOKUP(G1034,Tb_KostenTypen[],2,0),VLOOKUP(F1034,Kostentypen!$A$3:$E$20,3,0))),"")</f>
        <v/>
      </c>
      <c r="O1034" s="324"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4"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3"/>
      <c r="R1034" s="363"/>
      <c r="S1034" s="325"/>
      <c r="T1034" s="325"/>
      <c r="U1034" s="317" t="str" cm="1">
        <f t="array" aca="1" ref="U1034" ca="1">IFERROR(IF(AA1034&lt;&gt;"ja",_xlfn.IFNA(_xlfn.IFS(AND(O1034&lt;&gt;"",F1034&lt;&gt;"",RIGHT($N1034,6)="tarief",F1034="Vergoeding"),SUM(O1034)*FLOOR(SUM(Q1034),0.0001),AND(O1034&lt;&gt;"",F1034&lt;&gt;"",RIGHT($N1034,6)="tarief"),SUM(O1034)*FLOOR(SUM(Q1034),0.01),S1034&gt;0,IF(F1034&lt;&gt;"",FLOOR(SUM(S1034),0.01),"")),""),""),"")</f>
        <v/>
      </c>
      <c r="V1034" s="317" t="str" cm="1">
        <f t="array" aca="1" ref="V1034" ca="1">IFERROR(IF(AA1034&lt;&gt;"ja",_xlfn.IFNA(_xlfn.IFS(AND(P1034&lt;&gt;"",R1034&lt;&gt;"",RIGHT($N1034,6)="tarief",F1034="Vergoeding"),SUM(P1034)*FLOOR(SUM(R1034),0.0001),AND(P1034&lt;&gt;"",R1034&lt;&gt;"",RIGHT($N1034,6)="tarief"),P1034*FLOOR(R1034,0.01),T1034&gt;0,FLOOR(SUM(T1034),0.01)),""),""),"")</f>
        <v/>
      </c>
      <c r="W1034" s="317" t="str" cm="1">
        <f t="array" aca="1" ref="W1034" ca="1">IFERROR(_xlfn.IFS(OR(F1034="",LEFT(Methode_Keuze,4)="Geen",Methode_Keuze=""),"",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17" t="str" cm="1">
        <f t="array" aca="1" ref="X1034" ca="1">IFERROR(_xlfn.IFS(OR(F1034="",LEFT(Methode_Keuze,4)="Geen",Methode_Keuze=""),"",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26"/>
      <c r="Z1034" s="319"/>
      <c r="AA1034" s="32" t="str" cm="1">
        <f t="array" ref="AA1034">IFERROR(IF(INDEX(SubsidieTabel!$AD$1:$AG$12,MATCH($F1034,SubsidieTabel!$AD$1:$AD$12,0),IFERROR(MATCH(Methode_Keuze,SubsidieTabel!$AD$1:$AG$1,0),2))&lt;&gt;1=TRUE,"ja",""),"")</f>
        <v/>
      </c>
    </row>
    <row r="1035" spans="1:27" x14ac:dyDescent="0.25">
      <c r="A1035" s="320"/>
      <c r="B1035" s="321" t="str">
        <f>IF(A1035&lt;&gt;"",_xlfn.MAXIFS($B$1:B1034,$A$1:A1034,A1035)+1,"")</f>
        <v/>
      </c>
      <c r="C1035" s="299"/>
      <c r="D1035" s="299"/>
      <c r="E1035" s="299"/>
      <c r="F1035" s="299"/>
      <c r="G1035" s="330"/>
      <c r="H1035" s="328"/>
      <c r="I1035" s="329"/>
      <c r="J1035" s="329"/>
      <c r="K1035" s="322"/>
      <c r="L1035" s="322"/>
      <c r="M1035" s="323" t="str">
        <f>IFERROR(VLOOKUP(H1035,Lijsten!$H$1:$I$100,2,0),"")</f>
        <v/>
      </c>
      <c r="N1035" s="323" t="str">
        <f ca="1">IFERROR(IF(VLOOKUP(F1035,Kostentypen!$A$3:$E$21,3,0)=0,"",IF(OR(F1035="Arbeidskosten",F1035="Vergoeding"),VLOOKUP(G1035,Tb_KostenTypen[],2,0),VLOOKUP(F1035,Kostentypen!$A$3:$E$20,3,0))),"")</f>
        <v/>
      </c>
      <c r="O1035" s="324"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4"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3"/>
      <c r="R1035" s="363"/>
      <c r="S1035" s="325"/>
      <c r="T1035" s="325"/>
      <c r="U1035" s="317" t="str" cm="1">
        <f t="array" aca="1" ref="U1035" ca="1">IFERROR(IF(AA1035&lt;&gt;"ja",_xlfn.IFNA(_xlfn.IFS(AND(O1035&lt;&gt;"",F1035&lt;&gt;"",RIGHT($N1035,6)="tarief",F1035="Vergoeding"),SUM(O1035)*FLOOR(SUM(Q1035),0.0001),AND(O1035&lt;&gt;"",F1035&lt;&gt;"",RIGHT($N1035,6)="tarief"),SUM(O1035)*FLOOR(SUM(Q1035),0.01),S1035&gt;0,IF(F1035&lt;&gt;"",FLOOR(SUM(S1035),0.01),"")),""),""),"")</f>
        <v/>
      </c>
      <c r="V1035" s="317" t="str" cm="1">
        <f t="array" aca="1" ref="V1035" ca="1">IFERROR(IF(AA1035&lt;&gt;"ja",_xlfn.IFNA(_xlfn.IFS(AND(P1035&lt;&gt;"",R1035&lt;&gt;"",RIGHT($N1035,6)="tarief",F1035="Vergoeding"),SUM(P1035)*FLOOR(SUM(R1035),0.0001),AND(P1035&lt;&gt;"",R1035&lt;&gt;"",RIGHT($N1035,6)="tarief"),P1035*FLOOR(R1035,0.01),T1035&gt;0,FLOOR(SUM(T1035),0.01)),""),""),"")</f>
        <v/>
      </c>
      <c r="W1035" s="317" t="str" cm="1">
        <f t="array" aca="1" ref="W1035" ca="1">IFERROR(_xlfn.IFS(OR(F1035="",LEFT(Methode_Keuze,4)="Geen",Methode_Keuze=""),"",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17" t="str" cm="1">
        <f t="array" aca="1" ref="X1035" ca="1">IFERROR(_xlfn.IFS(OR(F1035="",LEFT(Methode_Keuze,4)="Geen",Methode_Keuze=""),"",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26"/>
      <c r="Z1035" s="319"/>
      <c r="AA1035" s="32" t="str" cm="1">
        <f t="array" ref="AA1035">IFERROR(IF(INDEX(SubsidieTabel!$AD$1:$AG$12,MATCH($F1035,SubsidieTabel!$AD$1:$AD$12,0),IFERROR(MATCH(Methode_Keuze,SubsidieTabel!$AD$1:$AG$1,0),2))&lt;&gt;1=TRUE,"ja",""),"")</f>
        <v/>
      </c>
    </row>
    <row r="1036" spans="1:27" x14ac:dyDescent="0.25">
      <c r="A1036" s="320"/>
      <c r="B1036" s="321" t="str">
        <f>IF(A1036&lt;&gt;"",_xlfn.MAXIFS($B$1:B1035,$A$1:A1035,A1036)+1,"")</f>
        <v/>
      </c>
      <c r="C1036" s="299"/>
      <c r="D1036" s="299"/>
      <c r="E1036" s="299"/>
      <c r="F1036" s="299"/>
      <c r="G1036" s="330"/>
      <c r="H1036" s="328"/>
      <c r="I1036" s="329"/>
      <c r="J1036" s="329"/>
      <c r="K1036" s="322"/>
      <c r="L1036" s="322"/>
      <c r="M1036" s="323" t="str">
        <f>IFERROR(VLOOKUP(H1036,Lijsten!$H$1:$I$100,2,0),"")</f>
        <v/>
      </c>
      <c r="N1036" s="323" t="str">
        <f ca="1">IFERROR(IF(VLOOKUP(F1036,Kostentypen!$A$3:$E$21,3,0)=0,"",IF(OR(F1036="Arbeidskosten",F1036="Vergoeding"),VLOOKUP(G1036,Tb_KostenTypen[],2,0),VLOOKUP(F1036,Kostentypen!$A$3:$E$20,3,0))),"")</f>
        <v/>
      </c>
      <c r="O1036" s="324"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4"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3"/>
      <c r="R1036" s="363"/>
      <c r="S1036" s="325"/>
      <c r="T1036" s="325"/>
      <c r="U1036" s="317" t="str" cm="1">
        <f t="array" aca="1" ref="U1036" ca="1">IFERROR(IF(AA1036&lt;&gt;"ja",_xlfn.IFNA(_xlfn.IFS(AND(O1036&lt;&gt;"",F1036&lt;&gt;"",RIGHT($N1036,6)="tarief",F1036="Vergoeding"),SUM(O1036)*FLOOR(SUM(Q1036),0.0001),AND(O1036&lt;&gt;"",F1036&lt;&gt;"",RIGHT($N1036,6)="tarief"),SUM(O1036)*FLOOR(SUM(Q1036),0.01),S1036&gt;0,IF(F1036&lt;&gt;"",FLOOR(SUM(S1036),0.01),"")),""),""),"")</f>
        <v/>
      </c>
      <c r="V1036" s="317" t="str" cm="1">
        <f t="array" aca="1" ref="V1036" ca="1">IFERROR(IF(AA1036&lt;&gt;"ja",_xlfn.IFNA(_xlfn.IFS(AND(P1036&lt;&gt;"",R1036&lt;&gt;"",RIGHT($N1036,6)="tarief",F1036="Vergoeding"),SUM(P1036)*FLOOR(SUM(R1036),0.0001),AND(P1036&lt;&gt;"",R1036&lt;&gt;"",RIGHT($N1036,6)="tarief"),P1036*FLOOR(R1036,0.01),T1036&gt;0,FLOOR(SUM(T1036),0.01)),""),""),"")</f>
        <v/>
      </c>
      <c r="W1036" s="317" t="str" cm="1">
        <f t="array" aca="1" ref="W1036" ca="1">IFERROR(_xlfn.IFS(OR(F1036="",LEFT(Methode_Keuze,4)="Geen",Methode_Keuze=""),"",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17" t="str" cm="1">
        <f t="array" aca="1" ref="X1036" ca="1">IFERROR(_xlfn.IFS(OR(F1036="",LEFT(Methode_Keuze,4)="Geen",Methode_Keuze=""),"",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26"/>
      <c r="Z1036" s="319"/>
      <c r="AA1036" s="32" t="str" cm="1">
        <f t="array" ref="AA1036">IFERROR(IF(INDEX(SubsidieTabel!$AD$1:$AG$12,MATCH($F1036,SubsidieTabel!$AD$1:$AD$12,0),IFERROR(MATCH(Methode_Keuze,SubsidieTabel!$AD$1:$AG$1,0),2))&lt;&gt;1=TRUE,"ja",""),"")</f>
        <v/>
      </c>
    </row>
    <row r="1037" spans="1:27" x14ac:dyDescent="0.25">
      <c r="A1037" s="320"/>
      <c r="B1037" s="321" t="str">
        <f>IF(A1037&lt;&gt;"",_xlfn.MAXIFS($B$1:B1036,$A$1:A1036,A1037)+1,"")</f>
        <v/>
      </c>
      <c r="C1037" s="299"/>
      <c r="D1037" s="299"/>
      <c r="E1037" s="299"/>
      <c r="F1037" s="299"/>
      <c r="G1037" s="330"/>
      <c r="H1037" s="328"/>
      <c r="I1037" s="329"/>
      <c r="J1037" s="329"/>
      <c r="K1037" s="322"/>
      <c r="L1037" s="322"/>
      <c r="M1037" s="323" t="str">
        <f>IFERROR(VLOOKUP(H1037,Lijsten!$H$1:$I$100,2,0),"")</f>
        <v/>
      </c>
      <c r="N1037" s="323" t="str">
        <f ca="1">IFERROR(IF(VLOOKUP(F1037,Kostentypen!$A$3:$E$21,3,0)=0,"",IF(OR(F1037="Arbeidskosten",F1037="Vergoeding"),VLOOKUP(G1037,Tb_KostenTypen[],2,0),VLOOKUP(F1037,Kostentypen!$A$3:$E$20,3,0))),"")</f>
        <v/>
      </c>
      <c r="O1037" s="324"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4"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3"/>
      <c r="R1037" s="363"/>
      <c r="S1037" s="325"/>
      <c r="T1037" s="325"/>
      <c r="U1037" s="317" t="str" cm="1">
        <f t="array" aca="1" ref="U1037" ca="1">IFERROR(IF(AA1037&lt;&gt;"ja",_xlfn.IFNA(_xlfn.IFS(AND(O1037&lt;&gt;"",F1037&lt;&gt;"",RIGHT($N1037,6)="tarief",F1037="Vergoeding"),SUM(O1037)*FLOOR(SUM(Q1037),0.0001),AND(O1037&lt;&gt;"",F1037&lt;&gt;"",RIGHT($N1037,6)="tarief"),SUM(O1037)*FLOOR(SUM(Q1037),0.01),S1037&gt;0,IF(F1037&lt;&gt;"",FLOOR(SUM(S1037),0.01),"")),""),""),"")</f>
        <v/>
      </c>
      <c r="V1037" s="317" t="str" cm="1">
        <f t="array" aca="1" ref="V1037" ca="1">IFERROR(IF(AA1037&lt;&gt;"ja",_xlfn.IFNA(_xlfn.IFS(AND(P1037&lt;&gt;"",R1037&lt;&gt;"",RIGHT($N1037,6)="tarief",F1037="Vergoeding"),SUM(P1037)*FLOOR(SUM(R1037),0.0001),AND(P1037&lt;&gt;"",R1037&lt;&gt;"",RIGHT($N1037,6)="tarief"),P1037*FLOOR(R1037,0.01),T1037&gt;0,FLOOR(SUM(T1037),0.01)),""),""),"")</f>
        <v/>
      </c>
      <c r="W1037" s="317" t="str" cm="1">
        <f t="array" aca="1" ref="W1037" ca="1">IFERROR(_xlfn.IFS(OR(F1037="",LEFT(Methode_Keuze,4)="Geen",Methode_Keuze=""),"",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17" t="str" cm="1">
        <f t="array" aca="1" ref="X1037" ca="1">IFERROR(_xlfn.IFS(OR(F1037="",LEFT(Methode_Keuze,4)="Geen",Methode_Keuze=""),"",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26"/>
      <c r="Z1037" s="319"/>
      <c r="AA1037" s="32" t="str" cm="1">
        <f t="array" ref="AA1037">IFERROR(IF(INDEX(SubsidieTabel!$AD$1:$AG$12,MATCH($F1037,SubsidieTabel!$AD$1:$AD$12,0),IFERROR(MATCH(Methode_Keuze,SubsidieTabel!$AD$1:$AG$1,0),2))&lt;&gt;1=TRUE,"ja",""),"")</f>
        <v/>
      </c>
    </row>
    <row r="1038" spans="1:27" x14ac:dyDescent="0.25">
      <c r="A1038" s="320"/>
      <c r="B1038" s="321" t="str">
        <f>IF(A1038&lt;&gt;"",_xlfn.MAXIFS($B$1:B1037,$A$1:A1037,A1038)+1,"")</f>
        <v/>
      </c>
      <c r="C1038" s="299"/>
      <c r="D1038" s="299"/>
      <c r="E1038" s="299"/>
      <c r="F1038" s="299"/>
      <c r="G1038" s="330"/>
      <c r="H1038" s="328"/>
      <c r="I1038" s="329"/>
      <c r="J1038" s="329"/>
      <c r="K1038" s="322"/>
      <c r="L1038" s="322"/>
      <c r="M1038" s="323" t="str">
        <f>IFERROR(VLOOKUP(H1038,Lijsten!$H$1:$I$100,2,0),"")</f>
        <v/>
      </c>
      <c r="N1038" s="323" t="str">
        <f ca="1">IFERROR(IF(VLOOKUP(F1038,Kostentypen!$A$3:$E$21,3,0)=0,"",IF(OR(F1038="Arbeidskosten",F1038="Vergoeding"),VLOOKUP(G1038,Tb_KostenTypen[],2,0),VLOOKUP(F1038,Kostentypen!$A$3:$E$20,3,0))),"")</f>
        <v/>
      </c>
      <c r="O1038" s="324"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4"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3"/>
      <c r="R1038" s="363"/>
      <c r="S1038" s="325"/>
      <c r="T1038" s="325"/>
      <c r="U1038" s="317" t="str" cm="1">
        <f t="array" aca="1" ref="U1038" ca="1">IFERROR(IF(AA1038&lt;&gt;"ja",_xlfn.IFNA(_xlfn.IFS(AND(O1038&lt;&gt;"",F1038&lt;&gt;"",RIGHT($N1038,6)="tarief",F1038="Vergoeding"),SUM(O1038)*FLOOR(SUM(Q1038),0.0001),AND(O1038&lt;&gt;"",F1038&lt;&gt;"",RIGHT($N1038,6)="tarief"),SUM(O1038)*FLOOR(SUM(Q1038),0.01),S1038&gt;0,IF(F1038&lt;&gt;"",FLOOR(SUM(S1038),0.01),"")),""),""),"")</f>
        <v/>
      </c>
      <c r="V1038" s="317" t="str" cm="1">
        <f t="array" aca="1" ref="V1038" ca="1">IFERROR(IF(AA1038&lt;&gt;"ja",_xlfn.IFNA(_xlfn.IFS(AND(P1038&lt;&gt;"",R1038&lt;&gt;"",RIGHT($N1038,6)="tarief",F1038="Vergoeding"),SUM(P1038)*FLOOR(SUM(R1038),0.0001),AND(P1038&lt;&gt;"",R1038&lt;&gt;"",RIGHT($N1038,6)="tarief"),P1038*FLOOR(R1038,0.01),T1038&gt;0,FLOOR(SUM(T1038),0.01)),""),""),"")</f>
        <v/>
      </c>
      <c r="W1038" s="317" t="str" cm="1">
        <f t="array" aca="1" ref="W1038" ca="1">IFERROR(_xlfn.IFS(OR(F1038="",LEFT(Methode_Keuze,4)="Geen",Methode_Keuze=""),"",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17" t="str" cm="1">
        <f t="array" aca="1" ref="X1038" ca="1">IFERROR(_xlfn.IFS(OR(F1038="",LEFT(Methode_Keuze,4)="Geen",Methode_Keuze=""),"",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26"/>
      <c r="Z1038" s="319"/>
      <c r="AA1038" s="32" t="str" cm="1">
        <f t="array" ref="AA1038">IFERROR(IF(INDEX(SubsidieTabel!$AD$1:$AG$12,MATCH($F1038,SubsidieTabel!$AD$1:$AD$12,0),IFERROR(MATCH(Methode_Keuze,SubsidieTabel!$AD$1:$AG$1,0),2))&lt;&gt;1=TRUE,"ja",""),"")</f>
        <v/>
      </c>
    </row>
    <row r="1039" spans="1:27" x14ac:dyDescent="0.25">
      <c r="A1039" s="320"/>
      <c r="B1039" s="321" t="str">
        <f>IF(A1039&lt;&gt;"",_xlfn.MAXIFS($B$1:B1038,$A$1:A1038,A1039)+1,"")</f>
        <v/>
      </c>
      <c r="C1039" s="299"/>
      <c r="D1039" s="299"/>
      <c r="E1039" s="299"/>
      <c r="F1039" s="299"/>
      <c r="G1039" s="330"/>
      <c r="H1039" s="328"/>
      <c r="I1039" s="329"/>
      <c r="J1039" s="329"/>
      <c r="K1039" s="322"/>
      <c r="L1039" s="322"/>
      <c r="M1039" s="323" t="str">
        <f>IFERROR(VLOOKUP(H1039,Lijsten!$H$1:$I$100,2,0),"")</f>
        <v/>
      </c>
      <c r="N1039" s="323" t="str">
        <f ca="1">IFERROR(IF(VLOOKUP(F1039,Kostentypen!$A$3:$E$21,3,0)=0,"",IF(OR(F1039="Arbeidskosten",F1039="Vergoeding"),VLOOKUP(G1039,Tb_KostenTypen[],2,0),VLOOKUP(F1039,Kostentypen!$A$3:$E$20,3,0))),"")</f>
        <v/>
      </c>
      <c r="O1039" s="324"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4"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3"/>
      <c r="R1039" s="363"/>
      <c r="S1039" s="325"/>
      <c r="T1039" s="325"/>
      <c r="U1039" s="317" t="str" cm="1">
        <f t="array" aca="1" ref="U1039" ca="1">IFERROR(IF(AA1039&lt;&gt;"ja",_xlfn.IFNA(_xlfn.IFS(AND(O1039&lt;&gt;"",F1039&lt;&gt;"",RIGHT($N1039,6)="tarief",F1039="Vergoeding"),SUM(O1039)*FLOOR(SUM(Q1039),0.0001),AND(O1039&lt;&gt;"",F1039&lt;&gt;"",RIGHT($N1039,6)="tarief"),SUM(O1039)*FLOOR(SUM(Q1039),0.01),S1039&gt;0,IF(F1039&lt;&gt;"",FLOOR(SUM(S1039),0.01),"")),""),""),"")</f>
        <v/>
      </c>
      <c r="V1039" s="317" t="str" cm="1">
        <f t="array" aca="1" ref="V1039" ca="1">IFERROR(IF(AA1039&lt;&gt;"ja",_xlfn.IFNA(_xlfn.IFS(AND(P1039&lt;&gt;"",R1039&lt;&gt;"",RIGHT($N1039,6)="tarief",F1039="Vergoeding"),SUM(P1039)*FLOOR(SUM(R1039),0.0001),AND(P1039&lt;&gt;"",R1039&lt;&gt;"",RIGHT($N1039,6)="tarief"),P1039*FLOOR(R1039,0.01),T1039&gt;0,FLOOR(SUM(T1039),0.01)),""),""),"")</f>
        <v/>
      </c>
      <c r="W1039" s="317" t="str" cm="1">
        <f t="array" aca="1" ref="W1039" ca="1">IFERROR(_xlfn.IFS(OR(F1039="",LEFT(Methode_Keuze,4)="Geen",Methode_Keuze=""),"",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17" t="str" cm="1">
        <f t="array" aca="1" ref="X1039" ca="1">IFERROR(_xlfn.IFS(OR(F1039="",LEFT(Methode_Keuze,4)="Geen",Methode_Keuze=""),"",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26"/>
      <c r="Z1039" s="319"/>
      <c r="AA1039" s="32" t="str" cm="1">
        <f t="array" ref="AA1039">IFERROR(IF(INDEX(SubsidieTabel!$AD$1:$AG$12,MATCH($F1039,SubsidieTabel!$AD$1:$AD$12,0),IFERROR(MATCH(Methode_Keuze,SubsidieTabel!$AD$1:$AG$1,0),2))&lt;&gt;1=TRUE,"ja",""),"")</f>
        <v/>
      </c>
    </row>
    <row r="1040" spans="1:27" x14ac:dyDescent="0.25">
      <c r="A1040" s="320"/>
      <c r="B1040" s="321" t="str">
        <f>IF(A1040&lt;&gt;"",_xlfn.MAXIFS($B$1:B1039,$A$1:A1039,A1040)+1,"")</f>
        <v/>
      </c>
      <c r="C1040" s="299"/>
      <c r="D1040" s="299"/>
      <c r="E1040" s="299"/>
      <c r="F1040" s="299"/>
      <c r="G1040" s="330"/>
      <c r="H1040" s="328"/>
      <c r="I1040" s="329"/>
      <c r="J1040" s="329"/>
      <c r="K1040" s="322"/>
      <c r="L1040" s="322"/>
      <c r="M1040" s="323" t="str">
        <f>IFERROR(VLOOKUP(H1040,Lijsten!$H$1:$I$100,2,0),"")</f>
        <v/>
      </c>
      <c r="N1040" s="323" t="str">
        <f ca="1">IFERROR(IF(VLOOKUP(F1040,Kostentypen!$A$3:$E$21,3,0)=0,"",IF(OR(F1040="Arbeidskosten",F1040="Vergoeding"),VLOOKUP(G1040,Tb_KostenTypen[],2,0),VLOOKUP(F1040,Kostentypen!$A$3:$E$20,3,0))),"")</f>
        <v/>
      </c>
      <c r="O1040" s="324"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4"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3"/>
      <c r="R1040" s="363"/>
      <c r="S1040" s="325"/>
      <c r="T1040" s="325"/>
      <c r="U1040" s="317" t="str" cm="1">
        <f t="array" aca="1" ref="U1040" ca="1">IFERROR(IF(AA1040&lt;&gt;"ja",_xlfn.IFNA(_xlfn.IFS(AND(O1040&lt;&gt;"",F1040&lt;&gt;"",RIGHT($N1040,6)="tarief",F1040="Vergoeding"),SUM(O1040)*FLOOR(SUM(Q1040),0.0001),AND(O1040&lt;&gt;"",F1040&lt;&gt;"",RIGHT($N1040,6)="tarief"),SUM(O1040)*FLOOR(SUM(Q1040),0.01),S1040&gt;0,IF(F1040&lt;&gt;"",FLOOR(SUM(S1040),0.01),"")),""),""),"")</f>
        <v/>
      </c>
      <c r="V1040" s="317" t="str" cm="1">
        <f t="array" aca="1" ref="V1040" ca="1">IFERROR(IF(AA1040&lt;&gt;"ja",_xlfn.IFNA(_xlfn.IFS(AND(P1040&lt;&gt;"",R1040&lt;&gt;"",RIGHT($N1040,6)="tarief",F1040="Vergoeding"),SUM(P1040)*FLOOR(SUM(R1040),0.0001),AND(P1040&lt;&gt;"",R1040&lt;&gt;"",RIGHT($N1040,6)="tarief"),P1040*FLOOR(R1040,0.01),T1040&gt;0,FLOOR(SUM(T1040),0.01)),""),""),"")</f>
        <v/>
      </c>
      <c r="W1040" s="317" t="str" cm="1">
        <f t="array" aca="1" ref="W1040" ca="1">IFERROR(_xlfn.IFS(OR(F1040="",LEFT(Methode_Keuze,4)="Geen",Methode_Keuze=""),"",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17" t="str" cm="1">
        <f t="array" aca="1" ref="X1040" ca="1">IFERROR(_xlfn.IFS(OR(F1040="",LEFT(Methode_Keuze,4)="Geen",Methode_Keuze=""),"",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26"/>
      <c r="Z1040" s="319"/>
      <c r="AA1040" s="32" t="str" cm="1">
        <f t="array" ref="AA1040">IFERROR(IF(INDEX(SubsidieTabel!$AD$1:$AG$12,MATCH($F1040,SubsidieTabel!$AD$1:$AD$12,0),IFERROR(MATCH(Methode_Keuze,SubsidieTabel!$AD$1:$AG$1,0),2))&lt;&gt;1=TRUE,"ja",""),"")</f>
        <v/>
      </c>
    </row>
    <row r="1041" spans="1:27" x14ac:dyDescent="0.25">
      <c r="A1041" s="320"/>
      <c r="B1041" s="321" t="str">
        <f>IF(A1041&lt;&gt;"",_xlfn.MAXIFS($B$1:B1040,$A$1:A1040,A1041)+1,"")</f>
        <v/>
      </c>
      <c r="C1041" s="299"/>
      <c r="D1041" s="299"/>
      <c r="E1041" s="299"/>
      <c r="F1041" s="299"/>
      <c r="G1041" s="330"/>
      <c r="H1041" s="328"/>
      <c r="I1041" s="329"/>
      <c r="J1041" s="329"/>
      <c r="K1041" s="322"/>
      <c r="L1041" s="322"/>
      <c r="M1041" s="323" t="str">
        <f>IFERROR(VLOOKUP(H1041,Lijsten!$H$1:$I$100,2,0),"")</f>
        <v/>
      </c>
      <c r="N1041" s="323" t="str">
        <f ca="1">IFERROR(IF(VLOOKUP(F1041,Kostentypen!$A$3:$E$21,3,0)=0,"",IF(OR(F1041="Arbeidskosten",F1041="Vergoeding"),VLOOKUP(G1041,Tb_KostenTypen[],2,0),VLOOKUP(F1041,Kostentypen!$A$3:$E$20,3,0))),"")</f>
        <v/>
      </c>
      <c r="O1041" s="324"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4"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3"/>
      <c r="R1041" s="363"/>
      <c r="S1041" s="325"/>
      <c r="T1041" s="325"/>
      <c r="U1041" s="317" t="str" cm="1">
        <f t="array" aca="1" ref="U1041" ca="1">IFERROR(IF(AA1041&lt;&gt;"ja",_xlfn.IFNA(_xlfn.IFS(AND(O1041&lt;&gt;"",F1041&lt;&gt;"",RIGHT($N1041,6)="tarief",F1041="Vergoeding"),SUM(O1041)*FLOOR(SUM(Q1041),0.0001),AND(O1041&lt;&gt;"",F1041&lt;&gt;"",RIGHT($N1041,6)="tarief"),SUM(O1041)*FLOOR(SUM(Q1041),0.01),S1041&gt;0,IF(F1041&lt;&gt;"",FLOOR(SUM(S1041),0.01),"")),""),""),"")</f>
        <v/>
      </c>
      <c r="V1041" s="317" t="str" cm="1">
        <f t="array" aca="1" ref="V1041" ca="1">IFERROR(IF(AA1041&lt;&gt;"ja",_xlfn.IFNA(_xlfn.IFS(AND(P1041&lt;&gt;"",R1041&lt;&gt;"",RIGHT($N1041,6)="tarief",F1041="Vergoeding"),SUM(P1041)*FLOOR(SUM(R1041),0.0001),AND(P1041&lt;&gt;"",R1041&lt;&gt;"",RIGHT($N1041,6)="tarief"),P1041*FLOOR(R1041,0.01),T1041&gt;0,FLOOR(SUM(T1041),0.01)),""),""),"")</f>
        <v/>
      </c>
      <c r="W1041" s="317" t="str" cm="1">
        <f t="array" aca="1" ref="W1041" ca="1">IFERROR(_xlfn.IFS(OR(F1041="",LEFT(Methode_Keuze,4)="Geen",Methode_Keuze=""),"",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17" t="str" cm="1">
        <f t="array" aca="1" ref="X1041" ca="1">IFERROR(_xlfn.IFS(OR(F1041="",LEFT(Methode_Keuze,4)="Geen",Methode_Keuze=""),"",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26"/>
      <c r="Z1041" s="319"/>
      <c r="AA1041" s="32" t="str" cm="1">
        <f t="array" ref="AA1041">IFERROR(IF(INDEX(SubsidieTabel!$AD$1:$AG$12,MATCH($F1041,SubsidieTabel!$AD$1:$AD$12,0),IFERROR(MATCH(Methode_Keuze,SubsidieTabel!$AD$1:$AG$1,0),2))&lt;&gt;1=TRUE,"ja",""),"")</f>
        <v/>
      </c>
    </row>
    <row r="1042" spans="1:27" x14ac:dyDescent="0.25">
      <c r="A1042" s="320"/>
      <c r="B1042" s="321" t="str">
        <f>IF(A1042&lt;&gt;"",_xlfn.MAXIFS($B$1:B1041,$A$1:A1041,A1042)+1,"")</f>
        <v/>
      </c>
      <c r="C1042" s="299"/>
      <c r="D1042" s="299"/>
      <c r="E1042" s="299"/>
      <c r="F1042" s="299"/>
      <c r="G1042" s="330"/>
      <c r="H1042" s="328"/>
      <c r="I1042" s="329"/>
      <c r="J1042" s="329"/>
      <c r="K1042" s="322"/>
      <c r="L1042" s="322"/>
      <c r="M1042" s="323" t="str">
        <f>IFERROR(VLOOKUP(H1042,Lijsten!$H$1:$I$100,2,0),"")</f>
        <v/>
      </c>
      <c r="N1042" s="323" t="str">
        <f ca="1">IFERROR(IF(VLOOKUP(F1042,Kostentypen!$A$3:$E$21,3,0)=0,"",IF(OR(F1042="Arbeidskosten",F1042="Vergoeding"),VLOOKUP(G1042,Tb_KostenTypen[],2,0),VLOOKUP(F1042,Kostentypen!$A$3:$E$20,3,0))),"")</f>
        <v/>
      </c>
      <c r="O1042" s="324"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4"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3"/>
      <c r="R1042" s="363"/>
      <c r="S1042" s="325"/>
      <c r="T1042" s="325"/>
      <c r="U1042" s="317" t="str" cm="1">
        <f t="array" aca="1" ref="U1042" ca="1">IFERROR(IF(AA1042&lt;&gt;"ja",_xlfn.IFNA(_xlfn.IFS(AND(O1042&lt;&gt;"",F1042&lt;&gt;"",RIGHT($N1042,6)="tarief",F1042="Vergoeding"),SUM(O1042)*FLOOR(SUM(Q1042),0.0001),AND(O1042&lt;&gt;"",F1042&lt;&gt;"",RIGHT($N1042,6)="tarief"),SUM(O1042)*FLOOR(SUM(Q1042),0.01),S1042&gt;0,IF(F1042&lt;&gt;"",FLOOR(SUM(S1042),0.01),"")),""),""),"")</f>
        <v/>
      </c>
      <c r="V1042" s="317" t="str" cm="1">
        <f t="array" aca="1" ref="V1042" ca="1">IFERROR(IF(AA1042&lt;&gt;"ja",_xlfn.IFNA(_xlfn.IFS(AND(P1042&lt;&gt;"",R1042&lt;&gt;"",RIGHT($N1042,6)="tarief",F1042="Vergoeding"),SUM(P1042)*FLOOR(SUM(R1042),0.0001),AND(P1042&lt;&gt;"",R1042&lt;&gt;"",RIGHT($N1042,6)="tarief"),P1042*FLOOR(R1042,0.01),T1042&gt;0,FLOOR(SUM(T1042),0.01)),""),""),"")</f>
        <v/>
      </c>
      <c r="W1042" s="317" t="str" cm="1">
        <f t="array" aca="1" ref="W1042" ca="1">IFERROR(_xlfn.IFS(OR(F1042="",LEFT(Methode_Keuze,4)="Geen",Methode_Keuze=""),"",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17" t="str" cm="1">
        <f t="array" aca="1" ref="X1042" ca="1">IFERROR(_xlfn.IFS(OR(F1042="",LEFT(Methode_Keuze,4)="Geen",Methode_Keuze=""),"",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26"/>
      <c r="Z1042" s="319"/>
      <c r="AA1042" s="32" t="str" cm="1">
        <f t="array" ref="AA1042">IFERROR(IF(INDEX(SubsidieTabel!$AD$1:$AG$12,MATCH($F1042,SubsidieTabel!$AD$1:$AD$12,0),IFERROR(MATCH(Methode_Keuze,SubsidieTabel!$AD$1:$AG$1,0),2))&lt;&gt;1=TRUE,"ja",""),"")</f>
        <v/>
      </c>
    </row>
    <row r="1043" spans="1:27" x14ac:dyDescent="0.25">
      <c r="A1043" s="320"/>
      <c r="B1043" s="321" t="str">
        <f>IF(A1043&lt;&gt;"",_xlfn.MAXIFS($B$1:B1042,$A$1:A1042,A1043)+1,"")</f>
        <v/>
      </c>
      <c r="C1043" s="299"/>
      <c r="D1043" s="299"/>
      <c r="E1043" s="299"/>
      <c r="F1043" s="299"/>
      <c r="G1043" s="330"/>
      <c r="H1043" s="328"/>
      <c r="I1043" s="329"/>
      <c r="J1043" s="329"/>
      <c r="K1043" s="322"/>
      <c r="L1043" s="322"/>
      <c r="M1043" s="323" t="str">
        <f>IFERROR(VLOOKUP(H1043,Lijsten!$H$1:$I$100,2,0),"")</f>
        <v/>
      </c>
      <c r="N1043" s="323" t="str">
        <f ca="1">IFERROR(IF(VLOOKUP(F1043,Kostentypen!$A$3:$E$21,3,0)=0,"",IF(OR(F1043="Arbeidskosten",F1043="Vergoeding"),VLOOKUP(G1043,Tb_KostenTypen[],2,0),VLOOKUP(F1043,Kostentypen!$A$3:$E$20,3,0))),"")</f>
        <v/>
      </c>
      <c r="O1043" s="324"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4"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3"/>
      <c r="R1043" s="363"/>
      <c r="S1043" s="325"/>
      <c r="T1043" s="325"/>
      <c r="U1043" s="317" t="str" cm="1">
        <f t="array" aca="1" ref="U1043" ca="1">IFERROR(IF(AA1043&lt;&gt;"ja",_xlfn.IFNA(_xlfn.IFS(AND(O1043&lt;&gt;"",F1043&lt;&gt;"",RIGHT($N1043,6)="tarief",F1043="Vergoeding"),SUM(O1043)*FLOOR(SUM(Q1043),0.0001),AND(O1043&lt;&gt;"",F1043&lt;&gt;"",RIGHT($N1043,6)="tarief"),SUM(O1043)*FLOOR(SUM(Q1043),0.01),S1043&gt;0,IF(F1043&lt;&gt;"",FLOOR(SUM(S1043),0.01),"")),""),""),"")</f>
        <v/>
      </c>
      <c r="V1043" s="317" t="str" cm="1">
        <f t="array" aca="1" ref="V1043" ca="1">IFERROR(IF(AA1043&lt;&gt;"ja",_xlfn.IFNA(_xlfn.IFS(AND(P1043&lt;&gt;"",R1043&lt;&gt;"",RIGHT($N1043,6)="tarief",F1043="Vergoeding"),SUM(P1043)*FLOOR(SUM(R1043),0.0001),AND(P1043&lt;&gt;"",R1043&lt;&gt;"",RIGHT($N1043,6)="tarief"),P1043*FLOOR(R1043,0.01),T1043&gt;0,FLOOR(SUM(T1043),0.01)),""),""),"")</f>
        <v/>
      </c>
      <c r="W1043" s="317" t="str" cm="1">
        <f t="array" aca="1" ref="W1043" ca="1">IFERROR(_xlfn.IFS(OR(F1043="",LEFT(Methode_Keuze,4)="Geen",Methode_Keuze=""),"",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17" t="str" cm="1">
        <f t="array" aca="1" ref="X1043" ca="1">IFERROR(_xlfn.IFS(OR(F1043="",LEFT(Methode_Keuze,4)="Geen",Methode_Keuze=""),"",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26"/>
      <c r="Z1043" s="319"/>
      <c r="AA1043" s="32" t="str" cm="1">
        <f t="array" ref="AA1043">IFERROR(IF(INDEX(SubsidieTabel!$AD$1:$AG$12,MATCH($F1043,SubsidieTabel!$AD$1:$AD$12,0),IFERROR(MATCH(Methode_Keuze,SubsidieTabel!$AD$1:$AG$1,0),2))&lt;&gt;1=TRUE,"ja",""),"")</f>
        <v/>
      </c>
    </row>
    <row r="1044" spans="1:27" x14ac:dyDescent="0.25">
      <c r="A1044" s="320"/>
      <c r="B1044" s="321" t="str">
        <f>IF(A1044&lt;&gt;"",_xlfn.MAXIFS($B$1:B1043,$A$1:A1043,A1044)+1,"")</f>
        <v/>
      </c>
      <c r="C1044" s="299"/>
      <c r="D1044" s="299"/>
      <c r="E1044" s="299"/>
      <c r="F1044" s="299"/>
      <c r="G1044" s="330"/>
      <c r="H1044" s="328"/>
      <c r="I1044" s="329"/>
      <c r="J1044" s="329"/>
      <c r="K1044" s="322"/>
      <c r="L1044" s="322"/>
      <c r="M1044" s="323" t="str">
        <f>IFERROR(VLOOKUP(H1044,Lijsten!$H$1:$I$100,2,0),"")</f>
        <v/>
      </c>
      <c r="N1044" s="323" t="str">
        <f ca="1">IFERROR(IF(VLOOKUP(F1044,Kostentypen!$A$3:$E$21,3,0)=0,"",IF(OR(F1044="Arbeidskosten",F1044="Vergoeding"),VLOOKUP(G1044,Tb_KostenTypen[],2,0),VLOOKUP(F1044,Kostentypen!$A$3:$E$20,3,0))),"")</f>
        <v/>
      </c>
      <c r="O1044" s="324"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4"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3"/>
      <c r="R1044" s="363"/>
      <c r="S1044" s="325"/>
      <c r="T1044" s="325"/>
      <c r="U1044" s="317" t="str" cm="1">
        <f t="array" aca="1" ref="U1044" ca="1">IFERROR(IF(AA1044&lt;&gt;"ja",_xlfn.IFNA(_xlfn.IFS(AND(O1044&lt;&gt;"",F1044&lt;&gt;"",RIGHT($N1044,6)="tarief",F1044="Vergoeding"),SUM(O1044)*FLOOR(SUM(Q1044),0.0001),AND(O1044&lt;&gt;"",F1044&lt;&gt;"",RIGHT($N1044,6)="tarief"),SUM(O1044)*FLOOR(SUM(Q1044),0.01),S1044&gt;0,IF(F1044&lt;&gt;"",FLOOR(SUM(S1044),0.01),"")),""),""),"")</f>
        <v/>
      </c>
      <c r="V1044" s="317" t="str" cm="1">
        <f t="array" aca="1" ref="V1044" ca="1">IFERROR(IF(AA1044&lt;&gt;"ja",_xlfn.IFNA(_xlfn.IFS(AND(P1044&lt;&gt;"",R1044&lt;&gt;"",RIGHT($N1044,6)="tarief",F1044="Vergoeding"),SUM(P1044)*FLOOR(SUM(R1044),0.0001),AND(P1044&lt;&gt;"",R1044&lt;&gt;"",RIGHT($N1044,6)="tarief"),P1044*FLOOR(R1044,0.01),T1044&gt;0,FLOOR(SUM(T1044),0.01)),""),""),"")</f>
        <v/>
      </c>
      <c r="W1044" s="317" t="str" cm="1">
        <f t="array" aca="1" ref="W1044" ca="1">IFERROR(_xlfn.IFS(OR(F1044="",LEFT(Methode_Keuze,4)="Geen",Methode_Keuze=""),"",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17" t="str" cm="1">
        <f t="array" aca="1" ref="X1044" ca="1">IFERROR(_xlfn.IFS(OR(F1044="",LEFT(Methode_Keuze,4)="Geen",Methode_Keuze=""),"",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26"/>
      <c r="Z1044" s="319"/>
      <c r="AA1044" s="32" t="str" cm="1">
        <f t="array" ref="AA1044">IFERROR(IF(INDEX(SubsidieTabel!$AD$1:$AG$12,MATCH($F1044,SubsidieTabel!$AD$1:$AD$12,0),IFERROR(MATCH(Methode_Keuze,SubsidieTabel!$AD$1:$AG$1,0),2))&lt;&gt;1=TRUE,"ja",""),"")</f>
        <v/>
      </c>
    </row>
    <row r="1045" spans="1:27" x14ac:dyDescent="0.25">
      <c r="A1045" s="320"/>
      <c r="B1045" s="321" t="str">
        <f>IF(A1045&lt;&gt;"",_xlfn.MAXIFS($B$1:B1044,$A$1:A1044,A1045)+1,"")</f>
        <v/>
      </c>
      <c r="C1045" s="299"/>
      <c r="D1045" s="299"/>
      <c r="E1045" s="299"/>
      <c r="F1045" s="299"/>
      <c r="G1045" s="330"/>
      <c r="H1045" s="328"/>
      <c r="I1045" s="329"/>
      <c r="J1045" s="329"/>
      <c r="K1045" s="322"/>
      <c r="L1045" s="322"/>
      <c r="M1045" s="323" t="str">
        <f>IFERROR(VLOOKUP(H1045,Lijsten!$H$1:$I$100,2,0),"")</f>
        <v/>
      </c>
      <c r="N1045" s="323" t="str">
        <f ca="1">IFERROR(IF(VLOOKUP(F1045,Kostentypen!$A$3:$E$21,3,0)=0,"",IF(OR(F1045="Arbeidskosten",F1045="Vergoeding"),VLOOKUP(G1045,Tb_KostenTypen[],2,0),VLOOKUP(F1045,Kostentypen!$A$3:$E$20,3,0))),"")</f>
        <v/>
      </c>
      <c r="O1045" s="324"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4"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3"/>
      <c r="R1045" s="363"/>
      <c r="S1045" s="325"/>
      <c r="T1045" s="325"/>
      <c r="U1045" s="317" t="str" cm="1">
        <f t="array" aca="1" ref="U1045" ca="1">IFERROR(IF(AA1045&lt;&gt;"ja",_xlfn.IFNA(_xlfn.IFS(AND(O1045&lt;&gt;"",F1045&lt;&gt;"",RIGHT($N1045,6)="tarief",F1045="Vergoeding"),SUM(O1045)*FLOOR(SUM(Q1045),0.0001),AND(O1045&lt;&gt;"",F1045&lt;&gt;"",RIGHT($N1045,6)="tarief"),SUM(O1045)*FLOOR(SUM(Q1045),0.01),S1045&gt;0,IF(F1045&lt;&gt;"",FLOOR(SUM(S1045),0.01),"")),""),""),"")</f>
        <v/>
      </c>
      <c r="V1045" s="317" t="str" cm="1">
        <f t="array" aca="1" ref="V1045" ca="1">IFERROR(IF(AA1045&lt;&gt;"ja",_xlfn.IFNA(_xlfn.IFS(AND(P1045&lt;&gt;"",R1045&lt;&gt;"",RIGHT($N1045,6)="tarief",F1045="Vergoeding"),SUM(P1045)*FLOOR(SUM(R1045),0.0001),AND(P1045&lt;&gt;"",R1045&lt;&gt;"",RIGHT($N1045,6)="tarief"),P1045*FLOOR(R1045,0.01),T1045&gt;0,FLOOR(SUM(T1045),0.01)),""),""),"")</f>
        <v/>
      </c>
      <c r="W1045" s="317" t="str" cm="1">
        <f t="array" aca="1" ref="W1045" ca="1">IFERROR(_xlfn.IFS(OR(F1045="",LEFT(Methode_Keuze,4)="Geen",Methode_Keuze=""),"",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17" t="str" cm="1">
        <f t="array" aca="1" ref="X1045" ca="1">IFERROR(_xlfn.IFS(OR(F1045="",LEFT(Methode_Keuze,4)="Geen",Methode_Keuze=""),"",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26"/>
      <c r="Z1045" s="319"/>
      <c r="AA1045" s="32" t="str" cm="1">
        <f t="array" ref="AA1045">IFERROR(IF(INDEX(SubsidieTabel!$AD$1:$AG$12,MATCH($F1045,SubsidieTabel!$AD$1:$AD$12,0),IFERROR(MATCH(Methode_Keuze,SubsidieTabel!$AD$1:$AG$1,0),2))&lt;&gt;1=TRUE,"ja",""),"")</f>
        <v/>
      </c>
    </row>
    <row r="1046" spans="1:27" x14ac:dyDescent="0.25">
      <c r="A1046" s="320"/>
      <c r="B1046" s="321" t="str">
        <f>IF(A1046&lt;&gt;"",_xlfn.MAXIFS($B$1:B1045,$A$1:A1045,A1046)+1,"")</f>
        <v/>
      </c>
      <c r="C1046" s="299"/>
      <c r="D1046" s="299"/>
      <c r="E1046" s="299"/>
      <c r="F1046" s="299"/>
      <c r="G1046" s="330"/>
      <c r="H1046" s="328"/>
      <c r="I1046" s="329"/>
      <c r="J1046" s="329"/>
      <c r="K1046" s="322"/>
      <c r="L1046" s="322"/>
      <c r="M1046" s="323" t="str">
        <f>IFERROR(VLOOKUP(H1046,Lijsten!$H$1:$I$100,2,0),"")</f>
        <v/>
      </c>
      <c r="N1046" s="323" t="str">
        <f ca="1">IFERROR(IF(VLOOKUP(F1046,Kostentypen!$A$3:$E$21,3,0)=0,"",IF(OR(F1046="Arbeidskosten",F1046="Vergoeding"),VLOOKUP(G1046,Tb_KostenTypen[],2,0),VLOOKUP(F1046,Kostentypen!$A$3:$E$20,3,0))),"")</f>
        <v/>
      </c>
      <c r="O1046" s="324"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4"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3"/>
      <c r="R1046" s="363"/>
      <c r="S1046" s="325"/>
      <c r="T1046" s="325"/>
      <c r="U1046" s="317" t="str" cm="1">
        <f t="array" aca="1" ref="U1046" ca="1">IFERROR(IF(AA1046&lt;&gt;"ja",_xlfn.IFNA(_xlfn.IFS(AND(O1046&lt;&gt;"",F1046&lt;&gt;"",RIGHT($N1046,6)="tarief",F1046="Vergoeding"),SUM(O1046)*FLOOR(SUM(Q1046),0.0001),AND(O1046&lt;&gt;"",F1046&lt;&gt;"",RIGHT($N1046,6)="tarief"),SUM(O1046)*FLOOR(SUM(Q1046),0.01),S1046&gt;0,IF(F1046&lt;&gt;"",FLOOR(SUM(S1046),0.01),"")),""),""),"")</f>
        <v/>
      </c>
      <c r="V1046" s="317" t="str" cm="1">
        <f t="array" aca="1" ref="V1046" ca="1">IFERROR(IF(AA1046&lt;&gt;"ja",_xlfn.IFNA(_xlfn.IFS(AND(P1046&lt;&gt;"",R1046&lt;&gt;"",RIGHT($N1046,6)="tarief",F1046="Vergoeding"),SUM(P1046)*FLOOR(SUM(R1046),0.0001),AND(P1046&lt;&gt;"",R1046&lt;&gt;"",RIGHT($N1046,6)="tarief"),P1046*FLOOR(R1046,0.01),T1046&gt;0,FLOOR(SUM(T1046),0.01)),""),""),"")</f>
        <v/>
      </c>
      <c r="W1046" s="317" t="str" cm="1">
        <f t="array" aca="1" ref="W1046" ca="1">IFERROR(_xlfn.IFS(OR(F1046="",LEFT(Methode_Keuze,4)="Geen",Methode_Keuze=""),"",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17" t="str" cm="1">
        <f t="array" aca="1" ref="X1046" ca="1">IFERROR(_xlfn.IFS(OR(F1046="",LEFT(Methode_Keuze,4)="Geen",Methode_Keuze=""),"",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26"/>
      <c r="Z1046" s="319"/>
      <c r="AA1046" s="32" t="str" cm="1">
        <f t="array" ref="AA1046">IFERROR(IF(INDEX(SubsidieTabel!$AD$1:$AG$12,MATCH($F1046,SubsidieTabel!$AD$1:$AD$12,0),IFERROR(MATCH(Methode_Keuze,SubsidieTabel!$AD$1:$AG$1,0),2))&lt;&gt;1=TRUE,"ja",""),"")</f>
        <v/>
      </c>
    </row>
    <row r="1047" spans="1:27" x14ac:dyDescent="0.25">
      <c r="A1047" s="320"/>
      <c r="B1047" s="321" t="str">
        <f>IF(A1047&lt;&gt;"",_xlfn.MAXIFS($B$1:B1046,$A$1:A1046,A1047)+1,"")</f>
        <v/>
      </c>
      <c r="C1047" s="299"/>
      <c r="D1047" s="299"/>
      <c r="E1047" s="299"/>
      <c r="F1047" s="299"/>
      <c r="G1047" s="330"/>
      <c r="H1047" s="328"/>
      <c r="I1047" s="329"/>
      <c r="J1047" s="329"/>
      <c r="K1047" s="322"/>
      <c r="L1047" s="322"/>
      <c r="M1047" s="323" t="str">
        <f>IFERROR(VLOOKUP(H1047,Lijsten!$H$1:$I$100,2,0),"")</f>
        <v/>
      </c>
      <c r="N1047" s="323" t="str">
        <f ca="1">IFERROR(IF(VLOOKUP(F1047,Kostentypen!$A$3:$E$21,3,0)=0,"",IF(OR(F1047="Arbeidskosten",F1047="Vergoeding"),VLOOKUP(G1047,Tb_KostenTypen[],2,0),VLOOKUP(F1047,Kostentypen!$A$3:$E$20,3,0))),"")</f>
        <v/>
      </c>
      <c r="O1047" s="324"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4"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3"/>
      <c r="R1047" s="363"/>
      <c r="S1047" s="325"/>
      <c r="T1047" s="325"/>
      <c r="U1047" s="317" t="str" cm="1">
        <f t="array" aca="1" ref="U1047" ca="1">IFERROR(IF(AA1047&lt;&gt;"ja",_xlfn.IFNA(_xlfn.IFS(AND(O1047&lt;&gt;"",F1047&lt;&gt;"",RIGHT($N1047,6)="tarief",F1047="Vergoeding"),SUM(O1047)*FLOOR(SUM(Q1047),0.0001),AND(O1047&lt;&gt;"",F1047&lt;&gt;"",RIGHT($N1047,6)="tarief"),SUM(O1047)*FLOOR(SUM(Q1047),0.01),S1047&gt;0,IF(F1047&lt;&gt;"",FLOOR(SUM(S1047),0.01),"")),""),""),"")</f>
        <v/>
      </c>
      <c r="V1047" s="317" t="str" cm="1">
        <f t="array" aca="1" ref="V1047" ca="1">IFERROR(IF(AA1047&lt;&gt;"ja",_xlfn.IFNA(_xlfn.IFS(AND(P1047&lt;&gt;"",R1047&lt;&gt;"",RIGHT($N1047,6)="tarief",F1047="Vergoeding"),SUM(P1047)*FLOOR(SUM(R1047),0.0001),AND(P1047&lt;&gt;"",R1047&lt;&gt;"",RIGHT($N1047,6)="tarief"),P1047*FLOOR(R1047,0.01),T1047&gt;0,FLOOR(SUM(T1047),0.01)),""),""),"")</f>
        <v/>
      </c>
      <c r="W1047" s="317" t="str" cm="1">
        <f t="array" aca="1" ref="W1047" ca="1">IFERROR(_xlfn.IFS(OR(F1047="",LEFT(Methode_Keuze,4)="Geen",Methode_Keuze=""),"",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17" t="str" cm="1">
        <f t="array" aca="1" ref="X1047" ca="1">IFERROR(_xlfn.IFS(OR(F1047="",LEFT(Methode_Keuze,4)="Geen",Methode_Keuze=""),"",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26"/>
      <c r="Z1047" s="319"/>
      <c r="AA1047" s="32" t="str" cm="1">
        <f t="array" ref="AA1047">IFERROR(IF(INDEX(SubsidieTabel!$AD$1:$AG$12,MATCH($F1047,SubsidieTabel!$AD$1:$AD$12,0),IFERROR(MATCH(Methode_Keuze,SubsidieTabel!$AD$1:$AG$1,0),2))&lt;&gt;1=TRUE,"ja",""),"")</f>
        <v/>
      </c>
    </row>
    <row r="1048" spans="1:27" x14ac:dyDescent="0.25">
      <c r="A1048" s="320"/>
      <c r="B1048" s="321" t="str">
        <f>IF(A1048&lt;&gt;"",_xlfn.MAXIFS($B$1:B1047,$A$1:A1047,A1048)+1,"")</f>
        <v/>
      </c>
      <c r="C1048" s="299"/>
      <c r="D1048" s="299"/>
      <c r="E1048" s="299"/>
      <c r="F1048" s="299"/>
      <c r="G1048" s="330"/>
      <c r="H1048" s="328"/>
      <c r="I1048" s="329"/>
      <c r="J1048" s="329"/>
      <c r="K1048" s="322"/>
      <c r="L1048" s="322"/>
      <c r="M1048" s="323" t="str">
        <f>IFERROR(VLOOKUP(H1048,Lijsten!$H$1:$I$100,2,0),"")</f>
        <v/>
      </c>
      <c r="N1048" s="323" t="str">
        <f ca="1">IFERROR(IF(VLOOKUP(F1048,Kostentypen!$A$3:$E$21,3,0)=0,"",IF(OR(F1048="Arbeidskosten",F1048="Vergoeding"),VLOOKUP(G1048,Tb_KostenTypen[],2,0),VLOOKUP(F1048,Kostentypen!$A$3:$E$20,3,0))),"")</f>
        <v/>
      </c>
      <c r="O1048" s="324"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4"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3"/>
      <c r="R1048" s="363"/>
      <c r="S1048" s="325"/>
      <c r="T1048" s="325"/>
      <c r="U1048" s="317" t="str" cm="1">
        <f t="array" aca="1" ref="U1048" ca="1">IFERROR(IF(AA1048&lt;&gt;"ja",_xlfn.IFNA(_xlfn.IFS(AND(O1048&lt;&gt;"",F1048&lt;&gt;"",RIGHT($N1048,6)="tarief",F1048="Vergoeding"),SUM(O1048)*FLOOR(SUM(Q1048),0.0001),AND(O1048&lt;&gt;"",F1048&lt;&gt;"",RIGHT($N1048,6)="tarief"),SUM(O1048)*FLOOR(SUM(Q1048),0.01),S1048&gt;0,IF(F1048&lt;&gt;"",FLOOR(SUM(S1048),0.01),"")),""),""),"")</f>
        <v/>
      </c>
      <c r="V1048" s="317" t="str" cm="1">
        <f t="array" aca="1" ref="V1048" ca="1">IFERROR(IF(AA1048&lt;&gt;"ja",_xlfn.IFNA(_xlfn.IFS(AND(P1048&lt;&gt;"",R1048&lt;&gt;"",RIGHT($N1048,6)="tarief",F1048="Vergoeding"),SUM(P1048)*FLOOR(SUM(R1048),0.0001),AND(P1048&lt;&gt;"",R1048&lt;&gt;"",RIGHT($N1048,6)="tarief"),P1048*FLOOR(R1048,0.01),T1048&gt;0,FLOOR(SUM(T1048),0.01)),""),""),"")</f>
        <v/>
      </c>
      <c r="W1048" s="317" t="str" cm="1">
        <f t="array" aca="1" ref="W1048" ca="1">IFERROR(_xlfn.IFS(OR(F1048="",LEFT(Methode_Keuze,4)="Geen",Methode_Keuze=""),"",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17" t="str" cm="1">
        <f t="array" aca="1" ref="X1048" ca="1">IFERROR(_xlfn.IFS(OR(F1048="",LEFT(Methode_Keuze,4)="Geen",Methode_Keuze=""),"",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26"/>
      <c r="Z1048" s="319"/>
      <c r="AA1048" s="32" t="str" cm="1">
        <f t="array" ref="AA1048">IFERROR(IF(INDEX(SubsidieTabel!$AD$1:$AG$12,MATCH($F1048,SubsidieTabel!$AD$1:$AD$12,0),IFERROR(MATCH(Methode_Keuze,SubsidieTabel!$AD$1:$AG$1,0),2))&lt;&gt;1=TRUE,"ja",""),"")</f>
        <v/>
      </c>
    </row>
    <row r="1049" spans="1:27" x14ac:dyDescent="0.25">
      <c r="A1049" s="320"/>
      <c r="B1049" s="321" t="str">
        <f>IF(A1049&lt;&gt;"",_xlfn.MAXIFS($B$1:B1048,$A$1:A1048,A1049)+1,"")</f>
        <v/>
      </c>
      <c r="C1049" s="299"/>
      <c r="D1049" s="299"/>
      <c r="E1049" s="299"/>
      <c r="F1049" s="299"/>
      <c r="G1049" s="330"/>
      <c r="H1049" s="328"/>
      <c r="I1049" s="329"/>
      <c r="J1049" s="329"/>
      <c r="K1049" s="322"/>
      <c r="L1049" s="322"/>
      <c r="M1049" s="323" t="str">
        <f>IFERROR(VLOOKUP(H1049,Lijsten!$H$1:$I$100,2,0),"")</f>
        <v/>
      </c>
      <c r="N1049" s="323" t="str">
        <f ca="1">IFERROR(IF(VLOOKUP(F1049,Kostentypen!$A$3:$E$21,3,0)=0,"",IF(OR(F1049="Arbeidskosten",F1049="Vergoeding"),VLOOKUP(G1049,Tb_KostenTypen[],2,0),VLOOKUP(F1049,Kostentypen!$A$3:$E$20,3,0))),"")</f>
        <v/>
      </c>
      <c r="O1049" s="324"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4"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3"/>
      <c r="R1049" s="363"/>
      <c r="S1049" s="325"/>
      <c r="T1049" s="325"/>
      <c r="U1049" s="317" t="str" cm="1">
        <f t="array" aca="1" ref="U1049" ca="1">IFERROR(IF(AA1049&lt;&gt;"ja",_xlfn.IFNA(_xlfn.IFS(AND(O1049&lt;&gt;"",F1049&lt;&gt;"",RIGHT($N1049,6)="tarief",F1049="Vergoeding"),SUM(O1049)*FLOOR(SUM(Q1049),0.0001),AND(O1049&lt;&gt;"",F1049&lt;&gt;"",RIGHT($N1049,6)="tarief"),SUM(O1049)*FLOOR(SUM(Q1049),0.01),S1049&gt;0,IF(F1049&lt;&gt;"",FLOOR(SUM(S1049),0.01),"")),""),""),"")</f>
        <v/>
      </c>
      <c r="V1049" s="317" t="str" cm="1">
        <f t="array" aca="1" ref="V1049" ca="1">IFERROR(IF(AA1049&lt;&gt;"ja",_xlfn.IFNA(_xlfn.IFS(AND(P1049&lt;&gt;"",R1049&lt;&gt;"",RIGHT($N1049,6)="tarief",F1049="Vergoeding"),SUM(P1049)*FLOOR(SUM(R1049),0.0001),AND(P1049&lt;&gt;"",R1049&lt;&gt;"",RIGHT($N1049,6)="tarief"),P1049*FLOOR(R1049,0.01),T1049&gt;0,FLOOR(SUM(T1049),0.01)),""),""),"")</f>
        <v/>
      </c>
      <c r="W1049" s="317" t="str" cm="1">
        <f t="array" aca="1" ref="W1049" ca="1">IFERROR(_xlfn.IFS(OR(F1049="",LEFT(Methode_Keuze,4)="Geen",Methode_Keuze=""),"",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17" t="str" cm="1">
        <f t="array" aca="1" ref="X1049" ca="1">IFERROR(_xlfn.IFS(OR(F1049="",LEFT(Methode_Keuze,4)="Geen",Methode_Keuze=""),"",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26"/>
      <c r="Z1049" s="319"/>
      <c r="AA1049" s="32" t="str" cm="1">
        <f t="array" ref="AA1049">IFERROR(IF(INDEX(SubsidieTabel!$AD$1:$AG$12,MATCH($F1049,SubsidieTabel!$AD$1:$AD$12,0),IFERROR(MATCH(Methode_Keuze,SubsidieTabel!$AD$1:$AG$1,0),2))&lt;&gt;1=TRUE,"ja",""),"")</f>
        <v/>
      </c>
    </row>
    <row r="1050" spans="1:27" x14ac:dyDescent="0.25">
      <c r="A1050" s="320"/>
      <c r="B1050" s="321" t="str">
        <f>IF(A1050&lt;&gt;"",_xlfn.MAXIFS($B$1:B1049,$A$1:A1049,A1050)+1,"")</f>
        <v/>
      </c>
      <c r="C1050" s="299"/>
      <c r="D1050" s="299"/>
      <c r="E1050" s="299"/>
      <c r="F1050" s="299"/>
      <c r="G1050" s="330"/>
      <c r="H1050" s="328"/>
      <c r="I1050" s="329"/>
      <c r="J1050" s="329"/>
      <c r="K1050" s="322"/>
      <c r="L1050" s="322"/>
      <c r="M1050" s="323" t="str">
        <f>IFERROR(VLOOKUP(H1050,Lijsten!$H$1:$I$100,2,0),"")</f>
        <v/>
      </c>
      <c r="N1050" s="323" t="str">
        <f ca="1">IFERROR(IF(VLOOKUP(F1050,Kostentypen!$A$3:$E$21,3,0)=0,"",IF(OR(F1050="Arbeidskosten",F1050="Vergoeding"),VLOOKUP(G1050,Tb_KostenTypen[],2,0),VLOOKUP(F1050,Kostentypen!$A$3:$E$20,3,0))),"")</f>
        <v/>
      </c>
      <c r="O1050" s="324"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4"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3"/>
      <c r="R1050" s="363"/>
      <c r="S1050" s="325"/>
      <c r="T1050" s="325"/>
      <c r="U1050" s="317" t="str" cm="1">
        <f t="array" aca="1" ref="U1050" ca="1">IFERROR(IF(AA1050&lt;&gt;"ja",_xlfn.IFNA(_xlfn.IFS(AND(O1050&lt;&gt;"",F1050&lt;&gt;"",RIGHT($N1050,6)="tarief",F1050="Vergoeding"),SUM(O1050)*FLOOR(SUM(Q1050),0.0001),AND(O1050&lt;&gt;"",F1050&lt;&gt;"",RIGHT($N1050,6)="tarief"),SUM(O1050)*FLOOR(SUM(Q1050),0.01),S1050&gt;0,IF(F1050&lt;&gt;"",FLOOR(SUM(S1050),0.01),"")),""),""),"")</f>
        <v/>
      </c>
      <c r="V1050" s="317" t="str" cm="1">
        <f t="array" aca="1" ref="V1050" ca="1">IFERROR(IF(AA1050&lt;&gt;"ja",_xlfn.IFNA(_xlfn.IFS(AND(P1050&lt;&gt;"",R1050&lt;&gt;"",RIGHT($N1050,6)="tarief",F1050="Vergoeding"),SUM(P1050)*FLOOR(SUM(R1050),0.0001),AND(P1050&lt;&gt;"",R1050&lt;&gt;"",RIGHT($N1050,6)="tarief"),P1050*FLOOR(R1050,0.01),T1050&gt;0,FLOOR(SUM(T1050),0.01)),""),""),"")</f>
        <v/>
      </c>
      <c r="W1050" s="317" t="str" cm="1">
        <f t="array" aca="1" ref="W1050" ca="1">IFERROR(_xlfn.IFS(OR(F1050="",LEFT(Methode_Keuze,4)="Geen",Methode_Keuze=""),"",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17" t="str" cm="1">
        <f t="array" aca="1" ref="X1050" ca="1">IFERROR(_xlfn.IFS(OR(F1050="",LEFT(Methode_Keuze,4)="Geen",Methode_Keuze=""),"",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26"/>
      <c r="Z1050" s="319"/>
      <c r="AA1050" s="32" t="str" cm="1">
        <f t="array" ref="AA1050">IFERROR(IF(INDEX(SubsidieTabel!$AD$1:$AG$12,MATCH($F1050,SubsidieTabel!$AD$1:$AD$12,0),IFERROR(MATCH(Methode_Keuze,SubsidieTabel!$AD$1:$AG$1,0),2))&lt;&gt;1=TRUE,"ja",""),"")</f>
        <v/>
      </c>
    </row>
    <row r="1051" spans="1:27" x14ac:dyDescent="0.25">
      <c r="A1051" s="320"/>
      <c r="B1051" s="321" t="str">
        <f>IF(A1051&lt;&gt;"",_xlfn.MAXIFS($B$1:B1050,$A$1:A1050,A1051)+1,"")</f>
        <v/>
      </c>
      <c r="C1051" s="299"/>
      <c r="D1051" s="299"/>
      <c r="E1051" s="299"/>
      <c r="F1051" s="299"/>
      <c r="G1051" s="330"/>
      <c r="H1051" s="328"/>
      <c r="I1051" s="329"/>
      <c r="J1051" s="329"/>
      <c r="K1051" s="322"/>
      <c r="L1051" s="322"/>
      <c r="M1051" s="323" t="str">
        <f>IFERROR(VLOOKUP(H1051,Lijsten!$H$1:$I$100,2,0),"")</f>
        <v/>
      </c>
      <c r="N1051" s="323" t="str">
        <f ca="1">IFERROR(IF(VLOOKUP(F1051,Kostentypen!$A$3:$E$21,3,0)=0,"",IF(OR(F1051="Arbeidskosten",F1051="Vergoeding"),VLOOKUP(G1051,Tb_KostenTypen[],2,0),VLOOKUP(F1051,Kostentypen!$A$3:$E$20,3,0))),"")</f>
        <v/>
      </c>
      <c r="O1051" s="324"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4"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3"/>
      <c r="R1051" s="363"/>
      <c r="S1051" s="325"/>
      <c r="T1051" s="325"/>
      <c r="U1051" s="317" t="str" cm="1">
        <f t="array" aca="1" ref="U1051" ca="1">IFERROR(IF(AA1051&lt;&gt;"ja",_xlfn.IFNA(_xlfn.IFS(AND(O1051&lt;&gt;"",F1051&lt;&gt;"",RIGHT($N1051,6)="tarief",F1051="Vergoeding"),SUM(O1051)*FLOOR(SUM(Q1051),0.0001),AND(O1051&lt;&gt;"",F1051&lt;&gt;"",RIGHT($N1051,6)="tarief"),SUM(O1051)*FLOOR(SUM(Q1051),0.01),S1051&gt;0,IF(F1051&lt;&gt;"",FLOOR(SUM(S1051),0.01),"")),""),""),"")</f>
        <v/>
      </c>
      <c r="V1051" s="317" t="str" cm="1">
        <f t="array" aca="1" ref="V1051" ca="1">IFERROR(IF(AA1051&lt;&gt;"ja",_xlfn.IFNA(_xlfn.IFS(AND(P1051&lt;&gt;"",R1051&lt;&gt;"",RIGHT($N1051,6)="tarief",F1051="Vergoeding"),SUM(P1051)*FLOOR(SUM(R1051),0.0001),AND(P1051&lt;&gt;"",R1051&lt;&gt;"",RIGHT($N1051,6)="tarief"),P1051*FLOOR(R1051,0.01),T1051&gt;0,FLOOR(SUM(T1051),0.01)),""),""),"")</f>
        <v/>
      </c>
      <c r="W1051" s="317" t="str" cm="1">
        <f t="array" aca="1" ref="W1051" ca="1">IFERROR(_xlfn.IFS(OR(F1051="",LEFT(Methode_Keuze,4)="Geen",Methode_Keuze=""),"",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17" t="str" cm="1">
        <f t="array" aca="1" ref="X1051" ca="1">IFERROR(_xlfn.IFS(OR(F1051="",LEFT(Methode_Keuze,4)="Geen",Methode_Keuze=""),"",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26"/>
      <c r="Z1051" s="319"/>
      <c r="AA1051" s="32" t="str" cm="1">
        <f t="array" ref="AA1051">IFERROR(IF(INDEX(SubsidieTabel!$AD$1:$AG$12,MATCH($F1051,SubsidieTabel!$AD$1:$AD$12,0),IFERROR(MATCH(Methode_Keuze,SubsidieTabel!$AD$1:$AG$1,0),2))&lt;&gt;1=TRUE,"ja",""),"")</f>
        <v/>
      </c>
    </row>
    <row r="1052" spans="1:27" x14ac:dyDescent="0.25">
      <c r="A1052" s="320"/>
      <c r="B1052" s="321" t="str">
        <f>IF(A1052&lt;&gt;"",_xlfn.MAXIFS($B$1:B1051,$A$1:A1051,A1052)+1,"")</f>
        <v/>
      </c>
      <c r="C1052" s="299"/>
      <c r="D1052" s="299"/>
      <c r="E1052" s="299"/>
      <c r="F1052" s="299"/>
      <c r="G1052" s="330"/>
      <c r="H1052" s="328"/>
      <c r="I1052" s="329"/>
      <c r="J1052" s="329"/>
      <c r="K1052" s="322"/>
      <c r="L1052" s="322"/>
      <c r="M1052" s="323" t="str">
        <f>IFERROR(VLOOKUP(H1052,Lijsten!$H$1:$I$100,2,0),"")</f>
        <v/>
      </c>
      <c r="N1052" s="323" t="str">
        <f ca="1">IFERROR(IF(VLOOKUP(F1052,Kostentypen!$A$3:$E$21,3,0)=0,"",IF(OR(F1052="Arbeidskosten",F1052="Vergoeding"),VLOOKUP(G1052,Tb_KostenTypen[],2,0),VLOOKUP(F1052,Kostentypen!$A$3:$E$20,3,0))),"")</f>
        <v/>
      </c>
      <c r="O1052" s="324"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4"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3"/>
      <c r="R1052" s="363"/>
      <c r="S1052" s="325"/>
      <c r="T1052" s="325"/>
      <c r="U1052" s="317" t="str" cm="1">
        <f t="array" aca="1" ref="U1052" ca="1">IFERROR(IF(AA1052&lt;&gt;"ja",_xlfn.IFNA(_xlfn.IFS(AND(O1052&lt;&gt;"",F1052&lt;&gt;"",RIGHT($N1052,6)="tarief",F1052="Vergoeding"),SUM(O1052)*FLOOR(SUM(Q1052),0.0001),AND(O1052&lt;&gt;"",F1052&lt;&gt;"",RIGHT($N1052,6)="tarief"),SUM(O1052)*FLOOR(SUM(Q1052),0.01),S1052&gt;0,IF(F1052&lt;&gt;"",FLOOR(SUM(S1052),0.01),"")),""),""),"")</f>
        <v/>
      </c>
      <c r="V1052" s="317" t="str" cm="1">
        <f t="array" aca="1" ref="V1052" ca="1">IFERROR(IF(AA1052&lt;&gt;"ja",_xlfn.IFNA(_xlfn.IFS(AND(P1052&lt;&gt;"",R1052&lt;&gt;"",RIGHT($N1052,6)="tarief",F1052="Vergoeding"),SUM(P1052)*FLOOR(SUM(R1052),0.0001),AND(P1052&lt;&gt;"",R1052&lt;&gt;"",RIGHT($N1052,6)="tarief"),P1052*FLOOR(R1052,0.01),T1052&gt;0,FLOOR(SUM(T1052),0.01)),""),""),"")</f>
        <v/>
      </c>
      <c r="W1052" s="317" t="str" cm="1">
        <f t="array" aca="1" ref="W1052" ca="1">IFERROR(_xlfn.IFS(OR(F1052="",LEFT(Methode_Keuze,4)="Geen",Methode_Keuze=""),"",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17" t="str" cm="1">
        <f t="array" aca="1" ref="X1052" ca="1">IFERROR(_xlfn.IFS(OR(F1052="",LEFT(Methode_Keuze,4)="Geen",Methode_Keuze=""),"",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26"/>
      <c r="Z1052" s="319"/>
      <c r="AA1052" s="32" t="str" cm="1">
        <f t="array" ref="AA1052">IFERROR(IF(INDEX(SubsidieTabel!$AD$1:$AG$12,MATCH($F1052,SubsidieTabel!$AD$1:$AD$12,0),IFERROR(MATCH(Methode_Keuze,SubsidieTabel!$AD$1:$AG$1,0),2))&lt;&gt;1=TRUE,"ja",""),"")</f>
        <v/>
      </c>
    </row>
    <row r="1053" spans="1:27" x14ac:dyDescent="0.25">
      <c r="A1053" s="320"/>
      <c r="B1053" s="321" t="str">
        <f>IF(A1053&lt;&gt;"",_xlfn.MAXIFS($B$1:B1052,$A$1:A1052,A1053)+1,"")</f>
        <v/>
      </c>
      <c r="C1053" s="299"/>
      <c r="D1053" s="299"/>
      <c r="E1053" s="299"/>
      <c r="F1053" s="299"/>
      <c r="G1053" s="330"/>
      <c r="H1053" s="328"/>
      <c r="I1053" s="329"/>
      <c r="J1053" s="329"/>
      <c r="K1053" s="322"/>
      <c r="L1053" s="322"/>
      <c r="M1053" s="323" t="str">
        <f>IFERROR(VLOOKUP(H1053,Lijsten!$H$1:$I$100,2,0),"")</f>
        <v/>
      </c>
      <c r="N1053" s="323" t="str">
        <f ca="1">IFERROR(IF(VLOOKUP(F1053,Kostentypen!$A$3:$E$21,3,0)=0,"",IF(OR(F1053="Arbeidskosten",F1053="Vergoeding"),VLOOKUP(G1053,Tb_KostenTypen[],2,0),VLOOKUP(F1053,Kostentypen!$A$3:$E$20,3,0))),"")</f>
        <v/>
      </c>
      <c r="O1053" s="324"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4"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3"/>
      <c r="R1053" s="363"/>
      <c r="S1053" s="325"/>
      <c r="T1053" s="325"/>
      <c r="U1053" s="317" t="str" cm="1">
        <f t="array" aca="1" ref="U1053" ca="1">IFERROR(IF(AA1053&lt;&gt;"ja",_xlfn.IFNA(_xlfn.IFS(AND(O1053&lt;&gt;"",F1053&lt;&gt;"",RIGHT($N1053,6)="tarief",F1053="Vergoeding"),SUM(O1053)*FLOOR(SUM(Q1053),0.0001),AND(O1053&lt;&gt;"",F1053&lt;&gt;"",RIGHT($N1053,6)="tarief"),SUM(O1053)*FLOOR(SUM(Q1053),0.01),S1053&gt;0,IF(F1053&lt;&gt;"",FLOOR(SUM(S1053),0.01),"")),""),""),"")</f>
        <v/>
      </c>
      <c r="V1053" s="317" t="str" cm="1">
        <f t="array" aca="1" ref="V1053" ca="1">IFERROR(IF(AA1053&lt;&gt;"ja",_xlfn.IFNA(_xlfn.IFS(AND(P1053&lt;&gt;"",R1053&lt;&gt;"",RIGHT($N1053,6)="tarief",F1053="Vergoeding"),SUM(P1053)*FLOOR(SUM(R1053),0.0001),AND(P1053&lt;&gt;"",R1053&lt;&gt;"",RIGHT($N1053,6)="tarief"),P1053*FLOOR(R1053,0.01),T1053&gt;0,FLOOR(SUM(T1053),0.01)),""),""),"")</f>
        <v/>
      </c>
      <c r="W1053" s="317" t="str" cm="1">
        <f t="array" aca="1" ref="W1053" ca="1">IFERROR(_xlfn.IFS(OR(F1053="",LEFT(Methode_Keuze,4)="Geen",Methode_Keuze=""),"",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17" t="str" cm="1">
        <f t="array" aca="1" ref="X1053" ca="1">IFERROR(_xlfn.IFS(OR(F1053="",LEFT(Methode_Keuze,4)="Geen",Methode_Keuze=""),"",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26"/>
      <c r="Z1053" s="319"/>
      <c r="AA1053" s="32" t="str" cm="1">
        <f t="array" ref="AA1053">IFERROR(IF(INDEX(SubsidieTabel!$AD$1:$AG$12,MATCH($F1053,SubsidieTabel!$AD$1:$AD$12,0),IFERROR(MATCH(Methode_Keuze,SubsidieTabel!$AD$1:$AG$1,0),2))&lt;&gt;1=TRUE,"ja",""),"")</f>
        <v/>
      </c>
    </row>
    <row r="1054" spans="1:27" x14ac:dyDescent="0.25">
      <c r="A1054" s="320"/>
      <c r="B1054" s="321" t="str">
        <f>IF(A1054&lt;&gt;"",_xlfn.MAXIFS($B$1:B1053,$A$1:A1053,A1054)+1,"")</f>
        <v/>
      </c>
      <c r="C1054" s="299"/>
      <c r="D1054" s="299"/>
      <c r="E1054" s="299"/>
      <c r="F1054" s="299"/>
      <c r="G1054" s="330"/>
      <c r="H1054" s="328"/>
      <c r="I1054" s="329"/>
      <c r="J1054" s="329"/>
      <c r="K1054" s="322"/>
      <c r="L1054" s="322"/>
      <c r="M1054" s="323" t="str">
        <f>IFERROR(VLOOKUP(H1054,Lijsten!$H$1:$I$100,2,0),"")</f>
        <v/>
      </c>
      <c r="N1054" s="323" t="str">
        <f ca="1">IFERROR(IF(VLOOKUP(F1054,Kostentypen!$A$3:$E$21,3,0)=0,"",IF(OR(F1054="Arbeidskosten",F1054="Vergoeding"),VLOOKUP(G1054,Tb_KostenTypen[],2,0),VLOOKUP(F1054,Kostentypen!$A$3:$E$20,3,0))),"")</f>
        <v/>
      </c>
      <c r="O1054" s="324"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4"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3"/>
      <c r="R1054" s="363"/>
      <c r="S1054" s="325"/>
      <c r="T1054" s="325"/>
      <c r="U1054" s="317" t="str" cm="1">
        <f t="array" aca="1" ref="U1054" ca="1">IFERROR(IF(AA1054&lt;&gt;"ja",_xlfn.IFNA(_xlfn.IFS(AND(O1054&lt;&gt;"",F1054&lt;&gt;"",RIGHT($N1054,6)="tarief",F1054="Vergoeding"),SUM(O1054)*FLOOR(SUM(Q1054),0.0001),AND(O1054&lt;&gt;"",F1054&lt;&gt;"",RIGHT($N1054,6)="tarief"),SUM(O1054)*FLOOR(SUM(Q1054),0.01),S1054&gt;0,IF(F1054&lt;&gt;"",FLOOR(SUM(S1054),0.01),"")),""),""),"")</f>
        <v/>
      </c>
      <c r="V1054" s="317" t="str" cm="1">
        <f t="array" aca="1" ref="V1054" ca="1">IFERROR(IF(AA1054&lt;&gt;"ja",_xlfn.IFNA(_xlfn.IFS(AND(P1054&lt;&gt;"",R1054&lt;&gt;"",RIGHT($N1054,6)="tarief",F1054="Vergoeding"),SUM(P1054)*FLOOR(SUM(R1054),0.0001),AND(P1054&lt;&gt;"",R1054&lt;&gt;"",RIGHT($N1054,6)="tarief"),P1054*FLOOR(R1054,0.01),T1054&gt;0,FLOOR(SUM(T1054),0.01)),""),""),"")</f>
        <v/>
      </c>
      <c r="W1054" s="317" t="str" cm="1">
        <f t="array" aca="1" ref="W1054" ca="1">IFERROR(_xlfn.IFS(OR(F1054="",LEFT(Methode_Keuze,4)="Geen",Methode_Keuze=""),"",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17" t="str" cm="1">
        <f t="array" aca="1" ref="X1054" ca="1">IFERROR(_xlfn.IFS(OR(F1054="",LEFT(Methode_Keuze,4)="Geen",Methode_Keuze=""),"",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26"/>
      <c r="Z1054" s="319"/>
      <c r="AA1054" s="32" t="str" cm="1">
        <f t="array" ref="AA1054">IFERROR(IF(INDEX(SubsidieTabel!$AD$1:$AG$12,MATCH($F1054,SubsidieTabel!$AD$1:$AD$12,0),IFERROR(MATCH(Methode_Keuze,SubsidieTabel!$AD$1:$AG$1,0),2))&lt;&gt;1=TRUE,"ja",""),"")</f>
        <v/>
      </c>
    </row>
    <row r="1055" spans="1:27" x14ac:dyDescent="0.25">
      <c r="A1055" s="320"/>
      <c r="B1055" s="321" t="str">
        <f>IF(A1055&lt;&gt;"",_xlfn.MAXIFS($B$1:B1054,$A$1:A1054,A1055)+1,"")</f>
        <v/>
      </c>
      <c r="C1055" s="299"/>
      <c r="D1055" s="299"/>
      <c r="E1055" s="299"/>
      <c r="F1055" s="299"/>
      <c r="G1055" s="330"/>
      <c r="H1055" s="328"/>
      <c r="I1055" s="329"/>
      <c r="J1055" s="329"/>
      <c r="K1055" s="322"/>
      <c r="L1055" s="322"/>
      <c r="M1055" s="323" t="str">
        <f>IFERROR(VLOOKUP(H1055,Lijsten!$H$1:$I$100,2,0),"")</f>
        <v/>
      </c>
      <c r="N1055" s="323" t="str">
        <f ca="1">IFERROR(IF(VLOOKUP(F1055,Kostentypen!$A$3:$E$21,3,0)=0,"",IF(OR(F1055="Arbeidskosten",F1055="Vergoeding"),VLOOKUP(G1055,Tb_KostenTypen[],2,0),VLOOKUP(F1055,Kostentypen!$A$3:$E$20,3,0))),"")</f>
        <v/>
      </c>
      <c r="O1055" s="324"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4"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3"/>
      <c r="R1055" s="363"/>
      <c r="S1055" s="325"/>
      <c r="T1055" s="325"/>
      <c r="U1055" s="317" t="str" cm="1">
        <f t="array" aca="1" ref="U1055" ca="1">IFERROR(IF(AA1055&lt;&gt;"ja",_xlfn.IFNA(_xlfn.IFS(AND(O1055&lt;&gt;"",F1055&lt;&gt;"",RIGHT($N1055,6)="tarief",F1055="Vergoeding"),SUM(O1055)*FLOOR(SUM(Q1055),0.0001),AND(O1055&lt;&gt;"",F1055&lt;&gt;"",RIGHT($N1055,6)="tarief"),SUM(O1055)*FLOOR(SUM(Q1055),0.01),S1055&gt;0,IF(F1055&lt;&gt;"",FLOOR(SUM(S1055),0.01),"")),""),""),"")</f>
        <v/>
      </c>
      <c r="V1055" s="317" t="str" cm="1">
        <f t="array" aca="1" ref="V1055" ca="1">IFERROR(IF(AA1055&lt;&gt;"ja",_xlfn.IFNA(_xlfn.IFS(AND(P1055&lt;&gt;"",R1055&lt;&gt;"",RIGHT($N1055,6)="tarief",F1055="Vergoeding"),SUM(P1055)*FLOOR(SUM(R1055),0.0001),AND(P1055&lt;&gt;"",R1055&lt;&gt;"",RIGHT($N1055,6)="tarief"),P1055*FLOOR(R1055,0.01),T1055&gt;0,FLOOR(SUM(T1055),0.01)),""),""),"")</f>
        <v/>
      </c>
      <c r="W1055" s="317" t="str" cm="1">
        <f t="array" aca="1" ref="W1055" ca="1">IFERROR(_xlfn.IFS(OR(F1055="",LEFT(Methode_Keuze,4)="Geen",Methode_Keuze=""),"",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17" t="str" cm="1">
        <f t="array" aca="1" ref="X1055" ca="1">IFERROR(_xlfn.IFS(OR(F1055="",LEFT(Methode_Keuze,4)="Geen",Methode_Keuze=""),"",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26"/>
      <c r="Z1055" s="319"/>
      <c r="AA1055" s="32" t="str" cm="1">
        <f t="array" ref="AA1055">IFERROR(IF(INDEX(SubsidieTabel!$AD$1:$AG$12,MATCH($F1055,SubsidieTabel!$AD$1:$AD$12,0),IFERROR(MATCH(Methode_Keuze,SubsidieTabel!$AD$1:$AG$1,0),2))&lt;&gt;1=TRUE,"ja",""),"")</f>
        <v/>
      </c>
    </row>
    <row r="1056" spans="1:27" x14ac:dyDescent="0.25">
      <c r="A1056" s="320"/>
      <c r="B1056" s="321" t="str">
        <f>IF(A1056&lt;&gt;"",_xlfn.MAXIFS($B$1:B1055,$A$1:A1055,A1056)+1,"")</f>
        <v/>
      </c>
      <c r="C1056" s="299"/>
      <c r="D1056" s="299"/>
      <c r="E1056" s="299"/>
      <c r="F1056" s="299"/>
      <c r="G1056" s="330"/>
      <c r="H1056" s="328"/>
      <c r="I1056" s="329"/>
      <c r="J1056" s="329"/>
      <c r="K1056" s="322"/>
      <c r="L1056" s="322"/>
      <c r="M1056" s="323" t="str">
        <f>IFERROR(VLOOKUP(H1056,Lijsten!$H$1:$I$100,2,0),"")</f>
        <v/>
      </c>
      <c r="N1056" s="323" t="str">
        <f ca="1">IFERROR(IF(VLOOKUP(F1056,Kostentypen!$A$3:$E$21,3,0)=0,"",IF(OR(F1056="Arbeidskosten",F1056="Vergoeding"),VLOOKUP(G1056,Tb_KostenTypen[],2,0),VLOOKUP(F1056,Kostentypen!$A$3:$E$20,3,0))),"")</f>
        <v/>
      </c>
      <c r="O1056" s="324"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4"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3"/>
      <c r="R1056" s="363"/>
      <c r="S1056" s="325"/>
      <c r="T1056" s="325"/>
      <c r="U1056" s="317" t="str" cm="1">
        <f t="array" aca="1" ref="U1056" ca="1">IFERROR(IF(AA1056&lt;&gt;"ja",_xlfn.IFNA(_xlfn.IFS(AND(O1056&lt;&gt;"",F1056&lt;&gt;"",RIGHT($N1056,6)="tarief",F1056="Vergoeding"),SUM(O1056)*FLOOR(SUM(Q1056),0.0001),AND(O1056&lt;&gt;"",F1056&lt;&gt;"",RIGHT($N1056,6)="tarief"),SUM(O1056)*FLOOR(SUM(Q1056),0.01),S1056&gt;0,IF(F1056&lt;&gt;"",FLOOR(SUM(S1056),0.01),"")),""),""),"")</f>
        <v/>
      </c>
      <c r="V1056" s="317" t="str" cm="1">
        <f t="array" aca="1" ref="V1056" ca="1">IFERROR(IF(AA1056&lt;&gt;"ja",_xlfn.IFNA(_xlfn.IFS(AND(P1056&lt;&gt;"",R1056&lt;&gt;"",RIGHT($N1056,6)="tarief",F1056="Vergoeding"),SUM(P1056)*FLOOR(SUM(R1056),0.0001),AND(P1056&lt;&gt;"",R1056&lt;&gt;"",RIGHT($N1056,6)="tarief"),P1056*FLOOR(R1056,0.01),T1056&gt;0,FLOOR(SUM(T1056),0.01)),""),""),"")</f>
        <v/>
      </c>
      <c r="W1056" s="317" t="str" cm="1">
        <f t="array" aca="1" ref="W1056" ca="1">IFERROR(_xlfn.IFS(OR(F1056="",LEFT(Methode_Keuze,4)="Geen",Methode_Keuze=""),"",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17" t="str" cm="1">
        <f t="array" aca="1" ref="X1056" ca="1">IFERROR(_xlfn.IFS(OR(F1056="",LEFT(Methode_Keuze,4)="Geen",Methode_Keuze=""),"",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26"/>
      <c r="Z1056" s="319"/>
      <c r="AA1056" s="32" t="str" cm="1">
        <f t="array" ref="AA1056">IFERROR(IF(INDEX(SubsidieTabel!$AD$1:$AG$12,MATCH($F1056,SubsidieTabel!$AD$1:$AD$12,0),IFERROR(MATCH(Methode_Keuze,SubsidieTabel!$AD$1:$AG$1,0),2))&lt;&gt;1=TRUE,"ja",""),"")</f>
        <v/>
      </c>
    </row>
    <row r="1057" spans="1:27" x14ac:dyDescent="0.25">
      <c r="A1057" s="320"/>
      <c r="B1057" s="321" t="str">
        <f>IF(A1057&lt;&gt;"",_xlfn.MAXIFS($B$1:B1056,$A$1:A1056,A1057)+1,"")</f>
        <v/>
      </c>
      <c r="C1057" s="299"/>
      <c r="D1057" s="299"/>
      <c r="E1057" s="299"/>
      <c r="F1057" s="299"/>
      <c r="G1057" s="330"/>
      <c r="H1057" s="328"/>
      <c r="I1057" s="329"/>
      <c r="J1057" s="329"/>
      <c r="K1057" s="322"/>
      <c r="L1057" s="322"/>
      <c r="M1057" s="323" t="str">
        <f>IFERROR(VLOOKUP(H1057,Lijsten!$H$1:$I$100,2,0),"")</f>
        <v/>
      </c>
      <c r="N1057" s="323" t="str">
        <f ca="1">IFERROR(IF(VLOOKUP(F1057,Kostentypen!$A$3:$E$21,3,0)=0,"",IF(OR(F1057="Arbeidskosten",F1057="Vergoeding"),VLOOKUP(G1057,Tb_KostenTypen[],2,0),VLOOKUP(F1057,Kostentypen!$A$3:$E$20,3,0))),"")</f>
        <v/>
      </c>
      <c r="O1057" s="324"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4"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3"/>
      <c r="R1057" s="363"/>
      <c r="S1057" s="325"/>
      <c r="T1057" s="325"/>
      <c r="U1057" s="317" t="str" cm="1">
        <f t="array" aca="1" ref="U1057" ca="1">IFERROR(IF(AA1057&lt;&gt;"ja",_xlfn.IFNA(_xlfn.IFS(AND(O1057&lt;&gt;"",F1057&lt;&gt;"",RIGHT($N1057,6)="tarief",F1057="Vergoeding"),SUM(O1057)*FLOOR(SUM(Q1057),0.0001),AND(O1057&lt;&gt;"",F1057&lt;&gt;"",RIGHT($N1057,6)="tarief"),SUM(O1057)*FLOOR(SUM(Q1057),0.01),S1057&gt;0,IF(F1057&lt;&gt;"",FLOOR(SUM(S1057),0.01),"")),""),""),"")</f>
        <v/>
      </c>
      <c r="V1057" s="317" t="str" cm="1">
        <f t="array" aca="1" ref="V1057" ca="1">IFERROR(IF(AA1057&lt;&gt;"ja",_xlfn.IFNA(_xlfn.IFS(AND(P1057&lt;&gt;"",R1057&lt;&gt;"",RIGHT($N1057,6)="tarief",F1057="Vergoeding"),SUM(P1057)*FLOOR(SUM(R1057),0.0001),AND(P1057&lt;&gt;"",R1057&lt;&gt;"",RIGHT($N1057,6)="tarief"),P1057*FLOOR(R1057,0.01),T1057&gt;0,FLOOR(SUM(T1057),0.01)),""),""),"")</f>
        <v/>
      </c>
      <c r="W1057" s="317" t="str" cm="1">
        <f t="array" aca="1" ref="W1057" ca="1">IFERROR(_xlfn.IFS(OR(F1057="",LEFT(Methode_Keuze,4)="Geen",Methode_Keuze=""),"",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17" t="str" cm="1">
        <f t="array" aca="1" ref="X1057" ca="1">IFERROR(_xlfn.IFS(OR(F1057="",LEFT(Methode_Keuze,4)="Geen",Methode_Keuze=""),"",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26"/>
      <c r="Z1057" s="319"/>
      <c r="AA1057" s="32" t="str" cm="1">
        <f t="array" ref="AA1057">IFERROR(IF(INDEX(SubsidieTabel!$AD$1:$AG$12,MATCH($F1057,SubsidieTabel!$AD$1:$AD$12,0),IFERROR(MATCH(Methode_Keuze,SubsidieTabel!$AD$1:$AG$1,0),2))&lt;&gt;1=TRUE,"ja",""),"")</f>
        <v/>
      </c>
    </row>
    <row r="1058" spans="1:27" x14ac:dyDescent="0.25">
      <c r="A1058" s="320"/>
      <c r="B1058" s="321" t="str">
        <f>IF(A1058&lt;&gt;"",_xlfn.MAXIFS($B$1:B1057,$A$1:A1057,A1058)+1,"")</f>
        <v/>
      </c>
      <c r="C1058" s="299"/>
      <c r="D1058" s="299"/>
      <c r="E1058" s="299"/>
      <c r="F1058" s="299"/>
      <c r="G1058" s="330"/>
      <c r="H1058" s="328"/>
      <c r="I1058" s="329"/>
      <c r="J1058" s="329"/>
      <c r="K1058" s="322"/>
      <c r="L1058" s="322"/>
      <c r="M1058" s="323" t="str">
        <f>IFERROR(VLOOKUP(H1058,Lijsten!$H$1:$I$100,2,0),"")</f>
        <v/>
      </c>
      <c r="N1058" s="323" t="str">
        <f ca="1">IFERROR(IF(VLOOKUP(F1058,Kostentypen!$A$3:$E$21,3,0)=0,"",IF(OR(F1058="Arbeidskosten",F1058="Vergoeding"),VLOOKUP(G1058,Tb_KostenTypen[],2,0),VLOOKUP(F1058,Kostentypen!$A$3:$E$20,3,0))),"")</f>
        <v/>
      </c>
      <c r="O1058" s="324"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4"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3"/>
      <c r="R1058" s="363"/>
      <c r="S1058" s="325"/>
      <c r="T1058" s="325"/>
      <c r="U1058" s="317" t="str" cm="1">
        <f t="array" aca="1" ref="U1058" ca="1">IFERROR(IF(AA1058&lt;&gt;"ja",_xlfn.IFNA(_xlfn.IFS(AND(O1058&lt;&gt;"",F1058&lt;&gt;"",RIGHT($N1058,6)="tarief",F1058="Vergoeding"),SUM(O1058)*FLOOR(SUM(Q1058),0.0001),AND(O1058&lt;&gt;"",F1058&lt;&gt;"",RIGHT($N1058,6)="tarief"),SUM(O1058)*FLOOR(SUM(Q1058),0.01),S1058&gt;0,IF(F1058&lt;&gt;"",FLOOR(SUM(S1058),0.01),"")),""),""),"")</f>
        <v/>
      </c>
      <c r="V1058" s="317" t="str" cm="1">
        <f t="array" aca="1" ref="V1058" ca="1">IFERROR(IF(AA1058&lt;&gt;"ja",_xlfn.IFNA(_xlfn.IFS(AND(P1058&lt;&gt;"",R1058&lt;&gt;"",RIGHT($N1058,6)="tarief",F1058="Vergoeding"),SUM(P1058)*FLOOR(SUM(R1058),0.0001),AND(P1058&lt;&gt;"",R1058&lt;&gt;"",RIGHT($N1058,6)="tarief"),P1058*FLOOR(R1058,0.01),T1058&gt;0,FLOOR(SUM(T1058),0.01)),""),""),"")</f>
        <v/>
      </c>
      <c r="W1058" s="317" t="str" cm="1">
        <f t="array" aca="1" ref="W1058" ca="1">IFERROR(_xlfn.IFS(OR(F1058="",LEFT(Methode_Keuze,4)="Geen",Methode_Keuze=""),"",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17" t="str" cm="1">
        <f t="array" aca="1" ref="X1058" ca="1">IFERROR(_xlfn.IFS(OR(F1058="",LEFT(Methode_Keuze,4)="Geen",Methode_Keuze=""),"",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26"/>
      <c r="Z1058" s="319"/>
      <c r="AA1058" s="32" t="str" cm="1">
        <f t="array" ref="AA1058">IFERROR(IF(INDEX(SubsidieTabel!$AD$1:$AG$12,MATCH($F1058,SubsidieTabel!$AD$1:$AD$12,0),IFERROR(MATCH(Methode_Keuze,SubsidieTabel!$AD$1:$AG$1,0),2))&lt;&gt;1=TRUE,"ja",""),"")</f>
        <v/>
      </c>
    </row>
    <row r="1059" spans="1:27" x14ac:dyDescent="0.25">
      <c r="A1059" s="320"/>
      <c r="B1059" s="321" t="str">
        <f>IF(A1059&lt;&gt;"",_xlfn.MAXIFS($B$1:B1058,$A$1:A1058,A1059)+1,"")</f>
        <v/>
      </c>
      <c r="C1059" s="299"/>
      <c r="D1059" s="299"/>
      <c r="E1059" s="299"/>
      <c r="F1059" s="299"/>
      <c r="G1059" s="330"/>
      <c r="H1059" s="328"/>
      <c r="I1059" s="329"/>
      <c r="J1059" s="329"/>
      <c r="K1059" s="322"/>
      <c r="L1059" s="322"/>
      <c r="M1059" s="323" t="str">
        <f>IFERROR(VLOOKUP(H1059,Lijsten!$H$1:$I$100,2,0),"")</f>
        <v/>
      </c>
      <c r="N1059" s="323" t="str">
        <f ca="1">IFERROR(IF(VLOOKUP(F1059,Kostentypen!$A$3:$E$21,3,0)=0,"",IF(OR(F1059="Arbeidskosten",F1059="Vergoeding"),VLOOKUP(G1059,Tb_KostenTypen[],2,0),VLOOKUP(F1059,Kostentypen!$A$3:$E$20,3,0))),"")</f>
        <v/>
      </c>
      <c r="O1059" s="324"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4"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3"/>
      <c r="R1059" s="363"/>
      <c r="S1059" s="325"/>
      <c r="T1059" s="325"/>
      <c r="U1059" s="317" t="str" cm="1">
        <f t="array" aca="1" ref="U1059" ca="1">IFERROR(IF(AA1059&lt;&gt;"ja",_xlfn.IFNA(_xlfn.IFS(AND(O1059&lt;&gt;"",F1059&lt;&gt;"",RIGHT($N1059,6)="tarief",F1059="Vergoeding"),SUM(O1059)*FLOOR(SUM(Q1059),0.0001),AND(O1059&lt;&gt;"",F1059&lt;&gt;"",RIGHT($N1059,6)="tarief"),SUM(O1059)*FLOOR(SUM(Q1059),0.01),S1059&gt;0,IF(F1059&lt;&gt;"",FLOOR(SUM(S1059),0.01),"")),""),""),"")</f>
        <v/>
      </c>
      <c r="V1059" s="317" t="str" cm="1">
        <f t="array" aca="1" ref="V1059" ca="1">IFERROR(IF(AA1059&lt;&gt;"ja",_xlfn.IFNA(_xlfn.IFS(AND(P1059&lt;&gt;"",R1059&lt;&gt;"",RIGHT($N1059,6)="tarief",F1059="Vergoeding"),SUM(P1059)*FLOOR(SUM(R1059),0.0001),AND(P1059&lt;&gt;"",R1059&lt;&gt;"",RIGHT($N1059,6)="tarief"),P1059*FLOOR(R1059,0.01),T1059&gt;0,FLOOR(SUM(T1059),0.01)),""),""),"")</f>
        <v/>
      </c>
      <c r="W1059" s="317" t="str" cm="1">
        <f t="array" aca="1" ref="W1059" ca="1">IFERROR(_xlfn.IFS(OR(F1059="",LEFT(Methode_Keuze,4)="Geen",Methode_Keuze=""),"",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17" t="str" cm="1">
        <f t="array" aca="1" ref="X1059" ca="1">IFERROR(_xlfn.IFS(OR(F1059="",LEFT(Methode_Keuze,4)="Geen",Methode_Keuze=""),"",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26"/>
      <c r="Z1059" s="319"/>
      <c r="AA1059" s="32" t="str" cm="1">
        <f t="array" ref="AA1059">IFERROR(IF(INDEX(SubsidieTabel!$AD$1:$AG$12,MATCH($F1059,SubsidieTabel!$AD$1:$AD$12,0),IFERROR(MATCH(Methode_Keuze,SubsidieTabel!$AD$1:$AG$1,0),2))&lt;&gt;1=TRUE,"ja",""),"")</f>
        <v/>
      </c>
    </row>
    <row r="1060" spans="1:27" x14ac:dyDescent="0.25">
      <c r="A1060" s="320"/>
      <c r="B1060" s="321" t="str">
        <f>IF(A1060&lt;&gt;"",_xlfn.MAXIFS($B$1:B1059,$A$1:A1059,A1060)+1,"")</f>
        <v/>
      </c>
      <c r="C1060" s="299"/>
      <c r="D1060" s="299"/>
      <c r="E1060" s="299"/>
      <c r="F1060" s="299"/>
      <c r="G1060" s="330"/>
      <c r="H1060" s="328"/>
      <c r="I1060" s="329"/>
      <c r="J1060" s="329"/>
      <c r="K1060" s="322"/>
      <c r="L1060" s="322"/>
      <c r="M1060" s="323" t="str">
        <f>IFERROR(VLOOKUP(H1060,Lijsten!$H$1:$I$100,2,0),"")</f>
        <v/>
      </c>
      <c r="N1060" s="323" t="str">
        <f ca="1">IFERROR(IF(VLOOKUP(F1060,Kostentypen!$A$3:$E$21,3,0)=0,"",IF(OR(F1060="Arbeidskosten",F1060="Vergoeding"),VLOOKUP(G1060,Tb_KostenTypen[],2,0),VLOOKUP(F1060,Kostentypen!$A$3:$E$20,3,0))),"")</f>
        <v/>
      </c>
      <c r="O1060" s="324"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4"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3"/>
      <c r="R1060" s="363"/>
      <c r="S1060" s="325"/>
      <c r="T1060" s="325"/>
      <c r="U1060" s="317" t="str" cm="1">
        <f t="array" aca="1" ref="U1060" ca="1">IFERROR(IF(AA1060&lt;&gt;"ja",_xlfn.IFNA(_xlfn.IFS(AND(O1060&lt;&gt;"",F1060&lt;&gt;"",RIGHT($N1060,6)="tarief",F1060="Vergoeding"),SUM(O1060)*FLOOR(SUM(Q1060),0.0001),AND(O1060&lt;&gt;"",F1060&lt;&gt;"",RIGHT($N1060,6)="tarief"),SUM(O1060)*FLOOR(SUM(Q1060),0.01),S1060&gt;0,IF(F1060&lt;&gt;"",FLOOR(SUM(S1060),0.01),"")),""),""),"")</f>
        <v/>
      </c>
      <c r="V1060" s="317" t="str" cm="1">
        <f t="array" aca="1" ref="V1060" ca="1">IFERROR(IF(AA1060&lt;&gt;"ja",_xlfn.IFNA(_xlfn.IFS(AND(P1060&lt;&gt;"",R1060&lt;&gt;"",RIGHT($N1060,6)="tarief",F1060="Vergoeding"),SUM(P1060)*FLOOR(SUM(R1060),0.0001),AND(P1060&lt;&gt;"",R1060&lt;&gt;"",RIGHT($N1060,6)="tarief"),P1060*FLOOR(R1060,0.01),T1060&gt;0,FLOOR(SUM(T1060),0.01)),""),""),"")</f>
        <v/>
      </c>
      <c r="W1060" s="317" t="str" cm="1">
        <f t="array" aca="1" ref="W1060" ca="1">IFERROR(_xlfn.IFS(OR(F1060="",LEFT(Methode_Keuze,4)="Geen",Methode_Keuze=""),"",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17" t="str" cm="1">
        <f t="array" aca="1" ref="X1060" ca="1">IFERROR(_xlfn.IFS(OR(F1060="",LEFT(Methode_Keuze,4)="Geen",Methode_Keuze=""),"",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26"/>
      <c r="Z1060" s="319"/>
      <c r="AA1060" s="32" t="str" cm="1">
        <f t="array" ref="AA1060">IFERROR(IF(INDEX(SubsidieTabel!$AD$1:$AG$12,MATCH($F1060,SubsidieTabel!$AD$1:$AD$12,0),IFERROR(MATCH(Methode_Keuze,SubsidieTabel!$AD$1:$AG$1,0),2))&lt;&gt;1=TRUE,"ja",""),"")</f>
        <v/>
      </c>
    </row>
    <row r="1061" spans="1:27" x14ac:dyDescent="0.25">
      <c r="A1061" s="320"/>
      <c r="B1061" s="321" t="str">
        <f>IF(A1061&lt;&gt;"",_xlfn.MAXIFS($B$1:B1060,$A$1:A1060,A1061)+1,"")</f>
        <v/>
      </c>
      <c r="C1061" s="299"/>
      <c r="D1061" s="299"/>
      <c r="E1061" s="299"/>
      <c r="F1061" s="299"/>
      <c r="G1061" s="330"/>
      <c r="H1061" s="328"/>
      <c r="I1061" s="329"/>
      <c r="J1061" s="329"/>
      <c r="K1061" s="322"/>
      <c r="L1061" s="322"/>
      <c r="M1061" s="323" t="str">
        <f>IFERROR(VLOOKUP(H1061,Lijsten!$H$1:$I$100,2,0),"")</f>
        <v/>
      </c>
      <c r="N1061" s="323" t="str">
        <f ca="1">IFERROR(IF(VLOOKUP(F1061,Kostentypen!$A$3:$E$21,3,0)=0,"",IF(OR(F1061="Arbeidskosten",F1061="Vergoeding"),VLOOKUP(G1061,Tb_KostenTypen[],2,0),VLOOKUP(F1061,Kostentypen!$A$3:$E$20,3,0))),"")</f>
        <v/>
      </c>
      <c r="O1061" s="324"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4"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3"/>
      <c r="R1061" s="363"/>
      <c r="S1061" s="325"/>
      <c r="T1061" s="325"/>
      <c r="U1061" s="317" t="str" cm="1">
        <f t="array" aca="1" ref="U1061" ca="1">IFERROR(IF(AA1061&lt;&gt;"ja",_xlfn.IFNA(_xlfn.IFS(AND(O1061&lt;&gt;"",F1061&lt;&gt;"",RIGHT($N1061,6)="tarief",F1061="Vergoeding"),SUM(O1061)*FLOOR(SUM(Q1061),0.0001),AND(O1061&lt;&gt;"",F1061&lt;&gt;"",RIGHT($N1061,6)="tarief"),SUM(O1061)*FLOOR(SUM(Q1061),0.01),S1061&gt;0,IF(F1061&lt;&gt;"",FLOOR(SUM(S1061),0.01),"")),""),""),"")</f>
        <v/>
      </c>
      <c r="V1061" s="317" t="str" cm="1">
        <f t="array" aca="1" ref="V1061" ca="1">IFERROR(IF(AA1061&lt;&gt;"ja",_xlfn.IFNA(_xlfn.IFS(AND(P1061&lt;&gt;"",R1061&lt;&gt;"",RIGHT($N1061,6)="tarief",F1061="Vergoeding"),SUM(P1061)*FLOOR(SUM(R1061),0.0001),AND(P1061&lt;&gt;"",R1061&lt;&gt;"",RIGHT($N1061,6)="tarief"),P1061*FLOOR(R1061,0.01),T1061&gt;0,FLOOR(SUM(T1061),0.01)),""),""),"")</f>
        <v/>
      </c>
      <c r="W1061" s="317" t="str" cm="1">
        <f t="array" aca="1" ref="W1061" ca="1">IFERROR(_xlfn.IFS(OR(F1061="",LEFT(Methode_Keuze,4)="Geen",Methode_Keuze=""),"",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17" t="str" cm="1">
        <f t="array" aca="1" ref="X1061" ca="1">IFERROR(_xlfn.IFS(OR(F1061="",LEFT(Methode_Keuze,4)="Geen",Methode_Keuze=""),"",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26"/>
      <c r="Z1061" s="319"/>
      <c r="AA1061" s="32" t="str" cm="1">
        <f t="array" ref="AA1061">IFERROR(IF(INDEX(SubsidieTabel!$AD$1:$AG$12,MATCH($F1061,SubsidieTabel!$AD$1:$AD$12,0),IFERROR(MATCH(Methode_Keuze,SubsidieTabel!$AD$1:$AG$1,0),2))&lt;&gt;1=TRUE,"ja",""),"")</f>
        <v/>
      </c>
    </row>
    <row r="1062" spans="1:27" x14ac:dyDescent="0.25">
      <c r="A1062" s="320"/>
      <c r="B1062" s="321" t="str">
        <f>IF(A1062&lt;&gt;"",_xlfn.MAXIFS($B$1:B1061,$A$1:A1061,A1062)+1,"")</f>
        <v/>
      </c>
      <c r="C1062" s="299"/>
      <c r="D1062" s="299"/>
      <c r="E1062" s="299"/>
      <c r="F1062" s="299"/>
      <c r="G1062" s="330"/>
      <c r="H1062" s="328"/>
      <c r="I1062" s="329"/>
      <c r="J1062" s="329"/>
      <c r="K1062" s="322"/>
      <c r="L1062" s="322"/>
      <c r="M1062" s="323" t="str">
        <f>IFERROR(VLOOKUP(H1062,Lijsten!$H$1:$I$100,2,0),"")</f>
        <v/>
      </c>
      <c r="N1062" s="323" t="str">
        <f ca="1">IFERROR(IF(VLOOKUP(F1062,Kostentypen!$A$3:$E$21,3,0)=0,"",IF(OR(F1062="Arbeidskosten",F1062="Vergoeding"),VLOOKUP(G1062,Tb_KostenTypen[],2,0),VLOOKUP(F1062,Kostentypen!$A$3:$E$20,3,0))),"")</f>
        <v/>
      </c>
      <c r="O1062" s="324"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4"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3"/>
      <c r="R1062" s="363"/>
      <c r="S1062" s="325"/>
      <c r="T1062" s="325"/>
      <c r="U1062" s="317" t="str" cm="1">
        <f t="array" aca="1" ref="U1062" ca="1">IFERROR(IF(AA1062&lt;&gt;"ja",_xlfn.IFNA(_xlfn.IFS(AND(O1062&lt;&gt;"",F1062&lt;&gt;"",RIGHT($N1062,6)="tarief",F1062="Vergoeding"),SUM(O1062)*FLOOR(SUM(Q1062),0.0001),AND(O1062&lt;&gt;"",F1062&lt;&gt;"",RIGHT($N1062,6)="tarief"),SUM(O1062)*FLOOR(SUM(Q1062),0.01),S1062&gt;0,IF(F1062&lt;&gt;"",FLOOR(SUM(S1062),0.01),"")),""),""),"")</f>
        <v/>
      </c>
      <c r="V1062" s="317" t="str" cm="1">
        <f t="array" aca="1" ref="V1062" ca="1">IFERROR(IF(AA1062&lt;&gt;"ja",_xlfn.IFNA(_xlfn.IFS(AND(P1062&lt;&gt;"",R1062&lt;&gt;"",RIGHT($N1062,6)="tarief",F1062="Vergoeding"),SUM(P1062)*FLOOR(SUM(R1062),0.0001),AND(P1062&lt;&gt;"",R1062&lt;&gt;"",RIGHT($N1062,6)="tarief"),P1062*FLOOR(R1062,0.01),T1062&gt;0,FLOOR(SUM(T1062),0.01)),""),""),"")</f>
        <v/>
      </c>
      <c r="W1062" s="317" t="str" cm="1">
        <f t="array" aca="1" ref="W1062" ca="1">IFERROR(_xlfn.IFS(OR(F1062="",LEFT(Methode_Keuze,4)="Geen",Methode_Keuze=""),"",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17" t="str" cm="1">
        <f t="array" aca="1" ref="X1062" ca="1">IFERROR(_xlfn.IFS(OR(F1062="",LEFT(Methode_Keuze,4)="Geen",Methode_Keuze=""),"",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26"/>
      <c r="Z1062" s="319"/>
      <c r="AA1062" s="32" t="str" cm="1">
        <f t="array" ref="AA1062">IFERROR(IF(INDEX(SubsidieTabel!$AD$1:$AG$12,MATCH($F1062,SubsidieTabel!$AD$1:$AD$12,0),IFERROR(MATCH(Methode_Keuze,SubsidieTabel!$AD$1:$AG$1,0),2))&lt;&gt;1=TRUE,"ja",""),"")</f>
        <v/>
      </c>
    </row>
    <row r="1063" spans="1:27" x14ac:dyDescent="0.25">
      <c r="A1063" s="320"/>
      <c r="B1063" s="321" t="str">
        <f>IF(A1063&lt;&gt;"",_xlfn.MAXIFS($B$1:B1062,$A$1:A1062,A1063)+1,"")</f>
        <v/>
      </c>
      <c r="C1063" s="299"/>
      <c r="D1063" s="299"/>
      <c r="E1063" s="299"/>
      <c r="F1063" s="299"/>
      <c r="G1063" s="330"/>
      <c r="H1063" s="328"/>
      <c r="I1063" s="329"/>
      <c r="J1063" s="329"/>
      <c r="K1063" s="322"/>
      <c r="L1063" s="322"/>
      <c r="M1063" s="323" t="str">
        <f>IFERROR(VLOOKUP(H1063,Lijsten!$H$1:$I$100,2,0),"")</f>
        <v/>
      </c>
      <c r="N1063" s="323" t="str">
        <f ca="1">IFERROR(IF(VLOOKUP(F1063,Kostentypen!$A$3:$E$21,3,0)=0,"",IF(OR(F1063="Arbeidskosten",F1063="Vergoeding"),VLOOKUP(G1063,Tb_KostenTypen[],2,0),VLOOKUP(F1063,Kostentypen!$A$3:$E$20,3,0))),"")</f>
        <v/>
      </c>
      <c r="O1063" s="324"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4"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3"/>
      <c r="R1063" s="363"/>
      <c r="S1063" s="325"/>
      <c r="T1063" s="325"/>
      <c r="U1063" s="317" t="str" cm="1">
        <f t="array" aca="1" ref="U1063" ca="1">IFERROR(IF(AA1063&lt;&gt;"ja",_xlfn.IFNA(_xlfn.IFS(AND(O1063&lt;&gt;"",F1063&lt;&gt;"",RIGHT($N1063,6)="tarief",F1063="Vergoeding"),SUM(O1063)*FLOOR(SUM(Q1063),0.0001),AND(O1063&lt;&gt;"",F1063&lt;&gt;"",RIGHT($N1063,6)="tarief"),SUM(O1063)*FLOOR(SUM(Q1063),0.01),S1063&gt;0,IF(F1063&lt;&gt;"",FLOOR(SUM(S1063),0.01),"")),""),""),"")</f>
        <v/>
      </c>
      <c r="V1063" s="317" t="str" cm="1">
        <f t="array" aca="1" ref="V1063" ca="1">IFERROR(IF(AA1063&lt;&gt;"ja",_xlfn.IFNA(_xlfn.IFS(AND(P1063&lt;&gt;"",R1063&lt;&gt;"",RIGHT($N1063,6)="tarief",F1063="Vergoeding"),SUM(P1063)*FLOOR(SUM(R1063),0.0001),AND(P1063&lt;&gt;"",R1063&lt;&gt;"",RIGHT($N1063,6)="tarief"),P1063*FLOOR(R1063,0.01),T1063&gt;0,FLOOR(SUM(T1063),0.01)),""),""),"")</f>
        <v/>
      </c>
      <c r="W1063" s="317" t="str" cm="1">
        <f t="array" aca="1" ref="W1063" ca="1">IFERROR(_xlfn.IFS(OR(F1063="",LEFT(Methode_Keuze,4)="Geen",Methode_Keuze=""),"",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17" t="str" cm="1">
        <f t="array" aca="1" ref="X1063" ca="1">IFERROR(_xlfn.IFS(OR(F1063="",LEFT(Methode_Keuze,4)="Geen",Methode_Keuze=""),"",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26"/>
      <c r="Z1063" s="319"/>
      <c r="AA1063" s="32" t="str" cm="1">
        <f t="array" ref="AA1063">IFERROR(IF(INDEX(SubsidieTabel!$AD$1:$AG$12,MATCH($F1063,SubsidieTabel!$AD$1:$AD$12,0),IFERROR(MATCH(Methode_Keuze,SubsidieTabel!$AD$1:$AG$1,0),2))&lt;&gt;1=TRUE,"ja",""),"")</f>
        <v/>
      </c>
    </row>
    <row r="1064" spans="1:27" x14ac:dyDescent="0.25">
      <c r="A1064" s="320"/>
      <c r="B1064" s="321" t="str">
        <f>IF(A1064&lt;&gt;"",_xlfn.MAXIFS($B$1:B1063,$A$1:A1063,A1064)+1,"")</f>
        <v/>
      </c>
      <c r="C1064" s="299"/>
      <c r="D1064" s="299"/>
      <c r="E1064" s="299"/>
      <c r="F1064" s="299"/>
      <c r="G1064" s="330"/>
      <c r="H1064" s="328"/>
      <c r="I1064" s="329"/>
      <c r="J1064" s="329"/>
      <c r="K1064" s="322"/>
      <c r="L1064" s="322"/>
      <c r="M1064" s="323" t="str">
        <f>IFERROR(VLOOKUP(H1064,Lijsten!$H$1:$I$100,2,0),"")</f>
        <v/>
      </c>
      <c r="N1064" s="323" t="str">
        <f ca="1">IFERROR(IF(VLOOKUP(F1064,Kostentypen!$A$3:$E$21,3,0)=0,"",IF(OR(F1064="Arbeidskosten",F1064="Vergoeding"),VLOOKUP(G1064,Tb_KostenTypen[],2,0),VLOOKUP(F1064,Kostentypen!$A$3:$E$20,3,0))),"")</f>
        <v/>
      </c>
      <c r="O1064" s="324"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4"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3"/>
      <c r="R1064" s="363"/>
      <c r="S1064" s="325"/>
      <c r="T1064" s="325"/>
      <c r="U1064" s="317" t="str" cm="1">
        <f t="array" aca="1" ref="U1064" ca="1">IFERROR(IF(AA1064&lt;&gt;"ja",_xlfn.IFNA(_xlfn.IFS(AND(O1064&lt;&gt;"",F1064&lt;&gt;"",RIGHT($N1064,6)="tarief",F1064="Vergoeding"),SUM(O1064)*FLOOR(SUM(Q1064),0.0001),AND(O1064&lt;&gt;"",F1064&lt;&gt;"",RIGHT($N1064,6)="tarief"),SUM(O1064)*FLOOR(SUM(Q1064),0.01),S1064&gt;0,IF(F1064&lt;&gt;"",FLOOR(SUM(S1064),0.01),"")),""),""),"")</f>
        <v/>
      </c>
      <c r="V1064" s="317" t="str" cm="1">
        <f t="array" aca="1" ref="V1064" ca="1">IFERROR(IF(AA1064&lt;&gt;"ja",_xlfn.IFNA(_xlfn.IFS(AND(P1064&lt;&gt;"",R1064&lt;&gt;"",RIGHT($N1064,6)="tarief",F1064="Vergoeding"),SUM(P1064)*FLOOR(SUM(R1064),0.0001),AND(P1064&lt;&gt;"",R1064&lt;&gt;"",RIGHT($N1064,6)="tarief"),P1064*FLOOR(R1064,0.01),T1064&gt;0,FLOOR(SUM(T1064),0.01)),""),""),"")</f>
        <v/>
      </c>
      <c r="W1064" s="317" t="str" cm="1">
        <f t="array" aca="1" ref="W1064" ca="1">IFERROR(_xlfn.IFS(OR(F1064="",LEFT(Methode_Keuze,4)="Geen",Methode_Keuze=""),"",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17" t="str" cm="1">
        <f t="array" aca="1" ref="X1064" ca="1">IFERROR(_xlfn.IFS(OR(F1064="",LEFT(Methode_Keuze,4)="Geen",Methode_Keuze=""),"",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26"/>
      <c r="Z1064" s="319"/>
      <c r="AA1064" s="32" t="str" cm="1">
        <f t="array" ref="AA1064">IFERROR(IF(INDEX(SubsidieTabel!$AD$1:$AG$12,MATCH($F1064,SubsidieTabel!$AD$1:$AD$12,0),IFERROR(MATCH(Methode_Keuze,SubsidieTabel!$AD$1:$AG$1,0),2))&lt;&gt;1=TRUE,"ja",""),"")</f>
        <v/>
      </c>
    </row>
    <row r="1065" spans="1:27" x14ac:dyDescent="0.25">
      <c r="A1065" s="320"/>
      <c r="B1065" s="321" t="str">
        <f>IF(A1065&lt;&gt;"",_xlfn.MAXIFS($B$1:B1064,$A$1:A1064,A1065)+1,"")</f>
        <v/>
      </c>
      <c r="C1065" s="299"/>
      <c r="D1065" s="299"/>
      <c r="E1065" s="299"/>
      <c r="F1065" s="299"/>
      <c r="G1065" s="330"/>
      <c r="H1065" s="328"/>
      <c r="I1065" s="329"/>
      <c r="J1065" s="329"/>
      <c r="K1065" s="322"/>
      <c r="L1065" s="322"/>
      <c r="M1065" s="323" t="str">
        <f>IFERROR(VLOOKUP(H1065,Lijsten!$H$1:$I$100,2,0),"")</f>
        <v/>
      </c>
      <c r="N1065" s="323" t="str">
        <f ca="1">IFERROR(IF(VLOOKUP(F1065,Kostentypen!$A$3:$E$21,3,0)=0,"",IF(OR(F1065="Arbeidskosten",F1065="Vergoeding"),VLOOKUP(G1065,Tb_KostenTypen[],2,0),VLOOKUP(F1065,Kostentypen!$A$3:$E$20,3,0))),"")</f>
        <v/>
      </c>
      <c r="O1065" s="324"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4"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3"/>
      <c r="R1065" s="363"/>
      <c r="S1065" s="325"/>
      <c r="T1065" s="325"/>
      <c r="U1065" s="317" t="str" cm="1">
        <f t="array" aca="1" ref="U1065" ca="1">IFERROR(IF(AA1065&lt;&gt;"ja",_xlfn.IFNA(_xlfn.IFS(AND(O1065&lt;&gt;"",F1065&lt;&gt;"",RIGHT($N1065,6)="tarief",F1065="Vergoeding"),SUM(O1065)*FLOOR(SUM(Q1065),0.0001),AND(O1065&lt;&gt;"",F1065&lt;&gt;"",RIGHT($N1065,6)="tarief"),SUM(O1065)*FLOOR(SUM(Q1065),0.01),S1065&gt;0,IF(F1065&lt;&gt;"",FLOOR(SUM(S1065),0.01),"")),""),""),"")</f>
        <v/>
      </c>
      <c r="V1065" s="317" t="str" cm="1">
        <f t="array" aca="1" ref="V1065" ca="1">IFERROR(IF(AA1065&lt;&gt;"ja",_xlfn.IFNA(_xlfn.IFS(AND(P1065&lt;&gt;"",R1065&lt;&gt;"",RIGHT($N1065,6)="tarief",F1065="Vergoeding"),SUM(P1065)*FLOOR(SUM(R1065),0.0001),AND(P1065&lt;&gt;"",R1065&lt;&gt;"",RIGHT($N1065,6)="tarief"),P1065*FLOOR(R1065,0.01),T1065&gt;0,FLOOR(SUM(T1065),0.01)),""),""),"")</f>
        <v/>
      </c>
      <c r="W1065" s="317" t="str" cm="1">
        <f t="array" aca="1" ref="W1065" ca="1">IFERROR(_xlfn.IFS(OR(F1065="",LEFT(Methode_Keuze,4)="Geen",Methode_Keuze=""),"",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17" t="str" cm="1">
        <f t="array" aca="1" ref="X1065" ca="1">IFERROR(_xlfn.IFS(OR(F1065="",LEFT(Methode_Keuze,4)="Geen",Methode_Keuze=""),"",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26"/>
      <c r="Z1065" s="319"/>
      <c r="AA1065" s="32" t="str" cm="1">
        <f t="array" ref="AA1065">IFERROR(IF(INDEX(SubsidieTabel!$AD$1:$AG$12,MATCH($F1065,SubsidieTabel!$AD$1:$AD$12,0),IFERROR(MATCH(Methode_Keuze,SubsidieTabel!$AD$1:$AG$1,0),2))&lt;&gt;1=TRUE,"ja",""),"")</f>
        <v/>
      </c>
    </row>
    <row r="1066" spans="1:27" x14ac:dyDescent="0.25">
      <c r="A1066" s="320"/>
      <c r="B1066" s="321" t="str">
        <f>IF(A1066&lt;&gt;"",_xlfn.MAXIFS($B$1:B1065,$A$1:A1065,A1066)+1,"")</f>
        <v/>
      </c>
      <c r="C1066" s="299"/>
      <c r="D1066" s="299"/>
      <c r="E1066" s="299"/>
      <c r="F1066" s="299"/>
      <c r="G1066" s="330"/>
      <c r="H1066" s="328"/>
      <c r="I1066" s="329"/>
      <c r="J1066" s="329"/>
      <c r="K1066" s="322"/>
      <c r="L1066" s="322"/>
      <c r="M1066" s="323" t="str">
        <f>IFERROR(VLOOKUP(H1066,Lijsten!$H$1:$I$100,2,0),"")</f>
        <v/>
      </c>
      <c r="N1066" s="323" t="str">
        <f ca="1">IFERROR(IF(VLOOKUP(F1066,Kostentypen!$A$3:$E$21,3,0)=0,"",IF(OR(F1066="Arbeidskosten",F1066="Vergoeding"),VLOOKUP(G1066,Tb_KostenTypen[],2,0),VLOOKUP(F1066,Kostentypen!$A$3:$E$20,3,0))),"")</f>
        <v/>
      </c>
      <c r="O1066" s="324"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4"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3"/>
      <c r="R1066" s="363"/>
      <c r="S1066" s="325"/>
      <c r="T1066" s="325"/>
      <c r="U1066" s="317" t="str" cm="1">
        <f t="array" aca="1" ref="U1066" ca="1">IFERROR(IF(AA1066&lt;&gt;"ja",_xlfn.IFNA(_xlfn.IFS(AND(O1066&lt;&gt;"",F1066&lt;&gt;"",RIGHT($N1066,6)="tarief",F1066="Vergoeding"),SUM(O1066)*FLOOR(SUM(Q1066),0.0001),AND(O1066&lt;&gt;"",F1066&lt;&gt;"",RIGHT($N1066,6)="tarief"),SUM(O1066)*FLOOR(SUM(Q1066),0.01),S1066&gt;0,IF(F1066&lt;&gt;"",FLOOR(SUM(S1066),0.01),"")),""),""),"")</f>
        <v/>
      </c>
      <c r="V1066" s="317" t="str" cm="1">
        <f t="array" aca="1" ref="V1066" ca="1">IFERROR(IF(AA1066&lt;&gt;"ja",_xlfn.IFNA(_xlfn.IFS(AND(P1066&lt;&gt;"",R1066&lt;&gt;"",RIGHT($N1066,6)="tarief",F1066="Vergoeding"),SUM(P1066)*FLOOR(SUM(R1066),0.0001),AND(P1066&lt;&gt;"",R1066&lt;&gt;"",RIGHT($N1066,6)="tarief"),P1066*FLOOR(R1066,0.01),T1066&gt;0,FLOOR(SUM(T1066),0.01)),""),""),"")</f>
        <v/>
      </c>
      <c r="W1066" s="317" t="str" cm="1">
        <f t="array" aca="1" ref="W1066" ca="1">IFERROR(_xlfn.IFS(OR(F1066="",LEFT(Methode_Keuze,4)="Geen",Methode_Keuze=""),"",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17" t="str" cm="1">
        <f t="array" aca="1" ref="X1066" ca="1">IFERROR(_xlfn.IFS(OR(F1066="",LEFT(Methode_Keuze,4)="Geen",Methode_Keuze=""),"",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26"/>
      <c r="Z1066" s="319"/>
      <c r="AA1066" s="32" t="str" cm="1">
        <f t="array" ref="AA1066">IFERROR(IF(INDEX(SubsidieTabel!$AD$1:$AG$12,MATCH($F1066,SubsidieTabel!$AD$1:$AD$12,0),IFERROR(MATCH(Methode_Keuze,SubsidieTabel!$AD$1:$AG$1,0),2))&lt;&gt;1=TRUE,"ja",""),"")</f>
        <v/>
      </c>
    </row>
    <row r="1067" spans="1:27" x14ac:dyDescent="0.25">
      <c r="A1067" s="320"/>
      <c r="B1067" s="321" t="str">
        <f>IF(A1067&lt;&gt;"",_xlfn.MAXIFS($B$1:B1066,$A$1:A1066,A1067)+1,"")</f>
        <v/>
      </c>
      <c r="C1067" s="299"/>
      <c r="D1067" s="299"/>
      <c r="E1067" s="299"/>
      <c r="F1067" s="299"/>
      <c r="G1067" s="330"/>
      <c r="H1067" s="328"/>
      <c r="I1067" s="329"/>
      <c r="J1067" s="329"/>
      <c r="K1067" s="322"/>
      <c r="L1067" s="322"/>
      <c r="M1067" s="323" t="str">
        <f>IFERROR(VLOOKUP(H1067,Lijsten!$H$1:$I$100,2,0),"")</f>
        <v/>
      </c>
      <c r="N1067" s="323" t="str">
        <f ca="1">IFERROR(IF(VLOOKUP(F1067,Kostentypen!$A$3:$E$21,3,0)=0,"",IF(OR(F1067="Arbeidskosten",F1067="Vergoeding"),VLOOKUP(G1067,Tb_KostenTypen[],2,0),VLOOKUP(F1067,Kostentypen!$A$3:$E$20,3,0))),"")</f>
        <v/>
      </c>
      <c r="O1067" s="324"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4"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3"/>
      <c r="R1067" s="363"/>
      <c r="S1067" s="325"/>
      <c r="T1067" s="325"/>
      <c r="U1067" s="317" t="str" cm="1">
        <f t="array" aca="1" ref="U1067" ca="1">IFERROR(IF(AA1067&lt;&gt;"ja",_xlfn.IFNA(_xlfn.IFS(AND(O1067&lt;&gt;"",F1067&lt;&gt;"",RIGHT($N1067,6)="tarief",F1067="Vergoeding"),SUM(O1067)*FLOOR(SUM(Q1067),0.0001),AND(O1067&lt;&gt;"",F1067&lt;&gt;"",RIGHT($N1067,6)="tarief"),SUM(O1067)*FLOOR(SUM(Q1067),0.01),S1067&gt;0,IF(F1067&lt;&gt;"",FLOOR(SUM(S1067),0.01),"")),""),""),"")</f>
        <v/>
      </c>
      <c r="V1067" s="317" t="str" cm="1">
        <f t="array" aca="1" ref="V1067" ca="1">IFERROR(IF(AA1067&lt;&gt;"ja",_xlfn.IFNA(_xlfn.IFS(AND(P1067&lt;&gt;"",R1067&lt;&gt;"",RIGHT($N1067,6)="tarief",F1067="Vergoeding"),SUM(P1067)*FLOOR(SUM(R1067),0.0001),AND(P1067&lt;&gt;"",R1067&lt;&gt;"",RIGHT($N1067,6)="tarief"),P1067*FLOOR(R1067,0.01),T1067&gt;0,FLOOR(SUM(T1067),0.01)),""),""),"")</f>
        <v/>
      </c>
      <c r="W1067" s="317" t="str" cm="1">
        <f t="array" aca="1" ref="W1067" ca="1">IFERROR(_xlfn.IFS(OR(F1067="",LEFT(Methode_Keuze,4)="Geen",Methode_Keuze=""),"",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17" t="str" cm="1">
        <f t="array" aca="1" ref="X1067" ca="1">IFERROR(_xlfn.IFS(OR(F1067="",LEFT(Methode_Keuze,4)="Geen",Methode_Keuze=""),"",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26"/>
      <c r="Z1067" s="319"/>
      <c r="AA1067" s="32" t="str" cm="1">
        <f t="array" ref="AA1067">IFERROR(IF(INDEX(SubsidieTabel!$AD$1:$AG$12,MATCH($F1067,SubsidieTabel!$AD$1:$AD$12,0),IFERROR(MATCH(Methode_Keuze,SubsidieTabel!$AD$1:$AG$1,0),2))&lt;&gt;1=TRUE,"ja",""),"")</f>
        <v/>
      </c>
    </row>
    <row r="1068" spans="1:27" x14ac:dyDescent="0.25">
      <c r="A1068" s="320"/>
      <c r="B1068" s="321" t="str">
        <f>IF(A1068&lt;&gt;"",_xlfn.MAXIFS($B$1:B1067,$A$1:A1067,A1068)+1,"")</f>
        <v/>
      </c>
      <c r="C1068" s="299"/>
      <c r="D1068" s="299"/>
      <c r="E1068" s="299"/>
      <c r="F1068" s="299"/>
      <c r="G1068" s="330"/>
      <c r="H1068" s="328"/>
      <c r="I1068" s="329"/>
      <c r="J1068" s="329"/>
      <c r="K1068" s="322"/>
      <c r="L1068" s="322"/>
      <c r="M1068" s="323" t="str">
        <f>IFERROR(VLOOKUP(H1068,Lijsten!$H$1:$I$100,2,0),"")</f>
        <v/>
      </c>
      <c r="N1068" s="323" t="str">
        <f ca="1">IFERROR(IF(VLOOKUP(F1068,Kostentypen!$A$3:$E$21,3,0)=0,"",IF(OR(F1068="Arbeidskosten",F1068="Vergoeding"),VLOOKUP(G1068,Tb_KostenTypen[],2,0),VLOOKUP(F1068,Kostentypen!$A$3:$E$20,3,0))),"")</f>
        <v/>
      </c>
      <c r="O1068" s="324"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4"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3"/>
      <c r="R1068" s="363"/>
      <c r="S1068" s="325"/>
      <c r="T1068" s="325"/>
      <c r="U1068" s="317" t="str" cm="1">
        <f t="array" aca="1" ref="U1068" ca="1">IFERROR(IF(AA1068&lt;&gt;"ja",_xlfn.IFNA(_xlfn.IFS(AND(O1068&lt;&gt;"",F1068&lt;&gt;"",RIGHT($N1068,6)="tarief",F1068="Vergoeding"),SUM(O1068)*FLOOR(SUM(Q1068),0.0001),AND(O1068&lt;&gt;"",F1068&lt;&gt;"",RIGHT($N1068,6)="tarief"),SUM(O1068)*FLOOR(SUM(Q1068),0.01),S1068&gt;0,IF(F1068&lt;&gt;"",FLOOR(SUM(S1068),0.01),"")),""),""),"")</f>
        <v/>
      </c>
      <c r="V1068" s="317" t="str" cm="1">
        <f t="array" aca="1" ref="V1068" ca="1">IFERROR(IF(AA1068&lt;&gt;"ja",_xlfn.IFNA(_xlfn.IFS(AND(P1068&lt;&gt;"",R1068&lt;&gt;"",RIGHT($N1068,6)="tarief",F1068="Vergoeding"),SUM(P1068)*FLOOR(SUM(R1068),0.0001),AND(P1068&lt;&gt;"",R1068&lt;&gt;"",RIGHT($N1068,6)="tarief"),P1068*FLOOR(R1068,0.01),T1068&gt;0,FLOOR(SUM(T1068),0.01)),""),""),"")</f>
        <v/>
      </c>
      <c r="W1068" s="317" t="str" cm="1">
        <f t="array" aca="1" ref="W1068" ca="1">IFERROR(_xlfn.IFS(OR(F1068="",LEFT(Methode_Keuze,4)="Geen",Methode_Keuze=""),"",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17" t="str" cm="1">
        <f t="array" aca="1" ref="X1068" ca="1">IFERROR(_xlfn.IFS(OR(F1068="",LEFT(Methode_Keuze,4)="Geen",Methode_Keuze=""),"",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26"/>
      <c r="Z1068" s="319"/>
      <c r="AA1068" s="32" t="str" cm="1">
        <f t="array" ref="AA1068">IFERROR(IF(INDEX(SubsidieTabel!$AD$1:$AG$12,MATCH($F1068,SubsidieTabel!$AD$1:$AD$12,0),IFERROR(MATCH(Methode_Keuze,SubsidieTabel!$AD$1:$AG$1,0),2))&lt;&gt;1=TRUE,"ja",""),"")</f>
        <v/>
      </c>
    </row>
    <row r="1069" spans="1:27" x14ac:dyDescent="0.25">
      <c r="A1069" s="320"/>
      <c r="B1069" s="321" t="str">
        <f>IF(A1069&lt;&gt;"",_xlfn.MAXIFS($B$1:B1068,$A$1:A1068,A1069)+1,"")</f>
        <v/>
      </c>
      <c r="C1069" s="299"/>
      <c r="D1069" s="299"/>
      <c r="E1069" s="299"/>
      <c r="F1069" s="299"/>
      <c r="G1069" s="330"/>
      <c r="H1069" s="328"/>
      <c r="I1069" s="329"/>
      <c r="J1069" s="329"/>
      <c r="K1069" s="322"/>
      <c r="L1069" s="322"/>
      <c r="M1069" s="323" t="str">
        <f>IFERROR(VLOOKUP(H1069,Lijsten!$H$1:$I$100,2,0),"")</f>
        <v/>
      </c>
      <c r="N1069" s="323" t="str">
        <f ca="1">IFERROR(IF(VLOOKUP(F1069,Kostentypen!$A$3:$E$21,3,0)=0,"",IF(OR(F1069="Arbeidskosten",F1069="Vergoeding"),VLOOKUP(G1069,Tb_KostenTypen[],2,0),VLOOKUP(F1069,Kostentypen!$A$3:$E$20,3,0))),"")</f>
        <v/>
      </c>
      <c r="O1069" s="324"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4"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3"/>
      <c r="R1069" s="363"/>
      <c r="S1069" s="325"/>
      <c r="T1069" s="325"/>
      <c r="U1069" s="317" t="str" cm="1">
        <f t="array" aca="1" ref="U1069" ca="1">IFERROR(IF(AA1069&lt;&gt;"ja",_xlfn.IFNA(_xlfn.IFS(AND(O1069&lt;&gt;"",F1069&lt;&gt;"",RIGHT($N1069,6)="tarief",F1069="Vergoeding"),SUM(O1069)*FLOOR(SUM(Q1069),0.0001),AND(O1069&lt;&gt;"",F1069&lt;&gt;"",RIGHT($N1069,6)="tarief"),SUM(O1069)*FLOOR(SUM(Q1069),0.01),S1069&gt;0,IF(F1069&lt;&gt;"",FLOOR(SUM(S1069),0.01),"")),""),""),"")</f>
        <v/>
      </c>
      <c r="V1069" s="317" t="str" cm="1">
        <f t="array" aca="1" ref="V1069" ca="1">IFERROR(IF(AA1069&lt;&gt;"ja",_xlfn.IFNA(_xlfn.IFS(AND(P1069&lt;&gt;"",R1069&lt;&gt;"",RIGHT($N1069,6)="tarief",F1069="Vergoeding"),SUM(P1069)*FLOOR(SUM(R1069),0.0001),AND(P1069&lt;&gt;"",R1069&lt;&gt;"",RIGHT($N1069,6)="tarief"),P1069*FLOOR(R1069,0.01),T1069&gt;0,FLOOR(SUM(T1069),0.01)),""),""),"")</f>
        <v/>
      </c>
      <c r="W1069" s="317" t="str" cm="1">
        <f t="array" aca="1" ref="W1069" ca="1">IFERROR(_xlfn.IFS(OR(F1069="",LEFT(Methode_Keuze,4)="Geen",Methode_Keuze=""),"",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17" t="str" cm="1">
        <f t="array" aca="1" ref="X1069" ca="1">IFERROR(_xlfn.IFS(OR(F1069="",LEFT(Methode_Keuze,4)="Geen",Methode_Keuze=""),"",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26"/>
      <c r="Z1069" s="319"/>
      <c r="AA1069" s="32" t="str" cm="1">
        <f t="array" ref="AA1069">IFERROR(IF(INDEX(SubsidieTabel!$AD$1:$AG$12,MATCH($F1069,SubsidieTabel!$AD$1:$AD$12,0),IFERROR(MATCH(Methode_Keuze,SubsidieTabel!$AD$1:$AG$1,0),2))&lt;&gt;1=TRUE,"ja",""),"")</f>
        <v/>
      </c>
    </row>
    <row r="1070" spans="1:27" x14ac:dyDescent="0.25">
      <c r="A1070" s="320"/>
      <c r="B1070" s="321" t="str">
        <f>IF(A1070&lt;&gt;"",_xlfn.MAXIFS($B$1:B1069,$A$1:A1069,A1070)+1,"")</f>
        <v/>
      </c>
      <c r="C1070" s="299"/>
      <c r="D1070" s="299"/>
      <c r="E1070" s="299"/>
      <c r="F1070" s="299"/>
      <c r="G1070" s="330"/>
      <c r="H1070" s="328"/>
      <c r="I1070" s="329"/>
      <c r="J1070" s="329"/>
      <c r="K1070" s="322"/>
      <c r="L1070" s="322"/>
      <c r="M1070" s="323" t="str">
        <f>IFERROR(VLOOKUP(H1070,Lijsten!$H$1:$I$100,2,0),"")</f>
        <v/>
      </c>
      <c r="N1070" s="323" t="str">
        <f ca="1">IFERROR(IF(VLOOKUP(F1070,Kostentypen!$A$3:$E$21,3,0)=0,"",IF(OR(F1070="Arbeidskosten",F1070="Vergoeding"),VLOOKUP(G1070,Tb_KostenTypen[],2,0),VLOOKUP(F1070,Kostentypen!$A$3:$E$20,3,0))),"")</f>
        <v/>
      </c>
      <c r="O1070" s="324"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4"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3"/>
      <c r="R1070" s="363"/>
      <c r="S1070" s="325"/>
      <c r="T1070" s="325"/>
      <c r="U1070" s="317" t="str" cm="1">
        <f t="array" aca="1" ref="U1070" ca="1">IFERROR(IF(AA1070&lt;&gt;"ja",_xlfn.IFNA(_xlfn.IFS(AND(O1070&lt;&gt;"",F1070&lt;&gt;"",RIGHT($N1070,6)="tarief",F1070="Vergoeding"),SUM(O1070)*FLOOR(SUM(Q1070),0.0001),AND(O1070&lt;&gt;"",F1070&lt;&gt;"",RIGHT($N1070,6)="tarief"),SUM(O1070)*FLOOR(SUM(Q1070),0.01),S1070&gt;0,IF(F1070&lt;&gt;"",FLOOR(SUM(S1070),0.01),"")),""),""),"")</f>
        <v/>
      </c>
      <c r="V1070" s="317" t="str" cm="1">
        <f t="array" aca="1" ref="V1070" ca="1">IFERROR(IF(AA1070&lt;&gt;"ja",_xlfn.IFNA(_xlfn.IFS(AND(P1070&lt;&gt;"",R1070&lt;&gt;"",RIGHT($N1070,6)="tarief",F1070="Vergoeding"),SUM(P1070)*FLOOR(SUM(R1070),0.0001),AND(P1070&lt;&gt;"",R1070&lt;&gt;"",RIGHT($N1070,6)="tarief"),P1070*FLOOR(R1070,0.01),T1070&gt;0,FLOOR(SUM(T1070),0.01)),""),""),"")</f>
        <v/>
      </c>
      <c r="W1070" s="317" t="str" cm="1">
        <f t="array" aca="1" ref="W1070" ca="1">IFERROR(_xlfn.IFS(OR(F1070="",LEFT(Methode_Keuze,4)="Geen",Methode_Keuze=""),"",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17" t="str" cm="1">
        <f t="array" aca="1" ref="X1070" ca="1">IFERROR(_xlfn.IFS(OR(F1070="",LEFT(Methode_Keuze,4)="Geen",Methode_Keuze=""),"",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26"/>
      <c r="Z1070" s="319"/>
      <c r="AA1070" s="32" t="str" cm="1">
        <f t="array" ref="AA1070">IFERROR(IF(INDEX(SubsidieTabel!$AD$1:$AG$12,MATCH($F1070,SubsidieTabel!$AD$1:$AD$12,0),IFERROR(MATCH(Methode_Keuze,SubsidieTabel!$AD$1:$AG$1,0),2))&lt;&gt;1=TRUE,"ja",""),"")</f>
        <v/>
      </c>
    </row>
    <row r="1071" spans="1:27" x14ac:dyDescent="0.25">
      <c r="A1071" s="320"/>
      <c r="B1071" s="321" t="str">
        <f>IF(A1071&lt;&gt;"",_xlfn.MAXIFS($B$1:B1070,$A$1:A1070,A1071)+1,"")</f>
        <v/>
      </c>
      <c r="C1071" s="299"/>
      <c r="D1071" s="299"/>
      <c r="E1071" s="299"/>
      <c r="F1071" s="299"/>
      <c r="G1071" s="330"/>
      <c r="H1071" s="328"/>
      <c r="I1071" s="329"/>
      <c r="J1071" s="329"/>
      <c r="K1071" s="322"/>
      <c r="L1071" s="322"/>
      <c r="M1071" s="323" t="str">
        <f>IFERROR(VLOOKUP(H1071,Lijsten!$H$1:$I$100,2,0),"")</f>
        <v/>
      </c>
      <c r="N1071" s="323" t="str">
        <f ca="1">IFERROR(IF(VLOOKUP(F1071,Kostentypen!$A$3:$E$21,3,0)=0,"",IF(OR(F1071="Arbeidskosten",F1071="Vergoeding"),VLOOKUP(G1071,Tb_KostenTypen[],2,0),VLOOKUP(F1071,Kostentypen!$A$3:$E$20,3,0))),"")</f>
        <v/>
      </c>
      <c r="O1071" s="324"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4"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3"/>
      <c r="R1071" s="363"/>
      <c r="S1071" s="325"/>
      <c r="T1071" s="325"/>
      <c r="U1071" s="317" t="str" cm="1">
        <f t="array" aca="1" ref="U1071" ca="1">IFERROR(IF(AA1071&lt;&gt;"ja",_xlfn.IFNA(_xlfn.IFS(AND(O1071&lt;&gt;"",F1071&lt;&gt;"",RIGHT($N1071,6)="tarief",F1071="Vergoeding"),SUM(O1071)*FLOOR(SUM(Q1071),0.0001),AND(O1071&lt;&gt;"",F1071&lt;&gt;"",RIGHT($N1071,6)="tarief"),SUM(O1071)*FLOOR(SUM(Q1071),0.01),S1071&gt;0,IF(F1071&lt;&gt;"",FLOOR(SUM(S1071),0.01),"")),""),""),"")</f>
        <v/>
      </c>
      <c r="V1071" s="317" t="str" cm="1">
        <f t="array" aca="1" ref="V1071" ca="1">IFERROR(IF(AA1071&lt;&gt;"ja",_xlfn.IFNA(_xlfn.IFS(AND(P1071&lt;&gt;"",R1071&lt;&gt;"",RIGHT($N1071,6)="tarief",F1071="Vergoeding"),SUM(P1071)*FLOOR(SUM(R1071),0.0001),AND(P1071&lt;&gt;"",R1071&lt;&gt;"",RIGHT($N1071,6)="tarief"),P1071*FLOOR(R1071,0.01),T1071&gt;0,FLOOR(SUM(T1071),0.01)),""),""),"")</f>
        <v/>
      </c>
      <c r="W1071" s="317" t="str" cm="1">
        <f t="array" aca="1" ref="W1071" ca="1">IFERROR(_xlfn.IFS(OR(F1071="",LEFT(Methode_Keuze,4)="Geen",Methode_Keuze=""),"",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17" t="str" cm="1">
        <f t="array" aca="1" ref="X1071" ca="1">IFERROR(_xlfn.IFS(OR(F1071="",LEFT(Methode_Keuze,4)="Geen",Methode_Keuze=""),"",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26"/>
      <c r="Z1071" s="319"/>
      <c r="AA1071" s="32" t="str" cm="1">
        <f t="array" ref="AA1071">IFERROR(IF(INDEX(SubsidieTabel!$AD$1:$AG$12,MATCH($F1071,SubsidieTabel!$AD$1:$AD$12,0),IFERROR(MATCH(Methode_Keuze,SubsidieTabel!$AD$1:$AG$1,0),2))&lt;&gt;1=TRUE,"ja",""),"")</f>
        <v/>
      </c>
    </row>
    <row r="1072" spans="1:27" x14ac:dyDescent="0.25">
      <c r="A1072" s="320"/>
      <c r="B1072" s="321" t="str">
        <f>IF(A1072&lt;&gt;"",_xlfn.MAXIFS($B$1:B1071,$A$1:A1071,A1072)+1,"")</f>
        <v/>
      </c>
      <c r="C1072" s="299"/>
      <c r="D1072" s="299"/>
      <c r="E1072" s="299"/>
      <c r="F1072" s="299"/>
      <c r="G1072" s="330"/>
      <c r="H1072" s="328"/>
      <c r="I1072" s="329"/>
      <c r="J1072" s="329"/>
      <c r="K1072" s="322"/>
      <c r="L1072" s="322"/>
      <c r="M1072" s="323" t="str">
        <f>IFERROR(VLOOKUP(H1072,Lijsten!$H$1:$I$100,2,0),"")</f>
        <v/>
      </c>
      <c r="N1072" s="323" t="str">
        <f ca="1">IFERROR(IF(VLOOKUP(F1072,Kostentypen!$A$3:$E$21,3,0)=0,"",IF(OR(F1072="Arbeidskosten",F1072="Vergoeding"),VLOOKUP(G1072,Tb_KostenTypen[],2,0),VLOOKUP(F1072,Kostentypen!$A$3:$E$20,3,0))),"")</f>
        <v/>
      </c>
      <c r="O1072" s="324"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4"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3"/>
      <c r="R1072" s="363"/>
      <c r="S1072" s="325"/>
      <c r="T1072" s="325"/>
      <c r="U1072" s="317" t="str" cm="1">
        <f t="array" aca="1" ref="U1072" ca="1">IFERROR(IF(AA1072&lt;&gt;"ja",_xlfn.IFNA(_xlfn.IFS(AND(O1072&lt;&gt;"",F1072&lt;&gt;"",RIGHT($N1072,6)="tarief",F1072="Vergoeding"),SUM(O1072)*FLOOR(SUM(Q1072),0.0001),AND(O1072&lt;&gt;"",F1072&lt;&gt;"",RIGHT($N1072,6)="tarief"),SUM(O1072)*FLOOR(SUM(Q1072),0.01),S1072&gt;0,IF(F1072&lt;&gt;"",FLOOR(SUM(S1072),0.01),"")),""),""),"")</f>
        <v/>
      </c>
      <c r="V1072" s="317" t="str" cm="1">
        <f t="array" aca="1" ref="V1072" ca="1">IFERROR(IF(AA1072&lt;&gt;"ja",_xlfn.IFNA(_xlfn.IFS(AND(P1072&lt;&gt;"",R1072&lt;&gt;"",RIGHT($N1072,6)="tarief",F1072="Vergoeding"),SUM(P1072)*FLOOR(SUM(R1072),0.0001),AND(P1072&lt;&gt;"",R1072&lt;&gt;"",RIGHT($N1072,6)="tarief"),P1072*FLOOR(R1072,0.01),T1072&gt;0,FLOOR(SUM(T1072),0.01)),""),""),"")</f>
        <v/>
      </c>
      <c r="W1072" s="317" t="str" cm="1">
        <f t="array" aca="1" ref="W1072" ca="1">IFERROR(_xlfn.IFS(OR(F1072="",LEFT(Methode_Keuze,4)="Geen",Methode_Keuze=""),"",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17" t="str" cm="1">
        <f t="array" aca="1" ref="X1072" ca="1">IFERROR(_xlfn.IFS(OR(F1072="",LEFT(Methode_Keuze,4)="Geen",Methode_Keuze=""),"",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26"/>
      <c r="Z1072" s="319"/>
      <c r="AA1072" s="32" t="str" cm="1">
        <f t="array" ref="AA1072">IFERROR(IF(INDEX(SubsidieTabel!$AD$1:$AG$12,MATCH($F1072,SubsidieTabel!$AD$1:$AD$12,0),IFERROR(MATCH(Methode_Keuze,SubsidieTabel!$AD$1:$AG$1,0),2))&lt;&gt;1=TRUE,"ja",""),"")</f>
        <v/>
      </c>
    </row>
    <row r="1073" spans="1:27" x14ac:dyDescent="0.25">
      <c r="A1073" s="320"/>
      <c r="B1073" s="321" t="str">
        <f>IF(A1073&lt;&gt;"",_xlfn.MAXIFS($B$1:B1072,$A$1:A1072,A1073)+1,"")</f>
        <v/>
      </c>
      <c r="C1073" s="299"/>
      <c r="D1073" s="299"/>
      <c r="E1073" s="299"/>
      <c r="F1073" s="299"/>
      <c r="G1073" s="330"/>
      <c r="H1073" s="328"/>
      <c r="I1073" s="329"/>
      <c r="J1073" s="329"/>
      <c r="K1073" s="322"/>
      <c r="L1073" s="322"/>
      <c r="M1073" s="323" t="str">
        <f>IFERROR(VLOOKUP(H1073,Lijsten!$H$1:$I$100,2,0),"")</f>
        <v/>
      </c>
      <c r="N1073" s="323" t="str">
        <f ca="1">IFERROR(IF(VLOOKUP(F1073,Kostentypen!$A$3:$E$21,3,0)=0,"",IF(OR(F1073="Arbeidskosten",F1073="Vergoeding"),VLOOKUP(G1073,Tb_KostenTypen[],2,0),VLOOKUP(F1073,Kostentypen!$A$3:$E$20,3,0))),"")</f>
        <v/>
      </c>
      <c r="O1073" s="324"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4"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3"/>
      <c r="R1073" s="363"/>
      <c r="S1073" s="325"/>
      <c r="T1073" s="325"/>
      <c r="U1073" s="317" t="str" cm="1">
        <f t="array" aca="1" ref="U1073" ca="1">IFERROR(IF(AA1073&lt;&gt;"ja",_xlfn.IFNA(_xlfn.IFS(AND(O1073&lt;&gt;"",F1073&lt;&gt;"",RIGHT($N1073,6)="tarief",F1073="Vergoeding"),SUM(O1073)*FLOOR(SUM(Q1073),0.0001),AND(O1073&lt;&gt;"",F1073&lt;&gt;"",RIGHT($N1073,6)="tarief"),SUM(O1073)*FLOOR(SUM(Q1073),0.01),S1073&gt;0,IF(F1073&lt;&gt;"",FLOOR(SUM(S1073),0.01),"")),""),""),"")</f>
        <v/>
      </c>
      <c r="V1073" s="317" t="str" cm="1">
        <f t="array" aca="1" ref="V1073" ca="1">IFERROR(IF(AA1073&lt;&gt;"ja",_xlfn.IFNA(_xlfn.IFS(AND(P1073&lt;&gt;"",R1073&lt;&gt;"",RIGHT($N1073,6)="tarief",F1073="Vergoeding"),SUM(P1073)*FLOOR(SUM(R1073),0.0001),AND(P1073&lt;&gt;"",R1073&lt;&gt;"",RIGHT($N1073,6)="tarief"),P1073*FLOOR(R1073,0.01),T1073&gt;0,FLOOR(SUM(T1073),0.01)),""),""),"")</f>
        <v/>
      </c>
      <c r="W1073" s="317" t="str" cm="1">
        <f t="array" aca="1" ref="W1073" ca="1">IFERROR(_xlfn.IFS(OR(F1073="",LEFT(Methode_Keuze,4)="Geen",Methode_Keuze=""),"",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17" t="str" cm="1">
        <f t="array" aca="1" ref="X1073" ca="1">IFERROR(_xlfn.IFS(OR(F1073="",LEFT(Methode_Keuze,4)="Geen",Methode_Keuze=""),"",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26"/>
      <c r="Z1073" s="319"/>
      <c r="AA1073" s="32" t="str" cm="1">
        <f t="array" ref="AA1073">IFERROR(IF(INDEX(SubsidieTabel!$AD$1:$AG$12,MATCH($F1073,SubsidieTabel!$AD$1:$AD$12,0),IFERROR(MATCH(Methode_Keuze,SubsidieTabel!$AD$1:$AG$1,0),2))&lt;&gt;1=TRUE,"ja",""),"")</f>
        <v/>
      </c>
    </row>
    <row r="1074" spans="1:27" x14ac:dyDescent="0.25">
      <c r="A1074" s="320"/>
      <c r="B1074" s="321" t="str">
        <f>IF(A1074&lt;&gt;"",_xlfn.MAXIFS($B$1:B1073,$A$1:A1073,A1074)+1,"")</f>
        <v/>
      </c>
      <c r="C1074" s="299"/>
      <c r="D1074" s="299"/>
      <c r="E1074" s="299"/>
      <c r="F1074" s="299"/>
      <c r="G1074" s="330"/>
      <c r="H1074" s="328"/>
      <c r="I1074" s="329"/>
      <c r="J1074" s="329"/>
      <c r="K1074" s="322"/>
      <c r="L1074" s="322"/>
      <c r="M1074" s="323" t="str">
        <f>IFERROR(VLOOKUP(H1074,Lijsten!$H$1:$I$100,2,0),"")</f>
        <v/>
      </c>
      <c r="N1074" s="323" t="str">
        <f ca="1">IFERROR(IF(VLOOKUP(F1074,Kostentypen!$A$3:$E$21,3,0)=0,"",IF(OR(F1074="Arbeidskosten",F1074="Vergoeding"),VLOOKUP(G1074,Tb_KostenTypen[],2,0),VLOOKUP(F1074,Kostentypen!$A$3:$E$20,3,0))),"")</f>
        <v/>
      </c>
      <c r="O1074" s="324"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4"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3"/>
      <c r="R1074" s="363"/>
      <c r="S1074" s="325"/>
      <c r="T1074" s="325"/>
      <c r="U1074" s="317" t="str" cm="1">
        <f t="array" aca="1" ref="U1074" ca="1">IFERROR(IF(AA1074&lt;&gt;"ja",_xlfn.IFNA(_xlfn.IFS(AND(O1074&lt;&gt;"",F1074&lt;&gt;"",RIGHT($N1074,6)="tarief",F1074="Vergoeding"),SUM(O1074)*FLOOR(SUM(Q1074),0.0001),AND(O1074&lt;&gt;"",F1074&lt;&gt;"",RIGHT($N1074,6)="tarief"),SUM(O1074)*FLOOR(SUM(Q1074),0.01),S1074&gt;0,IF(F1074&lt;&gt;"",FLOOR(SUM(S1074),0.01),"")),""),""),"")</f>
        <v/>
      </c>
      <c r="V1074" s="317" t="str" cm="1">
        <f t="array" aca="1" ref="V1074" ca="1">IFERROR(IF(AA1074&lt;&gt;"ja",_xlfn.IFNA(_xlfn.IFS(AND(P1074&lt;&gt;"",R1074&lt;&gt;"",RIGHT($N1074,6)="tarief",F1074="Vergoeding"),SUM(P1074)*FLOOR(SUM(R1074),0.0001),AND(P1074&lt;&gt;"",R1074&lt;&gt;"",RIGHT($N1074,6)="tarief"),P1074*FLOOR(R1074,0.01),T1074&gt;0,FLOOR(SUM(T1074),0.01)),""),""),"")</f>
        <v/>
      </c>
      <c r="W1074" s="317" t="str" cm="1">
        <f t="array" aca="1" ref="W1074" ca="1">IFERROR(_xlfn.IFS(OR(F1074="",LEFT(Methode_Keuze,4)="Geen",Methode_Keuze=""),"",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17" t="str" cm="1">
        <f t="array" aca="1" ref="X1074" ca="1">IFERROR(_xlfn.IFS(OR(F1074="",LEFT(Methode_Keuze,4)="Geen",Methode_Keuze=""),"",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26"/>
      <c r="Z1074" s="319"/>
      <c r="AA1074" s="32" t="str" cm="1">
        <f t="array" ref="AA1074">IFERROR(IF(INDEX(SubsidieTabel!$AD$1:$AG$12,MATCH($F1074,SubsidieTabel!$AD$1:$AD$12,0),IFERROR(MATCH(Methode_Keuze,SubsidieTabel!$AD$1:$AG$1,0),2))&lt;&gt;1=TRUE,"ja",""),"")</f>
        <v/>
      </c>
    </row>
    <row r="1075" spans="1:27" x14ac:dyDescent="0.25">
      <c r="A1075" s="320"/>
      <c r="B1075" s="321" t="str">
        <f>IF(A1075&lt;&gt;"",_xlfn.MAXIFS($B$1:B1074,$A$1:A1074,A1075)+1,"")</f>
        <v/>
      </c>
      <c r="C1075" s="299"/>
      <c r="D1075" s="299"/>
      <c r="E1075" s="299"/>
      <c r="F1075" s="299"/>
      <c r="G1075" s="330"/>
      <c r="H1075" s="328"/>
      <c r="I1075" s="329"/>
      <c r="J1075" s="329"/>
      <c r="K1075" s="322"/>
      <c r="L1075" s="322"/>
      <c r="M1075" s="323" t="str">
        <f>IFERROR(VLOOKUP(H1075,Lijsten!$H$1:$I$100,2,0),"")</f>
        <v/>
      </c>
      <c r="N1075" s="323" t="str">
        <f ca="1">IFERROR(IF(VLOOKUP(F1075,Kostentypen!$A$3:$E$21,3,0)=0,"",IF(OR(F1075="Arbeidskosten",F1075="Vergoeding"),VLOOKUP(G1075,Tb_KostenTypen[],2,0),VLOOKUP(F1075,Kostentypen!$A$3:$E$20,3,0))),"")</f>
        <v/>
      </c>
      <c r="O1075" s="324"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4"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3"/>
      <c r="R1075" s="363"/>
      <c r="S1075" s="325"/>
      <c r="T1075" s="325"/>
      <c r="U1075" s="317" t="str" cm="1">
        <f t="array" aca="1" ref="U1075" ca="1">IFERROR(IF(AA1075&lt;&gt;"ja",_xlfn.IFNA(_xlfn.IFS(AND(O1075&lt;&gt;"",F1075&lt;&gt;"",RIGHT($N1075,6)="tarief",F1075="Vergoeding"),SUM(O1075)*FLOOR(SUM(Q1075),0.0001),AND(O1075&lt;&gt;"",F1075&lt;&gt;"",RIGHT($N1075,6)="tarief"),SUM(O1075)*FLOOR(SUM(Q1075),0.01),S1075&gt;0,IF(F1075&lt;&gt;"",FLOOR(SUM(S1075),0.01),"")),""),""),"")</f>
        <v/>
      </c>
      <c r="V1075" s="317" t="str" cm="1">
        <f t="array" aca="1" ref="V1075" ca="1">IFERROR(IF(AA1075&lt;&gt;"ja",_xlfn.IFNA(_xlfn.IFS(AND(P1075&lt;&gt;"",R1075&lt;&gt;"",RIGHT($N1075,6)="tarief",F1075="Vergoeding"),SUM(P1075)*FLOOR(SUM(R1075),0.0001),AND(P1075&lt;&gt;"",R1075&lt;&gt;"",RIGHT($N1075,6)="tarief"),P1075*FLOOR(R1075,0.01),T1075&gt;0,FLOOR(SUM(T1075),0.01)),""),""),"")</f>
        <v/>
      </c>
      <c r="W1075" s="317" t="str" cm="1">
        <f t="array" aca="1" ref="W1075" ca="1">IFERROR(_xlfn.IFS(OR(F1075="",LEFT(Methode_Keuze,4)="Geen",Methode_Keuze=""),"",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17" t="str" cm="1">
        <f t="array" aca="1" ref="X1075" ca="1">IFERROR(_xlfn.IFS(OR(F1075="",LEFT(Methode_Keuze,4)="Geen",Methode_Keuze=""),"",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26"/>
      <c r="Z1075" s="319"/>
      <c r="AA1075" s="32" t="str" cm="1">
        <f t="array" ref="AA1075">IFERROR(IF(INDEX(SubsidieTabel!$AD$1:$AG$12,MATCH($F1075,SubsidieTabel!$AD$1:$AD$12,0),IFERROR(MATCH(Methode_Keuze,SubsidieTabel!$AD$1:$AG$1,0),2))&lt;&gt;1=TRUE,"ja",""),"")</f>
        <v/>
      </c>
    </row>
    <row r="1076" spans="1:27" x14ac:dyDescent="0.25">
      <c r="A1076" s="320"/>
      <c r="B1076" s="321" t="str">
        <f>IF(A1076&lt;&gt;"",_xlfn.MAXIFS($B$1:B1075,$A$1:A1075,A1076)+1,"")</f>
        <v/>
      </c>
      <c r="C1076" s="299"/>
      <c r="D1076" s="299"/>
      <c r="E1076" s="299"/>
      <c r="F1076" s="299"/>
      <c r="G1076" s="330"/>
      <c r="H1076" s="328"/>
      <c r="I1076" s="329"/>
      <c r="J1076" s="329"/>
      <c r="K1076" s="322"/>
      <c r="L1076" s="322"/>
      <c r="M1076" s="323" t="str">
        <f>IFERROR(VLOOKUP(H1076,Lijsten!$H$1:$I$100,2,0),"")</f>
        <v/>
      </c>
      <c r="N1076" s="323" t="str">
        <f ca="1">IFERROR(IF(VLOOKUP(F1076,Kostentypen!$A$3:$E$21,3,0)=0,"",IF(OR(F1076="Arbeidskosten",F1076="Vergoeding"),VLOOKUP(G1076,Tb_KostenTypen[],2,0),VLOOKUP(F1076,Kostentypen!$A$3:$E$20,3,0))),"")</f>
        <v/>
      </c>
      <c r="O1076" s="324"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4"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3"/>
      <c r="R1076" s="363"/>
      <c r="S1076" s="325"/>
      <c r="T1076" s="325"/>
      <c r="U1076" s="317" t="str" cm="1">
        <f t="array" aca="1" ref="U1076" ca="1">IFERROR(IF(AA1076&lt;&gt;"ja",_xlfn.IFNA(_xlfn.IFS(AND(O1076&lt;&gt;"",F1076&lt;&gt;"",RIGHT($N1076,6)="tarief",F1076="Vergoeding"),SUM(O1076)*FLOOR(SUM(Q1076),0.0001),AND(O1076&lt;&gt;"",F1076&lt;&gt;"",RIGHT($N1076,6)="tarief"),SUM(O1076)*FLOOR(SUM(Q1076),0.01),S1076&gt;0,IF(F1076&lt;&gt;"",FLOOR(SUM(S1076),0.01),"")),""),""),"")</f>
        <v/>
      </c>
      <c r="V1076" s="317" t="str" cm="1">
        <f t="array" aca="1" ref="V1076" ca="1">IFERROR(IF(AA1076&lt;&gt;"ja",_xlfn.IFNA(_xlfn.IFS(AND(P1076&lt;&gt;"",R1076&lt;&gt;"",RIGHT($N1076,6)="tarief",F1076="Vergoeding"),SUM(P1076)*FLOOR(SUM(R1076),0.0001),AND(P1076&lt;&gt;"",R1076&lt;&gt;"",RIGHT($N1076,6)="tarief"),P1076*FLOOR(R1076,0.01),T1076&gt;0,FLOOR(SUM(T1076),0.01)),""),""),"")</f>
        <v/>
      </c>
      <c r="W1076" s="317" t="str" cm="1">
        <f t="array" aca="1" ref="W1076" ca="1">IFERROR(_xlfn.IFS(OR(F1076="",LEFT(Methode_Keuze,4)="Geen",Methode_Keuze=""),"",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17" t="str" cm="1">
        <f t="array" aca="1" ref="X1076" ca="1">IFERROR(_xlfn.IFS(OR(F1076="",LEFT(Methode_Keuze,4)="Geen",Methode_Keuze=""),"",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26"/>
      <c r="Z1076" s="319"/>
      <c r="AA1076" s="32" t="str" cm="1">
        <f t="array" ref="AA1076">IFERROR(IF(INDEX(SubsidieTabel!$AD$1:$AG$12,MATCH($F1076,SubsidieTabel!$AD$1:$AD$12,0),IFERROR(MATCH(Methode_Keuze,SubsidieTabel!$AD$1:$AG$1,0),2))&lt;&gt;1=TRUE,"ja",""),"")</f>
        <v/>
      </c>
    </row>
    <row r="1077" spans="1:27" x14ac:dyDescent="0.25">
      <c r="A1077" s="320"/>
      <c r="B1077" s="321" t="str">
        <f>IF(A1077&lt;&gt;"",_xlfn.MAXIFS($B$1:B1076,$A$1:A1076,A1077)+1,"")</f>
        <v/>
      </c>
      <c r="C1077" s="299"/>
      <c r="D1077" s="299"/>
      <c r="E1077" s="299"/>
      <c r="F1077" s="299"/>
      <c r="G1077" s="330"/>
      <c r="H1077" s="328"/>
      <c r="I1077" s="329"/>
      <c r="J1077" s="329"/>
      <c r="K1077" s="322"/>
      <c r="L1077" s="322"/>
      <c r="M1077" s="323" t="str">
        <f>IFERROR(VLOOKUP(H1077,Lijsten!$H$1:$I$100,2,0),"")</f>
        <v/>
      </c>
      <c r="N1077" s="323" t="str">
        <f ca="1">IFERROR(IF(VLOOKUP(F1077,Kostentypen!$A$3:$E$21,3,0)=0,"",IF(OR(F1077="Arbeidskosten",F1077="Vergoeding"),VLOOKUP(G1077,Tb_KostenTypen[],2,0),VLOOKUP(F1077,Kostentypen!$A$3:$E$20,3,0))),"")</f>
        <v/>
      </c>
      <c r="O1077" s="324"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4"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3"/>
      <c r="R1077" s="363"/>
      <c r="S1077" s="325"/>
      <c r="T1077" s="325"/>
      <c r="U1077" s="317" t="str" cm="1">
        <f t="array" aca="1" ref="U1077" ca="1">IFERROR(IF(AA1077&lt;&gt;"ja",_xlfn.IFNA(_xlfn.IFS(AND(O1077&lt;&gt;"",F1077&lt;&gt;"",RIGHT($N1077,6)="tarief",F1077="Vergoeding"),SUM(O1077)*FLOOR(SUM(Q1077),0.0001),AND(O1077&lt;&gt;"",F1077&lt;&gt;"",RIGHT($N1077,6)="tarief"),SUM(O1077)*FLOOR(SUM(Q1077),0.01),S1077&gt;0,IF(F1077&lt;&gt;"",FLOOR(SUM(S1077),0.01),"")),""),""),"")</f>
        <v/>
      </c>
      <c r="V1077" s="317" t="str" cm="1">
        <f t="array" aca="1" ref="V1077" ca="1">IFERROR(IF(AA1077&lt;&gt;"ja",_xlfn.IFNA(_xlfn.IFS(AND(P1077&lt;&gt;"",R1077&lt;&gt;"",RIGHT($N1077,6)="tarief",F1077="Vergoeding"),SUM(P1077)*FLOOR(SUM(R1077),0.0001),AND(P1077&lt;&gt;"",R1077&lt;&gt;"",RIGHT($N1077,6)="tarief"),P1077*FLOOR(R1077,0.01),T1077&gt;0,FLOOR(SUM(T1077),0.01)),""),""),"")</f>
        <v/>
      </c>
      <c r="W1077" s="317" t="str" cm="1">
        <f t="array" aca="1" ref="W1077" ca="1">IFERROR(_xlfn.IFS(OR(F1077="",LEFT(Methode_Keuze,4)="Geen",Methode_Keuze=""),"",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17" t="str" cm="1">
        <f t="array" aca="1" ref="X1077" ca="1">IFERROR(_xlfn.IFS(OR(F1077="",LEFT(Methode_Keuze,4)="Geen",Methode_Keuze=""),"",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26"/>
      <c r="Z1077" s="319"/>
      <c r="AA1077" s="32" t="str" cm="1">
        <f t="array" ref="AA1077">IFERROR(IF(INDEX(SubsidieTabel!$AD$1:$AG$12,MATCH($F1077,SubsidieTabel!$AD$1:$AD$12,0),IFERROR(MATCH(Methode_Keuze,SubsidieTabel!$AD$1:$AG$1,0),2))&lt;&gt;1=TRUE,"ja",""),"")</f>
        <v/>
      </c>
    </row>
    <row r="1078" spans="1:27" x14ac:dyDescent="0.25">
      <c r="A1078" s="320"/>
      <c r="B1078" s="321" t="str">
        <f>IF(A1078&lt;&gt;"",_xlfn.MAXIFS($B$1:B1077,$A$1:A1077,A1078)+1,"")</f>
        <v/>
      </c>
      <c r="C1078" s="299"/>
      <c r="D1078" s="299"/>
      <c r="E1078" s="299"/>
      <c r="F1078" s="299"/>
      <c r="G1078" s="330"/>
      <c r="H1078" s="328"/>
      <c r="I1078" s="329"/>
      <c r="J1078" s="329"/>
      <c r="K1078" s="322"/>
      <c r="L1078" s="322"/>
      <c r="M1078" s="323" t="str">
        <f>IFERROR(VLOOKUP(H1078,Lijsten!$H$1:$I$100,2,0),"")</f>
        <v/>
      </c>
      <c r="N1078" s="323" t="str">
        <f ca="1">IFERROR(IF(VLOOKUP(F1078,Kostentypen!$A$3:$E$21,3,0)=0,"",IF(OR(F1078="Arbeidskosten",F1078="Vergoeding"),VLOOKUP(G1078,Tb_KostenTypen[],2,0),VLOOKUP(F1078,Kostentypen!$A$3:$E$20,3,0))),"")</f>
        <v/>
      </c>
      <c r="O1078" s="324"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4"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3"/>
      <c r="R1078" s="363"/>
      <c r="S1078" s="325"/>
      <c r="T1078" s="325"/>
      <c r="U1078" s="317" t="str" cm="1">
        <f t="array" aca="1" ref="U1078" ca="1">IFERROR(IF(AA1078&lt;&gt;"ja",_xlfn.IFNA(_xlfn.IFS(AND(O1078&lt;&gt;"",F1078&lt;&gt;"",RIGHT($N1078,6)="tarief",F1078="Vergoeding"),SUM(O1078)*FLOOR(SUM(Q1078),0.0001),AND(O1078&lt;&gt;"",F1078&lt;&gt;"",RIGHT($N1078,6)="tarief"),SUM(O1078)*FLOOR(SUM(Q1078),0.01),S1078&gt;0,IF(F1078&lt;&gt;"",FLOOR(SUM(S1078),0.01),"")),""),""),"")</f>
        <v/>
      </c>
      <c r="V1078" s="317" t="str" cm="1">
        <f t="array" aca="1" ref="V1078" ca="1">IFERROR(IF(AA1078&lt;&gt;"ja",_xlfn.IFNA(_xlfn.IFS(AND(P1078&lt;&gt;"",R1078&lt;&gt;"",RIGHT($N1078,6)="tarief",F1078="Vergoeding"),SUM(P1078)*FLOOR(SUM(R1078),0.0001),AND(P1078&lt;&gt;"",R1078&lt;&gt;"",RIGHT($N1078,6)="tarief"),P1078*FLOOR(R1078,0.01),T1078&gt;0,FLOOR(SUM(T1078),0.01)),""),""),"")</f>
        <v/>
      </c>
      <c r="W1078" s="317" t="str" cm="1">
        <f t="array" aca="1" ref="W1078" ca="1">IFERROR(_xlfn.IFS(OR(F1078="",LEFT(Methode_Keuze,4)="Geen",Methode_Keuze=""),"",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17" t="str" cm="1">
        <f t="array" aca="1" ref="X1078" ca="1">IFERROR(_xlfn.IFS(OR(F1078="",LEFT(Methode_Keuze,4)="Geen",Methode_Keuze=""),"",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26"/>
      <c r="Z1078" s="319"/>
      <c r="AA1078" s="32" t="str" cm="1">
        <f t="array" ref="AA1078">IFERROR(IF(INDEX(SubsidieTabel!$AD$1:$AG$12,MATCH($F1078,SubsidieTabel!$AD$1:$AD$12,0),IFERROR(MATCH(Methode_Keuze,SubsidieTabel!$AD$1:$AG$1,0),2))&lt;&gt;1=TRUE,"ja",""),"")</f>
        <v/>
      </c>
    </row>
    <row r="1079" spans="1:27" x14ac:dyDescent="0.25">
      <c r="A1079" s="320"/>
      <c r="B1079" s="321" t="str">
        <f>IF(A1079&lt;&gt;"",_xlfn.MAXIFS($B$1:B1078,$A$1:A1078,A1079)+1,"")</f>
        <v/>
      </c>
      <c r="C1079" s="299"/>
      <c r="D1079" s="299"/>
      <c r="E1079" s="299"/>
      <c r="F1079" s="299"/>
      <c r="G1079" s="330"/>
      <c r="H1079" s="328"/>
      <c r="I1079" s="329"/>
      <c r="J1079" s="329"/>
      <c r="K1079" s="322"/>
      <c r="L1079" s="322"/>
      <c r="M1079" s="323" t="str">
        <f>IFERROR(VLOOKUP(H1079,Lijsten!$H$1:$I$100,2,0),"")</f>
        <v/>
      </c>
      <c r="N1079" s="323" t="str">
        <f ca="1">IFERROR(IF(VLOOKUP(F1079,Kostentypen!$A$3:$E$21,3,0)=0,"",IF(OR(F1079="Arbeidskosten",F1079="Vergoeding"),VLOOKUP(G1079,Tb_KostenTypen[],2,0),VLOOKUP(F1079,Kostentypen!$A$3:$E$20,3,0))),"")</f>
        <v/>
      </c>
      <c r="O1079" s="324"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4"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3"/>
      <c r="R1079" s="363"/>
      <c r="S1079" s="325"/>
      <c r="T1079" s="325"/>
      <c r="U1079" s="317" t="str" cm="1">
        <f t="array" aca="1" ref="U1079" ca="1">IFERROR(IF(AA1079&lt;&gt;"ja",_xlfn.IFNA(_xlfn.IFS(AND(O1079&lt;&gt;"",F1079&lt;&gt;"",RIGHT($N1079,6)="tarief",F1079="Vergoeding"),SUM(O1079)*FLOOR(SUM(Q1079),0.0001),AND(O1079&lt;&gt;"",F1079&lt;&gt;"",RIGHT($N1079,6)="tarief"),SUM(O1079)*FLOOR(SUM(Q1079),0.01),S1079&gt;0,IF(F1079&lt;&gt;"",FLOOR(SUM(S1079),0.01),"")),""),""),"")</f>
        <v/>
      </c>
      <c r="V1079" s="317" t="str" cm="1">
        <f t="array" aca="1" ref="V1079" ca="1">IFERROR(IF(AA1079&lt;&gt;"ja",_xlfn.IFNA(_xlfn.IFS(AND(P1079&lt;&gt;"",R1079&lt;&gt;"",RIGHT($N1079,6)="tarief",F1079="Vergoeding"),SUM(P1079)*FLOOR(SUM(R1079),0.0001),AND(P1079&lt;&gt;"",R1079&lt;&gt;"",RIGHT($N1079,6)="tarief"),P1079*FLOOR(R1079,0.01),T1079&gt;0,FLOOR(SUM(T1079),0.01)),""),""),"")</f>
        <v/>
      </c>
      <c r="W1079" s="317" t="str" cm="1">
        <f t="array" aca="1" ref="W1079" ca="1">IFERROR(_xlfn.IFS(OR(F1079="",LEFT(Methode_Keuze,4)="Geen",Methode_Keuze=""),"",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17" t="str" cm="1">
        <f t="array" aca="1" ref="X1079" ca="1">IFERROR(_xlfn.IFS(OR(F1079="",LEFT(Methode_Keuze,4)="Geen",Methode_Keuze=""),"",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26"/>
      <c r="Z1079" s="319"/>
      <c r="AA1079" s="32" t="str" cm="1">
        <f t="array" ref="AA1079">IFERROR(IF(INDEX(SubsidieTabel!$AD$1:$AG$12,MATCH($F1079,SubsidieTabel!$AD$1:$AD$12,0),IFERROR(MATCH(Methode_Keuze,SubsidieTabel!$AD$1:$AG$1,0),2))&lt;&gt;1=TRUE,"ja",""),"")</f>
        <v/>
      </c>
    </row>
    <row r="1080" spans="1:27" x14ac:dyDescent="0.25">
      <c r="A1080" s="320"/>
      <c r="B1080" s="321" t="str">
        <f>IF(A1080&lt;&gt;"",_xlfn.MAXIFS($B$1:B1079,$A$1:A1079,A1080)+1,"")</f>
        <v/>
      </c>
      <c r="C1080" s="299"/>
      <c r="D1080" s="299"/>
      <c r="E1080" s="299"/>
      <c r="F1080" s="299"/>
      <c r="G1080" s="330"/>
      <c r="H1080" s="328"/>
      <c r="I1080" s="329"/>
      <c r="J1080" s="329"/>
      <c r="K1080" s="322"/>
      <c r="L1080" s="322"/>
      <c r="M1080" s="323" t="str">
        <f>IFERROR(VLOOKUP(H1080,Lijsten!$H$1:$I$100,2,0),"")</f>
        <v/>
      </c>
      <c r="N1080" s="323" t="str">
        <f ca="1">IFERROR(IF(VLOOKUP(F1080,Kostentypen!$A$3:$E$21,3,0)=0,"",IF(OR(F1080="Arbeidskosten",F1080="Vergoeding"),VLOOKUP(G1080,Tb_KostenTypen[],2,0),VLOOKUP(F1080,Kostentypen!$A$3:$E$20,3,0))),"")</f>
        <v/>
      </c>
      <c r="O1080" s="324"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4"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3"/>
      <c r="R1080" s="363"/>
      <c r="S1080" s="325"/>
      <c r="T1080" s="325"/>
      <c r="U1080" s="317" t="str" cm="1">
        <f t="array" aca="1" ref="U1080" ca="1">IFERROR(IF(AA1080&lt;&gt;"ja",_xlfn.IFNA(_xlfn.IFS(AND(O1080&lt;&gt;"",F1080&lt;&gt;"",RIGHT($N1080,6)="tarief",F1080="Vergoeding"),SUM(O1080)*FLOOR(SUM(Q1080),0.0001),AND(O1080&lt;&gt;"",F1080&lt;&gt;"",RIGHT($N1080,6)="tarief"),SUM(O1080)*FLOOR(SUM(Q1080),0.01),S1080&gt;0,IF(F1080&lt;&gt;"",FLOOR(SUM(S1080),0.01),"")),""),""),"")</f>
        <v/>
      </c>
      <c r="V1080" s="317" t="str" cm="1">
        <f t="array" aca="1" ref="V1080" ca="1">IFERROR(IF(AA1080&lt;&gt;"ja",_xlfn.IFNA(_xlfn.IFS(AND(P1080&lt;&gt;"",R1080&lt;&gt;"",RIGHT($N1080,6)="tarief",F1080="Vergoeding"),SUM(P1080)*FLOOR(SUM(R1080),0.0001),AND(P1080&lt;&gt;"",R1080&lt;&gt;"",RIGHT($N1080,6)="tarief"),P1080*FLOOR(R1080,0.01),T1080&gt;0,FLOOR(SUM(T1080),0.01)),""),""),"")</f>
        <v/>
      </c>
      <c r="W1080" s="317" t="str" cm="1">
        <f t="array" aca="1" ref="W1080" ca="1">IFERROR(_xlfn.IFS(OR(F1080="",LEFT(Methode_Keuze,4)="Geen",Methode_Keuze=""),"",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17" t="str" cm="1">
        <f t="array" aca="1" ref="X1080" ca="1">IFERROR(_xlfn.IFS(OR(F1080="",LEFT(Methode_Keuze,4)="Geen",Methode_Keuze=""),"",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26"/>
      <c r="Z1080" s="319"/>
      <c r="AA1080" s="32" t="str" cm="1">
        <f t="array" ref="AA1080">IFERROR(IF(INDEX(SubsidieTabel!$AD$1:$AG$12,MATCH($F1080,SubsidieTabel!$AD$1:$AD$12,0),IFERROR(MATCH(Methode_Keuze,SubsidieTabel!$AD$1:$AG$1,0),2))&lt;&gt;1=TRUE,"ja",""),"")</f>
        <v/>
      </c>
    </row>
    <row r="1081" spans="1:27" x14ac:dyDescent="0.25">
      <c r="A1081" s="320"/>
      <c r="B1081" s="321" t="str">
        <f>IF(A1081&lt;&gt;"",_xlfn.MAXIFS($B$1:B1080,$A$1:A1080,A1081)+1,"")</f>
        <v/>
      </c>
      <c r="C1081" s="299"/>
      <c r="D1081" s="299"/>
      <c r="E1081" s="299"/>
      <c r="F1081" s="299"/>
      <c r="G1081" s="330"/>
      <c r="H1081" s="328"/>
      <c r="I1081" s="329"/>
      <c r="J1081" s="329"/>
      <c r="K1081" s="322"/>
      <c r="L1081" s="322"/>
      <c r="M1081" s="323" t="str">
        <f>IFERROR(VLOOKUP(H1081,Lijsten!$H$1:$I$100,2,0),"")</f>
        <v/>
      </c>
      <c r="N1081" s="323" t="str">
        <f ca="1">IFERROR(IF(VLOOKUP(F1081,Kostentypen!$A$3:$E$21,3,0)=0,"",IF(OR(F1081="Arbeidskosten",F1081="Vergoeding"),VLOOKUP(G1081,Tb_KostenTypen[],2,0),VLOOKUP(F1081,Kostentypen!$A$3:$E$20,3,0))),"")</f>
        <v/>
      </c>
      <c r="O1081" s="324"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4"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3"/>
      <c r="R1081" s="363"/>
      <c r="S1081" s="325"/>
      <c r="T1081" s="325"/>
      <c r="U1081" s="317" t="str" cm="1">
        <f t="array" aca="1" ref="U1081" ca="1">IFERROR(IF(AA1081&lt;&gt;"ja",_xlfn.IFNA(_xlfn.IFS(AND(O1081&lt;&gt;"",F1081&lt;&gt;"",RIGHT($N1081,6)="tarief",F1081="Vergoeding"),SUM(O1081)*FLOOR(SUM(Q1081),0.0001),AND(O1081&lt;&gt;"",F1081&lt;&gt;"",RIGHT($N1081,6)="tarief"),SUM(O1081)*FLOOR(SUM(Q1081),0.01),S1081&gt;0,IF(F1081&lt;&gt;"",FLOOR(SUM(S1081),0.01),"")),""),""),"")</f>
        <v/>
      </c>
      <c r="V1081" s="317" t="str" cm="1">
        <f t="array" aca="1" ref="V1081" ca="1">IFERROR(IF(AA1081&lt;&gt;"ja",_xlfn.IFNA(_xlfn.IFS(AND(P1081&lt;&gt;"",R1081&lt;&gt;"",RIGHT($N1081,6)="tarief",F1081="Vergoeding"),SUM(P1081)*FLOOR(SUM(R1081),0.0001),AND(P1081&lt;&gt;"",R1081&lt;&gt;"",RIGHT($N1081,6)="tarief"),P1081*FLOOR(R1081,0.01),T1081&gt;0,FLOOR(SUM(T1081),0.01)),""),""),"")</f>
        <v/>
      </c>
      <c r="W1081" s="317" t="str" cm="1">
        <f t="array" aca="1" ref="W1081" ca="1">IFERROR(_xlfn.IFS(OR(F1081="",LEFT(Methode_Keuze,4)="Geen",Methode_Keuze=""),"",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17" t="str" cm="1">
        <f t="array" aca="1" ref="X1081" ca="1">IFERROR(_xlfn.IFS(OR(F1081="",LEFT(Methode_Keuze,4)="Geen",Methode_Keuze=""),"",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26"/>
      <c r="Z1081" s="319"/>
      <c r="AA1081" s="32" t="str" cm="1">
        <f t="array" ref="AA1081">IFERROR(IF(INDEX(SubsidieTabel!$AD$1:$AG$12,MATCH($F1081,SubsidieTabel!$AD$1:$AD$12,0),IFERROR(MATCH(Methode_Keuze,SubsidieTabel!$AD$1:$AG$1,0),2))&lt;&gt;1=TRUE,"ja",""),"")</f>
        <v/>
      </c>
    </row>
    <row r="1082" spans="1:27" x14ac:dyDescent="0.25">
      <c r="A1082" s="320"/>
      <c r="B1082" s="321" t="str">
        <f>IF(A1082&lt;&gt;"",_xlfn.MAXIFS($B$1:B1081,$A$1:A1081,A1082)+1,"")</f>
        <v/>
      </c>
      <c r="C1082" s="299"/>
      <c r="D1082" s="299"/>
      <c r="E1082" s="299"/>
      <c r="F1082" s="299"/>
      <c r="G1082" s="330"/>
      <c r="H1082" s="328"/>
      <c r="I1082" s="329"/>
      <c r="J1082" s="329"/>
      <c r="K1082" s="322"/>
      <c r="L1082" s="322"/>
      <c r="M1082" s="323" t="str">
        <f>IFERROR(VLOOKUP(H1082,Lijsten!$H$1:$I$100,2,0),"")</f>
        <v/>
      </c>
      <c r="N1082" s="323" t="str">
        <f ca="1">IFERROR(IF(VLOOKUP(F1082,Kostentypen!$A$3:$E$21,3,0)=0,"",IF(OR(F1082="Arbeidskosten",F1082="Vergoeding"),VLOOKUP(G1082,Tb_KostenTypen[],2,0),VLOOKUP(F1082,Kostentypen!$A$3:$E$20,3,0))),"")</f>
        <v/>
      </c>
      <c r="O1082" s="324"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4"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3"/>
      <c r="R1082" s="363"/>
      <c r="S1082" s="325"/>
      <c r="T1082" s="325"/>
      <c r="U1082" s="317" t="str" cm="1">
        <f t="array" aca="1" ref="U1082" ca="1">IFERROR(IF(AA1082&lt;&gt;"ja",_xlfn.IFNA(_xlfn.IFS(AND(O1082&lt;&gt;"",F1082&lt;&gt;"",RIGHT($N1082,6)="tarief",F1082="Vergoeding"),SUM(O1082)*FLOOR(SUM(Q1082),0.0001),AND(O1082&lt;&gt;"",F1082&lt;&gt;"",RIGHT($N1082,6)="tarief"),SUM(O1082)*FLOOR(SUM(Q1082),0.01),S1082&gt;0,IF(F1082&lt;&gt;"",FLOOR(SUM(S1082),0.01),"")),""),""),"")</f>
        <v/>
      </c>
      <c r="V1082" s="317" t="str" cm="1">
        <f t="array" aca="1" ref="V1082" ca="1">IFERROR(IF(AA1082&lt;&gt;"ja",_xlfn.IFNA(_xlfn.IFS(AND(P1082&lt;&gt;"",R1082&lt;&gt;"",RIGHT($N1082,6)="tarief",F1082="Vergoeding"),SUM(P1082)*FLOOR(SUM(R1082),0.0001),AND(P1082&lt;&gt;"",R1082&lt;&gt;"",RIGHT($N1082,6)="tarief"),P1082*FLOOR(R1082,0.01),T1082&gt;0,FLOOR(SUM(T1082),0.01)),""),""),"")</f>
        <v/>
      </c>
      <c r="W1082" s="317" t="str" cm="1">
        <f t="array" aca="1" ref="W1082" ca="1">IFERROR(_xlfn.IFS(OR(F1082="",LEFT(Methode_Keuze,4)="Geen",Methode_Keuze=""),"",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17" t="str" cm="1">
        <f t="array" aca="1" ref="X1082" ca="1">IFERROR(_xlfn.IFS(OR(F1082="",LEFT(Methode_Keuze,4)="Geen",Methode_Keuze=""),"",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26"/>
      <c r="Z1082" s="319"/>
      <c r="AA1082" s="32" t="str" cm="1">
        <f t="array" ref="AA1082">IFERROR(IF(INDEX(SubsidieTabel!$AD$1:$AG$12,MATCH($F1082,SubsidieTabel!$AD$1:$AD$12,0),IFERROR(MATCH(Methode_Keuze,SubsidieTabel!$AD$1:$AG$1,0),2))&lt;&gt;1=TRUE,"ja",""),"")</f>
        <v/>
      </c>
    </row>
    <row r="1083" spans="1:27" x14ac:dyDescent="0.25">
      <c r="A1083" s="320"/>
      <c r="B1083" s="321" t="str">
        <f>IF(A1083&lt;&gt;"",_xlfn.MAXIFS($B$1:B1082,$A$1:A1082,A1083)+1,"")</f>
        <v/>
      </c>
      <c r="C1083" s="299"/>
      <c r="D1083" s="299"/>
      <c r="E1083" s="299"/>
      <c r="F1083" s="299"/>
      <c r="G1083" s="330"/>
      <c r="H1083" s="328"/>
      <c r="I1083" s="329"/>
      <c r="J1083" s="329"/>
      <c r="K1083" s="322"/>
      <c r="L1083" s="322"/>
      <c r="M1083" s="323" t="str">
        <f>IFERROR(VLOOKUP(H1083,Lijsten!$H$1:$I$100,2,0),"")</f>
        <v/>
      </c>
      <c r="N1083" s="323" t="str">
        <f ca="1">IFERROR(IF(VLOOKUP(F1083,Kostentypen!$A$3:$E$21,3,0)=0,"",IF(OR(F1083="Arbeidskosten",F1083="Vergoeding"),VLOOKUP(G1083,Tb_KostenTypen[],2,0),VLOOKUP(F1083,Kostentypen!$A$3:$E$20,3,0))),"")</f>
        <v/>
      </c>
      <c r="O1083" s="324"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4"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3"/>
      <c r="R1083" s="363"/>
      <c r="S1083" s="325"/>
      <c r="T1083" s="325"/>
      <c r="U1083" s="317" t="str" cm="1">
        <f t="array" aca="1" ref="U1083" ca="1">IFERROR(IF(AA1083&lt;&gt;"ja",_xlfn.IFNA(_xlfn.IFS(AND(O1083&lt;&gt;"",F1083&lt;&gt;"",RIGHT($N1083,6)="tarief",F1083="Vergoeding"),SUM(O1083)*FLOOR(SUM(Q1083),0.0001),AND(O1083&lt;&gt;"",F1083&lt;&gt;"",RIGHT($N1083,6)="tarief"),SUM(O1083)*FLOOR(SUM(Q1083),0.01),S1083&gt;0,IF(F1083&lt;&gt;"",FLOOR(SUM(S1083),0.01),"")),""),""),"")</f>
        <v/>
      </c>
      <c r="V1083" s="317" t="str" cm="1">
        <f t="array" aca="1" ref="V1083" ca="1">IFERROR(IF(AA1083&lt;&gt;"ja",_xlfn.IFNA(_xlfn.IFS(AND(P1083&lt;&gt;"",R1083&lt;&gt;"",RIGHT($N1083,6)="tarief",F1083="Vergoeding"),SUM(P1083)*FLOOR(SUM(R1083),0.0001),AND(P1083&lt;&gt;"",R1083&lt;&gt;"",RIGHT($N1083,6)="tarief"),P1083*FLOOR(R1083,0.01),T1083&gt;0,FLOOR(SUM(T1083),0.01)),""),""),"")</f>
        <v/>
      </c>
      <c r="W1083" s="317" t="str" cm="1">
        <f t="array" aca="1" ref="W1083" ca="1">IFERROR(_xlfn.IFS(OR(F1083="",LEFT(Methode_Keuze,4)="Geen",Methode_Keuze=""),"",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17" t="str" cm="1">
        <f t="array" aca="1" ref="X1083" ca="1">IFERROR(_xlfn.IFS(OR(F1083="",LEFT(Methode_Keuze,4)="Geen",Methode_Keuze=""),"",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26"/>
      <c r="Z1083" s="319"/>
      <c r="AA1083" s="32" t="str" cm="1">
        <f t="array" ref="AA1083">IFERROR(IF(INDEX(SubsidieTabel!$AD$1:$AG$12,MATCH($F1083,SubsidieTabel!$AD$1:$AD$12,0),IFERROR(MATCH(Methode_Keuze,SubsidieTabel!$AD$1:$AG$1,0),2))&lt;&gt;1=TRUE,"ja",""),"")</f>
        <v/>
      </c>
    </row>
    <row r="1084" spans="1:27" x14ac:dyDescent="0.25">
      <c r="A1084" s="320"/>
      <c r="B1084" s="321" t="str">
        <f>IF(A1084&lt;&gt;"",_xlfn.MAXIFS($B$1:B1083,$A$1:A1083,A1084)+1,"")</f>
        <v/>
      </c>
      <c r="C1084" s="299"/>
      <c r="D1084" s="299"/>
      <c r="E1084" s="299"/>
      <c r="F1084" s="299"/>
      <c r="G1084" s="330"/>
      <c r="H1084" s="328"/>
      <c r="I1084" s="329"/>
      <c r="J1084" s="329"/>
      <c r="K1084" s="322"/>
      <c r="L1084" s="322"/>
      <c r="M1084" s="323" t="str">
        <f>IFERROR(VLOOKUP(H1084,Lijsten!$H$1:$I$100,2,0),"")</f>
        <v/>
      </c>
      <c r="N1084" s="323" t="str">
        <f ca="1">IFERROR(IF(VLOOKUP(F1084,Kostentypen!$A$3:$E$21,3,0)=0,"",IF(OR(F1084="Arbeidskosten",F1084="Vergoeding"),VLOOKUP(G1084,Tb_KostenTypen[],2,0),VLOOKUP(F1084,Kostentypen!$A$3:$E$20,3,0))),"")</f>
        <v/>
      </c>
      <c r="O1084" s="324"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4"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3"/>
      <c r="R1084" s="363"/>
      <c r="S1084" s="325"/>
      <c r="T1084" s="325"/>
      <c r="U1084" s="317" t="str" cm="1">
        <f t="array" aca="1" ref="U1084" ca="1">IFERROR(IF(AA1084&lt;&gt;"ja",_xlfn.IFNA(_xlfn.IFS(AND(O1084&lt;&gt;"",F1084&lt;&gt;"",RIGHT($N1084,6)="tarief",F1084="Vergoeding"),SUM(O1084)*FLOOR(SUM(Q1084),0.0001),AND(O1084&lt;&gt;"",F1084&lt;&gt;"",RIGHT($N1084,6)="tarief"),SUM(O1084)*FLOOR(SUM(Q1084),0.01),S1084&gt;0,IF(F1084&lt;&gt;"",FLOOR(SUM(S1084),0.01),"")),""),""),"")</f>
        <v/>
      </c>
      <c r="V1084" s="317" t="str" cm="1">
        <f t="array" aca="1" ref="V1084" ca="1">IFERROR(IF(AA1084&lt;&gt;"ja",_xlfn.IFNA(_xlfn.IFS(AND(P1084&lt;&gt;"",R1084&lt;&gt;"",RIGHT($N1084,6)="tarief",F1084="Vergoeding"),SUM(P1084)*FLOOR(SUM(R1084),0.0001),AND(P1084&lt;&gt;"",R1084&lt;&gt;"",RIGHT($N1084,6)="tarief"),P1084*FLOOR(R1084,0.01),T1084&gt;0,FLOOR(SUM(T1084),0.01)),""),""),"")</f>
        <v/>
      </c>
      <c r="W1084" s="317" t="str" cm="1">
        <f t="array" aca="1" ref="W1084" ca="1">IFERROR(_xlfn.IFS(OR(F1084="",LEFT(Methode_Keuze,4)="Geen",Methode_Keuze=""),"",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17" t="str" cm="1">
        <f t="array" aca="1" ref="X1084" ca="1">IFERROR(_xlfn.IFS(OR(F1084="",LEFT(Methode_Keuze,4)="Geen",Methode_Keuze=""),"",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26"/>
      <c r="Z1084" s="319"/>
      <c r="AA1084" s="32" t="str" cm="1">
        <f t="array" ref="AA1084">IFERROR(IF(INDEX(SubsidieTabel!$AD$1:$AG$12,MATCH($F1084,SubsidieTabel!$AD$1:$AD$12,0),IFERROR(MATCH(Methode_Keuze,SubsidieTabel!$AD$1:$AG$1,0),2))&lt;&gt;1=TRUE,"ja",""),"")</f>
        <v/>
      </c>
    </row>
    <row r="1085" spans="1:27" x14ac:dyDescent="0.25">
      <c r="A1085" s="320"/>
      <c r="B1085" s="321" t="str">
        <f>IF(A1085&lt;&gt;"",_xlfn.MAXIFS($B$1:B1084,$A$1:A1084,A1085)+1,"")</f>
        <v/>
      </c>
      <c r="C1085" s="299"/>
      <c r="D1085" s="299"/>
      <c r="E1085" s="299"/>
      <c r="F1085" s="299"/>
      <c r="G1085" s="330"/>
      <c r="H1085" s="328"/>
      <c r="I1085" s="329"/>
      <c r="J1085" s="329"/>
      <c r="K1085" s="322"/>
      <c r="L1085" s="322"/>
      <c r="M1085" s="323" t="str">
        <f>IFERROR(VLOOKUP(H1085,Lijsten!$H$1:$I$100,2,0),"")</f>
        <v/>
      </c>
      <c r="N1085" s="323" t="str">
        <f ca="1">IFERROR(IF(VLOOKUP(F1085,Kostentypen!$A$3:$E$21,3,0)=0,"",IF(OR(F1085="Arbeidskosten",F1085="Vergoeding"),VLOOKUP(G1085,Tb_KostenTypen[],2,0),VLOOKUP(F1085,Kostentypen!$A$3:$E$20,3,0))),"")</f>
        <v/>
      </c>
      <c r="O1085" s="324"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4"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3"/>
      <c r="R1085" s="363"/>
      <c r="S1085" s="325"/>
      <c r="T1085" s="325"/>
      <c r="U1085" s="317" t="str" cm="1">
        <f t="array" aca="1" ref="U1085" ca="1">IFERROR(IF(AA1085&lt;&gt;"ja",_xlfn.IFNA(_xlfn.IFS(AND(O1085&lt;&gt;"",F1085&lt;&gt;"",RIGHT($N1085,6)="tarief",F1085="Vergoeding"),SUM(O1085)*FLOOR(SUM(Q1085),0.0001),AND(O1085&lt;&gt;"",F1085&lt;&gt;"",RIGHT($N1085,6)="tarief"),SUM(O1085)*FLOOR(SUM(Q1085),0.01),S1085&gt;0,IF(F1085&lt;&gt;"",FLOOR(SUM(S1085),0.01),"")),""),""),"")</f>
        <v/>
      </c>
      <c r="V1085" s="317" t="str" cm="1">
        <f t="array" aca="1" ref="V1085" ca="1">IFERROR(IF(AA1085&lt;&gt;"ja",_xlfn.IFNA(_xlfn.IFS(AND(P1085&lt;&gt;"",R1085&lt;&gt;"",RIGHT($N1085,6)="tarief",F1085="Vergoeding"),SUM(P1085)*FLOOR(SUM(R1085),0.0001),AND(P1085&lt;&gt;"",R1085&lt;&gt;"",RIGHT($N1085,6)="tarief"),P1085*FLOOR(R1085,0.01),T1085&gt;0,FLOOR(SUM(T1085),0.01)),""),""),"")</f>
        <v/>
      </c>
      <c r="W1085" s="317" t="str" cm="1">
        <f t="array" aca="1" ref="W1085" ca="1">IFERROR(_xlfn.IFS(OR(F1085="",LEFT(Methode_Keuze,4)="Geen",Methode_Keuze=""),"",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17" t="str" cm="1">
        <f t="array" aca="1" ref="X1085" ca="1">IFERROR(_xlfn.IFS(OR(F1085="",LEFT(Methode_Keuze,4)="Geen",Methode_Keuze=""),"",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26"/>
      <c r="Z1085" s="319"/>
      <c r="AA1085" s="32" t="str" cm="1">
        <f t="array" ref="AA1085">IFERROR(IF(INDEX(SubsidieTabel!$AD$1:$AG$12,MATCH($F1085,SubsidieTabel!$AD$1:$AD$12,0),IFERROR(MATCH(Methode_Keuze,SubsidieTabel!$AD$1:$AG$1,0),2))&lt;&gt;1=TRUE,"ja",""),"")</f>
        <v/>
      </c>
    </row>
    <row r="1086" spans="1:27" x14ac:dyDescent="0.25">
      <c r="A1086" s="320"/>
      <c r="B1086" s="321" t="str">
        <f>IF(A1086&lt;&gt;"",_xlfn.MAXIFS($B$1:B1085,$A$1:A1085,A1086)+1,"")</f>
        <v/>
      </c>
      <c r="C1086" s="299"/>
      <c r="D1086" s="299"/>
      <c r="E1086" s="299"/>
      <c r="F1086" s="299"/>
      <c r="G1086" s="330"/>
      <c r="H1086" s="328"/>
      <c r="I1086" s="329"/>
      <c r="J1086" s="329"/>
      <c r="K1086" s="322"/>
      <c r="L1086" s="322"/>
      <c r="M1086" s="323" t="str">
        <f>IFERROR(VLOOKUP(H1086,Lijsten!$H$1:$I$100,2,0),"")</f>
        <v/>
      </c>
      <c r="N1086" s="323" t="str">
        <f ca="1">IFERROR(IF(VLOOKUP(F1086,Kostentypen!$A$3:$E$21,3,0)=0,"",IF(OR(F1086="Arbeidskosten",F1086="Vergoeding"),VLOOKUP(G1086,Tb_KostenTypen[],2,0),VLOOKUP(F1086,Kostentypen!$A$3:$E$20,3,0))),"")</f>
        <v/>
      </c>
      <c r="O1086" s="324"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4"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3"/>
      <c r="R1086" s="363"/>
      <c r="S1086" s="325"/>
      <c r="T1086" s="325"/>
      <c r="U1086" s="317" t="str" cm="1">
        <f t="array" aca="1" ref="U1086" ca="1">IFERROR(IF(AA1086&lt;&gt;"ja",_xlfn.IFNA(_xlfn.IFS(AND(O1086&lt;&gt;"",F1086&lt;&gt;"",RIGHT($N1086,6)="tarief",F1086="Vergoeding"),SUM(O1086)*FLOOR(SUM(Q1086),0.0001),AND(O1086&lt;&gt;"",F1086&lt;&gt;"",RIGHT($N1086,6)="tarief"),SUM(O1086)*FLOOR(SUM(Q1086),0.01),S1086&gt;0,IF(F1086&lt;&gt;"",FLOOR(SUM(S1086),0.01),"")),""),""),"")</f>
        <v/>
      </c>
      <c r="V1086" s="317" t="str" cm="1">
        <f t="array" aca="1" ref="V1086" ca="1">IFERROR(IF(AA1086&lt;&gt;"ja",_xlfn.IFNA(_xlfn.IFS(AND(P1086&lt;&gt;"",R1086&lt;&gt;"",RIGHT($N1086,6)="tarief",F1086="Vergoeding"),SUM(P1086)*FLOOR(SUM(R1086),0.0001),AND(P1086&lt;&gt;"",R1086&lt;&gt;"",RIGHT($N1086,6)="tarief"),P1086*FLOOR(R1086,0.01),T1086&gt;0,FLOOR(SUM(T1086),0.01)),""),""),"")</f>
        <v/>
      </c>
      <c r="W1086" s="317" t="str" cm="1">
        <f t="array" aca="1" ref="W1086" ca="1">IFERROR(_xlfn.IFS(OR(F1086="",LEFT(Methode_Keuze,4)="Geen",Methode_Keuze=""),"",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17" t="str" cm="1">
        <f t="array" aca="1" ref="X1086" ca="1">IFERROR(_xlfn.IFS(OR(F1086="",LEFT(Methode_Keuze,4)="Geen",Methode_Keuze=""),"",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26"/>
      <c r="Z1086" s="319"/>
      <c r="AA1086" s="32" t="str" cm="1">
        <f t="array" ref="AA1086">IFERROR(IF(INDEX(SubsidieTabel!$AD$1:$AG$12,MATCH($F1086,SubsidieTabel!$AD$1:$AD$12,0),IFERROR(MATCH(Methode_Keuze,SubsidieTabel!$AD$1:$AG$1,0),2))&lt;&gt;1=TRUE,"ja",""),"")</f>
        <v/>
      </c>
    </row>
    <row r="1087" spans="1:27" x14ac:dyDescent="0.25">
      <c r="A1087" s="320"/>
      <c r="B1087" s="321" t="str">
        <f>IF(A1087&lt;&gt;"",_xlfn.MAXIFS($B$1:B1086,$A$1:A1086,A1087)+1,"")</f>
        <v/>
      </c>
      <c r="C1087" s="299"/>
      <c r="D1087" s="299"/>
      <c r="E1087" s="299"/>
      <c r="F1087" s="299"/>
      <c r="G1087" s="330"/>
      <c r="H1087" s="328"/>
      <c r="I1087" s="329"/>
      <c r="J1087" s="329"/>
      <c r="K1087" s="322"/>
      <c r="L1087" s="322"/>
      <c r="M1087" s="323" t="str">
        <f>IFERROR(VLOOKUP(H1087,Lijsten!$H$1:$I$100,2,0),"")</f>
        <v/>
      </c>
      <c r="N1087" s="323" t="str">
        <f ca="1">IFERROR(IF(VLOOKUP(F1087,Kostentypen!$A$3:$E$21,3,0)=0,"",IF(OR(F1087="Arbeidskosten",F1087="Vergoeding"),VLOOKUP(G1087,Tb_KostenTypen[],2,0),VLOOKUP(F1087,Kostentypen!$A$3:$E$20,3,0))),"")</f>
        <v/>
      </c>
      <c r="O1087" s="324"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4"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3"/>
      <c r="R1087" s="363"/>
      <c r="S1087" s="325"/>
      <c r="T1087" s="325"/>
      <c r="U1087" s="317" t="str" cm="1">
        <f t="array" aca="1" ref="U1087" ca="1">IFERROR(IF(AA1087&lt;&gt;"ja",_xlfn.IFNA(_xlfn.IFS(AND(O1087&lt;&gt;"",F1087&lt;&gt;"",RIGHT($N1087,6)="tarief",F1087="Vergoeding"),SUM(O1087)*FLOOR(SUM(Q1087),0.0001),AND(O1087&lt;&gt;"",F1087&lt;&gt;"",RIGHT($N1087,6)="tarief"),SUM(O1087)*FLOOR(SUM(Q1087),0.01),S1087&gt;0,IF(F1087&lt;&gt;"",FLOOR(SUM(S1087),0.01),"")),""),""),"")</f>
        <v/>
      </c>
      <c r="V1087" s="317" t="str" cm="1">
        <f t="array" aca="1" ref="V1087" ca="1">IFERROR(IF(AA1087&lt;&gt;"ja",_xlfn.IFNA(_xlfn.IFS(AND(P1087&lt;&gt;"",R1087&lt;&gt;"",RIGHT($N1087,6)="tarief",F1087="Vergoeding"),SUM(P1087)*FLOOR(SUM(R1087),0.0001),AND(P1087&lt;&gt;"",R1087&lt;&gt;"",RIGHT($N1087,6)="tarief"),P1087*FLOOR(R1087,0.01),T1087&gt;0,FLOOR(SUM(T1087),0.01)),""),""),"")</f>
        <v/>
      </c>
      <c r="W1087" s="317" t="str" cm="1">
        <f t="array" aca="1" ref="W1087" ca="1">IFERROR(_xlfn.IFS(OR(F1087="",LEFT(Methode_Keuze,4)="Geen",Methode_Keuze=""),"",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17" t="str" cm="1">
        <f t="array" aca="1" ref="X1087" ca="1">IFERROR(_xlfn.IFS(OR(F1087="",LEFT(Methode_Keuze,4)="Geen",Methode_Keuze=""),"",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26"/>
      <c r="Z1087" s="319"/>
      <c r="AA1087" s="32" t="str" cm="1">
        <f t="array" ref="AA1087">IFERROR(IF(INDEX(SubsidieTabel!$AD$1:$AG$12,MATCH($F1087,SubsidieTabel!$AD$1:$AD$12,0),IFERROR(MATCH(Methode_Keuze,SubsidieTabel!$AD$1:$AG$1,0),2))&lt;&gt;1=TRUE,"ja",""),"")</f>
        <v/>
      </c>
    </row>
    <row r="1088" spans="1:27" x14ac:dyDescent="0.25">
      <c r="A1088" s="320"/>
      <c r="B1088" s="321" t="str">
        <f>IF(A1088&lt;&gt;"",_xlfn.MAXIFS($B$1:B1087,$A$1:A1087,A1088)+1,"")</f>
        <v/>
      </c>
      <c r="C1088" s="299"/>
      <c r="D1088" s="299"/>
      <c r="E1088" s="299"/>
      <c r="F1088" s="299"/>
      <c r="G1088" s="330"/>
      <c r="H1088" s="328"/>
      <c r="I1088" s="329"/>
      <c r="J1088" s="329"/>
      <c r="K1088" s="322"/>
      <c r="L1088" s="322"/>
      <c r="M1088" s="323" t="str">
        <f>IFERROR(VLOOKUP(H1088,Lijsten!$H$1:$I$100,2,0),"")</f>
        <v/>
      </c>
      <c r="N1088" s="323" t="str">
        <f ca="1">IFERROR(IF(VLOOKUP(F1088,Kostentypen!$A$3:$E$21,3,0)=0,"",IF(OR(F1088="Arbeidskosten",F1088="Vergoeding"),VLOOKUP(G1088,Tb_KostenTypen[],2,0),VLOOKUP(F1088,Kostentypen!$A$3:$E$20,3,0))),"")</f>
        <v/>
      </c>
      <c r="O1088" s="324"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4"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3"/>
      <c r="R1088" s="363"/>
      <c r="S1088" s="325"/>
      <c r="T1088" s="325"/>
      <c r="U1088" s="317" t="str" cm="1">
        <f t="array" aca="1" ref="U1088" ca="1">IFERROR(IF(AA1088&lt;&gt;"ja",_xlfn.IFNA(_xlfn.IFS(AND(O1088&lt;&gt;"",F1088&lt;&gt;"",RIGHT($N1088,6)="tarief",F1088="Vergoeding"),SUM(O1088)*FLOOR(SUM(Q1088),0.0001),AND(O1088&lt;&gt;"",F1088&lt;&gt;"",RIGHT($N1088,6)="tarief"),SUM(O1088)*FLOOR(SUM(Q1088),0.01),S1088&gt;0,IF(F1088&lt;&gt;"",FLOOR(SUM(S1088),0.01),"")),""),""),"")</f>
        <v/>
      </c>
      <c r="V1088" s="317" t="str" cm="1">
        <f t="array" aca="1" ref="V1088" ca="1">IFERROR(IF(AA1088&lt;&gt;"ja",_xlfn.IFNA(_xlfn.IFS(AND(P1088&lt;&gt;"",R1088&lt;&gt;"",RIGHT($N1088,6)="tarief",F1088="Vergoeding"),SUM(P1088)*FLOOR(SUM(R1088),0.0001),AND(P1088&lt;&gt;"",R1088&lt;&gt;"",RIGHT($N1088,6)="tarief"),P1088*FLOOR(R1088,0.01),T1088&gt;0,FLOOR(SUM(T1088),0.01)),""),""),"")</f>
        <v/>
      </c>
      <c r="W1088" s="317" t="str" cm="1">
        <f t="array" aca="1" ref="W1088" ca="1">IFERROR(_xlfn.IFS(OR(F1088="",LEFT(Methode_Keuze,4)="Geen",Methode_Keuze=""),"",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17" t="str" cm="1">
        <f t="array" aca="1" ref="X1088" ca="1">IFERROR(_xlfn.IFS(OR(F1088="",LEFT(Methode_Keuze,4)="Geen",Methode_Keuze=""),"",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26"/>
      <c r="Z1088" s="319"/>
      <c r="AA1088" s="32" t="str" cm="1">
        <f t="array" ref="AA1088">IFERROR(IF(INDEX(SubsidieTabel!$AD$1:$AG$12,MATCH($F1088,SubsidieTabel!$AD$1:$AD$12,0),IFERROR(MATCH(Methode_Keuze,SubsidieTabel!$AD$1:$AG$1,0),2))&lt;&gt;1=TRUE,"ja",""),"")</f>
        <v/>
      </c>
    </row>
    <row r="1089" spans="1:27" x14ac:dyDescent="0.25">
      <c r="A1089" s="320"/>
      <c r="B1089" s="321" t="str">
        <f>IF(A1089&lt;&gt;"",_xlfn.MAXIFS($B$1:B1088,$A$1:A1088,A1089)+1,"")</f>
        <v/>
      </c>
      <c r="C1089" s="299"/>
      <c r="D1089" s="299"/>
      <c r="E1089" s="299"/>
      <c r="F1089" s="299"/>
      <c r="G1089" s="330"/>
      <c r="H1089" s="328"/>
      <c r="I1089" s="329"/>
      <c r="J1089" s="329"/>
      <c r="K1089" s="322"/>
      <c r="L1089" s="322"/>
      <c r="M1089" s="323" t="str">
        <f>IFERROR(VLOOKUP(H1089,Lijsten!$H$1:$I$100,2,0),"")</f>
        <v/>
      </c>
      <c r="N1089" s="323" t="str">
        <f ca="1">IFERROR(IF(VLOOKUP(F1089,Kostentypen!$A$3:$E$21,3,0)=0,"",IF(OR(F1089="Arbeidskosten",F1089="Vergoeding"),VLOOKUP(G1089,Tb_KostenTypen[],2,0),VLOOKUP(F1089,Kostentypen!$A$3:$E$20,3,0))),"")</f>
        <v/>
      </c>
      <c r="O1089" s="324"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4"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3"/>
      <c r="R1089" s="363"/>
      <c r="S1089" s="325"/>
      <c r="T1089" s="325"/>
      <c r="U1089" s="317" t="str" cm="1">
        <f t="array" aca="1" ref="U1089" ca="1">IFERROR(IF(AA1089&lt;&gt;"ja",_xlfn.IFNA(_xlfn.IFS(AND(O1089&lt;&gt;"",F1089&lt;&gt;"",RIGHT($N1089,6)="tarief",F1089="Vergoeding"),SUM(O1089)*FLOOR(SUM(Q1089),0.0001),AND(O1089&lt;&gt;"",F1089&lt;&gt;"",RIGHT($N1089,6)="tarief"),SUM(O1089)*FLOOR(SUM(Q1089),0.01),S1089&gt;0,IF(F1089&lt;&gt;"",FLOOR(SUM(S1089),0.01),"")),""),""),"")</f>
        <v/>
      </c>
      <c r="V1089" s="317" t="str" cm="1">
        <f t="array" aca="1" ref="V1089" ca="1">IFERROR(IF(AA1089&lt;&gt;"ja",_xlfn.IFNA(_xlfn.IFS(AND(P1089&lt;&gt;"",R1089&lt;&gt;"",RIGHT($N1089,6)="tarief",F1089="Vergoeding"),SUM(P1089)*FLOOR(SUM(R1089),0.0001),AND(P1089&lt;&gt;"",R1089&lt;&gt;"",RIGHT($N1089,6)="tarief"),P1089*FLOOR(R1089,0.01),T1089&gt;0,FLOOR(SUM(T1089),0.01)),""),""),"")</f>
        <v/>
      </c>
      <c r="W1089" s="317" t="str" cm="1">
        <f t="array" aca="1" ref="W1089" ca="1">IFERROR(_xlfn.IFS(OR(F1089="",LEFT(Methode_Keuze,4)="Geen",Methode_Keuze=""),"",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17" t="str" cm="1">
        <f t="array" aca="1" ref="X1089" ca="1">IFERROR(_xlfn.IFS(OR(F1089="",LEFT(Methode_Keuze,4)="Geen",Methode_Keuze=""),"",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26"/>
      <c r="Z1089" s="319"/>
      <c r="AA1089" s="32" t="str" cm="1">
        <f t="array" ref="AA1089">IFERROR(IF(INDEX(SubsidieTabel!$AD$1:$AG$12,MATCH($F1089,SubsidieTabel!$AD$1:$AD$12,0),IFERROR(MATCH(Methode_Keuze,SubsidieTabel!$AD$1:$AG$1,0),2))&lt;&gt;1=TRUE,"ja",""),"")</f>
        <v/>
      </c>
    </row>
    <row r="1090" spans="1:27" x14ac:dyDescent="0.25">
      <c r="A1090" s="320"/>
      <c r="B1090" s="321" t="str">
        <f>IF(A1090&lt;&gt;"",_xlfn.MAXIFS($B$1:B1089,$A$1:A1089,A1090)+1,"")</f>
        <v/>
      </c>
      <c r="C1090" s="299"/>
      <c r="D1090" s="299"/>
      <c r="E1090" s="299"/>
      <c r="F1090" s="299"/>
      <c r="G1090" s="330"/>
      <c r="H1090" s="328"/>
      <c r="I1090" s="329"/>
      <c r="J1090" s="329"/>
      <c r="K1090" s="322"/>
      <c r="L1090" s="322"/>
      <c r="M1090" s="323" t="str">
        <f>IFERROR(VLOOKUP(H1090,Lijsten!$H$1:$I$100,2,0),"")</f>
        <v/>
      </c>
      <c r="N1090" s="323" t="str">
        <f ca="1">IFERROR(IF(VLOOKUP(F1090,Kostentypen!$A$3:$E$21,3,0)=0,"",IF(OR(F1090="Arbeidskosten",F1090="Vergoeding"),VLOOKUP(G1090,Tb_KostenTypen[],2,0),VLOOKUP(F1090,Kostentypen!$A$3:$E$20,3,0))),"")</f>
        <v/>
      </c>
      <c r="O1090" s="324"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4"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3"/>
      <c r="R1090" s="363"/>
      <c r="S1090" s="325"/>
      <c r="T1090" s="325"/>
      <c r="U1090" s="317" t="str" cm="1">
        <f t="array" aca="1" ref="U1090" ca="1">IFERROR(IF(AA1090&lt;&gt;"ja",_xlfn.IFNA(_xlfn.IFS(AND(O1090&lt;&gt;"",F1090&lt;&gt;"",RIGHT($N1090,6)="tarief",F1090="Vergoeding"),SUM(O1090)*FLOOR(SUM(Q1090),0.0001),AND(O1090&lt;&gt;"",F1090&lt;&gt;"",RIGHT($N1090,6)="tarief"),SUM(O1090)*FLOOR(SUM(Q1090),0.01),S1090&gt;0,IF(F1090&lt;&gt;"",FLOOR(SUM(S1090),0.01),"")),""),""),"")</f>
        <v/>
      </c>
      <c r="V1090" s="317" t="str" cm="1">
        <f t="array" aca="1" ref="V1090" ca="1">IFERROR(IF(AA1090&lt;&gt;"ja",_xlfn.IFNA(_xlfn.IFS(AND(P1090&lt;&gt;"",R1090&lt;&gt;"",RIGHT($N1090,6)="tarief",F1090="Vergoeding"),SUM(P1090)*FLOOR(SUM(R1090),0.0001),AND(P1090&lt;&gt;"",R1090&lt;&gt;"",RIGHT($N1090,6)="tarief"),P1090*FLOOR(R1090,0.01),T1090&gt;0,FLOOR(SUM(T1090),0.01)),""),""),"")</f>
        <v/>
      </c>
      <c r="W1090" s="317" t="str" cm="1">
        <f t="array" aca="1" ref="W1090" ca="1">IFERROR(_xlfn.IFS(OR(F1090="",LEFT(Methode_Keuze,4)="Geen",Methode_Keuze=""),"",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17" t="str" cm="1">
        <f t="array" aca="1" ref="X1090" ca="1">IFERROR(_xlfn.IFS(OR(F1090="",LEFT(Methode_Keuze,4)="Geen",Methode_Keuze=""),"",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26"/>
      <c r="Z1090" s="319"/>
      <c r="AA1090" s="32" t="str" cm="1">
        <f t="array" ref="AA1090">IFERROR(IF(INDEX(SubsidieTabel!$AD$1:$AG$12,MATCH($F1090,SubsidieTabel!$AD$1:$AD$12,0),IFERROR(MATCH(Methode_Keuze,SubsidieTabel!$AD$1:$AG$1,0),2))&lt;&gt;1=TRUE,"ja",""),"")</f>
        <v/>
      </c>
    </row>
    <row r="1091" spans="1:27" x14ac:dyDescent="0.25">
      <c r="A1091" s="320"/>
      <c r="B1091" s="321" t="str">
        <f>IF(A1091&lt;&gt;"",_xlfn.MAXIFS($B$1:B1090,$A$1:A1090,A1091)+1,"")</f>
        <v/>
      </c>
      <c r="C1091" s="299"/>
      <c r="D1091" s="299"/>
      <c r="E1091" s="299"/>
      <c r="F1091" s="299"/>
      <c r="G1091" s="330"/>
      <c r="H1091" s="328"/>
      <c r="I1091" s="329"/>
      <c r="J1091" s="329"/>
      <c r="K1091" s="322"/>
      <c r="L1091" s="322"/>
      <c r="M1091" s="323" t="str">
        <f>IFERROR(VLOOKUP(H1091,Lijsten!$H$1:$I$100,2,0),"")</f>
        <v/>
      </c>
      <c r="N1091" s="323" t="str">
        <f ca="1">IFERROR(IF(VLOOKUP(F1091,Kostentypen!$A$3:$E$21,3,0)=0,"",IF(OR(F1091="Arbeidskosten",F1091="Vergoeding"),VLOOKUP(G1091,Tb_KostenTypen[],2,0),VLOOKUP(F1091,Kostentypen!$A$3:$E$20,3,0))),"")</f>
        <v/>
      </c>
      <c r="O1091" s="324"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4"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3"/>
      <c r="R1091" s="363"/>
      <c r="S1091" s="325"/>
      <c r="T1091" s="325"/>
      <c r="U1091" s="317" t="str" cm="1">
        <f t="array" aca="1" ref="U1091" ca="1">IFERROR(IF(AA1091&lt;&gt;"ja",_xlfn.IFNA(_xlfn.IFS(AND(O1091&lt;&gt;"",F1091&lt;&gt;"",RIGHT($N1091,6)="tarief",F1091="Vergoeding"),SUM(O1091)*FLOOR(SUM(Q1091),0.0001),AND(O1091&lt;&gt;"",F1091&lt;&gt;"",RIGHT($N1091,6)="tarief"),SUM(O1091)*FLOOR(SUM(Q1091),0.01),S1091&gt;0,IF(F1091&lt;&gt;"",FLOOR(SUM(S1091),0.01),"")),""),""),"")</f>
        <v/>
      </c>
      <c r="V1091" s="317" t="str" cm="1">
        <f t="array" aca="1" ref="V1091" ca="1">IFERROR(IF(AA1091&lt;&gt;"ja",_xlfn.IFNA(_xlfn.IFS(AND(P1091&lt;&gt;"",R1091&lt;&gt;"",RIGHT($N1091,6)="tarief",F1091="Vergoeding"),SUM(P1091)*FLOOR(SUM(R1091),0.0001),AND(P1091&lt;&gt;"",R1091&lt;&gt;"",RIGHT($N1091,6)="tarief"),P1091*FLOOR(R1091,0.01),T1091&gt;0,FLOOR(SUM(T1091),0.01)),""),""),"")</f>
        <v/>
      </c>
      <c r="W1091" s="317" t="str" cm="1">
        <f t="array" aca="1" ref="W1091" ca="1">IFERROR(_xlfn.IFS(OR(F1091="",LEFT(Methode_Keuze,4)="Geen",Methode_Keuze=""),"",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17" t="str" cm="1">
        <f t="array" aca="1" ref="X1091" ca="1">IFERROR(_xlfn.IFS(OR(F1091="",LEFT(Methode_Keuze,4)="Geen",Methode_Keuze=""),"",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26"/>
      <c r="Z1091" s="319"/>
      <c r="AA1091" s="32" t="str" cm="1">
        <f t="array" ref="AA1091">IFERROR(IF(INDEX(SubsidieTabel!$AD$1:$AG$12,MATCH($F1091,SubsidieTabel!$AD$1:$AD$12,0),IFERROR(MATCH(Methode_Keuze,SubsidieTabel!$AD$1:$AG$1,0),2))&lt;&gt;1=TRUE,"ja",""),"")</f>
        <v/>
      </c>
    </row>
    <row r="1092" spans="1:27" x14ac:dyDescent="0.25">
      <c r="A1092" s="320"/>
      <c r="B1092" s="321" t="str">
        <f>IF(A1092&lt;&gt;"",_xlfn.MAXIFS($B$1:B1091,$A$1:A1091,A1092)+1,"")</f>
        <v/>
      </c>
      <c r="C1092" s="299"/>
      <c r="D1092" s="299"/>
      <c r="E1092" s="299"/>
      <c r="F1092" s="299"/>
      <c r="G1092" s="330"/>
      <c r="H1092" s="328"/>
      <c r="I1092" s="329"/>
      <c r="J1092" s="329"/>
      <c r="K1092" s="322"/>
      <c r="L1092" s="322"/>
      <c r="M1092" s="323" t="str">
        <f>IFERROR(VLOOKUP(H1092,Lijsten!$H$1:$I$100,2,0),"")</f>
        <v/>
      </c>
      <c r="N1092" s="323" t="str">
        <f ca="1">IFERROR(IF(VLOOKUP(F1092,Kostentypen!$A$3:$E$21,3,0)=0,"",IF(OR(F1092="Arbeidskosten",F1092="Vergoeding"),VLOOKUP(G1092,Tb_KostenTypen[],2,0),VLOOKUP(F1092,Kostentypen!$A$3:$E$20,3,0))),"")</f>
        <v/>
      </c>
      <c r="O1092" s="324"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4"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3"/>
      <c r="R1092" s="363"/>
      <c r="S1092" s="325"/>
      <c r="T1092" s="325"/>
      <c r="U1092" s="317" t="str" cm="1">
        <f t="array" aca="1" ref="U1092" ca="1">IFERROR(IF(AA1092&lt;&gt;"ja",_xlfn.IFNA(_xlfn.IFS(AND(O1092&lt;&gt;"",F1092&lt;&gt;"",RIGHT($N1092,6)="tarief",F1092="Vergoeding"),SUM(O1092)*FLOOR(SUM(Q1092),0.0001),AND(O1092&lt;&gt;"",F1092&lt;&gt;"",RIGHT($N1092,6)="tarief"),SUM(O1092)*FLOOR(SUM(Q1092),0.01),S1092&gt;0,IF(F1092&lt;&gt;"",FLOOR(SUM(S1092),0.01),"")),""),""),"")</f>
        <v/>
      </c>
      <c r="V1092" s="317" t="str" cm="1">
        <f t="array" aca="1" ref="V1092" ca="1">IFERROR(IF(AA1092&lt;&gt;"ja",_xlfn.IFNA(_xlfn.IFS(AND(P1092&lt;&gt;"",R1092&lt;&gt;"",RIGHT($N1092,6)="tarief",F1092="Vergoeding"),SUM(P1092)*FLOOR(SUM(R1092),0.0001),AND(P1092&lt;&gt;"",R1092&lt;&gt;"",RIGHT($N1092,6)="tarief"),P1092*FLOOR(R1092,0.01),T1092&gt;0,FLOOR(SUM(T1092),0.01)),""),""),"")</f>
        <v/>
      </c>
      <c r="W1092" s="317" t="str" cm="1">
        <f t="array" aca="1" ref="W1092" ca="1">IFERROR(_xlfn.IFS(OR(F1092="",LEFT(Methode_Keuze,4)="Geen",Methode_Keuze=""),"",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17" t="str" cm="1">
        <f t="array" aca="1" ref="X1092" ca="1">IFERROR(_xlfn.IFS(OR(F1092="",LEFT(Methode_Keuze,4)="Geen",Methode_Keuze=""),"",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26"/>
      <c r="Z1092" s="319"/>
      <c r="AA1092" s="32" t="str" cm="1">
        <f t="array" ref="AA1092">IFERROR(IF(INDEX(SubsidieTabel!$AD$1:$AG$12,MATCH($F1092,SubsidieTabel!$AD$1:$AD$12,0),IFERROR(MATCH(Methode_Keuze,SubsidieTabel!$AD$1:$AG$1,0),2))&lt;&gt;1=TRUE,"ja",""),"")</f>
        <v/>
      </c>
    </row>
    <row r="1093" spans="1:27" x14ac:dyDescent="0.25">
      <c r="A1093" s="320"/>
      <c r="B1093" s="321" t="str">
        <f>IF(A1093&lt;&gt;"",_xlfn.MAXIFS($B$1:B1092,$A$1:A1092,A1093)+1,"")</f>
        <v/>
      </c>
      <c r="C1093" s="299"/>
      <c r="D1093" s="299"/>
      <c r="E1093" s="299"/>
      <c r="F1093" s="299"/>
      <c r="G1093" s="330"/>
      <c r="H1093" s="328"/>
      <c r="I1093" s="329"/>
      <c r="J1093" s="329"/>
      <c r="K1093" s="322"/>
      <c r="L1093" s="322"/>
      <c r="M1093" s="323" t="str">
        <f>IFERROR(VLOOKUP(H1093,Lijsten!$H$1:$I$100,2,0),"")</f>
        <v/>
      </c>
      <c r="N1093" s="323" t="str">
        <f ca="1">IFERROR(IF(VLOOKUP(F1093,Kostentypen!$A$3:$E$21,3,0)=0,"",IF(OR(F1093="Arbeidskosten",F1093="Vergoeding"),VLOOKUP(G1093,Tb_KostenTypen[],2,0),VLOOKUP(F1093,Kostentypen!$A$3:$E$20,3,0))),"")</f>
        <v/>
      </c>
      <c r="O1093" s="324"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4"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3"/>
      <c r="R1093" s="363"/>
      <c r="S1093" s="325"/>
      <c r="T1093" s="325"/>
      <c r="U1093" s="317" t="str" cm="1">
        <f t="array" aca="1" ref="U1093" ca="1">IFERROR(IF(AA1093&lt;&gt;"ja",_xlfn.IFNA(_xlfn.IFS(AND(O1093&lt;&gt;"",F1093&lt;&gt;"",RIGHT($N1093,6)="tarief",F1093="Vergoeding"),SUM(O1093)*FLOOR(SUM(Q1093),0.0001),AND(O1093&lt;&gt;"",F1093&lt;&gt;"",RIGHT($N1093,6)="tarief"),SUM(O1093)*FLOOR(SUM(Q1093),0.01),S1093&gt;0,IF(F1093&lt;&gt;"",FLOOR(SUM(S1093),0.01),"")),""),""),"")</f>
        <v/>
      </c>
      <c r="V1093" s="317" t="str" cm="1">
        <f t="array" aca="1" ref="V1093" ca="1">IFERROR(IF(AA1093&lt;&gt;"ja",_xlfn.IFNA(_xlfn.IFS(AND(P1093&lt;&gt;"",R1093&lt;&gt;"",RIGHT($N1093,6)="tarief",F1093="Vergoeding"),SUM(P1093)*FLOOR(SUM(R1093),0.0001),AND(P1093&lt;&gt;"",R1093&lt;&gt;"",RIGHT($N1093,6)="tarief"),P1093*FLOOR(R1093,0.01),T1093&gt;0,FLOOR(SUM(T1093),0.01)),""),""),"")</f>
        <v/>
      </c>
      <c r="W1093" s="317" t="str" cm="1">
        <f t="array" aca="1" ref="W1093" ca="1">IFERROR(_xlfn.IFS(OR(F1093="",LEFT(Methode_Keuze,4)="Geen",Methode_Keuze=""),"",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17" t="str" cm="1">
        <f t="array" aca="1" ref="X1093" ca="1">IFERROR(_xlfn.IFS(OR(F1093="",LEFT(Methode_Keuze,4)="Geen",Methode_Keuze=""),"",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26"/>
      <c r="Z1093" s="319"/>
      <c r="AA1093" s="32" t="str" cm="1">
        <f t="array" ref="AA1093">IFERROR(IF(INDEX(SubsidieTabel!$AD$1:$AG$12,MATCH($F1093,SubsidieTabel!$AD$1:$AD$12,0),IFERROR(MATCH(Methode_Keuze,SubsidieTabel!$AD$1:$AG$1,0),2))&lt;&gt;1=TRUE,"ja",""),"")</f>
        <v/>
      </c>
    </row>
    <row r="1094" spans="1:27" x14ac:dyDescent="0.25">
      <c r="A1094" s="320"/>
      <c r="B1094" s="321" t="str">
        <f>IF(A1094&lt;&gt;"",_xlfn.MAXIFS($B$1:B1093,$A$1:A1093,A1094)+1,"")</f>
        <v/>
      </c>
      <c r="C1094" s="299"/>
      <c r="D1094" s="299"/>
      <c r="E1094" s="299"/>
      <c r="F1094" s="299"/>
      <c r="G1094" s="330"/>
      <c r="H1094" s="328"/>
      <c r="I1094" s="329"/>
      <c r="J1094" s="329"/>
      <c r="K1094" s="322"/>
      <c r="L1094" s="322"/>
      <c r="M1094" s="323" t="str">
        <f>IFERROR(VLOOKUP(H1094,Lijsten!$H$1:$I$100,2,0),"")</f>
        <v/>
      </c>
      <c r="N1094" s="323" t="str">
        <f ca="1">IFERROR(IF(VLOOKUP(F1094,Kostentypen!$A$3:$E$21,3,0)=0,"",IF(OR(F1094="Arbeidskosten",F1094="Vergoeding"),VLOOKUP(G1094,Tb_KostenTypen[],2,0),VLOOKUP(F1094,Kostentypen!$A$3:$E$20,3,0))),"")</f>
        <v/>
      </c>
      <c r="O1094" s="324"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4"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3"/>
      <c r="R1094" s="363"/>
      <c r="S1094" s="325"/>
      <c r="T1094" s="325"/>
      <c r="U1094" s="317" t="str" cm="1">
        <f t="array" aca="1" ref="U1094" ca="1">IFERROR(IF(AA1094&lt;&gt;"ja",_xlfn.IFNA(_xlfn.IFS(AND(O1094&lt;&gt;"",F1094&lt;&gt;"",RIGHT($N1094,6)="tarief",F1094="Vergoeding"),SUM(O1094)*FLOOR(SUM(Q1094),0.0001),AND(O1094&lt;&gt;"",F1094&lt;&gt;"",RIGHT($N1094,6)="tarief"),SUM(O1094)*FLOOR(SUM(Q1094),0.01),S1094&gt;0,IF(F1094&lt;&gt;"",FLOOR(SUM(S1094),0.01),"")),""),""),"")</f>
        <v/>
      </c>
      <c r="V1094" s="317" t="str" cm="1">
        <f t="array" aca="1" ref="V1094" ca="1">IFERROR(IF(AA1094&lt;&gt;"ja",_xlfn.IFNA(_xlfn.IFS(AND(P1094&lt;&gt;"",R1094&lt;&gt;"",RIGHT($N1094,6)="tarief",F1094="Vergoeding"),SUM(P1094)*FLOOR(SUM(R1094),0.0001),AND(P1094&lt;&gt;"",R1094&lt;&gt;"",RIGHT($N1094,6)="tarief"),P1094*FLOOR(R1094,0.01),T1094&gt;0,FLOOR(SUM(T1094),0.01)),""),""),"")</f>
        <v/>
      </c>
      <c r="W1094" s="317" t="str" cm="1">
        <f t="array" aca="1" ref="W1094" ca="1">IFERROR(_xlfn.IFS(OR(F1094="",LEFT(Methode_Keuze,4)="Geen",Methode_Keuze=""),"",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17" t="str" cm="1">
        <f t="array" aca="1" ref="X1094" ca="1">IFERROR(_xlfn.IFS(OR(F1094="",LEFT(Methode_Keuze,4)="Geen",Methode_Keuze=""),"",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26"/>
      <c r="Z1094" s="319"/>
      <c r="AA1094" s="32" t="str" cm="1">
        <f t="array" ref="AA1094">IFERROR(IF(INDEX(SubsidieTabel!$AD$1:$AG$12,MATCH($F1094,SubsidieTabel!$AD$1:$AD$12,0),IFERROR(MATCH(Methode_Keuze,SubsidieTabel!$AD$1:$AG$1,0),2))&lt;&gt;1=TRUE,"ja",""),"")</f>
        <v/>
      </c>
    </row>
    <row r="1095" spans="1:27" x14ac:dyDescent="0.25">
      <c r="A1095" s="320"/>
      <c r="B1095" s="321" t="str">
        <f>IF(A1095&lt;&gt;"",_xlfn.MAXIFS($B$1:B1094,$A$1:A1094,A1095)+1,"")</f>
        <v/>
      </c>
      <c r="C1095" s="299"/>
      <c r="D1095" s="299"/>
      <c r="E1095" s="299"/>
      <c r="F1095" s="299"/>
      <c r="G1095" s="330"/>
      <c r="H1095" s="328"/>
      <c r="I1095" s="329"/>
      <c r="J1095" s="329"/>
      <c r="K1095" s="322"/>
      <c r="L1095" s="322"/>
      <c r="M1095" s="323" t="str">
        <f>IFERROR(VLOOKUP(H1095,Lijsten!$H$1:$I$100,2,0),"")</f>
        <v/>
      </c>
      <c r="N1095" s="323" t="str">
        <f ca="1">IFERROR(IF(VLOOKUP(F1095,Kostentypen!$A$3:$E$21,3,0)=0,"",IF(OR(F1095="Arbeidskosten",F1095="Vergoeding"),VLOOKUP(G1095,Tb_KostenTypen[],2,0),VLOOKUP(F1095,Kostentypen!$A$3:$E$20,3,0))),"")</f>
        <v/>
      </c>
      <c r="O1095" s="324"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4"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3"/>
      <c r="R1095" s="363"/>
      <c r="S1095" s="325"/>
      <c r="T1095" s="325"/>
      <c r="U1095" s="317" t="str" cm="1">
        <f t="array" aca="1" ref="U1095" ca="1">IFERROR(IF(AA1095&lt;&gt;"ja",_xlfn.IFNA(_xlfn.IFS(AND(O1095&lt;&gt;"",F1095&lt;&gt;"",RIGHT($N1095,6)="tarief",F1095="Vergoeding"),SUM(O1095)*FLOOR(SUM(Q1095),0.0001),AND(O1095&lt;&gt;"",F1095&lt;&gt;"",RIGHT($N1095,6)="tarief"),SUM(O1095)*FLOOR(SUM(Q1095),0.01),S1095&gt;0,IF(F1095&lt;&gt;"",FLOOR(SUM(S1095),0.01),"")),""),""),"")</f>
        <v/>
      </c>
      <c r="V1095" s="317" t="str" cm="1">
        <f t="array" aca="1" ref="V1095" ca="1">IFERROR(IF(AA1095&lt;&gt;"ja",_xlfn.IFNA(_xlfn.IFS(AND(P1095&lt;&gt;"",R1095&lt;&gt;"",RIGHT($N1095,6)="tarief",F1095="Vergoeding"),SUM(P1095)*FLOOR(SUM(R1095),0.0001),AND(P1095&lt;&gt;"",R1095&lt;&gt;"",RIGHT($N1095,6)="tarief"),P1095*FLOOR(R1095,0.01),T1095&gt;0,FLOOR(SUM(T1095),0.01)),""),""),"")</f>
        <v/>
      </c>
      <c r="W1095" s="317" t="str" cm="1">
        <f t="array" aca="1" ref="W1095" ca="1">IFERROR(_xlfn.IFS(OR(F1095="",LEFT(Methode_Keuze,4)="Geen",Methode_Keuze=""),"",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17" t="str" cm="1">
        <f t="array" aca="1" ref="X1095" ca="1">IFERROR(_xlfn.IFS(OR(F1095="",LEFT(Methode_Keuze,4)="Geen",Methode_Keuze=""),"",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26"/>
      <c r="Z1095" s="319"/>
      <c r="AA1095" s="32" t="str" cm="1">
        <f t="array" ref="AA1095">IFERROR(IF(INDEX(SubsidieTabel!$AD$1:$AG$12,MATCH($F1095,SubsidieTabel!$AD$1:$AD$12,0),IFERROR(MATCH(Methode_Keuze,SubsidieTabel!$AD$1:$AG$1,0),2))&lt;&gt;1=TRUE,"ja",""),"")</f>
        <v/>
      </c>
    </row>
    <row r="1096" spans="1:27" x14ac:dyDescent="0.25">
      <c r="A1096" s="320"/>
      <c r="B1096" s="321" t="str">
        <f>IF(A1096&lt;&gt;"",_xlfn.MAXIFS($B$1:B1095,$A$1:A1095,A1096)+1,"")</f>
        <v/>
      </c>
      <c r="C1096" s="299"/>
      <c r="D1096" s="299"/>
      <c r="E1096" s="299"/>
      <c r="F1096" s="299"/>
      <c r="G1096" s="330"/>
      <c r="H1096" s="328"/>
      <c r="I1096" s="329"/>
      <c r="J1096" s="329"/>
      <c r="K1096" s="322"/>
      <c r="L1096" s="322"/>
      <c r="M1096" s="323" t="str">
        <f>IFERROR(VLOOKUP(H1096,Lijsten!$H$1:$I$100,2,0),"")</f>
        <v/>
      </c>
      <c r="N1096" s="323" t="str">
        <f ca="1">IFERROR(IF(VLOOKUP(F1096,Kostentypen!$A$3:$E$21,3,0)=0,"",IF(OR(F1096="Arbeidskosten",F1096="Vergoeding"),VLOOKUP(G1096,Tb_KostenTypen[],2,0),VLOOKUP(F1096,Kostentypen!$A$3:$E$20,3,0))),"")</f>
        <v/>
      </c>
      <c r="O1096" s="324"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4"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3"/>
      <c r="R1096" s="363"/>
      <c r="S1096" s="325"/>
      <c r="T1096" s="325"/>
      <c r="U1096" s="317" t="str" cm="1">
        <f t="array" aca="1" ref="U1096" ca="1">IFERROR(IF(AA1096&lt;&gt;"ja",_xlfn.IFNA(_xlfn.IFS(AND(O1096&lt;&gt;"",F1096&lt;&gt;"",RIGHT($N1096,6)="tarief",F1096="Vergoeding"),SUM(O1096)*FLOOR(SUM(Q1096),0.0001),AND(O1096&lt;&gt;"",F1096&lt;&gt;"",RIGHT($N1096,6)="tarief"),SUM(O1096)*FLOOR(SUM(Q1096),0.01),S1096&gt;0,IF(F1096&lt;&gt;"",FLOOR(SUM(S1096),0.01),"")),""),""),"")</f>
        <v/>
      </c>
      <c r="V1096" s="317" t="str" cm="1">
        <f t="array" aca="1" ref="V1096" ca="1">IFERROR(IF(AA1096&lt;&gt;"ja",_xlfn.IFNA(_xlfn.IFS(AND(P1096&lt;&gt;"",R1096&lt;&gt;"",RIGHT($N1096,6)="tarief",F1096="Vergoeding"),SUM(P1096)*FLOOR(SUM(R1096),0.0001),AND(P1096&lt;&gt;"",R1096&lt;&gt;"",RIGHT($N1096,6)="tarief"),P1096*FLOOR(R1096,0.01),T1096&gt;0,FLOOR(SUM(T1096),0.01)),""),""),"")</f>
        <v/>
      </c>
      <c r="W1096" s="317" t="str" cm="1">
        <f t="array" aca="1" ref="W1096" ca="1">IFERROR(_xlfn.IFS(OR(F1096="",LEFT(Methode_Keuze,4)="Geen",Methode_Keuze=""),"",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17" t="str" cm="1">
        <f t="array" aca="1" ref="X1096" ca="1">IFERROR(_xlfn.IFS(OR(F1096="",LEFT(Methode_Keuze,4)="Geen",Methode_Keuze=""),"",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26"/>
      <c r="Z1096" s="319"/>
      <c r="AA1096" s="32" t="str" cm="1">
        <f t="array" ref="AA1096">IFERROR(IF(INDEX(SubsidieTabel!$AD$1:$AG$12,MATCH($F1096,SubsidieTabel!$AD$1:$AD$12,0),IFERROR(MATCH(Methode_Keuze,SubsidieTabel!$AD$1:$AG$1,0),2))&lt;&gt;1=TRUE,"ja",""),"")</f>
        <v/>
      </c>
    </row>
    <row r="1097" spans="1:27" x14ac:dyDescent="0.25">
      <c r="A1097" s="320"/>
      <c r="B1097" s="321" t="str">
        <f>IF(A1097&lt;&gt;"",_xlfn.MAXIFS($B$1:B1096,$A$1:A1096,A1097)+1,"")</f>
        <v/>
      </c>
      <c r="C1097" s="299"/>
      <c r="D1097" s="299"/>
      <c r="E1097" s="299"/>
      <c r="F1097" s="299"/>
      <c r="G1097" s="330"/>
      <c r="H1097" s="328"/>
      <c r="I1097" s="329"/>
      <c r="J1097" s="329"/>
      <c r="K1097" s="322"/>
      <c r="L1097" s="322"/>
      <c r="M1097" s="323" t="str">
        <f>IFERROR(VLOOKUP(H1097,Lijsten!$H$1:$I$100,2,0),"")</f>
        <v/>
      </c>
      <c r="N1097" s="323" t="str">
        <f ca="1">IFERROR(IF(VLOOKUP(F1097,Kostentypen!$A$3:$E$21,3,0)=0,"",IF(OR(F1097="Arbeidskosten",F1097="Vergoeding"),VLOOKUP(G1097,Tb_KostenTypen[],2,0),VLOOKUP(F1097,Kostentypen!$A$3:$E$20,3,0))),"")</f>
        <v/>
      </c>
      <c r="O1097" s="324"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4"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3"/>
      <c r="R1097" s="363"/>
      <c r="S1097" s="325"/>
      <c r="T1097" s="325"/>
      <c r="U1097" s="317" t="str" cm="1">
        <f t="array" aca="1" ref="U1097" ca="1">IFERROR(IF(AA1097&lt;&gt;"ja",_xlfn.IFNA(_xlfn.IFS(AND(O1097&lt;&gt;"",F1097&lt;&gt;"",RIGHT($N1097,6)="tarief",F1097="Vergoeding"),SUM(O1097)*FLOOR(SUM(Q1097),0.0001),AND(O1097&lt;&gt;"",F1097&lt;&gt;"",RIGHT($N1097,6)="tarief"),SUM(O1097)*FLOOR(SUM(Q1097),0.01),S1097&gt;0,IF(F1097&lt;&gt;"",FLOOR(SUM(S1097),0.01),"")),""),""),"")</f>
        <v/>
      </c>
      <c r="V1097" s="317" t="str" cm="1">
        <f t="array" aca="1" ref="V1097" ca="1">IFERROR(IF(AA1097&lt;&gt;"ja",_xlfn.IFNA(_xlfn.IFS(AND(P1097&lt;&gt;"",R1097&lt;&gt;"",RIGHT($N1097,6)="tarief",F1097="Vergoeding"),SUM(P1097)*FLOOR(SUM(R1097),0.0001),AND(P1097&lt;&gt;"",R1097&lt;&gt;"",RIGHT($N1097,6)="tarief"),P1097*FLOOR(R1097,0.01),T1097&gt;0,FLOOR(SUM(T1097),0.01)),""),""),"")</f>
        <v/>
      </c>
      <c r="W1097" s="317" t="str" cm="1">
        <f t="array" aca="1" ref="W1097" ca="1">IFERROR(_xlfn.IFS(OR(F1097="",LEFT(Methode_Keuze,4)="Geen",Methode_Keuze=""),"",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17" t="str" cm="1">
        <f t="array" aca="1" ref="X1097" ca="1">IFERROR(_xlfn.IFS(OR(F1097="",LEFT(Methode_Keuze,4)="Geen",Methode_Keuze=""),"",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26"/>
      <c r="Z1097" s="319"/>
      <c r="AA1097" s="32" t="str" cm="1">
        <f t="array" ref="AA1097">IFERROR(IF(INDEX(SubsidieTabel!$AD$1:$AG$12,MATCH($F1097,SubsidieTabel!$AD$1:$AD$12,0),IFERROR(MATCH(Methode_Keuze,SubsidieTabel!$AD$1:$AG$1,0),2))&lt;&gt;1=TRUE,"ja",""),"")</f>
        <v/>
      </c>
    </row>
    <row r="1098" spans="1:27" x14ac:dyDescent="0.25">
      <c r="A1098" s="320"/>
      <c r="B1098" s="321" t="str">
        <f>IF(A1098&lt;&gt;"",_xlfn.MAXIFS($B$1:B1097,$A$1:A1097,A1098)+1,"")</f>
        <v/>
      </c>
      <c r="C1098" s="299"/>
      <c r="D1098" s="299"/>
      <c r="E1098" s="299"/>
      <c r="F1098" s="299"/>
      <c r="G1098" s="330"/>
      <c r="H1098" s="328"/>
      <c r="I1098" s="329"/>
      <c r="J1098" s="329"/>
      <c r="K1098" s="322"/>
      <c r="L1098" s="322"/>
      <c r="M1098" s="323" t="str">
        <f>IFERROR(VLOOKUP(H1098,Lijsten!$H$1:$I$100,2,0),"")</f>
        <v/>
      </c>
      <c r="N1098" s="323" t="str">
        <f ca="1">IFERROR(IF(VLOOKUP(F1098,Kostentypen!$A$3:$E$21,3,0)=0,"",IF(OR(F1098="Arbeidskosten",F1098="Vergoeding"),VLOOKUP(G1098,Tb_KostenTypen[],2,0),VLOOKUP(F1098,Kostentypen!$A$3:$E$20,3,0))),"")</f>
        <v/>
      </c>
      <c r="O1098" s="324"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4"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3"/>
      <c r="R1098" s="363"/>
      <c r="S1098" s="325"/>
      <c r="T1098" s="325"/>
      <c r="U1098" s="317" t="str" cm="1">
        <f t="array" aca="1" ref="U1098" ca="1">IFERROR(IF(AA1098&lt;&gt;"ja",_xlfn.IFNA(_xlfn.IFS(AND(O1098&lt;&gt;"",F1098&lt;&gt;"",RIGHT($N1098,6)="tarief",F1098="Vergoeding"),SUM(O1098)*FLOOR(SUM(Q1098),0.0001),AND(O1098&lt;&gt;"",F1098&lt;&gt;"",RIGHT($N1098,6)="tarief"),SUM(O1098)*FLOOR(SUM(Q1098),0.01),S1098&gt;0,IF(F1098&lt;&gt;"",FLOOR(SUM(S1098),0.01),"")),""),""),"")</f>
        <v/>
      </c>
      <c r="V1098" s="317" t="str" cm="1">
        <f t="array" aca="1" ref="V1098" ca="1">IFERROR(IF(AA1098&lt;&gt;"ja",_xlfn.IFNA(_xlfn.IFS(AND(P1098&lt;&gt;"",R1098&lt;&gt;"",RIGHT($N1098,6)="tarief",F1098="Vergoeding"),SUM(P1098)*FLOOR(SUM(R1098),0.0001),AND(P1098&lt;&gt;"",R1098&lt;&gt;"",RIGHT($N1098,6)="tarief"),P1098*FLOOR(R1098,0.01),T1098&gt;0,FLOOR(SUM(T1098),0.01)),""),""),"")</f>
        <v/>
      </c>
      <c r="W1098" s="317" t="str" cm="1">
        <f t="array" aca="1" ref="W1098" ca="1">IFERROR(_xlfn.IFS(OR(F1098="",LEFT(Methode_Keuze,4)="Geen",Methode_Keuze=""),"",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17" t="str" cm="1">
        <f t="array" aca="1" ref="X1098" ca="1">IFERROR(_xlfn.IFS(OR(F1098="",LEFT(Methode_Keuze,4)="Geen",Methode_Keuze=""),"",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26"/>
      <c r="Z1098" s="319"/>
      <c r="AA1098" s="32" t="str" cm="1">
        <f t="array" ref="AA1098">IFERROR(IF(INDEX(SubsidieTabel!$AD$1:$AG$12,MATCH($F1098,SubsidieTabel!$AD$1:$AD$12,0),IFERROR(MATCH(Methode_Keuze,SubsidieTabel!$AD$1:$AG$1,0),2))&lt;&gt;1=TRUE,"ja",""),"")</f>
        <v/>
      </c>
    </row>
    <row r="1099" spans="1:27" x14ac:dyDescent="0.25">
      <c r="A1099" s="320"/>
      <c r="B1099" s="321" t="str">
        <f>IF(A1099&lt;&gt;"",_xlfn.MAXIFS($B$1:B1098,$A$1:A1098,A1099)+1,"")</f>
        <v/>
      </c>
      <c r="C1099" s="299"/>
      <c r="D1099" s="299"/>
      <c r="E1099" s="299"/>
      <c r="F1099" s="299"/>
      <c r="G1099" s="330"/>
      <c r="H1099" s="328"/>
      <c r="I1099" s="329"/>
      <c r="J1099" s="329"/>
      <c r="K1099" s="322"/>
      <c r="L1099" s="322"/>
      <c r="M1099" s="323" t="str">
        <f>IFERROR(VLOOKUP(H1099,Lijsten!$H$1:$I$100,2,0),"")</f>
        <v/>
      </c>
      <c r="N1099" s="323" t="str">
        <f ca="1">IFERROR(IF(VLOOKUP(F1099,Kostentypen!$A$3:$E$21,3,0)=0,"",IF(OR(F1099="Arbeidskosten",F1099="Vergoeding"),VLOOKUP(G1099,Tb_KostenTypen[],2,0),VLOOKUP(F1099,Kostentypen!$A$3:$E$20,3,0))),"")</f>
        <v/>
      </c>
      <c r="O1099" s="324"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4"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3"/>
      <c r="R1099" s="363"/>
      <c r="S1099" s="325"/>
      <c r="T1099" s="325"/>
      <c r="U1099" s="317" t="str" cm="1">
        <f t="array" aca="1" ref="U1099" ca="1">IFERROR(IF(AA1099&lt;&gt;"ja",_xlfn.IFNA(_xlfn.IFS(AND(O1099&lt;&gt;"",F1099&lt;&gt;"",RIGHT($N1099,6)="tarief",F1099="Vergoeding"),SUM(O1099)*FLOOR(SUM(Q1099),0.0001),AND(O1099&lt;&gt;"",F1099&lt;&gt;"",RIGHT($N1099,6)="tarief"),SUM(O1099)*FLOOR(SUM(Q1099),0.01),S1099&gt;0,IF(F1099&lt;&gt;"",FLOOR(SUM(S1099),0.01),"")),""),""),"")</f>
        <v/>
      </c>
      <c r="V1099" s="317" t="str" cm="1">
        <f t="array" aca="1" ref="V1099" ca="1">IFERROR(IF(AA1099&lt;&gt;"ja",_xlfn.IFNA(_xlfn.IFS(AND(P1099&lt;&gt;"",R1099&lt;&gt;"",RIGHT($N1099,6)="tarief",F1099="Vergoeding"),SUM(P1099)*FLOOR(SUM(R1099),0.0001),AND(P1099&lt;&gt;"",R1099&lt;&gt;"",RIGHT($N1099,6)="tarief"),P1099*FLOOR(R1099,0.01),T1099&gt;0,FLOOR(SUM(T1099),0.01)),""),""),"")</f>
        <v/>
      </c>
      <c r="W1099" s="317" t="str" cm="1">
        <f t="array" aca="1" ref="W1099" ca="1">IFERROR(_xlfn.IFS(OR(F1099="",LEFT(Methode_Keuze,4)="Geen",Methode_Keuze=""),"",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17" t="str" cm="1">
        <f t="array" aca="1" ref="X1099" ca="1">IFERROR(_xlfn.IFS(OR(F1099="",LEFT(Methode_Keuze,4)="Geen",Methode_Keuze=""),"",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26"/>
      <c r="Z1099" s="319"/>
      <c r="AA1099" s="32" t="str" cm="1">
        <f t="array" ref="AA1099">IFERROR(IF(INDEX(SubsidieTabel!$AD$1:$AG$12,MATCH($F1099,SubsidieTabel!$AD$1:$AD$12,0),IFERROR(MATCH(Methode_Keuze,SubsidieTabel!$AD$1:$AG$1,0),2))&lt;&gt;1=TRUE,"ja",""),"")</f>
        <v/>
      </c>
    </row>
    <row r="1100" spans="1:27" x14ac:dyDescent="0.25">
      <c r="A1100" s="320"/>
      <c r="B1100" s="321" t="str">
        <f>IF(A1100&lt;&gt;"",_xlfn.MAXIFS($B$1:B1099,$A$1:A1099,A1100)+1,"")</f>
        <v/>
      </c>
      <c r="C1100" s="299"/>
      <c r="D1100" s="299"/>
      <c r="E1100" s="299"/>
      <c r="F1100" s="299"/>
      <c r="G1100" s="330"/>
      <c r="H1100" s="328"/>
      <c r="I1100" s="329"/>
      <c r="J1100" s="329"/>
      <c r="K1100" s="322"/>
      <c r="L1100" s="322"/>
      <c r="M1100" s="323" t="str">
        <f>IFERROR(VLOOKUP(H1100,Lijsten!$H$1:$I$100,2,0),"")</f>
        <v/>
      </c>
      <c r="N1100" s="323" t="str">
        <f ca="1">IFERROR(IF(VLOOKUP(F1100,Kostentypen!$A$3:$E$21,3,0)=0,"",IF(OR(F1100="Arbeidskosten",F1100="Vergoeding"),VLOOKUP(G1100,Tb_KostenTypen[],2,0),VLOOKUP(F1100,Kostentypen!$A$3:$E$20,3,0))),"")</f>
        <v/>
      </c>
      <c r="O1100" s="324"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4"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3"/>
      <c r="R1100" s="363"/>
      <c r="S1100" s="325"/>
      <c r="T1100" s="325"/>
      <c r="U1100" s="317" t="str" cm="1">
        <f t="array" aca="1" ref="U1100" ca="1">IFERROR(IF(AA1100&lt;&gt;"ja",_xlfn.IFNA(_xlfn.IFS(AND(O1100&lt;&gt;"",F1100&lt;&gt;"",RIGHT($N1100,6)="tarief",F1100="Vergoeding"),SUM(O1100)*FLOOR(SUM(Q1100),0.0001),AND(O1100&lt;&gt;"",F1100&lt;&gt;"",RIGHT($N1100,6)="tarief"),SUM(O1100)*FLOOR(SUM(Q1100),0.01),S1100&gt;0,IF(F1100&lt;&gt;"",FLOOR(SUM(S1100),0.01),"")),""),""),"")</f>
        <v/>
      </c>
      <c r="V1100" s="317" t="str" cm="1">
        <f t="array" aca="1" ref="V1100" ca="1">IFERROR(IF(AA1100&lt;&gt;"ja",_xlfn.IFNA(_xlfn.IFS(AND(P1100&lt;&gt;"",R1100&lt;&gt;"",RIGHT($N1100,6)="tarief",F1100="Vergoeding"),SUM(P1100)*FLOOR(SUM(R1100),0.0001),AND(P1100&lt;&gt;"",R1100&lt;&gt;"",RIGHT($N1100,6)="tarief"),P1100*FLOOR(R1100,0.01),T1100&gt;0,FLOOR(SUM(T1100),0.01)),""),""),"")</f>
        <v/>
      </c>
      <c r="W1100" s="317" t="str" cm="1">
        <f t="array" aca="1" ref="W1100" ca="1">IFERROR(_xlfn.IFS(OR(F1100="",LEFT(Methode_Keuze,4)="Geen",Methode_Keuze=""),"",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17" t="str" cm="1">
        <f t="array" aca="1" ref="X1100" ca="1">IFERROR(_xlfn.IFS(OR(F1100="",LEFT(Methode_Keuze,4)="Geen",Methode_Keuze=""),"",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26"/>
      <c r="Z1100" s="319"/>
      <c r="AA1100" s="32" t="str" cm="1">
        <f t="array" ref="AA1100">IFERROR(IF(INDEX(SubsidieTabel!$AD$1:$AG$12,MATCH($F1100,SubsidieTabel!$AD$1:$AD$12,0),IFERROR(MATCH(Methode_Keuze,SubsidieTabel!$AD$1:$AG$1,0),2))&lt;&gt;1=TRUE,"ja",""),"")</f>
        <v/>
      </c>
    </row>
    <row r="1101" spans="1:27" x14ac:dyDescent="0.25">
      <c r="A1101" s="320"/>
      <c r="B1101" s="321" t="str">
        <f>IF(A1101&lt;&gt;"",_xlfn.MAXIFS($B$1:B1100,$A$1:A1100,A1101)+1,"")</f>
        <v/>
      </c>
      <c r="C1101" s="299"/>
      <c r="D1101" s="299"/>
      <c r="E1101" s="299"/>
      <c r="F1101" s="299"/>
      <c r="G1101" s="330"/>
      <c r="H1101" s="328"/>
      <c r="I1101" s="329"/>
      <c r="J1101" s="329"/>
      <c r="K1101" s="322"/>
      <c r="L1101" s="322"/>
      <c r="M1101" s="323" t="str">
        <f>IFERROR(VLOOKUP(H1101,Lijsten!$H$1:$I$100,2,0),"")</f>
        <v/>
      </c>
      <c r="N1101" s="323" t="str">
        <f ca="1">IFERROR(IF(VLOOKUP(F1101,Kostentypen!$A$3:$E$21,3,0)=0,"",IF(OR(F1101="Arbeidskosten",F1101="Vergoeding"),VLOOKUP(G1101,Tb_KostenTypen[],2,0),VLOOKUP(F1101,Kostentypen!$A$3:$E$20,3,0))),"")</f>
        <v/>
      </c>
      <c r="O1101" s="324"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4"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3"/>
      <c r="R1101" s="363"/>
      <c r="S1101" s="325"/>
      <c r="T1101" s="325"/>
      <c r="U1101" s="317" t="str" cm="1">
        <f t="array" aca="1" ref="U1101" ca="1">IFERROR(IF(AA1101&lt;&gt;"ja",_xlfn.IFNA(_xlfn.IFS(AND(O1101&lt;&gt;"",F1101&lt;&gt;"",RIGHT($N1101,6)="tarief",F1101="Vergoeding"),SUM(O1101)*FLOOR(SUM(Q1101),0.0001),AND(O1101&lt;&gt;"",F1101&lt;&gt;"",RIGHT($N1101,6)="tarief"),SUM(O1101)*FLOOR(SUM(Q1101),0.01),S1101&gt;0,IF(F1101&lt;&gt;"",FLOOR(SUM(S1101),0.01),"")),""),""),"")</f>
        <v/>
      </c>
      <c r="V1101" s="317" t="str" cm="1">
        <f t="array" aca="1" ref="V1101" ca="1">IFERROR(IF(AA1101&lt;&gt;"ja",_xlfn.IFNA(_xlfn.IFS(AND(P1101&lt;&gt;"",R1101&lt;&gt;"",RIGHT($N1101,6)="tarief",F1101="Vergoeding"),SUM(P1101)*FLOOR(SUM(R1101),0.0001),AND(P1101&lt;&gt;"",R1101&lt;&gt;"",RIGHT($N1101,6)="tarief"),P1101*FLOOR(R1101,0.01),T1101&gt;0,FLOOR(SUM(T1101),0.01)),""),""),"")</f>
        <v/>
      </c>
      <c r="W1101" s="317" t="str" cm="1">
        <f t="array" aca="1" ref="W1101" ca="1">IFERROR(_xlfn.IFS(OR(F1101="",LEFT(Methode_Keuze,4)="Geen",Methode_Keuze=""),"",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17" t="str" cm="1">
        <f t="array" aca="1" ref="X1101" ca="1">IFERROR(_xlfn.IFS(OR(F1101="",LEFT(Methode_Keuze,4)="Geen",Methode_Keuze=""),"",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26"/>
      <c r="Z1101" s="319"/>
      <c r="AA1101" s="32" t="str" cm="1">
        <f t="array" ref="AA1101">IFERROR(IF(INDEX(SubsidieTabel!$AD$1:$AG$12,MATCH($F1101,SubsidieTabel!$AD$1:$AD$12,0),IFERROR(MATCH(Methode_Keuze,SubsidieTabel!$AD$1:$AG$1,0),2))&lt;&gt;1=TRUE,"ja",""),"")</f>
        <v/>
      </c>
    </row>
    <row r="1102" spans="1:27" x14ac:dyDescent="0.25">
      <c r="A1102" s="320"/>
      <c r="B1102" s="321" t="str">
        <f>IF(A1102&lt;&gt;"",_xlfn.MAXIFS($B$1:B1101,$A$1:A1101,A1102)+1,"")</f>
        <v/>
      </c>
      <c r="C1102" s="299"/>
      <c r="D1102" s="299"/>
      <c r="E1102" s="299"/>
      <c r="F1102" s="299"/>
      <c r="G1102" s="330"/>
      <c r="H1102" s="328"/>
      <c r="I1102" s="329"/>
      <c r="J1102" s="329"/>
      <c r="K1102" s="322"/>
      <c r="L1102" s="322"/>
      <c r="M1102" s="323" t="str">
        <f>IFERROR(VLOOKUP(H1102,Lijsten!$H$1:$I$100,2,0),"")</f>
        <v/>
      </c>
      <c r="N1102" s="323" t="str">
        <f ca="1">IFERROR(IF(VLOOKUP(F1102,Kostentypen!$A$3:$E$21,3,0)=0,"",IF(OR(F1102="Arbeidskosten",F1102="Vergoeding"),VLOOKUP(G1102,Tb_KostenTypen[],2,0),VLOOKUP(F1102,Kostentypen!$A$3:$E$20,3,0))),"")</f>
        <v/>
      </c>
      <c r="O1102" s="324"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4"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3"/>
      <c r="R1102" s="363"/>
      <c r="S1102" s="325"/>
      <c r="T1102" s="325"/>
      <c r="U1102" s="317" t="str" cm="1">
        <f t="array" aca="1" ref="U1102" ca="1">IFERROR(IF(AA1102&lt;&gt;"ja",_xlfn.IFNA(_xlfn.IFS(AND(O1102&lt;&gt;"",F1102&lt;&gt;"",RIGHT($N1102,6)="tarief",F1102="Vergoeding"),SUM(O1102)*FLOOR(SUM(Q1102),0.0001),AND(O1102&lt;&gt;"",F1102&lt;&gt;"",RIGHT($N1102,6)="tarief"),SUM(O1102)*FLOOR(SUM(Q1102),0.01),S1102&gt;0,IF(F1102&lt;&gt;"",FLOOR(SUM(S1102),0.01),"")),""),""),"")</f>
        <v/>
      </c>
      <c r="V1102" s="317" t="str" cm="1">
        <f t="array" aca="1" ref="V1102" ca="1">IFERROR(IF(AA1102&lt;&gt;"ja",_xlfn.IFNA(_xlfn.IFS(AND(P1102&lt;&gt;"",R1102&lt;&gt;"",RIGHT($N1102,6)="tarief",F1102="Vergoeding"),SUM(P1102)*FLOOR(SUM(R1102),0.0001),AND(P1102&lt;&gt;"",R1102&lt;&gt;"",RIGHT($N1102,6)="tarief"),P1102*FLOOR(R1102,0.01),T1102&gt;0,FLOOR(SUM(T1102),0.01)),""),""),"")</f>
        <v/>
      </c>
      <c r="W1102" s="317" t="str" cm="1">
        <f t="array" aca="1" ref="W1102" ca="1">IFERROR(_xlfn.IFS(OR(F1102="",LEFT(Methode_Keuze,4)="Geen",Methode_Keuze=""),"",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17" t="str" cm="1">
        <f t="array" aca="1" ref="X1102" ca="1">IFERROR(_xlfn.IFS(OR(F1102="",LEFT(Methode_Keuze,4)="Geen",Methode_Keuze=""),"",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26"/>
      <c r="Z1102" s="319"/>
      <c r="AA1102" s="32" t="str" cm="1">
        <f t="array" ref="AA1102">IFERROR(IF(INDEX(SubsidieTabel!$AD$1:$AG$12,MATCH($F1102,SubsidieTabel!$AD$1:$AD$12,0),IFERROR(MATCH(Methode_Keuze,SubsidieTabel!$AD$1:$AG$1,0),2))&lt;&gt;1=TRUE,"ja",""),"")</f>
        <v/>
      </c>
    </row>
    <row r="1103" spans="1:27" x14ac:dyDescent="0.25">
      <c r="A1103" s="320"/>
      <c r="B1103" s="321" t="str">
        <f>IF(A1103&lt;&gt;"",_xlfn.MAXIFS($B$1:B1102,$A$1:A1102,A1103)+1,"")</f>
        <v/>
      </c>
      <c r="C1103" s="299"/>
      <c r="D1103" s="299"/>
      <c r="E1103" s="299"/>
      <c r="F1103" s="299"/>
      <c r="G1103" s="330"/>
      <c r="H1103" s="328"/>
      <c r="I1103" s="329"/>
      <c r="J1103" s="329"/>
      <c r="K1103" s="322"/>
      <c r="L1103" s="322"/>
      <c r="M1103" s="323" t="str">
        <f>IFERROR(VLOOKUP(H1103,Lijsten!$H$1:$I$100,2,0),"")</f>
        <v/>
      </c>
      <c r="N1103" s="323" t="str">
        <f ca="1">IFERROR(IF(VLOOKUP(F1103,Kostentypen!$A$3:$E$21,3,0)=0,"",IF(OR(F1103="Arbeidskosten",F1103="Vergoeding"),VLOOKUP(G1103,Tb_KostenTypen[],2,0),VLOOKUP(F1103,Kostentypen!$A$3:$E$20,3,0))),"")</f>
        <v/>
      </c>
      <c r="O1103" s="324"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4"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3"/>
      <c r="R1103" s="363"/>
      <c r="S1103" s="325"/>
      <c r="T1103" s="325"/>
      <c r="U1103" s="317" t="str" cm="1">
        <f t="array" aca="1" ref="U1103" ca="1">IFERROR(IF(AA1103&lt;&gt;"ja",_xlfn.IFNA(_xlfn.IFS(AND(O1103&lt;&gt;"",F1103&lt;&gt;"",RIGHT($N1103,6)="tarief",F1103="Vergoeding"),SUM(O1103)*FLOOR(SUM(Q1103),0.0001),AND(O1103&lt;&gt;"",F1103&lt;&gt;"",RIGHT($N1103,6)="tarief"),SUM(O1103)*FLOOR(SUM(Q1103),0.01),S1103&gt;0,IF(F1103&lt;&gt;"",FLOOR(SUM(S1103),0.01),"")),""),""),"")</f>
        <v/>
      </c>
      <c r="V1103" s="317" t="str" cm="1">
        <f t="array" aca="1" ref="V1103" ca="1">IFERROR(IF(AA1103&lt;&gt;"ja",_xlfn.IFNA(_xlfn.IFS(AND(P1103&lt;&gt;"",R1103&lt;&gt;"",RIGHT($N1103,6)="tarief",F1103="Vergoeding"),SUM(P1103)*FLOOR(SUM(R1103),0.0001),AND(P1103&lt;&gt;"",R1103&lt;&gt;"",RIGHT($N1103,6)="tarief"),P1103*FLOOR(R1103,0.01),T1103&gt;0,FLOOR(SUM(T1103),0.01)),""),""),"")</f>
        <v/>
      </c>
      <c r="W1103" s="317" t="str" cm="1">
        <f t="array" aca="1" ref="W1103" ca="1">IFERROR(_xlfn.IFS(OR(F1103="",LEFT(Methode_Keuze,4)="Geen",Methode_Keuze=""),"",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17" t="str" cm="1">
        <f t="array" aca="1" ref="X1103" ca="1">IFERROR(_xlfn.IFS(OR(F1103="",LEFT(Methode_Keuze,4)="Geen",Methode_Keuze=""),"",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26"/>
      <c r="Z1103" s="319"/>
      <c r="AA1103" s="32" t="str" cm="1">
        <f t="array" ref="AA1103">IFERROR(IF(INDEX(SubsidieTabel!$AD$1:$AG$12,MATCH($F1103,SubsidieTabel!$AD$1:$AD$12,0),IFERROR(MATCH(Methode_Keuze,SubsidieTabel!$AD$1:$AG$1,0),2))&lt;&gt;1=TRUE,"ja",""),"")</f>
        <v/>
      </c>
    </row>
    <row r="1104" spans="1:27" x14ac:dyDescent="0.25">
      <c r="A1104" s="320"/>
      <c r="B1104" s="321" t="str">
        <f>IF(A1104&lt;&gt;"",_xlfn.MAXIFS($B$1:B1103,$A$1:A1103,A1104)+1,"")</f>
        <v/>
      </c>
      <c r="C1104" s="299"/>
      <c r="D1104" s="299"/>
      <c r="E1104" s="299"/>
      <c r="F1104" s="299"/>
      <c r="G1104" s="330"/>
      <c r="H1104" s="328"/>
      <c r="I1104" s="329"/>
      <c r="J1104" s="329"/>
      <c r="K1104" s="322"/>
      <c r="L1104" s="322"/>
      <c r="M1104" s="323" t="str">
        <f>IFERROR(VLOOKUP(H1104,Lijsten!$H$1:$I$100,2,0),"")</f>
        <v/>
      </c>
      <c r="N1104" s="323" t="str">
        <f ca="1">IFERROR(IF(VLOOKUP(F1104,Kostentypen!$A$3:$E$21,3,0)=0,"",IF(OR(F1104="Arbeidskosten",F1104="Vergoeding"),VLOOKUP(G1104,Tb_KostenTypen[],2,0),VLOOKUP(F1104,Kostentypen!$A$3:$E$20,3,0))),"")</f>
        <v/>
      </c>
      <c r="O1104" s="324"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4"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3"/>
      <c r="R1104" s="363"/>
      <c r="S1104" s="325"/>
      <c r="T1104" s="325"/>
      <c r="U1104" s="317" t="str" cm="1">
        <f t="array" aca="1" ref="U1104" ca="1">IFERROR(IF(AA1104&lt;&gt;"ja",_xlfn.IFNA(_xlfn.IFS(AND(O1104&lt;&gt;"",F1104&lt;&gt;"",RIGHT($N1104,6)="tarief",F1104="Vergoeding"),SUM(O1104)*FLOOR(SUM(Q1104),0.0001),AND(O1104&lt;&gt;"",F1104&lt;&gt;"",RIGHT($N1104,6)="tarief"),SUM(O1104)*FLOOR(SUM(Q1104),0.01),S1104&gt;0,IF(F1104&lt;&gt;"",FLOOR(SUM(S1104),0.01),"")),""),""),"")</f>
        <v/>
      </c>
      <c r="V1104" s="317" t="str" cm="1">
        <f t="array" aca="1" ref="V1104" ca="1">IFERROR(IF(AA1104&lt;&gt;"ja",_xlfn.IFNA(_xlfn.IFS(AND(P1104&lt;&gt;"",R1104&lt;&gt;"",RIGHT($N1104,6)="tarief",F1104="Vergoeding"),SUM(P1104)*FLOOR(SUM(R1104),0.0001),AND(P1104&lt;&gt;"",R1104&lt;&gt;"",RIGHT($N1104,6)="tarief"),P1104*FLOOR(R1104,0.01),T1104&gt;0,FLOOR(SUM(T1104),0.01)),""),""),"")</f>
        <v/>
      </c>
      <c r="W1104" s="317" t="str" cm="1">
        <f t="array" aca="1" ref="W1104" ca="1">IFERROR(_xlfn.IFS(OR(F1104="",LEFT(Methode_Keuze,4)="Geen",Methode_Keuze=""),"",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17" t="str" cm="1">
        <f t="array" aca="1" ref="X1104" ca="1">IFERROR(_xlfn.IFS(OR(F1104="",LEFT(Methode_Keuze,4)="Geen",Methode_Keuze=""),"",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26"/>
      <c r="Z1104" s="319"/>
      <c r="AA1104" s="32" t="str" cm="1">
        <f t="array" ref="AA1104">IFERROR(IF(INDEX(SubsidieTabel!$AD$1:$AG$12,MATCH($F1104,SubsidieTabel!$AD$1:$AD$12,0),IFERROR(MATCH(Methode_Keuze,SubsidieTabel!$AD$1:$AG$1,0),2))&lt;&gt;1=TRUE,"ja",""),"")</f>
        <v/>
      </c>
    </row>
    <row r="1105" spans="1:27" x14ac:dyDescent="0.25">
      <c r="A1105" s="320"/>
      <c r="B1105" s="321" t="str">
        <f>IF(A1105&lt;&gt;"",_xlfn.MAXIFS($B$1:B1104,$A$1:A1104,A1105)+1,"")</f>
        <v/>
      </c>
      <c r="C1105" s="299"/>
      <c r="D1105" s="299"/>
      <c r="E1105" s="299"/>
      <c r="F1105" s="299"/>
      <c r="G1105" s="330"/>
      <c r="H1105" s="328"/>
      <c r="I1105" s="329"/>
      <c r="J1105" s="329"/>
      <c r="K1105" s="322"/>
      <c r="L1105" s="322"/>
      <c r="M1105" s="323" t="str">
        <f>IFERROR(VLOOKUP(H1105,Lijsten!$H$1:$I$100,2,0),"")</f>
        <v/>
      </c>
      <c r="N1105" s="323" t="str">
        <f ca="1">IFERROR(IF(VLOOKUP(F1105,Kostentypen!$A$3:$E$21,3,0)=0,"",IF(OR(F1105="Arbeidskosten",F1105="Vergoeding"),VLOOKUP(G1105,Tb_KostenTypen[],2,0),VLOOKUP(F1105,Kostentypen!$A$3:$E$20,3,0))),"")</f>
        <v/>
      </c>
      <c r="O1105" s="324"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4"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3"/>
      <c r="R1105" s="363"/>
      <c r="S1105" s="325"/>
      <c r="T1105" s="325"/>
      <c r="U1105" s="317" t="str" cm="1">
        <f t="array" aca="1" ref="U1105" ca="1">IFERROR(IF(AA1105&lt;&gt;"ja",_xlfn.IFNA(_xlfn.IFS(AND(O1105&lt;&gt;"",F1105&lt;&gt;"",RIGHT($N1105,6)="tarief",F1105="Vergoeding"),SUM(O1105)*FLOOR(SUM(Q1105),0.0001),AND(O1105&lt;&gt;"",F1105&lt;&gt;"",RIGHT($N1105,6)="tarief"),SUM(O1105)*FLOOR(SUM(Q1105),0.01),S1105&gt;0,IF(F1105&lt;&gt;"",FLOOR(SUM(S1105),0.01),"")),""),""),"")</f>
        <v/>
      </c>
      <c r="V1105" s="317" t="str" cm="1">
        <f t="array" aca="1" ref="V1105" ca="1">IFERROR(IF(AA1105&lt;&gt;"ja",_xlfn.IFNA(_xlfn.IFS(AND(P1105&lt;&gt;"",R1105&lt;&gt;"",RIGHT($N1105,6)="tarief",F1105="Vergoeding"),SUM(P1105)*FLOOR(SUM(R1105),0.0001),AND(P1105&lt;&gt;"",R1105&lt;&gt;"",RIGHT($N1105,6)="tarief"),P1105*FLOOR(R1105,0.01),T1105&gt;0,FLOOR(SUM(T1105),0.01)),""),""),"")</f>
        <v/>
      </c>
      <c r="W1105" s="317" t="str" cm="1">
        <f t="array" aca="1" ref="W1105" ca="1">IFERROR(_xlfn.IFS(OR(F1105="",LEFT(Methode_Keuze,4)="Geen",Methode_Keuze=""),"",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17" t="str" cm="1">
        <f t="array" aca="1" ref="X1105" ca="1">IFERROR(_xlfn.IFS(OR(F1105="",LEFT(Methode_Keuze,4)="Geen",Methode_Keuze=""),"",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26"/>
      <c r="Z1105" s="319"/>
      <c r="AA1105" s="32" t="str" cm="1">
        <f t="array" ref="AA1105">IFERROR(IF(INDEX(SubsidieTabel!$AD$1:$AG$12,MATCH($F1105,SubsidieTabel!$AD$1:$AD$12,0),IFERROR(MATCH(Methode_Keuze,SubsidieTabel!$AD$1:$AG$1,0),2))&lt;&gt;1=TRUE,"ja",""),"")</f>
        <v/>
      </c>
    </row>
    <row r="1106" spans="1:27" x14ac:dyDescent="0.25">
      <c r="A1106" s="320"/>
      <c r="B1106" s="321" t="str">
        <f>IF(A1106&lt;&gt;"",_xlfn.MAXIFS($B$1:B1105,$A$1:A1105,A1106)+1,"")</f>
        <v/>
      </c>
      <c r="C1106" s="299"/>
      <c r="D1106" s="299"/>
      <c r="E1106" s="299"/>
      <c r="F1106" s="299"/>
      <c r="G1106" s="330"/>
      <c r="H1106" s="328"/>
      <c r="I1106" s="329"/>
      <c r="J1106" s="329"/>
      <c r="K1106" s="322"/>
      <c r="L1106" s="322"/>
      <c r="M1106" s="323" t="str">
        <f>IFERROR(VLOOKUP(H1106,Lijsten!$H$1:$I$100,2,0),"")</f>
        <v/>
      </c>
      <c r="N1106" s="323" t="str">
        <f ca="1">IFERROR(IF(VLOOKUP(F1106,Kostentypen!$A$3:$E$21,3,0)=0,"",IF(OR(F1106="Arbeidskosten",F1106="Vergoeding"),VLOOKUP(G1106,Tb_KostenTypen[],2,0),VLOOKUP(F1106,Kostentypen!$A$3:$E$20,3,0))),"")</f>
        <v/>
      </c>
      <c r="O1106" s="324"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4"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3"/>
      <c r="R1106" s="363"/>
      <c r="S1106" s="325"/>
      <c r="T1106" s="325"/>
      <c r="U1106" s="317" t="str" cm="1">
        <f t="array" aca="1" ref="U1106" ca="1">IFERROR(IF(AA1106&lt;&gt;"ja",_xlfn.IFNA(_xlfn.IFS(AND(O1106&lt;&gt;"",F1106&lt;&gt;"",RIGHT($N1106,6)="tarief",F1106="Vergoeding"),SUM(O1106)*FLOOR(SUM(Q1106),0.0001),AND(O1106&lt;&gt;"",F1106&lt;&gt;"",RIGHT($N1106,6)="tarief"),SUM(O1106)*FLOOR(SUM(Q1106),0.01),S1106&gt;0,IF(F1106&lt;&gt;"",FLOOR(SUM(S1106),0.01),"")),""),""),"")</f>
        <v/>
      </c>
      <c r="V1106" s="317" t="str" cm="1">
        <f t="array" aca="1" ref="V1106" ca="1">IFERROR(IF(AA1106&lt;&gt;"ja",_xlfn.IFNA(_xlfn.IFS(AND(P1106&lt;&gt;"",R1106&lt;&gt;"",RIGHT($N1106,6)="tarief",F1106="Vergoeding"),SUM(P1106)*FLOOR(SUM(R1106),0.0001),AND(P1106&lt;&gt;"",R1106&lt;&gt;"",RIGHT($N1106,6)="tarief"),P1106*FLOOR(R1106,0.01),T1106&gt;0,FLOOR(SUM(T1106),0.01)),""),""),"")</f>
        <v/>
      </c>
      <c r="W1106" s="317" t="str" cm="1">
        <f t="array" aca="1" ref="W1106" ca="1">IFERROR(_xlfn.IFS(OR(F1106="",LEFT(Methode_Keuze,4)="Geen",Methode_Keuze=""),"",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17" t="str" cm="1">
        <f t="array" aca="1" ref="X1106" ca="1">IFERROR(_xlfn.IFS(OR(F1106="",LEFT(Methode_Keuze,4)="Geen",Methode_Keuze=""),"",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26"/>
      <c r="Z1106" s="319"/>
      <c r="AA1106" s="32" t="str" cm="1">
        <f t="array" ref="AA1106">IFERROR(IF(INDEX(SubsidieTabel!$AD$1:$AG$12,MATCH($F1106,SubsidieTabel!$AD$1:$AD$12,0),IFERROR(MATCH(Methode_Keuze,SubsidieTabel!$AD$1:$AG$1,0),2))&lt;&gt;1=TRUE,"ja",""),"")</f>
        <v/>
      </c>
    </row>
    <row r="1107" spans="1:27" x14ac:dyDescent="0.25">
      <c r="A1107" s="320"/>
      <c r="B1107" s="321" t="str">
        <f>IF(A1107&lt;&gt;"",_xlfn.MAXIFS($B$1:B1106,$A$1:A1106,A1107)+1,"")</f>
        <v/>
      </c>
      <c r="C1107" s="299"/>
      <c r="D1107" s="299"/>
      <c r="E1107" s="299"/>
      <c r="F1107" s="299"/>
      <c r="G1107" s="330"/>
      <c r="H1107" s="328"/>
      <c r="I1107" s="329"/>
      <c r="J1107" s="329"/>
      <c r="K1107" s="322"/>
      <c r="L1107" s="322"/>
      <c r="M1107" s="323" t="str">
        <f>IFERROR(VLOOKUP(H1107,Lijsten!$H$1:$I$100,2,0),"")</f>
        <v/>
      </c>
      <c r="N1107" s="323" t="str">
        <f ca="1">IFERROR(IF(VLOOKUP(F1107,Kostentypen!$A$3:$E$21,3,0)=0,"",IF(OR(F1107="Arbeidskosten",F1107="Vergoeding"),VLOOKUP(G1107,Tb_KostenTypen[],2,0),VLOOKUP(F1107,Kostentypen!$A$3:$E$20,3,0))),"")</f>
        <v/>
      </c>
      <c r="O1107" s="324"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4"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3"/>
      <c r="R1107" s="363"/>
      <c r="S1107" s="325"/>
      <c r="T1107" s="325"/>
      <c r="U1107" s="317" t="str" cm="1">
        <f t="array" aca="1" ref="U1107" ca="1">IFERROR(IF(AA1107&lt;&gt;"ja",_xlfn.IFNA(_xlfn.IFS(AND(O1107&lt;&gt;"",F1107&lt;&gt;"",RIGHT($N1107,6)="tarief",F1107="Vergoeding"),SUM(O1107)*FLOOR(SUM(Q1107),0.0001),AND(O1107&lt;&gt;"",F1107&lt;&gt;"",RIGHT($N1107,6)="tarief"),SUM(O1107)*FLOOR(SUM(Q1107),0.01),S1107&gt;0,IF(F1107&lt;&gt;"",FLOOR(SUM(S1107),0.01),"")),""),""),"")</f>
        <v/>
      </c>
      <c r="V1107" s="317" t="str" cm="1">
        <f t="array" aca="1" ref="V1107" ca="1">IFERROR(IF(AA1107&lt;&gt;"ja",_xlfn.IFNA(_xlfn.IFS(AND(P1107&lt;&gt;"",R1107&lt;&gt;"",RIGHT($N1107,6)="tarief",F1107="Vergoeding"),SUM(P1107)*FLOOR(SUM(R1107),0.0001),AND(P1107&lt;&gt;"",R1107&lt;&gt;"",RIGHT($N1107,6)="tarief"),P1107*FLOOR(R1107,0.01),T1107&gt;0,FLOOR(SUM(T1107),0.01)),""),""),"")</f>
        <v/>
      </c>
      <c r="W1107" s="317" t="str" cm="1">
        <f t="array" aca="1" ref="W1107" ca="1">IFERROR(_xlfn.IFS(OR(F1107="",LEFT(Methode_Keuze,4)="Geen",Methode_Keuze=""),"",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17" t="str" cm="1">
        <f t="array" aca="1" ref="X1107" ca="1">IFERROR(_xlfn.IFS(OR(F1107="",LEFT(Methode_Keuze,4)="Geen",Methode_Keuze=""),"",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26"/>
      <c r="Z1107" s="319"/>
      <c r="AA1107" s="32" t="str" cm="1">
        <f t="array" ref="AA1107">IFERROR(IF(INDEX(SubsidieTabel!$AD$1:$AG$12,MATCH($F1107,SubsidieTabel!$AD$1:$AD$12,0),IFERROR(MATCH(Methode_Keuze,SubsidieTabel!$AD$1:$AG$1,0),2))&lt;&gt;1=TRUE,"ja",""),"")</f>
        <v/>
      </c>
    </row>
    <row r="1108" spans="1:27" x14ac:dyDescent="0.25">
      <c r="A1108" s="320"/>
      <c r="B1108" s="321" t="str">
        <f>IF(A1108&lt;&gt;"",_xlfn.MAXIFS($B$1:B1107,$A$1:A1107,A1108)+1,"")</f>
        <v/>
      </c>
      <c r="C1108" s="299"/>
      <c r="D1108" s="299"/>
      <c r="E1108" s="299"/>
      <c r="F1108" s="299"/>
      <c r="G1108" s="330"/>
      <c r="H1108" s="328"/>
      <c r="I1108" s="329"/>
      <c r="J1108" s="329"/>
      <c r="K1108" s="322"/>
      <c r="L1108" s="322"/>
      <c r="M1108" s="323" t="str">
        <f>IFERROR(VLOOKUP(H1108,Lijsten!$H$1:$I$100,2,0),"")</f>
        <v/>
      </c>
      <c r="N1108" s="323" t="str">
        <f ca="1">IFERROR(IF(VLOOKUP(F1108,Kostentypen!$A$3:$E$21,3,0)=0,"",IF(OR(F1108="Arbeidskosten",F1108="Vergoeding"),VLOOKUP(G1108,Tb_KostenTypen[],2,0),VLOOKUP(F1108,Kostentypen!$A$3:$E$20,3,0))),"")</f>
        <v/>
      </c>
      <c r="O1108" s="324"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4"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3"/>
      <c r="R1108" s="363"/>
      <c r="S1108" s="325"/>
      <c r="T1108" s="325"/>
      <c r="U1108" s="317" t="str" cm="1">
        <f t="array" aca="1" ref="U1108" ca="1">IFERROR(IF(AA1108&lt;&gt;"ja",_xlfn.IFNA(_xlfn.IFS(AND(O1108&lt;&gt;"",F1108&lt;&gt;"",RIGHT($N1108,6)="tarief",F1108="Vergoeding"),SUM(O1108)*FLOOR(SUM(Q1108),0.0001),AND(O1108&lt;&gt;"",F1108&lt;&gt;"",RIGHT($N1108,6)="tarief"),SUM(O1108)*FLOOR(SUM(Q1108),0.01),S1108&gt;0,IF(F1108&lt;&gt;"",FLOOR(SUM(S1108),0.01),"")),""),""),"")</f>
        <v/>
      </c>
      <c r="V1108" s="317" t="str" cm="1">
        <f t="array" aca="1" ref="V1108" ca="1">IFERROR(IF(AA1108&lt;&gt;"ja",_xlfn.IFNA(_xlfn.IFS(AND(P1108&lt;&gt;"",R1108&lt;&gt;"",RIGHT($N1108,6)="tarief",F1108="Vergoeding"),SUM(P1108)*FLOOR(SUM(R1108),0.0001),AND(P1108&lt;&gt;"",R1108&lt;&gt;"",RIGHT($N1108,6)="tarief"),P1108*FLOOR(R1108,0.01),T1108&gt;0,FLOOR(SUM(T1108),0.01)),""),""),"")</f>
        <v/>
      </c>
      <c r="W1108" s="317" t="str" cm="1">
        <f t="array" aca="1" ref="W1108" ca="1">IFERROR(_xlfn.IFS(OR(F1108="",LEFT(Methode_Keuze,4)="Geen",Methode_Keuze=""),"",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17" t="str" cm="1">
        <f t="array" aca="1" ref="X1108" ca="1">IFERROR(_xlfn.IFS(OR(F1108="",LEFT(Methode_Keuze,4)="Geen",Methode_Keuze=""),"",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26"/>
      <c r="Z1108" s="319"/>
      <c r="AA1108" s="32" t="str" cm="1">
        <f t="array" ref="AA1108">IFERROR(IF(INDEX(SubsidieTabel!$AD$1:$AG$12,MATCH($F1108,SubsidieTabel!$AD$1:$AD$12,0),IFERROR(MATCH(Methode_Keuze,SubsidieTabel!$AD$1:$AG$1,0),2))&lt;&gt;1=TRUE,"ja",""),"")</f>
        <v/>
      </c>
    </row>
    <row r="1109" spans="1:27" x14ac:dyDescent="0.25">
      <c r="A1109" s="320"/>
      <c r="B1109" s="321" t="str">
        <f>IF(A1109&lt;&gt;"",_xlfn.MAXIFS($B$1:B1108,$A$1:A1108,A1109)+1,"")</f>
        <v/>
      </c>
      <c r="C1109" s="299"/>
      <c r="D1109" s="299"/>
      <c r="E1109" s="299"/>
      <c r="F1109" s="299"/>
      <c r="G1109" s="330"/>
      <c r="H1109" s="328"/>
      <c r="I1109" s="329"/>
      <c r="J1109" s="329"/>
      <c r="K1109" s="322"/>
      <c r="L1109" s="322"/>
      <c r="M1109" s="323" t="str">
        <f>IFERROR(VLOOKUP(H1109,Lijsten!$H$1:$I$100,2,0),"")</f>
        <v/>
      </c>
      <c r="N1109" s="323" t="str">
        <f ca="1">IFERROR(IF(VLOOKUP(F1109,Kostentypen!$A$3:$E$21,3,0)=0,"",IF(OR(F1109="Arbeidskosten",F1109="Vergoeding"),VLOOKUP(G1109,Tb_KostenTypen[],2,0),VLOOKUP(F1109,Kostentypen!$A$3:$E$20,3,0))),"")</f>
        <v/>
      </c>
      <c r="O1109" s="324"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4"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3"/>
      <c r="R1109" s="363"/>
      <c r="S1109" s="325"/>
      <c r="T1109" s="325"/>
      <c r="U1109" s="317" t="str" cm="1">
        <f t="array" aca="1" ref="U1109" ca="1">IFERROR(IF(AA1109&lt;&gt;"ja",_xlfn.IFNA(_xlfn.IFS(AND(O1109&lt;&gt;"",F1109&lt;&gt;"",RIGHT($N1109,6)="tarief",F1109="Vergoeding"),SUM(O1109)*FLOOR(SUM(Q1109),0.0001),AND(O1109&lt;&gt;"",F1109&lt;&gt;"",RIGHT($N1109,6)="tarief"),SUM(O1109)*FLOOR(SUM(Q1109),0.01),S1109&gt;0,IF(F1109&lt;&gt;"",FLOOR(SUM(S1109),0.01),"")),""),""),"")</f>
        <v/>
      </c>
      <c r="V1109" s="317" t="str" cm="1">
        <f t="array" aca="1" ref="V1109" ca="1">IFERROR(IF(AA1109&lt;&gt;"ja",_xlfn.IFNA(_xlfn.IFS(AND(P1109&lt;&gt;"",R1109&lt;&gt;"",RIGHT($N1109,6)="tarief",F1109="Vergoeding"),SUM(P1109)*FLOOR(SUM(R1109),0.0001),AND(P1109&lt;&gt;"",R1109&lt;&gt;"",RIGHT($N1109,6)="tarief"),P1109*FLOOR(R1109,0.01),T1109&gt;0,FLOOR(SUM(T1109),0.01)),""),""),"")</f>
        <v/>
      </c>
      <c r="W1109" s="317" t="str" cm="1">
        <f t="array" aca="1" ref="W1109" ca="1">IFERROR(_xlfn.IFS(OR(F1109="",LEFT(Methode_Keuze,4)="Geen",Methode_Keuze=""),"",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17" t="str" cm="1">
        <f t="array" aca="1" ref="X1109" ca="1">IFERROR(_xlfn.IFS(OR(F1109="",LEFT(Methode_Keuze,4)="Geen",Methode_Keuze=""),"",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26"/>
      <c r="Z1109" s="319"/>
      <c r="AA1109" s="32" t="str" cm="1">
        <f t="array" ref="AA1109">IFERROR(IF(INDEX(SubsidieTabel!$AD$1:$AG$12,MATCH($F1109,SubsidieTabel!$AD$1:$AD$12,0),IFERROR(MATCH(Methode_Keuze,SubsidieTabel!$AD$1:$AG$1,0),2))&lt;&gt;1=TRUE,"ja",""),"")</f>
        <v/>
      </c>
    </row>
    <row r="1110" spans="1:27" x14ac:dyDescent="0.25">
      <c r="A1110" s="320"/>
      <c r="B1110" s="321" t="str">
        <f>IF(A1110&lt;&gt;"",_xlfn.MAXIFS($B$1:B1109,$A$1:A1109,A1110)+1,"")</f>
        <v/>
      </c>
      <c r="C1110" s="299"/>
      <c r="D1110" s="299"/>
      <c r="E1110" s="299"/>
      <c r="F1110" s="299"/>
      <c r="G1110" s="330"/>
      <c r="H1110" s="328"/>
      <c r="I1110" s="329"/>
      <c r="J1110" s="329"/>
      <c r="K1110" s="322"/>
      <c r="L1110" s="322"/>
      <c r="M1110" s="323" t="str">
        <f>IFERROR(VLOOKUP(H1110,Lijsten!$H$1:$I$100,2,0),"")</f>
        <v/>
      </c>
      <c r="N1110" s="323" t="str">
        <f ca="1">IFERROR(IF(VLOOKUP(F1110,Kostentypen!$A$3:$E$21,3,0)=0,"",IF(OR(F1110="Arbeidskosten",F1110="Vergoeding"),VLOOKUP(G1110,Tb_KostenTypen[],2,0),VLOOKUP(F1110,Kostentypen!$A$3:$E$20,3,0))),"")</f>
        <v/>
      </c>
      <c r="O1110" s="324"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4"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3"/>
      <c r="R1110" s="363"/>
      <c r="S1110" s="325"/>
      <c r="T1110" s="325"/>
      <c r="U1110" s="317" t="str" cm="1">
        <f t="array" aca="1" ref="U1110" ca="1">IFERROR(IF(AA1110&lt;&gt;"ja",_xlfn.IFNA(_xlfn.IFS(AND(O1110&lt;&gt;"",F1110&lt;&gt;"",RIGHT($N1110,6)="tarief",F1110="Vergoeding"),SUM(O1110)*FLOOR(SUM(Q1110),0.0001),AND(O1110&lt;&gt;"",F1110&lt;&gt;"",RIGHT($N1110,6)="tarief"),SUM(O1110)*FLOOR(SUM(Q1110),0.01),S1110&gt;0,IF(F1110&lt;&gt;"",FLOOR(SUM(S1110),0.01),"")),""),""),"")</f>
        <v/>
      </c>
      <c r="V1110" s="317" t="str" cm="1">
        <f t="array" aca="1" ref="V1110" ca="1">IFERROR(IF(AA1110&lt;&gt;"ja",_xlfn.IFNA(_xlfn.IFS(AND(P1110&lt;&gt;"",R1110&lt;&gt;"",RIGHT($N1110,6)="tarief",F1110="Vergoeding"),SUM(P1110)*FLOOR(SUM(R1110),0.0001),AND(P1110&lt;&gt;"",R1110&lt;&gt;"",RIGHT($N1110,6)="tarief"),P1110*FLOOR(R1110,0.01),T1110&gt;0,FLOOR(SUM(T1110),0.01)),""),""),"")</f>
        <v/>
      </c>
      <c r="W1110" s="317" t="str" cm="1">
        <f t="array" aca="1" ref="W1110" ca="1">IFERROR(_xlfn.IFS(OR(F1110="",LEFT(Methode_Keuze,4)="Geen",Methode_Keuze=""),"",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17" t="str" cm="1">
        <f t="array" aca="1" ref="X1110" ca="1">IFERROR(_xlfn.IFS(OR(F1110="",LEFT(Methode_Keuze,4)="Geen",Methode_Keuze=""),"",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26"/>
      <c r="Z1110" s="319"/>
      <c r="AA1110" s="32" t="str" cm="1">
        <f t="array" ref="AA1110">IFERROR(IF(INDEX(SubsidieTabel!$AD$1:$AG$12,MATCH($F1110,SubsidieTabel!$AD$1:$AD$12,0),IFERROR(MATCH(Methode_Keuze,SubsidieTabel!$AD$1:$AG$1,0),2))&lt;&gt;1=TRUE,"ja",""),"")</f>
        <v/>
      </c>
    </row>
    <row r="1111" spans="1:27" x14ac:dyDescent="0.25">
      <c r="A1111" s="320"/>
      <c r="B1111" s="321" t="str">
        <f>IF(A1111&lt;&gt;"",_xlfn.MAXIFS($B$1:B1110,$A$1:A1110,A1111)+1,"")</f>
        <v/>
      </c>
      <c r="C1111" s="299"/>
      <c r="D1111" s="299"/>
      <c r="E1111" s="299"/>
      <c r="F1111" s="299"/>
      <c r="G1111" s="330"/>
      <c r="H1111" s="328"/>
      <c r="I1111" s="329"/>
      <c r="J1111" s="329"/>
      <c r="K1111" s="322"/>
      <c r="L1111" s="322"/>
      <c r="M1111" s="323" t="str">
        <f>IFERROR(VLOOKUP(H1111,Lijsten!$H$1:$I$100,2,0),"")</f>
        <v/>
      </c>
      <c r="N1111" s="323" t="str">
        <f ca="1">IFERROR(IF(VLOOKUP(F1111,Kostentypen!$A$3:$E$21,3,0)=0,"",IF(OR(F1111="Arbeidskosten",F1111="Vergoeding"),VLOOKUP(G1111,Tb_KostenTypen[],2,0),VLOOKUP(F1111,Kostentypen!$A$3:$E$20,3,0))),"")</f>
        <v/>
      </c>
      <c r="O1111" s="324"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4"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3"/>
      <c r="R1111" s="363"/>
      <c r="S1111" s="325"/>
      <c r="T1111" s="325"/>
      <c r="U1111" s="317" t="str" cm="1">
        <f t="array" aca="1" ref="U1111" ca="1">IFERROR(IF(AA1111&lt;&gt;"ja",_xlfn.IFNA(_xlfn.IFS(AND(O1111&lt;&gt;"",F1111&lt;&gt;"",RIGHT($N1111,6)="tarief",F1111="Vergoeding"),SUM(O1111)*FLOOR(SUM(Q1111),0.0001),AND(O1111&lt;&gt;"",F1111&lt;&gt;"",RIGHT($N1111,6)="tarief"),SUM(O1111)*FLOOR(SUM(Q1111),0.01),S1111&gt;0,IF(F1111&lt;&gt;"",FLOOR(SUM(S1111),0.01),"")),""),""),"")</f>
        <v/>
      </c>
      <c r="V1111" s="317" t="str" cm="1">
        <f t="array" aca="1" ref="V1111" ca="1">IFERROR(IF(AA1111&lt;&gt;"ja",_xlfn.IFNA(_xlfn.IFS(AND(P1111&lt;&gt;"",R1111&lt;&gt;"",RIGHT($N1111,6)="tarief",F1111="Vergoeding"),SUM(P1111)*FLOOR(SUM(R1111),0.0001),AND(P1111&lt;&gt;"",R1111&lt;&gt;"",RIGHT($N1111,6)="tarief"),P1111*FLOOR(R1111,0.01),T1111&gt;0,FLOOR(SUM(T1111),0.01)),""),""),"")</f>
        <v/>
      </c>
      <c r="W1111" s="317" t="str" cm="1">
        <f t="array" aca="1" ref="W1111" ca="1">IFERROR(_xlfn.IFS(OR(F1111="",LEFT(Methode_Keuze,4)="Geen",Methode_Keuze=""),"",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17" t="str" cm="1">
        <f t="array" aca="1" ref="X1111" ca="1">IFERROR(_xlfn.IFS(OR(F1111="",LEFT(Methode_Keuze,4)="Geen",Methode_Keuze=""),"",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26"/>
      <c r="Z1111" s="319"/>
      <c r="AA1111" s="32" t="str" cm="1">
        <f t="array" ref="AA1111">IFERROR(IF(INDEX(SubsidieTabel!$AD$1:$AG$12,MATCH($F1111,SubsidieTabel!$AD$1:$AD$12,0),IFERROR(MATCH(Methode_Keuze,SubsidieTabel!$AD$1:$AG$1,0),2))&lt;&gt;1=TRUE,"ja",""),"")</f>
        <v/>
      </c>
    </row>
    <row r="1112" spans="1:27" x14ac:dyDescent="0.25">
      <c r="A1112" s="320"/>
      <c r="B1112" s="321" t="str">
        <f>IF(A1112&lt;&gt;"",_xlfn.MAXIFS($B$1:B1111,$A$1:A1111,A1112)+1,"")</f>
        <v/>
      </c>
      <c r="C1112" s="299"/>
      <c r="D1112" s="299"/>
      <c r="E1112" s="299"/>
      <c r="F1112" s="299"/>
      <c r="G1112" s="330"/>
      <c r="H1112" s="328"/>
      <c r="I1112" s="329"/>
      <c r="J1112" s="329"/>
      <c r="K1112" s="322"/>
      <c r="L1112" s="322"/>
      <c r="M1112" s="323" t="str">
        <f>IFERROR(VLOOKUP(H1112,Lijsten!$H$1:$I$100,2,0),"")</f>
        <v/>
      </c>
      <c r="N1112" s="323" t="str">
        <f ca="1">IFERROR(IF(VLOOKUP(F1112,Kostentypen!$A$3:$E$21,3,0)=0,"",IF(OR(F1112="Arbeidskosten",F1112="Vergoeding"),VLOOKUP(G1112,Tb_KostenTypen[],2,0),VLOOKUP(F1112,Kostentypen!$A$3:$E$20,3,0))),"")</f>
        <v/>
      </c>
      <c r="O1112" s="324"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4"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3"/>
      <c r="R1112" s="363"/>
      <c r="S1112" s="325"/>
      <c r="T1112" s="325"/>
      <c r="U1112" s="317" t="str" cm="1">
        <f t="array" aca="1" ref="U1112" ca="1">IFERROR(IF(AA1112&lt;&gt;"ja",_xlfn.IFNA(_xlfn.IFS(AND(O1112&lt;&gt;"",F1112&lt;&gt;"",RIGHT($N1112,6)="tarief",F1112="Vergoeding"),SUM(O1112)*FLOOR(SUM(Q1112),0.0001),AND(O1112&lt;&gt;"",F1112&lt;&gt;"",RIGHT($N1112,6)="tarief"),SUM(O1112)*FLOOR(SUM(Q1112),0.01),S1112&gt;0,IF(F1112&lt;&gt;"",FLOOR(SUM(S1112),0.01),"")),""),""),"")</f>
        <v/>
      </c>
      <c r="V1112" s="317" t="str" cm="1">
        <f t="array" aca="1" ref="V1112" ca="1">IFERROR(IF(AA1112&lt;&gt;"ja",_xlfn.IFNA(_xlfn.IFS(AND(P1112&lt;&gt;"",R1112&lt;&gt;"",RIGHT($N1112,6)="tarief",F1112="Vergoeding"),SUM(P1112)*FLOOR(SUM(R1112),0.0001),AND(P1112&lt;&gt;"",R1112&lt;&gt;"",RIGHT($N1112,6)="tarief"),P1112*FLOOR(R1112,0.01),T1112&gt;0,FLOOR(SUM(T1112),0.01)),""),""),"")</f>
        <v/>
      </c>
      <c r="W1112" s="317" t="str" cm="1">
        <f t="array" aca="1" ref="W1112" ca="1">IFERROR(_xlfn.IFS(OR(F1112="",LEFT(Methode_Keuze,4)="Geen",Methode_Keuze=""),"",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17" t="str" cm="1">
        <f t="array" aca="1" ref="X1112" ca="1">IFERROR(_xlfn.IFS(OR(F1112="",LEFT(Methode_Keuze,4)="Geen",Methode_Keuze=""),"",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26"/>
      <c r="Z1112" s="319"/>
      <c r="AA1112" s="32" t="str" cm="1">
        <f t="array" ref="AA1112">IFERROR(IF(INDEX(SubsidieTabel!$AD$1:$AG$12,MATCH($F1112,SubsidieTabel!$AD$1:$AD$12,0),IFERROR(MATCH(Methode_Keuze,SubsidieTabel!$AD$1:$AG$1,0),2))&lt;&gt;1=TRUE,"ja",""),"")</f>
        <v/>
      </c>
    </row>
    <row r="1113" spans="1:27" x14ac:dyDescent="0.25">
      <c r="A1113" s="320"/>
      <c r="B1113" s="321" t="str">
        <f>IF(A1113&lt;&gt;"",_xlfn.MAXIFS($B$1:B1112,$A$1:A1112,A1113)+1,"")</f>
        <v/>
      </c>
      <c r="C1113" s="299"/>
      <c r="D1113" s="299"/>
      <c r="E1113" s="299"/>
      <c r="F1113" s="299"/>
      <c r="G1113" s="330"/>
      <c r="H1113" s="328"/>
      <c r="I1113" s="329"/>
      <c r="J1113" s="329"/>
      <c r="K1113" s="322"/>
      <c r="L1113" s="322"/>
      <c r="M1113" s="323" t="str">
        <f>IFERROR(VLOOKUP(H1113,Lijsten!$H$1:$I$100,2,0),"")</f>
        <v/>
      </c>
      <c r="N1113" s="323" t="str">
        <f ca="1">IFERROR(IF(VLOOKUP(F1113,Kostentypen!$A$3:$E$21,3,0)=0,"",IF(OR(F1113="Arbeidskosten",F1113="Vergoeding"),VLOOKUP(G1113,Tb_KostenTypen[],2,0),VLOOKUP(F1113,Kostentypen!$A$3:$E$20,3,0))),"")</f>
        <v/>
      </c>
      <c r="O1113" s="324"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4"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3"/>
      <c r="R1113" s="363"/>
      <c r="S1113" s="325"/>
      <c r="T1113" s="325"/>
      <c r="U1113" s="317" t="str" cm="1">
        <f t="array" aca="1" ref="U1113" ca="1">IFERROR(IF(AA1113&lt;&gt;"ja",_xlfn.IFNA(_xlfn.IFS(AND(O1113&lt;&gt;"",F1113&lt;&gt;"",RIGHT($N1113,6)="tarief",F1113="Vergoeding"),SUM(O1113)*FLOOR(SUM(Q1113),0.0001),AND(O1113&lt;&gt;"",F1113&lt;&gt;"",RIGHT($N1113,6)="tarief"),SUM(O1113)*FLOOR(SUM(Q1113),0.01),S1113&gt;0,IF(F1113&lt;&gt;"",FLOOR(SUM(S1113),0.01),"")),""),""),"")</f>
        <v/>
      </c>
      <c r="V1113" s="317" t="str" cm="1">
        <f t="array" aca="1" ref="V1113" ca="1">IFERROR(IF(AA1113&lt;&gt;"ja",_xlfn.IFNA(_xlfn.IFS(AND(P1113&lt;&gt;"",R1113&lt;&gt;"",RIGHT($N1113,6)="tarief",F1113="Vergoeding"),SUM(P1113)*FLOOR(SUM(R1113),0.0001),AND(P1113&lt;&gt;"",R1113&lt;&gt;"",RIGHT($N1113,6)="tarief"),P1113*FLOOR(R1113,0.01),T1113&gt;0,FLOOR(SUM(T1113),0.01)),""),""),"")</f>
        <v/>
      </c>
      <c r="W1113" s="317" t="str" cm="1">
        <f t="array" aca="1" ref="W1113" ca="1">IFERROR(_xlfn.IFS(OR(F1113="",LEFT(Methode_Keuze,4)="Geen",Methode_Keuze=""),"",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17" t="str" cm="1">
        <f t="array" aca="1" ref="X1113" ca="1">IFERROR(_xlfn.IFS(OR(F1113="",LEFT(Methode_Keuze,4)="Geen",Methode_Keuze=""),"",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26"/>
      <c r="Z1113" s="319"/>
      <c r="AA1113" s="32" t="str" cm="1">
        <f t="array" ref="AA1113">IFERROR(IF(INDEX(SubsidieTabel!$AD$1:$AG$12,MATCH($F1113,SubsidieTabel!$AD$1:$AD$12,0),IFERROR(MATCH(Methode_Keuze,SubsidieTabel!$AD$1:$AG$1,0),2))&lt;&gt;1=TRUE,"ja",""),"")</f>
        <v/>
      </c>
    </row>
    <row r="1114" spans="1:27" x14ac:dyDescent="0.25">
      <c r="A1114" s="320"/>
      <c r="B1114" s="321" t="str">
        <f>IF(A1114&lt;&gt;"",_xlfn.MAXIFS($B$1:B1113,$A$1:A1113,A1114)+1,"")</f>
        <v/>
      </c>
      <c r="C1114" s="299"/>
      <c r="D1114" s="299"/>
      <c r="E1114" s="299"/>
      <c r="F1114" s="299"/>
      <c r="G1114" s="330"/>
      <c r="H1114" s="328"/>
      <c r="I1114" s="329"/>
      <c r="J1114" s="329"/>
      <c r="K1114" s="322"/>
      <c r="L1114" s="322"/>
      <c r="M1114" s="323" t="str">
        <f>IFERROR(VLOOKUP(H1114,Lijsten!$H$1:$I$100,2,0),"")</f>
        <v/>
      </c>
      <c r="N1114" s="323" t="str">
        <f ca="1">IFERROR(IF(VLOOKUP(F1114,Kostentypen!$A$3:$E$21,3,0)=0,"",IF(OR(F1114="Arbeidskosten",F1114="Vergoeding"),VLOOKUP(G1114,Tb_KostenTypen[],2,0),VLOOKUP(F1114,Kostentypen!$A$3:$E$20,3,0))),"")</f>
        <v/>
      </c>
      <c r="O1114" s="324"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4"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3"/>
      <c r="R1114" s="363"/>
      <c r="S1114" s="325"/>
      <c r="T1114" s="325"/>
      <c r="U1114" s="317" t="str" cm="1">
        <f t="array" aca="1" ref="U1114" ca="1">IFERROR(IF(AA1114&lt;&gt;"ja",_xlfn.IFNA(_xlfn.IFS(AND(O1114&lt;&gt;"",F1114&lt;&gt;"",RIGHT($N1114,6)="tarief",F1114="Vergoeding"),SUM(O1114)*FLOOR(SUM(Q1114),0.0001),AND(O1114&lt;&gt;"",F1114&lt;&gt;"",RIGHT($N1114,6)="tarief"),SUM(O1114)*FLOOR(SUM(Q1114),0.01),S1114&gt;0,IF(F1114&lt;&gt;"",FLOOR(SUM(S1114),0.01),"")),""),""),"")</f>
        <v/>
      </c>
      <c r="V1114" s="317" t="str" cm="1">
        <f t="array" aca="1" ref="V1114" ca="1">IFERROR(IF(AA1114&lt;&gt;"ja",_xlfn.IFNA(_xlfn.IFS(AND(P1114&lt;&gt;"",R1114&lt;&gt;"",RIGHT($N1114,6)="tarief",F1114="Vergoeding"),SUM(P1114)*FLOOR(SUM(R1114),0.0001),AND(P1114&lt;&gt;"",R1114&lt;&gt;"",RIGHT($N1114,6)="tarief"),P1114*FLOOR(R1114,0.01),T1114&gt;0,FLOOR(SUM(T1114),0.01)),""),""),"")</f>
        <v/>
      </c>
      <c r="W1114" s="317" t="str" cm="1">
        <f t="array" aca="1" ref="W1114" ca="1">IFERROR(_xlfn.IFS(OR(F1114="",LEFT(Methode_Keuze,4)="Geen",Methode_Keuze=""),"",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17" t="str" cm="1">
        <f t="array" aca="1" ref="X1114" ca="1">IFERROR(_xlfn.IFS(OR(F1114="",LEFT(Methode_Keuze,4)="Geen",Methode_Keuze=""),"",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26"/>
      <c r="Z1114" s="319"/>
      <c r="AA1114" s="32" t="str" cm="1">
        <f t="array" ref="AA1114">IFERROR(IF(INDEX(SubsidieTabel!$AD$1:$AG$12,MATCH($F1114,SubsidieTabel!$AD$1:$AD$12,0),IFERROR(MATCH(Methode_Keuze,SubsidieTabel!$AD$1:$AG$1,0),2))&lt;&gt;1=TRUE,"ja",""),"")</f>
        <v/>
      </c>
    </row>
    <row r="1115" spans="1:27" x14ac:dyDescent="0.25">
      <c r="A1115" s="320"/>
      <c r="B1115" s="321" t="str">
        <f>IF(A1115&lt;&gt;"",_xlfn.MAXIFS($B$1:B1114,$A$1:A1114,A1115)+1,"")</f>
        <v/>
      </c>
      <c r="C1115" s="299"/>
      <c r="D1115" s="299"/>
      <c r="E1115" s="299"/>
      <c r="F1115" s="299"/>
      <c r="G1115" s="330"/>
      <c r="H1115" s="328"/>
      <c r="I1115" s="329"/>
      <c r="J1115" s="329"/>
      <c r="K1115" s="322"/>
      <c r="L1115" s="322"/>
      <c r="M1115" s="323" t="str">
        <f>IFERROR(VLOOKUP(H1115,Lijsten!$H$1:$I$100,2,0),"")</f>
        <v/>
      </c>
      <c r="N1115" s="323" t="str">
        <f ca="1">IFERROR(IF(VLOOKUP(F1115,Kostentypen!$A$3:$E$21,3,0)=0,"",IF(OR(F1115="Arbeidskosten",F1115="Vergoeding"),VLOOKUP(G1115,Tb_KostenTypen[],2,0),VLOOKUP(F1115,Kostentypen!$A$3:$E$20,3,0))),"")</f>
        <v/>
      </c>
      <c r="O1115" s="324"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4"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3"/>
      <c r="R1115" s="363"/>
      <c r="S1115" s="325"/>
      <c r="T1115" s="325"/>
      <c r="U1115" s="317" t="str" cm="1">
        <f t="array" aca="1" ref="U1115" ca="1">IFERROR(IF(AA1115&lt;&gt;"ja",_xlfn.IFNA(_xlfn.IFS(AND(O1115&lt;&gt;"",F1115&lt;&gt;"",RIGHT($N1115,6)="tarief",F1115="Vergoeding"),SUM(O1115)*FLOOR(SUM(Q1115),0.0001),AND(O1115&lt;&gt;"",F1115&lt;&gt;"",RIGHT($N1115,6)="tarief"),SUM(O1115)*FLOOR(SUM(Q1115),0.01),S1115&gt;0,IF(F1115&lt;&gt;"",FLOOR(SUM(S1115),0.01),"")),""),""),"")</f>
        <v/>
      </c>
      <c r="V1115" s="317" t="str" cm="1">
        <f t="array" aca="1" ref="V1115" ca="1">IFERROR(IF(AA1115&lt;&gt;"ja",_xlfn.IFNA(_xlfn.IFS(AND(P1115&lt;&gt;"",R1115&lt;&gt;"",RIGHT($N1115,6)="tarief",F1115="Vergoeding"),SUM(P1115)*FLOOR(SUM(R1115),0.0001),AND(P1115&lt;&gt;"",R1115&lt;&gt;"",RIGHT($N1115,6)="tarief"),P1115*FLOOR(R1115,0.01),T1115&gt;0,FLOOR(SUM(T1115),0.01)),""),""),"")</f>
        <v/>
      </c>
      <c r="W1115" s="317" t="str" cm="1">
        <f t="array" aca="1" ref="W1115" ca="1">IFERROR(_xlfn.IFS(OR(F1115="",LEFT(Methode_Keuze,4)="Geen",Methode_Keuze=""),"",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17" t="str" cm="1">
        <f t="array" aca="1" ref="X1115" ca="1">IFERROR(_xlfn.IFS(OR(F1115="",LEFT(Methode_Keuze,4)="Geen",Methode_Keuze=""),"",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26"/>
      <c r="Z1115" s="319"/>
      <c r="AA1115" s="32" t="str" cm="1">
        <f t="array" ref="AA1115">IFERROR(IF(INDEX(SubsidieTabel!$AD$1:$AG$12,MATCH($F1115,SubsidieTabel!$AD$1:$AD$12,0),IFERROR(MATCH(Methode_Keuze,SubsidieTabel!$AD$1:$AG$1,0),2))&lt;&gt;1=TRUE,"ja",""),"")</f>
        <v/>
      </c>
    </row>
    <row r="1116" spans="1:27" x14ac:dyDescent="0.25">
      <c r="A1116" s="320"/>
      <c r="B1116" s="321" t="str">
        <f>IF(A1116&lt;&gt;"",_xlfn.MAXIFS($B$1:B1115,$A$1:A1115,A1116)+1,"")</f>
        <v/>
      </c>
      <c r="C1116" s="299"/>
      <c r="D1116" s="299"/>
      <c r="E1116" s="299"/>
      <c r="F1116" s="299"/>
      <c r="G1116" s="330"/>
      <c r="H1116" s="328"/>
      <c r="I1116" s="329"/>
      <c r="J1116" s="329"/>
      <c r="K1116" s="322"/>
      <c r="L1116" s="322"/>
      <c r="M1116" s="323" t="str">
        <f>IFERROR(VLOOKUP(H1116,Lijsten!$H$1:$I$100,2,0),"")</f>
        <v/>
      </c>
      <c r="N1116" s="323" t="str">
        <f ca="1">IFERROR(IF(VLOOKUP(F1116,Kostentypen!$A$3:$E$21,3,0)=0,"",IF(OR(F1116="Arbeidskosten",F1116="Vergoeding"),VLOOKUP(G1116,Tb_KostenTypen[],2,0),VLOOKUP(F1116,Kostentypen!$A$3:$E$20,3,0))),"")</f>
        <v/>
      </c>
      <c r="O1116" s="324"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4"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3"/>
      <c r="R1116" s="363"/>
      <c r="S1116" s="325"/>
      <c r="T1116" s="325"/>
      <c r="U1116" s="317" t="str" cm="1">
        <f t="array" aca="1" ref="U1116" ca="1">IFERROR(IF(AA1116&lt;&gt;"ja",_xlfn.IFNA(_xlfn.IFS(AND(O1116&lt;&gt;"",F1116&lt;&gt;"",RIGHT($N1116,6)="tarief",F1116="Vergoeding"),SUM(O1116)*FLOOR(SUM(Q1116),0.0001),AND(O1116&lt;&gt;"",F1116&lt;&gt;"",RIGHT($N1116,6)="tarief"),SUM(O1116)*FLOOR(SUM(Q1116),0.01),S1116&gt;0,IF(F1116&lt;&gt;"",FLOOR(SUM(S1116),0.01),"")),""),""),"")</f>
        <v/>
      </c>
      <c r="V1116" s="317" t="str" cm="1">
        <f t="array" aca="1" ref="V1116" ca="1">IFERROR(IF(AA1116&lt;&gt;"ja",_xlfn.IFNA(_xlfn.IFS(AND(P1116&lt;&gt;"",R1116&lt;&gt;"",RIGHT($N1116,6)="tarief",F1116="Vergoeding"),SUM(P1116)*FLOOR(SUM(R1116),0.0001),AND(P1116&lt;&gt;"",R1116&lt;&gt;"",RIGHT($N1116,6)="tarief"),P1116*FLOOR(R1116,0.01),T1116&gt;0,FLOOR(SUM(T1116),0.01)),""),""),"")</f>
        <v/>
      </c>
      <c r="W1116" s="317" t="str" cm="1">
        <f t="array" aca="1" ref="W1116" ca="1">IFERROR(_xlfn.IFS(OR(F1116="",LEFT(Methode_Keuze,4)="Geen",Methode_Keuze=""),"",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17" t="str" cm="1">
        <f t="array" aca="1" ref="X1116" ca="1">IFERROR(_xlfn.IFS(OR(F1116="",LEFT(Methode_Keuze,4)="Geen",Methode_Keuze=""),"",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26"/>
      <c r="Z1116" s="319"/>
      <c r="AA1116" s="32" t="str" cm="1">
        <f t="array" ref="AA1116">IFERROR(IF(INDEX(SubsidieTabel!$AD$1:$AG$12,MATCH($F1116,SubsidieTabel!$AD$1:$AD$12,0),IFERROR(MATCH(Methode_Keuze,SubsidieTabel!$AD$1:$AG$1,0),2))&lt;&gt;1=TRUE,"ja",""),"")</f>
        <v/>
      </c>
    </row>
    <row r="1117" spans="1:27" x14ac:dyDescent="0.25">
      <c r="A1117" s="320"/>
      <c r="B1117" s="321" t="str">
        <f>IF(A1117&lt;&gt;"",_xlfn.MAXIFS($B$1:B1116,$A$1:A1116,A1117)+1,"")</f>
        <v/>
      </c>
      <c r="C1117" s="299"/>
      <c r="D1117" s="299"/>
      <c r="E1117" s="299"/>
      <c r="F1117" s="299"/>
      <c r="G1117" s="330"/>
      <c r="H1117" s="328"/>
      <c r="I1117" s="329"/>
      <c r="J1117" s="329"/>
      <c r="K1117" s="322"/>
      <c r="L1117" s="322"/>
      <c r="M1117" s="323" t="str">
        <f>IFERROR(VLOOKUP(H1117,Lijsten!$H$1:$I$100,2,0),"")</f>
        <v/>
      </c>
      <c r="N1117" s="323" t="str">
        <f ca="1">IFERROR(IF(VLOOKUP(F1117,Kostentypen!$A$3:$E$21,3,0)=0,"",IF(OR(F1117="Arbeidskosten",F1117="Vergoeding"),VLOOKUP(G1117,Tb_KostenTypen[],2,0),VLOOKUP(F1117,Kostentypen!$A$3:$E$20,3,0))),"")</f>
        <v/>
      </c>
      <c r="O1117" s="324"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4"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3"/>
      <c r="R1117" s="363"/>
      <c r="S1117" s="325"/>
      <c r="T1117" s="325"/>
      <c r="U1117" s="317" t="str" cm="1">
        <f t="array" aca="1" ref="U1117" ca="1">IFERROR(IF(AA1117&lt;&gt;"ja",_xlfn.IFNA(_xlfn.IFS(AND(O1117&lt;&gt;"",F1117&lt;&gt;"",RIGHT($N1117,6)="tarief",F1117="Vergoeding"),SUM(O1117)*FLOOR(SUM(Q1117),0.0001),AND(O1117&lt;&gt;"",F1117&lt;&gt;"",RIGHT($N1117,6)="tarief"),SUM(O1117)*FLOOR(SUM(Q1117),0.01),S1117&gt;0,IF(F1117&lt;&gt;"",FLOOR(SUM(S1117),0.01),"")),""),""),"")</f>
        <v/>
      </c>
      <c r="V1117" s="317" t="str" cm="1">
        <f t="array" aca="1" ref="V1117" ca="1">IFERROR(IF(AA1117&lt;&gt;"ja",_xlfn.IFNA(_xlfn.IFS(AND(P1117&lt;&gt;"",R1117&lt;&gt;"",RIGHT($N1117,6)="tarief",F1117="Vergoeding"),SUM(P1117)*FLOOR(SUM(R1117),0.0001),AND(P1117&lt;&gt;"",R1117&lt;&gt;"",RIGHT($N1117,6)="tarief"),P1117*FLOOR(R1117,0.01),T1117&gt;0,FLOOR(SUM(T1117),0.01)),""),""),"")</f>
        <v/>
      </c>
      <c r="W1117" s="317" t="str" cm="1">
        <f t="array" aca="1" ref="W1117" ca="1">IFERROR(_xlfn.IFS(OR(F1117="",LEFT(Methode_Keuze,4)="Geen",Methode_Keuze=""),"",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17" t="str" cm="1">
        <f t="array" aca="1" ref="X1117" ca="1">IFERROR(_xlfn.IFS(OR(F1117="",LEFT(Methode_Keuze,4)="Geen",Methode_Keuze=""),"",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26"/>
      <c r="Z1117" s="319"/>
      <c r="AA1117" s="32" t="str" cm="1">
        <f t="array" ref="AA1117">IFERROR(IF(INDEX(SubsidieTabel!$AD$1:$AG$12,MATCH($F1117,SubsidieTabel!$AD$1:$AD$12,0),IFERROR(MATCH(Methode_Keuze,SubsidieTabel!$AD$1:$AG$1,0),2))&lt;&gt;1=TRUE,"ja",""),"")</f>
        <v/>
      </c>
    </row>
    <row r="1118" spans="1:27" x14ac:dyDescent="0.25">
      <c r="A1118" s="320"/>
      <c r="B1118" s="321" t="str">
        <f>IF(A1118&lt;&gt;"",_xlfn.MAXIFS($B$1:B1117,$A$1:A1117,A1118)+1,"")</f>
        <v/>
      </c>
      <c r="C1118" s="299"/>
      <c r="D1118" s="299"/>
      <c r="E1118" s="299"/>
      <c r="F1118" s="299"/>
      <c r="G1118" s="330"/>
      <c r="H1118" s="328"/>
      <c r="I1118" s="329"/>
      <c r="J1118" s="329"/>
      <c r="K1118" s="322"/>
      <c r="L1118" s="322"/>
      <c r="M1118" s="323" t="str">
        <f>IFERROR(VLOOKUP(H1118,Lijsten!$H$1:$I$100,2,0),"")</f>
        <v/>
      </c>
      <c r="N1118" s="323" t="str">
        <f ca="1">IFERROR(IF(VLOOKUP(F1118,Kostentypen!$A$3:$E$21,3,0)=0,"",IF(OR(F1118="Arbeidskosten",F1118="Vergoeding"),VLOOKUP(G1118,Tb_KostenTypen[],2,0),VLOOKUP(F1118,Kostentypen!$A$3:$E$20,3,0))),"")</f>
        <v/>
      </c>
      <c r="O1118" s="324"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4"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3"/>
      <c r="R1118" s="363"/>
      <c r="S1118" s="325"/>
      <c r="T1118" s="325"/>
      <c r="U1118" s="317" t="str" cm="1">
        <f t="array" aca="1" ref="U1118" ca="1">IFERROR(IF(AA1118&lt;&gt;"ja",_xlfn.IFNA(_xlfn.IFS(AND(O1118&lt;&gt;"",F1118&lt;&gt;"",RIGHT($N1118,6)="tarief",F1118="Vergoeding"),SUM(O1118)*FLOOR(SUM(Q1118),0.0001),AND(O1118&lt;&gt;"",F1118&lt;&gt;"",RIGHT($N1118,6)="tarief"),SUM(O1118)*FLOOR(SUM(Q1118),0.01),S1118&gt;0,IF(F1118&lt;&gt;"",FLOOR(SUM(S1118),0.01),"")),""),""),"")</f>
        <v/>
      </c>
      <c r="V1118" s="317" t="str" cm="1">
        <f t="array" aca="1" ref="V1118" ca="1">IFERROR(IF(AA1118&lt;&gt;"ja",_xlfn.IFNA(_xlfn.IFS(AND(P1118&lt;&gt;"",R1118&lt;&gt;"",RIGHT($N1118,6)="tarief",F1118="Vergoeding"),SUM(P1118)*FLOOR(SUM(R1118),0.0001),AND(P1118&lt;&gt;"",R1118&lt;&gt;"",RIGHT($N1118,6)="tarief"),P1118*FLOOR(R1118,0.01),T1118&gt;0,FLOOR(SUM(T1118),0.01)),""),""),"")</f>
        <v/>
      </c>
      <c r="W1118" s="317" t="str" cm="1">
        <f t="array" aca="1" ref="W1118" ca="1">IFERROR(_xlfn.IFS(OR(F1118="",LEFT(Methode_Keuze,4)="Geen",Methode_Keuze=""),"",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17" t="str" cm="1">
        <f t="array" aca="1" ref="X1118" ca="1">IFERROR(_xlfn.IFS(OR(F1118="",LEFT(Methode_Keuze,4)="Geen",Methode_Keuze=""),"",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26"/>
      <c r="Z1118" s="319"/>
      <c r="AA1118" s="32" t="str" cm="1">
        <f t="array" ref="AA1118">IFERROR(IF(INDEX(SubsidieTabel!$AD$1:$AG$12,MATCH($F1118,SubsidieTabel!$AD$1:$AD$12,0),IFERROR(MATCH(Methode_Keuze,SubsidieTabel!$AD$1:$AG$1,0),2))&lt;&gt;1=TRUE,"ja",""),"")</f>
        <v/>
      </c>
    </row>
    <row r="1119" spans="1:27" x14ac:dyDescent="0.25">
      <c r="A1119" s="320"/>
      <c r="B1119" s="321" t="str">
        <f>IF(A1119&lt;&gt;"",_xlfn.MAXIFS($B$1:B1118,$A$1:A1118,A1119)+1,"")</f>
        <v/>
      </c>
      <c r="C1119" s="299"/>
      <c r="D1119" s="299"/>
      <c r="E1119" s="299"/>
      <c r="F1119" s="299"/>
      <c r="G1119" s="330"/>
      <c r="H1119" s="328"/>
      <c r="I1119" s="329"/>
      <c r="J1119" s="329"/>
      <c r="K1119" s="322"/>
      <c r="L1119" s="322"/>
      <c r="M1119" s="323" t="str">
        <f>IFERROR(VLOOKUP(H1119,Lijsten!$H$1:$I$100,2,0),"")</f>
        <v/>
      </c>
      <c r="N1119" s="323" t="str">
        <f ca="1">IFERROR(IF(VLOOKUP(F1119,Kostentypen!$A$3:$E$21,3,0)=0,"",IF(OR(F1119="Arbeidskosten",F1119="Vergoeding"),VLOOKUP(G1119,Tb_KostenTypen[],2,0),VLOOKUP(F1119,Kostentypen!$A$3:$E$20,3,0))),"")</f>
        <v/>
      </c>
      <c r="O1119" s="324"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4"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3"/>
      <c r="R1119" s="363"/>
      <c r="S1119" s="325"/>
      <c r="T1119" s="325"/>
      <c r="U1119" s="317" t="str" cm="1">
        <f t="array" aca="1" ref="U1119" ca="1">IFERROR(IF(AA1119&lt;&gt;"ja",_xlfn.IFNA(_xlfn.IFS(AND(O1119&lt;&gt;"",F1119&lt;&gt;"",RIGHT($N1119,6)="tarief",F1119="Vergoeding"),SUM(O1119)*FLOOR(SUM(Q1119),0.0001),AND(O1119&lt;&gt;"",F1119&lt;&gt;"",RIGHT($N1119,6)="tarief"),SUM(O1119)*FLOOR(SUM(Q1119),0.01),S1119&gt;0,IF(F1119&lt;&gt;"",FLOOR(SUM(S1119),0.01),"")),""),""),"")</f>
        <v/>
      </c>
      <c r="V1119" s="317" t="str" cm="1">
        <f t="array" aca="1" ref="V1119" ca="1">IFERROR(IF(AA1119&lt;&gt;"ja",_xlfn.IFNA(_xlfn.IFS(AND(P1119&lt;&gt;"",R1119&lt;&gt;"",RIGHT($N1119,6)="tarief",F1119="Vergoeding"),SUM(P1119)*FLOOR(SUM(R1119),0.0001),AND(P1119&lt;&gt;"",R1119&lt;&gt;"",RIGHT($N1119,6)="tarief"),P1119*FLOOR(R1119,0.01),T1119&gt;0,FLOOR(SUM(T1119),0.01)),""),""),"")</f>
        <v/>
      </c>
      <c r="W1119" s="317" t="str" cm="1">
        <f t="array" aca="1" ref="W1119" ca="1">IFERROR(_xlfn.IFS(OR(F1119="",LEFT(Methode_Keuze,4)="Geen",Methode_Keuze=""),"",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17" t="str" cm="1">
        <f t="array" aca="1" ref="X1119" ca="1">IFERROR(_xlfn.IFS(OR(F1119="",LEFT(Methode_Keuze,4)="Geen",Methode_Keuze=""),"",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26"/>
      <c r="Z1119" s="319"/>
      <c r="AA1119" s="32" t="str" cm="1">
        <f t="array" ref="AA1119">IFERROR(IF(INDEX(SubsidieTabel!$AD$1:$AG$12,MATCH($F1119,SubsidieTabel!$AD$1:$AD$12,0),IFERROR(MATCH(Methode_Keuze,SubsidieTabel!$AD$1:$AG$1,0),2))&lt;&gt;1=TRUE,"ja",""),"")</f>
        <v/>
      </c>
    </row>
    <row r="1120" spans="1:27" x14ac:dyDescent="0.25">
      <c r="A1120" s="320"/>
      <c r="B1120" s="321" t="str">
        <f>IF(A1120&lt;&gt;"",_xlfn.MAXIFS($B$1:B1119,$A$1:A1119,A1120)+1,"")</f>
        <v/>
      </c>
      <c r="C1120" s="299"/>
      <c r="D1120" s="299"/>
      <c r="E1120" s="299"/>
      <c r="F1120" s="299"/>
      <c r="G1120" s="330"/>
      <c r="H1120" s="328"/>
      <c r="I1120" s="329"/>
      <c r="J1120" s="329"/>
      <c r="K1120" s="322"/>
      <c r="L1120" s="322"/>
      <c r="M1120" s="323" t="str">
        <f>IFERROR(VLOOKUP(H1120,Lijsten!$H$1:$I$100,2,0),"")</f>
        <v/>
      </c>
      <c r="N1120" s="323" t="str">
        <f ca="1">IFERROR(IF(VLOOKUP(F1120,Kostentypen!$A$3:$E$21,3,0)=0,"",IF(OR(F1120="Arbeidskosten",F1120="Vergoeding"),VLOOKUP(G1120,Tb_KostenTypen[],2,0),VLOOKUP(F1120,Kostentypen!$A$3:$E$20,3,0))),"")</f>
        <v/>
      </c>
      <c r="O1120" s="324"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4"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3"/>
      <c r="R1120" s="363"/>
      <c r="S1120" s="325"/>
      <c r="T1120" s="325"/>
      <c r="U1120" s="317" t="str" cm="1">
        <f t="array" aca="1" ref="U1120" ca="1">IFERROR(IF(AA1120&lt;&gt;"ja",_xlfn.IFNA(_xlfn.IFS(AND(O1120&lt;&gt;"",F1120&lt;&gt;"",RIGHT($N1120,6)="tarief",F1120="Vergoeding"),SUM(O1120)*FLOOR(SUM(Q1120),0.0001),AND(O1120&lt;&gt;"",F1120&lt;&gt;"",RIGHT($N1120,6)="tarief"),SUM(O1120)*FLOOR(SUM(Q1120),0.01),S1120&gt;0,IF(F1120&lt;&gt;"",FLOOR(SUM(S1120),0.01),"")),""),""),"")</f>
        <v/>
      </c>
      <c r="V1120" s="317" t="str" cm="1">
        <f t="array" aca="1" ref="V1120" ca="1">IFERROR(IF(AA1120&lt;&gt;"ja",_xlfn.IFNA(_xlfn.IFS(AND(P1120&lt;&gt;"",R1120&lt;&gt;"",RIGHT($N1120,6)="tarief",F1120="Vergoeding"),SUM(P1120)*FLOOR(SUM(R1120),0.0001),AND(P1120&lt;&gt;"",R1120&lt;&gt;"",RIGHT($N1120,6)="tarief"),P1120*FLOOR(R1120,0.01),T1120&gt;0,FLOOR(SUM(T1120),0.01)),""),""),"")</f>
        <v/>
      </c>
      <c r="W1120" s="317" t="str" cm="1">
        <f t="array" aca="1" ref="W1120" ca="1">IFERROR(_xlfn.IFS(OR(F1120="",LEFT(Methode_Keuze,4)="Geen",Methode_Keuze=""),"",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17" t="str" cm="1">
        <f t="array" aca="1" ref="X1120" ca="1">IFERROR(_xlfn.IFS(OR(F1120="",LEFT(Methode_Keuze,4)="Geen",Methode_Keuze=""),"",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26"/>
      <c r="Z1120" s="319"/>
      <c r="AA1120" s="32" t="str" cm="1">
        <f t="array" ref="AA1120">IFERROR(IF(INDEX(SubsidieTabel!$AD$1:$AG$12,MATCH($F1120,SubsidieTabel!$AD$1:$AD$12,0),IFERROR(MATCH(Methode_Keuze,SubsidieTabel!$AD$1:$AG$1,0),2))&lt;&gt;1=TRUE,"ja",""),"")</f>
        <v/>
      </c>
    </row>
    <row r="1121" spans="1:27" x14ac:dyDescent="0.25">
      <c r="A1121" s="320"/>
      <c r="B1121" s="321" t="str">
        <f>IF(A1121&lt;&gt;"",_xlfn.MAXIFS($B$1:B1120,$A$1:A1120,A1121)+1,"")</f>
        <v/>
      </c>
      <c r="C1121" s="299"/>
      <c r="D1121" s="299"/>
      <c r="E1121" s="299"/>
      <c r="F1121" s="299"/>
      <c r="G1121" s="330"/>
      <c r="H1121" s="328"/>
      <c r="I1121" s="329"/>
      <c r="J1121" s="329"/>
      <c r="K1121" s="322"/>
      <c r="L1121" s="322"/>
      <c r="M1121" s="323" t="str">
        <f>IFERROR(VLOOKUP(H1121,Lijsten!$H$1:$I$100,2,0),"")</f>
        <v/>
      </c>
      <c r="N1121" s="323" t="str">
        <f ca="1">IFERROR(IF(VLOOKUP(F1121,Kostentypen!$A$3:$E$21,3,0)=0,"",IF(OR(F1121="Arbeidskosten",F1121="Vergoeding"),VLOOKUP(G1121,Tb_KostenTypen[],2,0),VLOOKUP(F1121,Kostentypen!$A$3:$E$20,3,0))),"")</f>
        <v/>
      </c>
      <c r="O1121" s="324"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4"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3"/>
      <c r="R1121" s="363"/>
      <c r="S1121" s="325"/>
      <c r="T1121" s="325"/>
      <c r="U1121" s="317" t="str" cm="1">
        <f t="array" aca="1" ref="U1121" ca="1">IFERROR(IF(AA1121&lt;&gt;"ja",_xlfn.IFNA(_xlfn.IFS(AND(O1121&lt;&gt;"",F1121&lt;&gt;"",RIGHT($N1121,6)="tarief",F1121="Vergoeding"),SUM(O1121)*FLOOR(SUM(Q1121),0.0001),AND(O1121&lt;&gt;"",F1121&lt;&gt;"",RIGHT($N1121,6)="tarief"),SUM(O1121)*FLOOR(SUM(Q1121),0.01),S1121&gt;0,IF(F1121&lt;&gt;"",FLOOR(SUM(S1121),0.01),"")),""),""),"")</f>
        <v/>
      </c>
      <c r="V1121" s="317" t="str" cm="1">
        <f t="array" aca="1" ref="V1121" ca="1">IFERROR(IF(AA1121&lt;&gt;"ja",_xlfn.IFNA(_xlfn.IFS(AND(P1121&lt;&gt;"",R1121&lt;&gt;"",RIGHT($N1121,6)="tarief",F1121="Vergoeding"),SUM(P1121)*FLOOR(SUM(R1121),0.0001),AND(P1121&lt;&gt;"",R1121&lt;&gt;"",RIGHT($N1121,6)="tarief"),P1121*FLOOR(R1121,0.01),T1121&gt;0,FLOOR(SUM(T1121),0.01)),""),""),"")</f>
        <v/>
      </c>
      <c r="W1121" s="317" t="str" cm="1">
        <f t="array" aca="1" ref="W1121" ca="1">IFERROR(_xlfn.IFS(OR(F1121="",LEFT(Methode_Keuze,4)="Geen",Methode_Keuze=""),"",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17" t="str" cm="1">
        <f t="array" aca="1" ref="X1121" ca="1">IFERROR(_xlfn.IFS(OR(F1121="",LEFT(Methode_Keuze,4)="Geen",Methode_Keuze=""),"",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26"/>
      <c r="Z1121" s="319"/>
      <c r="AA1121" s="32" t="str" cm="1">
        <f t="array" ref="AA1121">IFERROR(IF(INDEX(SubsidieTabel!$AD$1:$AG$12,MATCH($F1121,SubsidieTabel!$AD$1:$AD$12,0),IFERROR(MATCH(Methode_Keuze,SubsidieTabel!$AD$1:$AG$1,0),2))&lt;&gt;1=TRUE,"ja",""),"")</f>
        <v/>
      </c>
    </row>
    <row r="1122" spans="1:27" x14ac:dyDescent="0.25">
      <c r="A1122" s="320"/>
      <c r="B1122" s="321" t="str">
        <f>IF(A1122&lt;&gt;"",_xlfn.MAXIFS($B$1:B1121,$A$1:A1121,A1122)+1,"")</f>
        <v/>
      </c>
      <c r="C1122" s="299"/>
      <c r="D1122" s="299"/>
      <c r="E1122" s="299"/>
      <c r="F1122" s="299"/>
      <c r="G1122" s="330"/>
      <c r="H1122" s="328"/>
      <c r="I1122" s="329"/>
      <c r="J1122" s="329"/>
      <c r="K1122" s="322"/>
      <c r="L1122" s="322"/>
      <c r="M1122" s="323" t="str">
        <f>IFERROR(VLOOKUP(H1122,Lijsten!$H$1:$I$100,2,0),"")</f>
        <v/>
      </c>
      <c r="N1122" s="323" t="str">
        <f ca="1">IFERROR(IF(VLOOKUP(F1122,Kostentypen!$A$3:$E$21,3,0)=0,"",IF(OR(F1122="Arbeidskosten",F1122="Vergoeding"),VLOOKUP(G1122,Tb_KostenTypen[],2,0),VLOOKUP(F1122,Kostentypen!$A$3:$E$20,3,0))),"")</f>
        <v/>
      </c>
      <c r="O1122" s="324"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4"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3"/>
      <c r="R1122" s="363"/>
      <c r="S1122" s="325"/>
      <c r="T1122" s="325"/>
      <c r="U1122" s="317" t="str" cm="1">
        <f t="array" aca="1" ref="U1122" ca="1">IFERROR(IF(AA1122&lt;&gt;"ja",_xlfn.IFNA(_xlfn.IFS(AND(O1122&lt;&gt;"",F1122&lt;&gt;"",RIGHT($N1122,6)="tarief",F1122="Vergoeding"),SUM(O1122)*FLOOR(SUM(Q1122),0.0001),AND(O1122&lt;&gt;"",F1122&lt;&gt;"",RIGHT($N1122,6)="tarief"),SUM(O1122)*FLOOR(SUM(Q1122),0.01),S1122&gt;0,IF(F1122&lt;&gt;"",FLOOR(SUM(S1122),0.01),"")),""),""),"")</f>
        <v/>
      </c>
      <c r="V1122" s="317" t="str" cm="1">
        <f t="array" aca="1" ref="V1122" ca="1">IFERROR(IF(AA1122&lt;&gt;"ja",_xlfn.IFNA(_xlfn.IFS(AND(P1122&lt;&gt;"",R1122&lt;&gt;"",RIGHT($N1122,6)="tarief",F1122="Vergoeding"),SUM(P1122)*FLOOR(SUM(R1122),0.0001),AND(P1122&lt;&gt;"",R1122&lt;&gt;"",RIGHT($N1122,6)="tarief"),P1122*FLOOR(R1122,0.01),T1122&gt;0,FLOOR(SUM(T1122),0.01)),""),""),"")</f>
        <v/>
      </c>
      <c r="W1122" s="317" t="str" cm="1">
        <f t="array" aca="1" ref="W1122" ca="1">IFERROR(_xlfn.IFS(OR(F1122="",LEFT(Methode_Keuze,4)="Geen",Methode_Keuze=""),"",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17" t="str" cm="1">
        <f t="array" aca="1" ref="X1122" ca="1">IFERROR(_xlfn.IFS(OR(F1122="",LEFT(Methode_Keuze,4)="Geen",Methode_Keuze=""),"",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26"/>
      <c r="Z1122" s="319"/>
      <c r="AA1122" s="32" t="str" cm="1">
        <f t="array" ref="AA1122">IFERROR(IF(INDEX(SubsidieTabel!$AD$1:$AG$12,MATCH($F1122,SubsidieTabel!$AD$1:$AD$12,0),IFERROR(MATCH(Methode_Keuze,SubsidieTabel!$AD$1:$AG$1,0),2))&lt;&gt;1=TRUE,"ja",""),"")</f>
        <v/>
      </c>
    </row>
    <row r="1123" spans="1:27" x14ac:dyDescent="0.25">
      <c r="A1123" s="320"/>
      <c r="B1123" s="321" t="str">
        <f>IF(A1123&lt;&gt;"",_xlfn.MAXIFS($B$1:B1122,$A$1:A1122,A1123)+1,"")</f>
        <v/>
      </c>
      <c r="C1123" s="299"/>
      <c r="D1123" s="299"/>
      <c r="E1123" s="299"/>
      <c r="F1123" s="299"/>
      <c r="G1123" s="330"/>
      <c r="H1123" s="328"/>
      <c r="I1123" s="329"/>
      <c r="J1123" s="329"/>
      <c r="K1123" s="322"/>
      <c r="L1123" s="322"/>
      <c r="M1123" s="323" t="str">
        <f>IFERROR(VLOOKUP(H1123,Lijsten!$H$1:$I$100,2,0),"")</f>
        <v/>
      </c>
      <c r="N1123" s="323" t="str">
        <f ca="1">IFERROR(IF(VLOOKUP(F1123,Kostentypen!$A$3:$E$21,3,0)=0,"",IF(OR(F1123="Arbeidskosten",F1123="Vergoeding"),VLOOKUP(G1123,Tb_KostenTypen[],2,0),VLOOKUP(F1123,Kostentypen!$A$3:$E$20,3,0))),"")</f>
        <v/>
      </c>
      <c r="O1123" s="324"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4"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3"/>
      <c r="R1123" s="363"/>
      <c r="S1123" s="325"/>
      <c r="T1123" s="325"/>
      <c r="U1123" s="317" t="str" cm="1">
        <f t="array" aca="1" ref="U1123" ca="1">IFERROR(IF(AA1123&lt;&gt;"ja",_xlfn.IFNA(_xlfn.IFS(AND(O1123&lt;&gt;"",F1123&lt;&gt;"",RIGHT($N1123,6)="tarief",F1123="Vergoeding"),SUM(O1123)*FLOOR(SUM(Q1123),0.0001),AND(O1123&lt;&gt;"",F1123&lt;&gt;"",RIGHT($N1123,6)="tarief"),SUM(O1123)*FLOOR(SUM(Q1123),0.01),S1123&gt;0,IF(F1123&lt;&gt;"",FLOOR(SUM(S1123),0.01),"")),""),""),"")</f>
        <v/>
      </c>
      <c r="V1123" s="317" t="str" cm="1">
        <f t="array" aca="1" ref="V1123" ca="1">IFERROR(IF(AA1123&lt;&gt;"ja",_xlfn.IFNA(_xlfn.IFS(AND(P1123&lt;&gt;"",R1123&lt;&gt;"",RIGHT($N1123,6)="tarief",F1123="Vergoeding"),SUM(P1123)*FLOOR(SUM(R1123),0.0001),AND(P1123&lt;&gt;"",R1123&lt;&gt;"",RIGHT($N1123,6)="tarief"),P1123*FLOOR(R1123,0.01),T1123&gt;0,FLOOR(SUM(T1123),0.01)),""),""),"")</f>
        <v/>
      </c>
      <c r="W1123" s="317" t="str" cm="1">
        <f t="array" aca="1" ref="W1123" ca="1">IFERROR(_xlfn.IFS(OR(F1123="",LEFT(Methode_Keuze,4)="Geen",Methode_Keuze=""),"",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17" t="str" cm="1">
        <f t="array" aca="1" ref="X1123" ca="1">IFERROR(_xlfn.IFS(OR(F1123="",LEFT(Methode_Keuze,4)="Geen",Methode_Keuze=""),"",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26"/>
      <c r="Z1123" s="319"/>
      <c r="AA1123" s="32" t="str" cm="1">
        <f t="array" ref="AA1123">IFERROR(IF(INDEX(SubsidieTabel!$AD$1:$AG$12,MATCH($F1123,SubsidieTabel!$AD$1:$AD$12,0),IFERROR(MATCH(Methode_Keuze,SubsidieTabel!$AD$1:$AG$1,0),2))&lt;&gt;1=TRUE,"ja",""),"")</f>
        <v/>
      </c>
    </row>
    <row r="1124" spans="1:27" x14ac:dyDescent="0.25">
      <c r="A1124" s="320"/>
      <c r="B1124" s="321" t="str">
        <f>IF(A1124&lt;&gt;"",_xlfn.MAXIFS($B$1:B1123,$A$1:A1123,A1124)+1,"")</f>
        <v/>
      </c>
      <c r="C1124" s="299"/>
      <c r="D1124" s="299"/>
      <c r="E1124" s="299"/>
      <c r="F1124" s="299"/>
      <c r="G1124" s="330"/>
      <c r="H1124" s="328"/>
      <c r="I1124" s="329"/>
      <c r="J1124" s="329"/>
      <c r="K1124" s="322"/>
      <c r="L1124" s="322"/>
      <c r="M1124" s="323" t="str">
        <f>IFERROR(VLOOKUP(H1124,Lijsten!$H$1:$I$100,2,0),"")</f>
        <v/>
      </c>
      <c r="N1124" s="323" t="str">
        <f ca="1">IFERROR(IF(VLOOKUP(F1124,Kostentypen!$A$3:$E$21,3,0)=0,"",IF(OR(F1124="Arbeidskosten",F1124="Vergoeding"),VLOOKUP(G1124,Tb_KostenTypen[],2,0),VLOOKUP(F1124,Kostentypen!$A$3:$E$20,3,0))),"")</f>
        <v/>
      </c>
      <c r="O1124" s="324"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4"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3"/>
      <c r="R1124" s="363"/>
      <c r="S1124" s="325"/>
      <c r="T1124" s="325"/>
      <c r="U1124" s="317" t="str" cm="1">
        <f t="array" aca="1" ref="U1124" ca="1">IFERROR(IF(AA1124&lt;&gt;"ja",_xlfn.IFNA(_xlfn.IFS(AND(O1124&lt;&gt;"",F1124&lt;&gt;"",RIGHT($N1124,6)="tarief",F1124="Vergoeding"),SUM(O1124)*FLOOR(SUM(Q1124),0.0001),AND(O1124&lt;&gt;"",F1124&lt;&gt;"",RIGHT($N1124,6)="tarief"),SUM(O1124)*FLOOR(SUM(Q1124),0.01),S1124&gt;0,IF(F1124&lt;&gt;"",FLOOR(SUM(S1124),0.01),"")),""),""),"")</f>
        <v/>
      </c>
      <c r="V1124" s="317" t="str" cm="1">
        <f t="array" aca="1" ref="V1124" ca="1">IFERROR(IF(AA1124&lt;&gt;"ja",_xlfn.IFNA(_xlfn.IFS(AND(P1124&lt;&gt;"",R1124&lt;&gt;"",RIGHT($N1124,6)="tarief",F1124="Vergoeding"),SUM(P1124)*FLOOR(SUM(R1124),0.0001),AND(P1124&lt;&gt;"",R1124&lt;&gt;"",RIGHT($N1124,6)="tarief"),P1124*FLOOR(R1124,0.01),T1124&gt;0,FLOOR(SUM(T1124),0.01)),""),""),"")</f>
        <v/>
      </c>
      <c r="W1124" s="317" t="str" cm="1">
        <f t="array" aca="1" ref="W1124" ca="1">IFERROR(_xlfn.IFS(OR(F1124="",LEFT(Methode_Keuze,4)="Geen",Methode_Keuze=""),"",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17" t="str" cm="1">
        <f t="array" aca="1" ref="X1124" ca="1">IFERROR(_xlfn.IFS(OR(F1124="",LEFT(Methode_Keuze,4)="Geen",Methode_Keuze=""),"",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26"/>
      <c r="Z1124" s="319"/>
      <c r="AA1124" s="32" t="str" cm="1">
        <f t="array" ref="AA1124">IFERROR(IF(INDEX(SubsidieTabel!$AD$1:$AG$12,MATCH($F1124,SubsidieTabel!$AD$1:$AD$12,0),IFERROR(MATCH(Methode_Keuze,SubsidieTabel!$AD$1:$AG$1,0),2))&lt;&gt;1=TRUE,"ja",""),"")</f>
        <v/>
      </c>
    </row>
    <row r="1125" spans="1:27" x14ac:dyDescent="0.25">
      <c r="A1125" s="320"/>
      <c r="B1125" s="321" t="str">
        <f>IF(A1125&lt;&gt;"",_xlfn.MAXIFS($B$1:B1124,$A$1:A1124,A1125)+1,"")</f>
        <v/>
      </c>
      <c r="C1125" s="299"/>
      <c r="D1125" s="299"/>
      <c r="E1125" s="299"/>
      <c r="F1125" s="299"/>
      <c r="G1125" s="330"/>
      <c r="H1125" s="328"/>
      <c r="I1125" s="329"/>
      <c r="J1125" s="329"/>
      <c r="K1125" s="322"/>
      <c r="L1125" s="322"/>
      <c r="M1125" s="323" t="str">
        <f>IFERROR(VLOOKUP(H1125,Lijsten!$H$1:$I$100,2,0),"")</f>
        <v/>
      </c>
      <c r="N1125" s="323" t="str">
        <f ca="1">IFERROR(IF(VLOOKUP(F1125,Kostentypen!$A$3:$E$21,3,0)=0,"",IF(OR(F1125="Arbeidskosten",F1125="Vergoeding"),VLOOKUP(G1125,Tb_KostenTypen[],2,0),VLOOKUP(F1125,Kostentypen!$A$3:$E$20,3,0))),"")</f>
        <v/>
      </c>
      <c r="O1125" s="324"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4"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3"/>
      <c r="R1125" s="363"/>
      <c r="S1125" s="325"/>
      <c r="T1125" s="325"/>
      <c r="U1125" s="317" t="str" cm="1">
        <f t="array" aca="1" ref="U1125" ca="1">IFERROR(IF(AA1125&lt;&gt;"ja",_xlfn.IFNA(_xlfn.IFS(AND(O1125&lt;&gt;"",F1125&lt;&gt;"",RIGHT($N1125,6)="tarief",F1125="Vergoeding"),SUM(O1125)*FLOOR(SUM(Q1125),0.0001),AND(O1125&lt;&gt;"",F1125&lt;&gt;"",RIGHT($N1125,6)="tarief"),SUM(O1125)*FLOOR(SUM(Q1125),0.01),S1125&gt;0,IF(F1125&lt;&gt;"",FLOOR(SUM(S1125),0.01),"")),""),""),"")</f>
        <v/>
      </c>
      <c r="V1125" s="317" t="str" cm="1">
        <f t="array" aca="1" ref="V1125" ca="1">IFERROR(IF(AA1125&lt;&gt;"ja",_xlfn.IFNA(_xlfn.IFS(AND(P1125&lt;&gt;"",R1125&lt;&gt;"",RIGHT($N1125,6)="tarief",F1125="Vergoeding"),SUM(P1125)*FLOOR(SUM(R1125),0.0001),AND(P1125&lt;&gt;"",R1125&lt;&gt;"",RIGHT($N1125,6)="tarief"),P1125*FLOOR(R1125,0.01),T1125&gt;0,FLOOR(SUM(T1125),0.01)),""),""),"")</f>
        <v/>
      </c>
      <c r="W1125" s="317" t="str" cm="1">
        <f t="array" aca="1" ref="W1125" ca="1">IFERROR(_xlfn.IFS(OR(F1125="",LEFT(Methode_Keuze,4)="Geen",Methode_Keuze=""),"",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17" t="str" cm="1">
        <f t="array" aca="1" ref="X1125" ca="1">IFERROR(_xlfn.IFS(OR(F1125="",LEFT(Methode_Keuze,4)="Geen",Methode_Keuze=""),"",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26"/>
      <c r="Z1125" s="319"/>
      <c r="AA1125" s="32" t="str" cm="1">
        <f t="array" ref="AA1125">IFERROR(IF(INDEX(SubsidieTabel!$AD$1:$AG$12,MATCH($F1125,SubsidieTabel!$AD$1:$AD$12,0),IFERROR(MATCH(Methode_Keuze,SubsidieTabel!$AD$1:$AG$1,0),2))&lt;&gt;1=TRUE,"ja",""),"")</f>
        <v/>
      </c>
    </row>
    <row r="1126" spans="1:27" x14ac:dyDescent="0.25">
      <c r="A1126" s="320"/>
      <c r="B1126" s="321" t="str">
        <f>IF(A1126&lt;&gt;"",_xlfn.MAXIFS($B$1:B1125,$A$1:A1125,A1126)+1,"")</f>
        <v/>
      </c>
      <c r="C1126" s="299"/>
      <c r="D1126" s="299"/>
      <c r="E1126" s="299"/>
      <c r="F1126" s="299"/>
      <c r="G1126" s="330"/>
      <c r="H1126" s="328"/>
      <c r="I1126" s="329"/>
      <c r="J1126" s="329"/>
      <c r="K1126" s="322"/>
      <c r="L1126" s="322"/>
      <c r="M1126" s="323" t="str">
        <f>IFERROR(VLOOKUP(H1126,Lijsten!$H$1:$I$100,2,0),"")</f>
        <v/>
      </c>
      <c r="N1126" s="323" t="str">
        <f ca="1">IFERROR(IF(VLOOKUP(F1126,Kostentypen!$A$3:$E$21,3,0)=0,"",IF(OR(F1126="Arbeidskosten",F1126="Vergoeding"),VLOOKUP(G1126,Tb_KostenTypen[],2,0),VLOOKUP(F1126,Kostentypen!$A$3:$E$20,3,0))),"")</f>
        <v/>
      </c>
      <c r="O1126" s="324"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4"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3"/>
      <c r="R1126" s="363"/>
      <c r="S1126" s="325"/>
      <c r="T1126" s="325"/>
      <c r="U1126" s="317" t="str" cm="1">
        <f t="array" aca="1" ref="U1126" ca="1">IFERROR(IF(AA1126&lt;&gt;"ja",_xlfn.IFNA(_xlfn.IFS(AND(O1126&lt;&gt;"",F1126&lt;&gt;"",RIGHT($N1126,6)="tarief",F1126="Vergoeding"),SUM(O1126)*FLOOR(SUM(Q1126),0.0001),AND(O1126&lt;&gt;"",F1126&lt;&gt;"",RIGHT($N1126,6)="tarief"),SUM(O1126)*FLOOR(SUM(Q1126),0.01),S1126&gt;0,IF(F1126&lt;&gt;"",FLOOR(SUM(S1126),0.01),"")),""),""),"")</f>
        <v/>
      </c>
      <c r="V1126" s="317" t="str" cm="1">
        <f t="array" aca="1" ref="V1126" ca="1">IFERROR(IF(AA1126&lt;&gt;"ja",_xlfn.IFNA(_xlfn.IFS(AND(P1126&lt;&gt;"",R1126&lt;&gt;"",RIGHT($N1126,6)="tarief",F1126="Vergoeding"),SUM(P1126)*FLOOR(SUM(R1126),0.0001),AND(P1126&lt;&gt;"",R1126&lt;&gt;"",RIGHT($N1126,6)="tarief"),P1126*FLOOR(R1126,0.01),T1126&gt;0,FLOOR(SUM(T1126),0.01)),""),""),"")</f>
        <v/>
      </c>
      <c r="W1126" s="317" t="str" cm="1">
        <f t="array" aca="1" ref="W1126" ca="1">IFERROR(_xlfn.IFS(OR(F1126="",LEFT(Methode_Keuze,4)="Geen",Methode_Keuze=""),"",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17" t="str" cm="1">
        <f t="array" aca="1" ref="X1126" ca="1">IFERROR(_xlfn.IFS(OR(F1126="",LEFT(Methode_Keuze,4)="Geen",Methode_Keuze=""),"",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26"/>
      <c r="Z1126" s="319"/>
      <c r="AA1126" s="32" t="str" cm="1">
        <f t="array" ref="AA1126">IFERROR(IF(INDEX(SubsidieTabel!$AD$1:$AG$12,MATCH($F1126,SubsidieTabel!$AD$1:$AD$12,0),IFERROR(MATCH(Methode_Keuze,SubsidieTabel!$AD$1:$AG$1,0),2))&lt;&gt;1=TRUE,"ja",""),"")</f>
        <v/>
      </c>
    </row>
    <row r="1127" spans="1:27" x14ac:dyDescent="0.25">
      <c r="A1127" s="320"/>
      <c r="B1127" s="321" t="str">
        <f>IF(A1127&lt;&gt;"",_xlfn.MAXIFS($B$1:B1126,$A$1:A1126,A1127)+1,"")</f>
        <v/>
      </c>
      <c r="C1127" s="299"/>
      <c r="D1127" s="299"/>
      <c r="E1127" s="299"/>
      <c r="F1127" s="299"/>
      <c r="G1127" s="330"/>
      <c r="H1127" s="328"/>
      <c r="I1127" s="329"/>
      <c r="J1127" s="329"/>
      <c r="K1127" s="322"/>
      <c r="L1127" s="322"/>
      <c r="M1127" s="323" t="str">
        <f>IFERROR(VLOOKUP(H1127,Lijsten!$H$1:$I$100,2,0),"")</f>
        <v/>
      </c>
      <c r="N1127" s="323" t="str">
        <f ca="1">IFERROR(IF(VLOOKUP(F1127,Kostentypen!$A$3:$E$21,3,0)=0,"",IF(OR(F1127="Arbeidskosten",F1127="Vergoeding"),VLOOKUP(G1127,Tb_KostenTypen[],2,0),VLOOKUP(F1127,Kostentypen!$A$3:$E$20,3,0))),"")</f>
        <v/>
      </c>
      <c r="O1127" s="324"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4"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3"/>
      <c r="R1127" s="363"/>
      <c r="S1127" s="325"/>
      <c r="T1127" s="325"/>
      <c r="U1127" s="317" t="str" cm="1">
        <f t="array" aca="1" ref="U1127" ca="1">IFERROR(IF(AA1127&lt;&gt;"ja",_xlfn.IFNA(_xlfn.IFS(AND(O1127&lt;&gt;"",F1127&lt;&gt;"",RIGHT($N1127,6)="tarief",F1127="Vergoeding"),SUM(O1127)*FLOOR(SUM(Q1127),0.0001),AND(O1127&lt;&gt;"",F1127&lt;&gt;"",RIGHT($N1127,6)="tarief"),SUM(O1127)*FLOOR(SUM(Q1127),0.01),S1127&gt;0,IF(F1127&lt;&gt;"",FLOOR(SUM(S1127),0.01),"")),""),""),"")</f>
        <v/>
      </c>
      <c r="V1127" s="317" t="str" cm="1">
        <f t="array" aca="1" ref="V1127" ca="1">IFERROR(IF(AA1127&lt;&gt;"ja",_xlfn.IFNA(_xlfn.IFS(AND(P1127&lt;&gt;"",R1127&lt;&gt;"",RIGHT($N1127,6)="tarief",F1127="Vergoeding"),SUM(P1127)*FLOOR(SUM(R1127),0.0001),AND(P1127&lt;&gt;"",R1127&lt;&gt;"",RIGHT($N1127,6)="tarief"),P1127*FLOOR(R1127,0.01),T1127&gt;0,FLOOR(SUM(T1127),0.01)),""),""),"")</f>
        <v/>
      </c>
      <c r="W1127" s="317" t="str" cm="1">
        <f t="array" aca="1" ref="W1127" ca="1">IFERROR(_xlfn.IFS(OR(F1127="",LEFT(Methode_Keuze,4)="Geen",Methode_Keuze=""),"",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17" t="str" cm="1">
        <f t="array" aca="1" ref="X1127" ca="1">IFERROR(_xlfn.IFS(OR(F1127="",LEFT(Methode_Keuze,4)="Geen",Methode_Keuze=""),"",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26"/>
      <c r="Z1127" s="319"/>
      <c r="AA1127" s="32" t="str" cm="1">
        <f t="array" ref="AA1127">IFERROR(IF(INDEX(SubsidieTabel!$AD$1:$AG$12,MATCH($F1127,SubsidieTabel!$AD$1:$AD$12,0),IFERROR(MATCH(Methode_Keuze,SubsidieTabel!$AD$1:$AG$1,0),2))&lt;&gt;1=TRUE,"ja",""),"")</f>
        <v/>
      </c>
    </row>
    <row r="1128" spans="1:27" x14ac:dyDescent="0.25">
      <c r="A1128" s="320"/>
      <c r="B1128" s="321" t="str">
        <f>IF(A1128&lt;&gt;"",_xlfn.MAXIFS($B$1:B1127,$A$1:A1127,A1128)+1,"")</f>
        <v/>
      </c>
      <c r="C1128" s="299"/>
      <c r="D1128" s="299"/>
      <c r="E1128" s="299"/>
      <c r="F1128" s="299"/>
      <c r="G1128" s="330"/>
      <c r="H1128" s="328"/>
      <c r="I1128" s="329"/>
      <c r="J1128" s="329"/>
      <c r="K1128" s="322"/>
      <c r="L1128" s="322"/>
      <c r="M1128" s="323" t="str">
        <f>IFERROR(VLOOKUP(H1128,Lijsten!$H$1:$I$100,2,0),"")</f>
        <v/>
      </c>
      <c r="N1128" s="323" t="str">
        <f ca="1">IFERROR(IF(VLOOKUP(F1128,Kostentypen!$A$3:$E$21,3,0)=0,"",IF(OR(F1128="Arbeidskosten",F1128="Vergoeding"),VLOOKUP(G1128,Tb_KostenTypen[],2,0),VLOOKUP(F1128,Kostentypen!$A$3:$E$20,3,0))),"")</f>
        <v/>
      </c>
      <c r="O1128" s="324"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4"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3"/>
      <c r="R1128" s="363"/>
      <c r="S1128" s="325"/>
      <c r="T1128" s="325"/>
      <c r="U1128" s="317" t="str" cm="1">
        <f t="array" aca="1" ref="U1128" ca="1">IFERROR(IF(AA1128&lt;&gt;"ja",_xlfn.IFNA(_xlfn.IFS(AND(O1128&lt;&gt;"",F1128&lt;&gt;"",RIGHT($N1128,6)="tarief",F1128="Vergoeding"),SUM(O1128)*FLOOR(SUM(Q1128),0.0001),AND(O1128&lt;&gt;"",F1128&lt;&gt;"",RIGHT($N1128,6)="tarief"),SUM(O1128)*FLOOR(SUM(Q1128),0.01),S1128&gt;0,IF(F1128&lt;&gt;"",FLOOR(SUM(S1128),0.01),"")),""),""),"")</f>
        <v/>
      </c>
      <c r="V1128" s="317" t="str" cm="1">
        <f t="array" aca="1" ref="V1128" ca="1">IFERROR(IF(AA1128&lt;&gt;"ja",_xlfn.IFNA(_xlfn.IFS(AND(P1128&lt;&gt;"",R1128&lt;&gt;"",RIGHT($N1128,6)="tarief",F1128="Vergoeding"),SUM(P1128)*FLOOR(SUM(R1128),0.0001),AND(P1128&lt;&gt;"",R1128&lt;&gt;"",RIGHT($N1128,6)="tarief"),P1128*FLOOR(R1128,0.01),T1128&gt;0,FLOOR(SUM(T1128),0.01)),""),""),"")</f>
        <v/>
      </c>
      <c r="W1128" s="317" t="str" cm="1">
        <f t="array" aca="1" ref="W1128" ca="1">IFERROR(_xlfn.IFS(OR(F1128="",LEFT(Methode_Keuze,4)="Geen",Methode_Keuze=""),"",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17" t="str" cm="1">
        <f t="array" aca="1" ref="X1128" ca="1">IFERROR(_xlfn.IFS(OR(F1128="",LEFT(Methode_Keuze,4)="Geen",Methode_Keuze=""),"",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26"/>
      <c r="Z1128" s="319"/>
      <c r="AA1128" s="32" t="str" cm="1">
        <f t="array" ref="AA1128">IFERROR(IF(INDEX(SubsidieTabel!$AD$1:$AG$12,MATCH($F1128,SubsidieTabel!$AD$1:$AD$12,0),IFERROR(MATCH(Methode_Keuze,SubsidieTabel!$AD$1:$AG$1,0),2))&lt;&gt;1=TRUE,"ja",""),"")</f>
        <v/>
      </c>
    </row>
    <row r="1129" spans="1:27" x14ac:dyDescent="0.25">
      <c r="A1129" s="320"/>
      <c r="B1129" s="321" t="str">
        <f>IF(A1129&lt;&gt;"",_xlfn.MAXIFS($B$1:B1128,$A$1:A1128,A1129)+1,"")</f>
        <v/>
      </c>
      <c r="C1129" s="299"/>
      <c r="D1129" s="299"/>
      <c r="E1129" s="299"/>
      <c r="F1129" s="299"/>
      <c r="G1129" s="330"/>
      <c r="H1129" s="328"/>
      <c r="I1129" s="329"/>
      <c r="J1129" s="329"/>
      <c r="K1129" s="322"/>
      <c r="L1129" s="322"/>
      <c r="M1129" s="323" t="str">
        <f>IFERROR(VLOOKUP(H1129,Lijsten!$H$1:$I$100,2,0),"")</f>
        <v/>
      </c>
      <c r="N1129" s="323" t="str">
        <f ca="1">IFERROR(IF(VLOOKUP(F1129,Kostentypen!$A$3:$E$21,3,0)=0,"",IF(OR(F1129="Arbeidskosten",F1129="Vergoeding"),VLOOKUP(G1129,Tb_KostenTypen[],2,0),VLOOKUP(F1129,Kostentypen!$A$3:$E$20,3,0))),"")</f>
        <v/>
      </c>
      <c r="O1129" s="324"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4"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3"/>
      <c r="R1129" s="363"/>
      <c r="S1129" s="325"/>
      <c r="T1129" s="325"/>
      <c r="U1129" s="317" t="str" cm="1">
        <f t="array" aca="1" ref="U1129" ca="1">IFERROR(IF(AA1129&lt;&gt;"ja",_xlfn.IFNA(_xlfn.IFS(AND(O1129&lt;&gt;"",F1129&lt;&gt;"",RIGHT($N1129,6)="tarief",F1129="Vergoeding"),SUM(O1129)*FLOOR(SUM(Q1129),0.0001),AND(O1129&lt;&gt;"",F1129&lt;&gt;"",RIGHT($N1129,6)="tarief"),SUM(O1129)*FLOOR(SUM(Q1129),0.01),S1129&gt;0,IF(F1129&lt;&gt;"",FLOOR(SUM(S1129),0.01),"")),""),""),"")</f>
        <v/>
      </c>
      <c r="V1129" s="317" t="str" cm="1">
        <f t="array" aca="1" ref="V1129" ca="1">IFERROR(IF(AA1129&lt;&gt;"ja",_xlfn.IFNA(_xlfn.IFS(AND(P1129&lt;&gt;"",R1129&lt;&gt;"",RIGHT($N1129,6)="tarief",F1129="Vergoeding"),SUM(P1129)*FLOOR(SUM(R1129),0.0001),AND(P1129&lt;&gt;"",R1129&lt;&gt;"",RIGHT($N1129,6)="tarief"),P1129*FLOOR(R1129,0.01),T1129&gt;0,FLOOR(SUM(T1129),0.01)),""),""),"")</f>
        <v/>
      </c>
      <c r="W1129" s="317" t="str" cm="1">
        <f t="array" aca="1" ref="W1129" ca="1">IFERROR(_xlfn.IFS(OR(F1129="",LEFT(Methode_Keuze,4)="Geen",Methode_Keuze=""),"",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17" t="str" cm="1">
        <f t="array" aca="1" ref="X1129" ca="1">IFERROR(_xlfn.IFS(OR(F1129="",LEFT(Methode_Keuze,4)="Geen",Methode_Keuze=""),"",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26"/>
      <c r="Z1129" s="319"/>
      <c r="AA1129" s="32" t="str" cm="1">
        <f t="array" ref="AA1129">IFERROR(IF(INDEX(SubsidieTabel!$AD$1:$AG$12,MATCH($F1129,SubsidieTabel!$AD$1:$AD$12,0),IFERROR(MATCH(Methode_Keuze,SubsidieTabel!$AD$1:$AG$1,0),2))&lt;&gt;1=TRUE,"ja",""),"")</f>
        <v/>
      </c>
    </row>
    <row r="1130" spans="1:27" x14ac:dyDescent="0.25">
      <c r="A1130" s="320"/>
      <c r="B1130" s="321" t="str">
        <f>IF(A1130&lt;&gt;"",_xlfn.MAXIFS($B$1:B1129,$A$1:A1129,A1130)+1,"")</f>
        <v/>
      </c>
      <c r="C1130" s="299"/>
      <c r="D1130" s="299"/>
      <c r="E1130" s="299"/>
      <c r="F1130" s="299"/>
      <c r="G1130" s="330"/>
      <c r="H1130" s="328"/>
      <c r="I1130" s="329"/>
      <c r="J1130" s="329"/>
      <c r="K1130" s="322"/>
      <c r="L1130" s="322"/>
      <c r="M1130" s="323" t="str">
        <f>IFERROR(VLOOKUP(H1130,Lijsten!$H$1:$I$100,2,0),"")</f>
        <v/>
      </c>
      <c r="N1130" s="323" t="str">
        <f ca="1">IFERROR(IF(VLOOKUP(F1130,Kostentypen!$A$3:$E$21,3,0)=0,"",IF(OR(F1130="Arbeidskosten",F1130="Vergoeding"),VLOOKUP(G1130,Tb_KostenTypen[],2,0),VLOOKUP(F1130,Kostentypen!$A$3:$E$20,3,0))),"")</f>
        <v/>
      </c>
      <c r="O1130" s="324"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4"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3"/>
      <c r="R1130" s="363"/>
      <c r="S1130" s="325"/>
      <c r="T1130" s="325"/>
      <c r="U1130" s="317" t="str" cm="1">
        <f t="array" aca="1" ref="U1130" ca="1">IFERROR(IF(AA1130&lt;&gt;"ja",_xlfn.IFNA(_xlfn.IFS(AND(O1130&lt;&gt;"",F1130&lt;&gt;"",RIGHT($N1130,6)="tarief",F1130="Vergoeding"),SUM(O1130)*FLOOR(SUM(Q1130),0.0001),AND(O1130&lt;&gt;"",F1130&lt;&gt;"",RIGHT($N1130,6)="tarief"),SUM(O1130)*FLOOR(SUM(Q1130),0.01),S1130&gt;0,IF(F1130&lt;&gt;"",FLOOR(SUM(S1130),0.01),"")),""),""),"")</f>
        <v/>
      </c>
      <c r="V1130" s="317" t="str" cm="1">
        <f t="array" aca="1" ref="V1130" ca="1">IFERROR(IF(AA1130&lt;&gt;"ja",_xlfn.IFNA(_xlfn.IFS(AND(P1130&lt;&gt;"",R1130&lt;&gt;"",RIGHT($N1130,6)="tarief",F1130="Vergoeding"),SUM(P1130)*FLOOR(SUM(R1130),0.0001),AND(P1130&lt;&gt;"",R1130&lt;&gt;"",RIGHT($N1130,6)="tarief"),P1130*FLOOR(R1130,0.01),T1130&gt;0,FLOOR(SUM(T1130),0.01)),""),""),"")</f>
        <v/>
      </c>
      <c r="W1130" s="317" t="str" cm="1">
        <f t="array" aca="1" ref="W1130" ca="1">IFERROR(_xlfn.IFS(OR(F1130="",LEFT(Methode_Keuze,4)="Geen",Methode_Keuze=""),"",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17" t="str" cm="1">
        <f t="array" aca="1" ref="X1130" ca="1">IFERROR(_xlfn.IFS(OR(F1130="",LEFT(Methode_Keuze,4)="Geen",Methode_Keuze=""),"",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26"/>
      <c r="Z1130" s="319"/>
      <c r="AA1130" s="32" t="str" cm="1">
        <f t="array" ref="AA1130">IFERROR(IF(INDEX(SubsidieTabel!$AD$1:$AG$12,MATCH($F1130,SubsidieTabel!$AD$1:$AD$12,0),IFERROR(MATCH(Methode_Keuze,SubsidieTabel!$AD$1:$AG$1,0),2))&lt;&gt;1=TRUE,"ja",""),"")</f>
        <v/>
      </c>
    </row>
    <row r="1131" spans="1:27" x14ac:dyDescent="0.25">
      <c r="A1131" s="320"/>
      <c r="B1131" s="321" t="str">
        <f>IF(A1131&lt;&gt;"",_xlfn.MAXIFS($B$1:B1130,$A$1:A1130,A1131)+1,"")</f>
        <v/>
      </c>
      <c r="C1131" s="299"/>
      <c r="D1131" s="299"/>
      <c r="E1131" s="299"/>
      <c r="F1131" s="299"/>
      <c r="G1131" s="330"/>
      <c r="H1131" s="328"/>
      <c r="I1131" s="329"/>
      <c r="J1131" s="329"/>
      <c r="K1131" s="322"/>
      <c r="L1131" s="322"/>
      <c r="M1131" s="323" t="str">
        <f>IFERROR(VLOOKUP(H1131,Lijsten!$H$1:$I$100,2,0),"")</f>
        <v/>
      </c>
      <c r="N1131" s="323" t="str">
        <f ca="1">IFERROR(IF(VLOOKUP(F1131,Kostentypen!$A$3:$E$21,3,0)=0,"",IF(OR(F1131="Arbeidskosten",F1131="Vergoeding"),VLOOKUP(G1131,Tb_KostenTypen[],2,0),VLOOKUP(F1131,Kostentypen!$A$3:$E$20,3,0))),"")</f>
        <v/>
      </c>
      <c r="O1131" s="324"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4"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3"/>
      <c r="R1131" s="363"/>
      <c r="S1131" s="325"/>
      <c r="T1131" s="325"/>
      <c r="U1131" s="317" t="str" cm="1">
        <f t="array" aca="1" ref="U1131" ca="1">IFERROR(IF(AA1131&lt;&gt;"ja",_xlfn.IFNA(_xlfn.IFS(AND(O1131&lt;&gt;"",F1131&lt;&gt;"",RIGHT($N1131,6)="tarief",F1131="Vergoeding"),SUM(O1131)*FLOOR(SUM(Q1131),0.0001),AND(O1131&lt;&gt;"",F1131&lt;&gt;"",RIGHT($N1131,6)="tarief"),SUM(O1131)*FLOOR(SUM(Q1131),0.01),S1131&gt;0,IF(F1131&lt;&gt;"",FLOOR(SUM(S1131),0.01),"")),""),""),"")</f>
        <v/>
      </c>
      <c r="V1131" s="317" t="str" cm="1">
        <f t="array" aca="1" ref="V1131" ca="1">IFERROR(IF(AA1131&lt;&gt;"ja",_xlfn.IFNA(_xlfn.IFS(AND(P1131&lt;&gt;"",R1131&lt;&gt;"",RIGHT($N1131,6)="tarief",F1131="Vergoeding"),SUM(P1131)*FLOOR(SUM(R1131),0.0001),AND(P1131&lt;&gt;"",R1131&lt;&gt;"",RIGHT($N1131,6)="tarief"),P1131*FLOOR(R1131,0.01),T1131&gt;0,FLOOR(SUM(T1131),0.01)),""),""),"")</f>
        <v/>
      </c>
      <c r="W1131" s="317" t="str" cm="1">
        <f t="array" aca="1" ref="W1131" ca="1">IFERROR(_xlfn.IFS(OR(F1131="",LEFT(Methode_Keuze,4)="Geen",Methode_Keuze=""),"",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17" t="str" cm="1">
        <f t="array" aca="1" ref="X1131" ca="1">IFERROR(_xlfn.IFS(OR(F1131="",LEFT(Methode_Keuze,4)="Geen",Methode_Keuze=""),"",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26"/>
      <c r="Z1131" s="319"/>
      <c r="AA1131" s="32" t="str" cm="1">
        <f t="array" ref="AA1131">IFERROR(IF(INDEX(SubsidieTabel!$AD$1:$AG$12,MATCH($F1131,SubsidieTabel!$AD$1:$AD$12,0),IFERROR(MATCH(Methode_Keuze,SubsidieTabel!$AD$1:$AG$1,0),2))&lt;&gt;1=TRUE,"ja",""),"")</f>
        <v/>
      </c>
    </row>
    <row r="1132" spans="1:27" x14ac:dyDescent="0.25">
      <c r="A1132" s="320"/>
      <c r="B1132" s="321" t="str">
        <f>IF(A1132&lt;&gt;"",_xlfn.MAXIFS($B$1:B1131,$A$1:A1131,A1132)+1,"")</f>
        <v/>
      </c>
      <c r="C1132" s="299"/>
      <c r="D1132" s="299"/>
      <c r="E1132" s="299"/>
      <c r="F1132" s="299"/>
      <c r="G1132" s="330"/>
      <c r="H1132" s="328"/>
      <c r="I1132" s="329"/>
      <c r="J1132" s="329"/>
      <c r="K1132" s="322"/>
      <c r="L1132" s="322"/>
      <c r="M1132" s="323" t="str">
        <f>IFERROR(VLOOKUP(H1132,Lijsten!$H$1:$I$100,2,0),"")</f>
        <v/>
      </c>
      <c r="N1132" s="323" t="str">
        <f ca="1">IFERROR(IF(VLOOKUP(F1132,Kostentypen!$A$3:$E$21,3,0)=0,"",IF(OR(F1132="Arbeidskosten",F1132="Vergoeding"),VLOOKUP(G1132,Tb_KostenTypen[],2,0),VLOOKUP(F1132,Kostentypen!$A$3:$E$20,3,0))),"")</f>
        <v/>
      </c>
      <c r="O1132" s="324"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4"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3"/>
      <c r="R1132" s="363"/>
      <c r="S1132" s="325"/>
      <c r="T1132" s="325"/>
      <c r="U1132" s="317" t="str" cm="1">
        <f t="array" aca="1" ref="U1132" ca="1">IFERROR(IF(AA1132&lt;&gt;"ja",_xlfn.IFNA(_xlfn.IFS(AND(O1132&lt;&gt;"",F1132&lt;&gt;"",RIGHT($N1132,6)="tarief",F1132="Vergoeding"),SUM(O1132)*FLOOR(SUM(Q1132),0.0001),AND(O1132&lt;&gt;"",F1132&lt;&gt;"",RIGHT($N1132,6)="tarief"),SUM(O1132)*FLOOR(SUM(Q1132),0.01),S1132&gt;0,IF(F1132&lt;&gt;"",FLOOR(SUM(S1132),0.01),"")),""),""),"")</f>
        <v/>
      </c>
      <c r="V1132" s="317" t="str" cm="1">
        <f t="array" aca="1" ref="V1132" ca="1">IFERROR(IF(AA1132&lt;&gt;"ja",_xlfn.IFNA(_xlfn.IFS(AND(P1132&lt;&gt;"",R1132&lt;&gt;"",RIGHT($N1132,6)="tarief",F1132="Vergoeding"),SUM(P1132)*FLOOR(SUM(R1132),0.0001),AND(P1132&lt;&gt;"",R1132&lt;&gt;"",RIGHT($N1132,6)="tarief"),P1132*FLOOR(R1132,0.01),T1132&gt;0,FLOOR(SUM(T1132),0.01)),""),""),"")</f>
        <v/>
      </c>
      <c r="W1132" s="317" t="str" cm="1">
        <f t="array" aca="1" ref="W1132" ca="1">IFERROR(_xlfn.IFS(OR(F1132="",LEFT(Methode_Keuze,4)="Geen",Methode_Keuze=""),"",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17" t="str" cm="1">
        <f t="array" aca="1" ref="X1132" ca="1">IFERROR(_xlfn.IFS(OR(F1132="",LEFT(Methode_Keuze,4)="Geen",Methode_Keuze=""),"",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26"/>
      <c r="Z1132" s="319"/>
      <c r="AA1132" s="32" t="str" cm="1">
        <f t="array" ref="AA1132">IFERROR(IF(INDEX(SubsidieTabel!$AD$1:$AG$12,MATCH($F1132,SubsidieTabel!$AD$1:$AD$12,0),IFERROR(MATCH(Methode_Keuze,SubsidieTabel!$AD$1:$AG$1,0),2))&lt;&gt;1=TRUE,"ja",""),"")</f>
        <v/>
      </c>
    </row>
    <row r="1133" spans="1:27" x14ac:dyDescent="0.25">
      <c r="A1133" s="320"/>
      <c r="B1133" s="321" t="str">
        <f>IF(A1133&lt;&gt;"",_xlfn.MAXIFS($B$1:B1132,$A$1:A1132,A1133)+1,"")</f>
        <v/>
      </c>
      <c r="C1133" s="299"/>
      <c r="D1133" s="299"/>
      <c r="E1133" s="299"/>
      <c r="F1133" s="299"/>
      <c r="G1133" s="330"/>
      <c r="H1133" s="328"/>
      <c r="I1133" s="329"/>
      <c r="J1133" s="329"/>
      <c r="K1133" s="322"/>
      <c r="L1133" s="322"/>
      <c r="M1133" s="323" t="str">
        <f>IFERROR(VLOOKUP(H1133,Lijsten!$H$1:$I$100,2,0),"")</f>
        <v/>
      </c>
      <c r="N1133" s="323" t="str">
        <f ca="1">IFERROR(IF(VLOOKUP(F1133,Kostentypen!$A$3:$E$21,3,0)=0,"",IF(OR(F1133="Arbeidskosten",F1133="Vergoeding"),VLOOKUP(G1133,Tb_KostenTypen[],2,0),VLOOKUP(F1133,Kostentypen!$A$3:$E$20,3,0))),"")</f>
        <v/>
      </c>
      <c r="O1133" s="324"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4"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3"/>
      <c r="R1133" s="363"/>
      <c r="S1133" s="325"/>
      <c r="T1133" s="325"/>
      <c r="U1133" s="317" t="str" cm="1">
        <f t="array" aca="1" ref="U1133" ca="1">IFERROR(IF(AA1133&lt;&gt;"ja",_xlfn.IFNA(_xlfn.IFS(AND(O1133&lt;&gt;"",F1133&lt;&gt;"",RIGHT($N1133,6)="tarief",F1133="Vergoeding"),SUM(O1133)*FLOOR(SUM(Q1133),0.0001),AND(O1133&lt;&gt;"",F1133&lt;&gt;"",RIGHT($N1133,6)="tarief"),SUM(O1133)*FLOOR(SUM(Q1133),0.01),S1133&gt;0,IF(F1133&lt;&gt;"",FLOOR(SUM(S1133),0.01),"")),""),""),"")</f>
        <v/>
      </c>
      <c r="V1133" s="317" t="str" cm="1">
        <f t="array" aca="1" ref="V1133" ca="1">IFERROR(IF(AA1133&lt;&gt;"ja",_xlfn.IFNA(_xlfn.IFS(AND(P1133&lt;&gt;"",R1133&lt;&gt;"",RIGHT($N1133,6)="tarief",F1133="Vergoeding"),SUM(P1133)*FLOOR(SUM(R1133),0.0001),AND(P1133&lt;&gt;"",R1133&lt;&gt;"",RIGHT($N1133,6)="tarief"),P1133*FLOOR(R1133,0.01),T1133&gt;0,FLOOR(SUM(T1133),0.01)),""),""),"")</f>
        <v/>
      </c>
      <c r="W1133" s="317" t="str" cm="1">
        <f t="array" aca="1" ref="W1133" ca="1">IFERROR(_xlfn.IFS(OR(F1133="",LEFT(Methode_Keuze,4)="Geen",Methode_Keuze=""),"",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17" t="str" cm="1">
        <f t="array" aca="1" ref="X1133" ca="1">IFERROR(_xlfn.IFS(OR(F1133="",LEFT(Methode_Keuze,4)="Geen",Methode_Keuze=""),"",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26"/>
      <c r="Z1133" s="319"/>
      <c r="AA1133" s="32" t="str" cm="1">
        <f t="array" ref="AA1133">IFERROR(IF(INDEX(SubsidieTabel!$AD$1:$AG$12,MATCH($F1133,SubsidieTabel!$AD$1:$AD$12,0),IFERROR(MATCH(Methode_Keuze,SubsidieTabel!$AD$1:$AG$1,0),2))&lt;&gt;1=TRUE,"ja",""),"")</f>
        <v/>
      </c>
    </row>
    <row r="1134" spans="1:27" x14ac:dyDescent="0.25">
      <c r="A1134" s="320"/>
      <c r="B1134" s="321" t="str">
        <f>IF(A1134&lt;&gt;"",_xlfn.MAXIFS($B$1:B1133,$A$1:A1133,A1134)+1,"")</f>
        <v/>
      </c>
      <c r="C1134" s="299"/>
      <c r="D1134" s="299"/>
      <c r="E1134" s="299"/>
      <c r="F1134" s="299"/>
      <c r="G1134" s="330"/>
      <c r="H1134" s="328"/>
      <c r="I1134" s="329"/>
      <c r="J1134" s="329"/>
      <c r="K1134" s="322"/>
      <c r="L1134" s="322"/>
      <c r="M1134" s="323" t="str">
        <f>IFERROR(VLOOKUP(H1134,Lijsten!$H$1:$I$100,2,0),"")</f>
        <v/>
      </c>
      <c r="N1134" s="323" t="str">
        <f ca="1">IFERROR(IF(VLOOKUP(F1134,Kostentypen!$A$3:$E$21,3,0)=0,"",IF(OR(F1134="Arbeidskosten",F1134="Vergoeding"),VLOOKUP(G1134,Tb_KostenTypen[],2,0),VLOOKUP(F1134,Kostentypen!$A$3:$E$20,3,0))),"")</f>
        <v/>
      </c>
      <c r="O1134" s="324"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4"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3"/>
      <c r="R1134" s="363"/>
      <c r="S1134" s="325"/>
      <c r="T1134" s="325"/>
      <c r="U1134" s="317" t="str" cm="1">
        <f t="array" aca="1" ref="U1134" ca="1">IFERROR(IF(AA1134&lt;&gt;"ja",_xlfn.IFNA(_xlfn.IFS(AND(O1134&lt;&gt;"",F1134&lt;&gt;"",RIGHT($N1134,6)="tarief",F1134="Vergoeding"),SUM(O1134)*FLOOR(SUM(Q1134),0.0001),AND(O1134&lt;&gt;"",F1134&lt;&gt;"",RIGHT($N1134,6)="tarief"),SUM(O1134)*FLOOR(SUM(Q1134),0.01),S1134&gt;0,IF(F1134&lt;&gt;"",FLOOR(SUM(S1134),0.01),"")),""),""),"")</f>
        <v/>
      </c>
      <c r="V1134" s="317" t="str" cm="1">
        <f t="array" aca="1" ref="V1134" ca="1">IFERROR(IF(AA1134&lt;&gt;"ja",_xlfn.IFNA(_xlfn.IFS(AND(P1134&lt;&gt;"",R1134&lt;&gt;"",RIGHT($N1134,6)="tarief",F1134="Vergoeding"),SUM(P1134)*FLOOR(SUM(R1134),0.0001),AND(P1134&lt;&gt;"",R1134&lt;&gt;"",RIGHT($N1134,6)="tarief"),P1134*FLOOR(R1134,0.01),T1134&gt;0,FLOOR(SUM(T1134),0.01)),""),""),"")</f>
        <v/>
      </c>
      <c r="W1134" s="317" t="str" cm="1">
        <f t="array" aca="1" ref="W1134" ca="1">IFERROR(_xlfn.IFS(OR(F1134="",LEFT(Methode_Keuze,4)="Geen",Methode_Keuze=""),"",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17" t="str" cm="1">
        <f t="array" aca="1" ref="X1134" ca="1">IFERROR(_xlfn.IFS(OR(F1134="",LEFT(Methode_Keuze,4)="Geen",Methode_Keuze=""),"",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26"/>
      <c r="Z1134" s="319"/>
      <c r="AA1134" s="32" t="str" cm="1">
        <f t="array" ref="AA1134">IFERROR(IF(INDEX(SubsidieTabel!$AD$1:$AG$12,MATCH($F1134,SubsidieTabel!$AD$1:$AD$12,0),IFERROR(MATCH(Methode_Keuze,SubsidieTabel!$AD$1:$AG$1,0),2))&lt;&gt;1=TRUE,"ja",""),"")</f>
        <v/>
      </c>
    </row>
    <row r="1135" spans="1:27" x14ac:dyDescent="0.25">
      <c r="A1135" s="320"/>
      <c r="B1135" s="321" t="str">
        <f>IF(A1135&lt;&gt;"",_xlfn.MAXIFS($B$1:B1134,$A$1:A1134,A1135)+1,"")</f>
        <v/>
      </c>
      <c r="C1135" s="299"/>
      <c r="D1135" s="299"/>
      <c r="E1135" s="299"/>
      <c r="F1135" s="299"/>
      <c r="G1135" s="330"/>
      <c r="H1135" s="328"/>
      <c r="I1135" s="329"/>
      <c r="J1135" s="329"/>
      <c r="K1135" s="322"/>
      <c r="L1135" s="322"/>
      <c r="M1135" s="323" t="str">
        <f>IFERROR(VLOOKUP(H1135,Lijsten!$H$1:$I$100,2,0),"")</f>
        <v/>
      </c>
      <c r="N1135" s="323" t="str">
        <f ca="1">IFERROR(IF(VLOOKUP(F1135,Kostentypen!$A$3:$E$21,3,0)=0,"",IF(OR(F1135="Arbeidskosten",F1135="Vergoeding"),VLOOKUP(G1135,Tb_KostenTypen[],2,0),VLOOKUP(F1135,Kostentypen!$A$3:$E$20,3,0))),"")</f>
        <v/>
      </c>
      <c r="O1135" s="324"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4"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3"/>
      <c r="R1135" s="363"/>
      <c r="S1135" s="325"/>
      <c r="T1135" s="325"/>
      <c r="U1135" s="317" t="str" cm="1">
        <f t="array" aca="1" ref="U1135" ca="1">IFERROR(IF(AA1135&lt;&gt;"ja",_xlfn.IFNA(_xlfn.IFS(AND(O1135&lt;&gt;"",F1135&lt;&gt;"",RIGHT($N1135,6)="tarief",F1135="Vergoeding"),SUM(O1135)*FLOOR(SUM(Q1135),0.0001),AND(O1135&lt;&gt;"",F1135&lt;&gt;"",RIGHT($N1135,6)="tarief"),SUM(O1135)*FLOOR(SUM(Q1135),0.01),S1135&gt;0,IF(F1135&lt;&gt;"",FLOOR(SUM(S1135),0.01),"")),""),""),"")</f>
        <v/>
      </c>
      <c r="V1135" s="317" t="str" cm="1">
        <f t="array" aca="1" ref="V1135" ca="1">IFERROR(IF(AA1135&lt;&gt;"ja",_xlfn.IFNA(_xlfn.IFS(AND(P1135&lt;&gt;"",R1135&lt;&gt;"",RIGHT($N1135,6)="tarief",F1135="Vergoeding"),SUM(P1135)*FLOOR(SUM(R1135),0.0001),AND(P1135&lt;&gt;"",R1135&lt;&gt;"",RIGHT($N1135,6)="tarief"),P1135*FLOOR(R1135,0.01),T1135&gt;0,FLOOR(SUM(T1135),0.01)),""),""),"")</f>
        <v/>
      </c>
      <c r="W1135" s="317" t="str" cm="1">
        <f t="array" aca="1" ref="W1135" ca="1">IFERROR(_xlfn.IFS(OR(F1135="",LEFT(Methode_Keuze,4)="Geen",Methode_Keuze=""),"",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17" t="str" cm="1">
        <f t="array" aca="1" ref="X1135" ca="1">IFERROR(_xlfn.IFS(OR(F1135="",LEFT(Methode_Keuze,4)="Geen",Methode_Keuze=""),"",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26"/>
      <c r="Z1135" s="319"/>
      <c r="AA1135" s="32" t="str" cm="1">
        <f t="array" ref="AA1135">IFERROR(IF(INDEX(SubsidieTabel!$AD$1:$AG$12,MATCH($F1135,SubsidieTabel!$AD$1:$AD$12,0),IFERROR(MATCH(Methode_Keuze,SubsidieTabel!$AD$1:$AG$1,0),2))&lt;&gt;1=TRUE,"ja",""),"")</f>
        <v/>
      </c>
    </row>
    <row r="1136" spans="1:27" x14ac:dyDescent="0.25">
      <c r="A1136" s="320"/>
      <c r="B1136" s="321" t="str">
        <f>IF(A1136&lt;&gt;"",_xlfn.MAXIFS($B$1:B1135,$A$1:A1135,A1136)+1,"")</f>
        <v/>
      </c>
      <c r="C1136" s="299"/>
      <c r="D1136" s="299"/>
      <c r="E1136" s="299"/>
      <c r="F1136" s="299"/>
      <c r="G1136" s="330"/>
      <c r="H1136" s="328"/>
      <c r="I1136" s="329"/>
      <c r="J1136" s="329"/>
      <c r="K1136" s="322"/>
      <c r="L1136" s="322"/>
      <c r="M1136" s="323" t="str">
        <f>IFERROR(VLOOKUP(H1136,Lijsten!$H$1:$I$100,2,0),"")</f>
        <v/>
      </c>
      <c r="N1136" s="323" t="str">
        <f ca="1">IFERROR(IF(VLOOKUP(F1136,Kostentypen!$A$3:$E$21,3,0)=0,"",IF(OR(F1136="Arbeidskosten",F1136="Vergoeding"),VLOOKUP(G1136,Tb_KostenTypen[],2,0),VLOOKUP(F1136,Kostentypen!$A$3:$E$20,3,0))),"")</f>
        <v/>
      </c>
      <c r="O1136" s="324"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4"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3"/>
      <c r="R1136" s="363"/>
      <c r="S1136" s="325"/>
      <c r="T1136" s="325"/>
      <c r="U1136" s="317" t="str" cm="1">
        <f t="array" aca="1" ref="U1136" ca="1">IFERROR(IF(AA1136&lt;&gt;"ja",_xlfn.IFNA(_xlfn.IFS(AND(O1136&lt;&gt;"",F1136&lt;&gt;"",RIGHT($N1136,6)="tarief",F1136="Vergoeding"),SUM(O1136)*FLOOR(SUM(Q1136),0.0001),AND(O1136&lt;&gt;"",F1136&lt;&gt;"",RIGHT($N1136,6)="tarief"),SUM(O1136)*FLOOR(SUM(Q1136),0.01),S1136&gt;0,IF(F1136&lt;&gt;"",FLOOR(SUM(S1136),0.01),"")),""),""),"")</f>
        <v/>
      </c>
      <c r="V1136" s="317" t="str" cm="1">
        <f t="array" aca="1" ref="V1136" ca="1">IFERROR(IF(AA1136&lt;&gt;"ja",_xlfn.IFNA(_xlfn.IFS(AND(P1136&lt;&gt;"",R1136&lt;&gt;"",RIGHT($N1136,6)="tarief",F1136="Vergoeding"),SUM(P1136)*FLOOR(SUM(R1136),0.0001),AND(P1136&lt;&gt;"",R1136&lt;&gt;"",RIGHT($N1136,6)="tarief"),P1136*FLOOR(R1136,0.01),T1136&gt;0,FLOOR(SUM(T1136),0.01)),""),""),"")</f>
        <v/>
      </c>
      <c r="W1136" s="317" t="str" cm="1">
        <f t="array" aca="1" ref="W1136" ca="1">IFERROR(_xlfn.IFS(OR(F1136="",LEFT(Methode_Keuze,4)="Geen",Methode_Keuze=""),"",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17" t="str" cm="1">
        <f t="array" aca="1" ref="X1136" ca="1">IFERROR(_xlfn.IFS(OR(F1136="",LEFT(Methode_Keuze,4)="Geen",Methode_Keuze=""),"",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26"/>
      <c r="Z1136" s="319"/>
      <c r="AA1136" s="32" t="str" cm="1">
        <f t="array" ref="AA1136">IFERROR(IF(INDEX(SubsidieTabel!$AD$1:$AG$12,MATCH($F1136,SubsidieTabel!$AD$1:$AD$12,0),IFERROR(MATCH(Methode_Keuze,SubsidieTabel!$AD$1:$AG$1,0),2))&lt;&gt;1=TRUE,"ja",""),"")</f>
        <v/>
      </c>
    </row>
    <row r="1137" spans="1:27" x14ac:dyDescent="0.25">
      <c r="A1137" s="320"/>
      <c r="B1137" s="321" t="str">
        <f>IF(A1137&lt;&gt;"",_xlfn.MAXIFS($B$1:B1136,$A$1:A1136,A1137)+1,"")</f>
        <v/>
      </c>
      <c r="C1137" s="299"/>
      <c r="D1137" s="299"/>
      <c r="E1137" s="299"/>
      <c r="F1137" s="299"/>
      <c r="G1137" s="330"/>
      <c r="H1137" s="328"/>
      <c r="I1137" s="329"/>
      <c r="J1137" s="329"/>
      <c r="K1137" s="322"/>
      <c r="L1137" s="322"/>
      <c r="M1137" s="323" t="str">
        <f>IFERROR(VLOOKUP(H1137,Lijsten!$H$1:$I$100,2,0),"")</f>
        <v/>
      </c>
      <c r="N1137" s="323" t="str">
        <f ca="1">IFERROR(IF(VLOOKUP(F1137,Kostentypen!$A$3:$E$21,3,0)=0,"",IF(OR(F1137="Arbeidskosten",F1137="Vergoeding"),VLOOKUP(G1137,Tb_KostenTypen[],2,0),VLOOKUP(F1137,Kostentypen!$A$3:$E$20,3,0))),"")</f>
        <v/>
      </c>
      <c r="O1137" s="324"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4"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3"/>
      <c r="R1137" s="363"/>
      <c r="S1137" s="325"/>
      <c r="T1137" s="325"/>
      <c r="U1137" s="317" t="str" cm="1">
        <f t="array" aca="1" ref="U1137" ca="1">IFERROR(IF(AA1137&lt;&gt;"ja",_xlfn.IFNA(_xlfn.IFS(AND(O1137&lt;&gt;"",F1137&lt;&gt;"",RIGHT($N1137,6)="tarief",F1137="Vergoeding"),SUM(O1137)*FLOOR(SUM(Q1137),0.0001),AND(O1137&lt;&gt;"",F1137&lt;&gt;"",RIGHT($N1137,6)="tarief"),SUM(O1137)*FLOOR(SUM(Q1137),0.01),S1137&gt;0,IF(F1137&lt;&gt;"",FLOOR(SUM(S1137),0.01),"")),""),""),"")</f>
        <v/>
      </c>
      <c r="V1137" s="317" t="str" cm="1">
        <f t="array" aca="1" ref="V1137" ca="1">IFERROR(IF(AA1137&lt;&gt;"ja",_xlfn.IFNA(_xlfn.IFS(AND(P1137&lt;&gt;"",R1137&lt;&gt;"",RIGHT($N1137,6)="tarief",F1137="Vergoeding"),SUM(P1137)*FLOOR(SUM(R1137),0.0001),AND(P1137&lt;&gt;"",R1137&lt;&gt;"",RIGHT($N1137,6)="tarief"),P1137*FLOOR(R1137,0.01),T1137&gt;0,FLOOR(SUM(T1137),0.01)),""),""),"")</f>
        <v/>
      </c>
      <c r="W1137" s="317" t="str" cm="1">
        <f t="array" aca="1" ref="W1137" ca="1">IFERROR(_xlfn.IFS(OR(F1137="",LEFT(Methode_Keuze,4)="Geen",Methode_Keuze=""),"",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17" t="str" cm="1">
        <f t="array" aca="1" ref="X1137" ca="1">IFERROR(_xlfn.IFS(OR(F1137="",LEFT(Methode_Keuze,4)="Geen",Methode_Keuze=""),"",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26"/>
      <c r="Z1137" s="319"/>
      <c r="AA1137" s="32" t="str" cm="1">
        <f t="array" ref="AA1137">IFERROR(IF(INDEX(SubsidieTabel!$AD$1:$AG$12,MATCH($F1137,SubsidieTabel!$AD$1:$AD$12,0),IFERROR(MATCH(Methode_Keuze,SubsidieTabel!$AD$1:$AG$1,0),2))&lt;&gt;1=TRUE,"ja",""),"")</f>
        <v/>
      </c>
    </row>
    <row r="1138" spans="1:27" x14ac:dyDescent="0.25">
      <c r="A1138" s="320"/>
      <c r="B1138" s="321" t="str">
        <f>IF(A1138&lt;&gt;"",_xlfn.MAXIFS($B$1:B1137,$A$1:A1137,A1138)+1,"")</f>
        <v/>
      </c>
      <c r="C1138" s="299"/>
      <c r="D1138" s="299"/>
      <c r="E1138" s="299"/>
      <c r="F1138" s="299"/>
      <c r="G1138" s="330"/>
      <c r="H1138" s="328"/>
      <c r="I1138" s="329"/>
      <c r="J1138" s="329"/>
      <c r="K1138" s="322"/>
      <c r="L1138" s="322"/>
      <c r="M1138" s="323" t="str">
        <f>IFERROR(VLOOKUP(H1138,Lijsten!$H$1:$I$100,2,0),"")</f>
        <v/>
      </c>
      <c r="N1138" s="323" t="str">
        <f ca="1">IFERROR(IF(VLOOKUP(F1138,Kostentypen!$A$3:$E$21,3,0)=0,"",IF(OR(F1138="Arbeidskosten",F1138="Vergoeding"),VLOOKUP(G1138,Tb_KostenTypen[],2,0),VLOOKUP(F1138,Kostentypen!$A$3:$E$20,3,0))),"")</f>
        <v/>
      </c>
      <c r="O1138" s="324"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4"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3"/>
      <c r="R1138" s="363"/>
      <c r="S1138" s="325"/>
      <c r="T1138" s="325"/>
      <c r="U1138" s="317" t="str" cm="1">
        <f t="array" aca="1" ref="U1138" ca="1">IFERROR(IF(AA1138&lt;&gt;"ja",_xlfn.IFNA(_xlfn.IFS(AND(O1138&lt;&gt;"",F1138&lt;&gt;"",RIGHT($N1138,6)="tarief",F1138="Vergoeding"),SUM(O1138)*FLOOR(SUM(Q1138),0.0001),AND(O1138&lt;&gt;"",F1138&lt;&gt;"",RIGHT($N1138,6)="tarief"),SUM(O1138)*FLOOR(SUM(Q1138),0.01),S1138&gt;0,IF(F1138&lt;&gt;"",FLOOR(SUM(S1138),0.01),"")),""),""),"")</f>
        <v/>
      </c>
      <c r="V1138" s="317" t="str" cm="1">
        <f t="array" aca="1" ref="V1138" ca="1">IFERROR(IF(AA1138&lt;&gt;"ja",_xlfn.IFNA(_xlfn.IFS(AND(P1138&lt;&gt;"",R1138&lt;&gt;"",RIGHT($N1138,6)="tarief",F1138="Vergoeding"),SUM(P1138)*FLOOR(SUM(R1138),0.0001),AND(P1138&lt;&gt;"",R1138&lt;&gt;"",RIGHT($N1138,6)="tarief"),P1138*FLOOR(R1138,0.01),T1138&gt;0,FLOOR(SUM(T1138),0.01)),""),""),"")</f>
        <v/>
      </c>
      <c r="W1138" s="317" t="str" cm="1">
        <f t="array" aca="1" ref="W1138" ca="1">IFERROR(_xlfn.IFS(OR(F1138="",LEFT(Methode_Keuze,4)="Geen",Methode_Keuze=""),"",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17" t="str" cm="1">
        <f t="array" aca="1" ref="X1138" ca="1">IFERROR(_xlfn.IFS(OR(F1138="",LEFT(Methode_Keuze,4)="Geen",Methode_Keuze=""),"",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26"/>
      <c r="Z1138" s="319"/>
      <c r="AA1138" s="32" t="str" cm="1">
        <f t="array" ref="AA1138">IFERROR(IF(INDEX(SubsidieTabel!$AD$1:$AG$12,MATCH($F1138,SubsidieTabel!$AD$1:$AD$12,0),IFERROR(MATCH(Methode_Keuze,SubsidieTabel!$AD$1:$AG$1,0),2))&lt;&gt;1=TRUE,"ja",""),"")</f>
        <v/>
      </c>
    </row>
    <row r="1139" spans="1:27" x14ac:dyDescent="0.25">
      <c r="A1139" s="320"/>
      <c r="B1139" s="321" t="str">
        <f>IF(A1139&lt;&gt;"",_xlfn.MAXIFS($B$1:B1138,$A$1:A1138,A1139)+1,"")</f>
        <v/>
      </c>
      <c r="C1139" s="299"/>
      <c r="D1139" s="299"/>
      <c r="E1139" s="299"/>
      <c r="F1139" s="299"/>
      <c r="G1139" s="330"/>
      <c r="H1139" s="328"/>
      <c r="I1139" s="329"/>
      <c r="J1139" s="329"/>
      <c r="K1139" s="322"/>
      <c r="L1139" s="322"/>
      <c r="M1139" s="323" t="str">
        <f>IFERROR(VLOOKUP(H1139,Lijsten!$H$1:$I$100,2,0),"")</f>
        <v/>
      </c>
      <c r="N1139" s="323" t="str">
        <f ca="1">IFERROR(IF(VLOOKUP(F1139,Kostentypen!$A$3:$E$21,3,0)=0,"",IF(OR(F1139="Arbeidskosten",F1139="Vergoeding"),VLOOKUP(G1139,Tb_KostenTypen[],2,0),VLOOKUP(F1139,Kostentypen!$A$3:$E$20,3,0))),"")</f>
        <v/>
      </c>
      <c r="O1139" s="324"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4"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3"/>
      <c r="R1139" s="363"/>
      <c r="S1139" s="325"/>
      <c r="T1139" s="325"/>
      <c r="U1139" s="317" t="str" cm="1">
        <f t="array" aca="1" ref="U1139" ca="1">IFERROR(IF(AA1139&lt;&gt;"ja",_xlfn.IFNA(_xlfn.IFS(AND(O1139&lt;&gt;"",F1139&lt;&gt;"",RIGHT($N1139,6)="tarief",F1139="Vergoeding"),SUM(O1139)*FLOOR(SUM(Q1139),0.0001),AND(O1139&lt;&gt;"",F1139&lt;&gt;"",RIGHT($N1139,6)="tarief"),SUM(O1139)*FLOOR(SUM(Q1139),0.01),S1139&gt;0,IF(F1139&lt;&gt;"",FLOOR(SUM(S1139),0.01),"")),""),""),"")</f>
        <v/>
      </c>
      <c r="V1139" s="317" t="str" cm="1">
        <f t="array" aca="1" ref="V1139" ca="1">IFERROR(IF(AA1139&lt;&gt;"ja",_xlfn.IFNA(_xlfn.IFS(AND(P1139&lt;&gt;"",R1139&lt;&gt;"",RIGHT($N1139,6)="tarief",F1139="Vergoeding"),SUM(P1139)*FLOOR(SUM(R1139),0.0001),AND(P1139&lt;&gt;"",R1139&lt;&gt;"",RIGHT($N1139,6)="tarief"),P1139*FLOOR(R1139,0.01),T1139&gt;0,FLOOR(SUM(T1139),0.01)),""),""),"")</f>
        <v/>
      </c>
      <c r="W1139" s="317" t="str" cm="1">
        <f t="array" aca="1" ref="W1139" ca="1">IFERROR(_xlfn.IFS(OR(F1139="",LEFT(Methode_Keuze,4)="Geen",Methode_Keuze=""),"",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17" t="str" cm="1">
        <f t="array" aca="1" ref="X1139" ca="1">IFERROR(_xlfn.IFS(OR(F1139="",LEFT(Methode_Keuze,4)="Geen",Methode_Keuze=""),"",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26"/>
      <c r="Z1139" s="319"/>
      <c r="AA1139" s="32" t="str" cm="1">
        <f t="array" ref="AA1139">IFERROR(IF(INDEX(SubsidieTabel!$AD$1:$AG$12,MATCH($F1139,SubsidieTabel!$AD$1:$AD$12,0),IFERROR(MATCH(Methode_Keuze,SubsidieTabel!$AD$1:$AG$1,0),2))&lt;&gt;1=TRUE,"ja",""),"")</f>
        <v/>
      </c>
    </row>
    <row r="1140" spans="1:27" x14ac:dyDescent="0.25">
      <c r="A1140" s="320"/>
      <c r="B1140" s="321" t="str">
        <f>IF(A1140&lt;&gt;"",_xlfn.MAXIFS($B$1:B1139,$A$1:A1139,A1140)+1,"")</f>
        <v/>
      </c>
      <c r="C1140" s="299"/>
      <c r="D1140" s="299"/>
      <c r="E1140" s="299"/>
      <c r="F1140" s="299"/>
      <c r="G1140" s="330"/>
      <c r="H1140" s="328"/>
      <c r="I1140" s="329"/>
      <c r="J1140" s="329"/>
      <c r="K1140" s="322"/>
      <c r="L1140" s="322"/>
      <c r="M1140" s="323" t="str">
        <f>IFERROR(VLOOKUP(H1140,Lijsten!$H$1:$I$100,2,0),"")</f>
        <v/>
      </c>
      <c r="N1140" s="323" t="str">
        <f ca="1">IFERROR(IF(VLOOKUP(F1140,Kostentypen!$A$3:$E$21,3,0)=0,"",IF(OR(F1140="Arbeidskosten",F1140="Vergoeding"),VLOOKUP(G1140,Tb_KostenTypen[],2,0),VLOOKUP(F1140,Kostentypen!$A$3:$E$20,3,0))),"")</f>
        <v/>
      </c>
      <c r="O1140" s="324"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4"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3"/>
      <c r="R1140" s="363"/>
      <c r="S1140" s="325"/>
      <c r="T1140" s="325"/>
      <c r="U1140" s="317" t="str" cm="1">
        <f t="array" aca="1" ref="U1140" ca="1">IFERROR(IF(AA1140&lt;&gt;"ja",_xlfn.IFNA(_xlfn.IFS(AND(O1140&lt;&gt;"",F1140&lt;&gt;"",RIGHT($N1140,6)="tarief",F1140="Vergoeding"),SUM(O1140)*FLOOR(SUM(Q1140),0.0001),AND(O1140&lt;&gt;"",F1140&lt;&gt;"",RIGHT($N1140,6)="tarief"),SUM(O1140)*FLOOR(SUM(Q1140),0.01),S1140&gt;0,IF(F1140&lt;&gt;"",FLOOR(SUM(S1140),0.01),"")),""),""),"")</f>
        <v/>
      </c>
      <c r="V1140" s="317" t="str" cm="1">
        <f t="array" aca="1" ref="V1140" ca="1">IFERROR(IF(AA1140&lt;&gt;"ja",_xlfn.IFNA(_xlfn.IFS(AND(P1140&lt;&gt;"",R1140&lt;&gt;"",RIGHT($N1140,6)="tarief",F1140="Vergoeding"),SUM(P1140)*FLOOR(SUM(R1140),0.0001),AND(P1140&lt;&gt;"",R1140&lt;&gt;"",RIGHT($N1140,6)="tarief"),P1140*FLOOR(R1140,0.01),T1140&gt;0,FLOOR(SUM(T1140),0.01)),""),""),"")</f>
        <v/>
      </c>
      <c r="W1140" s="317" t="str" cm="1">
        <f t="array" aca="1" ref="W1140" ca="1">IFERROR(_xlfn.IFS(OR(F1140="",LEFT(Methode_Keuze,4)="Geen",Methode_Keuze=""),"",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17" t="str" cm="1">
        <f t="array" aca="1" ref="X1140" ca="1">IFERROR(_xlfn.IFS(OR(F1140="",LEFT(Methode_Keuze,4)="Geen",Methode_Keuze=""),"",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26"/>
      <c r="Z1140" s="319"/>
      <c r="AA1140" s="32" t="str" cm="1">
        <f t="array" ref="AA1140">IFERROR(IF(INDEX(SubsidieTabel!$AD$1:$AG$12,MATCH($F1140,SubsidieTabel!$AD$1:$AD$12,0),IFERROR(MATCH(Methode_Keuze,SubsidieTabel!$AD$1:$AG$1,0),2))&lt;&gt;1=TRUE,"ja",""),"")</f>
        <v/>
      </c>
    </row>
    <row r="1141" spans="1:27" x14ac:dyDescent="0.25">
      <c r="A1141" s="320"/>
      <c r="B1141" s="321" t="str">
        <f>IF(A1141&lt;&gt;"",_xlfn.MAXIFS($B$1:B1140,$A$1:A1140,A1141)+1,"")</f>
        <v/>
      </c>
      <c r="C1141" s="299"/>
      <c r="D1141" s="299"/>
      <c r="E1141" s="299"/>
      <c r="F1141" s="299"/>
      <c r="G1141" s="330"/>
      <c r="H1141" s="328"/>
      <c r="I1141" s="329"/>
      <c r="J1141" s="329"/>
      <c r="K1141" s="322"/>
      <c r="L1141" s="322"/>
      <c r="M1141" s="323" t="str">
        <f>IFERROR(VLOOKUP(H1141,Lijsten!$H$1:$I$100,2,0),"")</f>
        <v/>
      </c>
      <c r="N1141" s="323" t="str">
        <f ca="1">IFERROR(IF(VLOOKUP(F1141,Kostentypen!$A$3:$E$21,3,0)=0,"",IF(OR(F1141="Arbeidskosten",F1141="Vergoeding"),VLOOKUP(G1141,Tb_KostenTypen[],2,0),VLOOKUP(F1141,Kostentypen!$A$3:$E$20,3,0))),"")</f>
        <v/>
      </c>
      <c r="O1141" s="324"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4"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3"/>
      <c r="R1141" s="363"/>
      <c r="S1141" s="325"/>
      <c r="T1141" s="325"/>
      <c r="U1141" s="317" t="str" cm="1">
        <f t="array" aca="1" ref="U1141" ca="1">IFERROR(IF(AA1141&lt;&gt;"ja",_xlfn.IFNA(_xlfn.IFS(AND(O1141&lt;&gt;"",F1141&lt;&gt;"",RIGHT($N1141,6)="tarief",F1141="Vergoeding"),SUM(O1141)*FLOOR(SUM(Q1141),0.0001),AND(O1141&lt;&gt;"",F1141&lt;&gt;"",RIGHT($N1141,6)="tarief"),SUM(O1141)*FLOOR(SUM(Q1141),0.01),S1141&gt;0,IF(F1141&lt;&gt;"",FLOOR(SUM(S1141),0.01),"")),""),""),"")</f>
        <v/>
      </c>
      <c r="V1141" s="317" t="str" cm="1">
        <f t="array" aca="1" ref="V1141" ca="1">IFERROR(IF(AA1141&lt;&gt;"ja",_xlfn.IFNA(_xlfn.IFS(AND(P1141&lt;&gt;"",R1141&lt;&gt;"",RIGHT($N1141,6)="tarief",F1141="Vergoeding"),SUM(P1141)*FLOOR(SUM(R1141),0.0001),AND(P1141&lt;&gt;"",R1141&lt;&gt;"",RIGHT($N1141,6)="tarief"),P1141*FLOOR(R1141,0.01),T1141&gt;0,FLOOR(SUM(T1141),0.01)),""),""),"")</f>
        <v/>
      </c>
      <c r="W1141" s="317" t="str" cm="1">
        <f t="array" aca="1" ref="W1141" ca="1">IFERROR(_xlfn.IFS(OR(F1141="",LEFT(Methode_Keuze,4)="Geen",Methode_Keuze=""),"",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17" t="str" cm="1">
        <f t="array" aca="1" ref="X1141" ca="1">IFERROR(_xlfn.IFS(OR(F1141="",LEFT(Methode_Keuze,4)="Geen",Methode_Keuze=""),"",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26"/>
      <c r="Z1141" s="319"/>
      <c r="AA1141" s="32" t="str" cm="1">
        <f t="array" ref="AA1141">IFERROR(IF(INDEX(SubsidieTabel!$AD$1:$AG$12,MATCH($F1141,SubsidieTabel!$AD$1:$AD$12,0),IFERROR(MATCH(Methode_Keuze,SubsidieTabel!$AD$1:$AG$1,0),2))&lt;&gt;1=TRUE,"ja",""),"")</f>
        <v/>
      </c>
    </row>
    <row r="1142" spans="1:27" x14ac:dyDescent="0.25">
      <c r="A1142" s="320"/>
      <c r="B1142" s="321" t="str">
        <f>IF(A1142&lt;&gt;"",_xlfn.MAXIFS($B$1:B1141,$A$1:A1141,A1142)+1,"")</f>
        <v/>
      </c>
      <c r="C1142" s="299"/>
      <c r="D1142" s="299"/>
      <c r="E1142" s="299"/>
      <c r="F1142" s="299"/>
      <c r="G1142" s="330"/>
      <c r="H1142" s="328"/>
      <c r="I1142" s="329"/>
      <c r="J1142" s="329"/>
      <c r="K1142" s="322"/>
      <c r="L1142" s="322"/>
      <c r="M1142" s="323" t="str">
        <f>IFERROR(VLOOKUP(H1142,Lijsten!$H$1:$I$100,2,0),"")</f>
        <v/>
      </c>
      <c r="N1142" s="323" t="str">
        <f ca="1">IFERROR(IF(VLOOKUP(F1142,Kostentypen!$A$3:$E$21,3,0)=0,"",IF(OR(F1142="Arbeidskosten",F1142="Vergoeding"),VLOOKUP(G1142,Tb_KostenTypen[],2,0),VLOOKUP(F1142,Kostentypen!$A$3:$E$20,3,0))),"")</f>
        <v/>
      </c>
      <c r="O1142" s="324"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4"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3"/>
      <c r="R1142" s="363"/>
      <c r="S1142" s="325"/>
      <c r="T1142" s="325"/>
      <c r="U1142" s="317" t="str" cm="1">
        <f t="array" aca="1" ref="U1142" ca="1">IFERROR(IF(AA1142&lt;&gt;"ja",_xlfn.IFNA(_xlfn.IFS(AND(O1142&lt;&gt;"",F1142&lt;&gt;"",RIGHT($N1142,6)="tarief",F1142="Vergoeding"),SUM(O1142)*FLOOR(SUM(Q1142),0.0001),AND(O1142&lt;&gt;"",F1142&lt;&gt;"",RIGHT($N1142,6)="tarief"),SUM(O1142)*FLOOR(SUM(Q1142),0.01),S1142&gt;0,IF(F1142&lt;&gt;"",FLOOR(SUM(S1142),0.01),"")),""),""),"")</f>
        <v/>
      </c>
      <c r="V1142" s="317" t="str" cm="1">
        <f t="array" aca="1" ref="V1142" ca="1">IFERROR(IF(AA1142&lt;&gt;"ja",_xlfn.IFNA(_xlfn.IFS(AND(P1142&lt;&gt;"",R1142&lt;&gt;"",RIGHT($N1142,6)="tarief",F1142="Vergoeding"),SUM(P1142)*FLOOR(SUM(R1142),0.0001),AND(P1142&lt;&gt;"",R1142&lt;&gt;"",RIGHT($N1142,6)="tarief"),P1142*FLOOR(R1142,0.01),T1142&gt;0,FLOOR(SUM(T1142),0.01)),""),""),"")</f>
        <v/>
      </c>
      <c r="W1142" s="317" t="str" cm="1">
        <f t="array" aca="1" ref="W1142" ca="1">IFERROR(_xlfn.IFS(OR(F1142="",LEFT(Methode_Keuze,4)="Geen",Methode_Keuze=""),"",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17" t="str" cm="1">
        <f t="array" aca="1" ref="X1142" ca="1">IFERROR(_xlfn.IFS(OR(F1142="",LEFT(Methode_Keuze,4)="Geen",Methode_Keuze=""),"",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26"/>
      <c r="Z1142" s="319"/>
      <c r="AA1142" s="32" t="str" cm="1">
        <f t="array" ref="AA1142">IFERROR(IF(INDEX(SubsidieTabel!$AD$1:$AG$12,MATCH($F1142,SubsidieTabel!$AD$1:$AD$12,0),IFERROR(MATCH(Methode_Keuze,SubsidieTabel!$AD$1:$AG$1,0),2))&lt;&gt;1=TRUE,"ja",""),"")</f>
        <v/>
      </c>
    </row>
    <row r="1143" spans="1:27" x14ac:dyDescent="0.25">
      <c r="A1143" s="320"/>
      <c r="B1143" s="321" t="str">
        <f>IF(A1143&lt;&gt;"",_xlfn.MAXIFS($B$1:B1142,$A$1:A1142,A1143)+1,"")</f>
        <v/>
      </c>
      <c r="C1143" s="299"/>
      <c r="D1143" s="299"/>
      <c r="E1143" s="299"/>
      <c r="F1143" s="299"/>
      <c r="G1143" s="330"/>
      <c r="H1143" s="328"/>
      <c r="I1143" s="329"/>
      <c r="J1143" s="329"/>
      <c r="K1143" s="322"/>
      <c r="L1143" s="322"/>
      <c r="M1143" s="323" t="str">
        <f>IFERROR(VLOOKUP(H1143,Lijsten!$H$1:$I$100,2,0),"")</f>
        <v/>
      </c>
      <c r="N1143" s="323" t="str">
        <f ca="1">IFERROR(IF(VLOOKUP(F1143,Kostentypen!$A$3:$E$21,3,0)=0,"",IF(OR(F1143="Arbeidskosten",F1143="Vergoeding"),VLOOKUP(G1143,Tb_KostenTypen[],2,0),VLOOKUP(F1143,Kostentypen!$A$3:$E$20,3,0))),"")</f>
        <v/>
      </c>
      <c r="O1143" s="324"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4"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3"/>
      <c r="R1143" s="363"/>
      <c r="S1143" s="325"/>
      <c r="T1143" s="325"/>
      <c r="U1143" s="317" t="str" cm="1">
        <f t="array" aca="1" ref="U1143" ca="1">IFERROR(IF(AA1143&lt;&gt;"ja",_xlfn.IFNA(_xlfn.IFS(AND(O1143&lt;&gt;"",F1143&lt;&gt;"",RIGHT($N1143,6)="tarief",F1143="Vergoeding"),SUM(O1143)*FLOOR(SUM(Q1143),0.0001),AND(O1143&lt;&gt;"",F1143&lt;&gt;"",RIGHT($N1143,6)="tarief"),SUM(O1143)*FLOOR(SUM(Q1143),0.01),S1143&gt;0,IF(F1143&lt;&gt;"",FLOOR(SUM(S1143),0.01),"")),""),""),"")</f>
        <v/>
      </c>
      <c r="V1143" s="317" t="str" cm="1">
        <f t="array" aca="1" ref="V1143" ca="1">IFERROR(IF(AA1143&lt;&gt;"ja",_xlfn.IFNA(_xlfn.IFS(AND(P1143&lt;&gt;"",R1143&lt;&gt;"",RIGHT($N1143,6)="tarief",F1143="Vergoeding"),SUM(P1143)*FLOOR(SUM(R1143),0.0001),AND(P1143&lt;&gt;"",R1143&lt;&gt;"",RIGHT($N1143,6)="tarief"),P1143*FLOOR(R1143,0.01),T1143&gt;0,FLOOR(SUM(T1143),0.01)),""),""),"")</f>
        <v/>
      </c>
      <c r="W1143" s="317" t="str" cm="1">
        <f t="array" aca="1" ref="W1143" ca="1">IFERROR(_xlfn.IFS(OR(F1143="",LEFT(Methode_Keuze,4)="Geen",Methode_Keuze=""),"",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17" t="str" cm="1">
        <f t="array" aca="1" ref="X1143" ca="1">IFERROR(_xlfn.IFS(OR(F1143="",LEFT(Methode_Keuze,4)="Geen",Methode_Keuze=""),"",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26"/>
      <c r="Z1143" s="319"/>
      <c r="AA1143" s="32" t="str" cm="1">
        <f t="array" ref="AA1143">IFERROR(IF(INDEX(SubsidieTabel!$AD$1:$AG$12,MATCH($F1143,SubsidieTabel!$AD$1:$AD$12,0),IFERROR(MATCH(Methode_Keuze,SubsidieTabel!$AD$1:$AG$1,0),2))&lt;&gt;1=TRUE,"ja",""),"")</f>
        <v/>
      </c>
    </row>
    <row r="1144" spans="1:27" x14ac:dyDescent="0.25">
      <c r="A1144" s="320"/>
      <c r="B1144" s="321" t="str">
        <f>IF(A1144&lt;&gt;"",_xlfn.MAXIFS($B$1:B1143,$A$1:A1143,A1144)+1,"")</f>
        <v/>
      </c>
      <c r="C1144" s="299"/>
      <c r="D1144" s="299"/>
      <c r="E1144" s="299"/>
      <c r="F1144" s="299"/>
      <c r="G1144" s="330"/>
      <c r="H1144" s="328"/>
      <c r="I1144" s="329"/>
      <c r="J1144" s="329"/>
      <c r="K1144" s="322"/>
      <c r="L1144" s="322"/>
      <c r="M1144" s="323" t="str">
        <f>IFERROR(VLOOKUP(H1144,Lijsten!$H$1:$I$100,2,0),"")</f>
        <v/>
      </c>
      <c r="N1144" s="323" t="str">
        <f ca="1">IFERROR(IF(VLOOKUP(F1144,Kostentypen!$A$3:$E$21,3,0)=0,"",IF(OR(F1144="Arbeidskosten",F1144="Vergoeding"),VLOOKUP(G1144,Tb_KostenTypen[],2,0),VLOOKUP(F1144,Kostentypen!$A$3:$E$20,3,0))),"")</f>
        <v/>
      </c>
      <c r="O1144" s="324"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4"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3"/>
      <c r="R1144" s="363"/>
      <c r="S1144" s="325"/>
      <c r="T1144" s="325"/>
      <c r="U1144" s="317" t="str" cm="1">
        <f t="array" aca="1" ref="U1144" ca="1">IFERROR(IF(AA1144&lt;&gt;"ja",_xlfn.IFNA(_xlfn.IFS(AND(O1144&lt;&gt;"",F1144&lt;&gt;"",RIGHT($N1144,6)="tarief",F1144="Vergoeding"),SUM(O1144)*FLOOR(SUM(Q1144),0.0001),AND(O1144&lt;&gt;"",F1144&lt;&gt;"",RIGHT($N1144,6)="tarief"),SUM(O1144)*FLOOR(SUM(Q1144),0.01),S1144&gt;0,IF(F1144&lt;&gt;"",FLOOR(SUM(S1144),0.01),"")),""),""),"")</f>
        <v/>
      </c>
      <c r="V1144" s="317" t="str" cm="1">
        <f t="array" aca="1" ref="V1144" ca="1">IFERROR(IF(AA1144&lt;&gt;"ja",_xlfn.IFNA(_xlfn.IFS(AND(P1144&lt;&gt;"",R1144&lt;&gt;"",RIGHT($N1144,6)="tarief",F1144="Vergoeding"),SUM(P1144)*FLOOR(SUM(R1144),0.0001),AND(P1144&lt;&gt;"",R1144&lt;&gt;"",RIGHT($N1144,6)="tarief"),P1144*FLOOR(R1144,0.01),T1144&gt;0,FLOOR(SUM(T1144),0.01)),""),""),"")</f>
        <v/>
      </c>
      <c r="W1144" s="317" t="str" cm="1">
        <f t="array" aca="1" ref="W1144" ca="1">IFERROR(_xlfn.IFS(OR(F1144="",LEFT(Methode_Keuze,4)="Geen",Methode_Keuze=""),"",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17" t="str" cm="1">
        <f t="array" aca="1" ref="X1144" ca="1">IFERROR(_xlfn.IFS(OR(F1144="",LEFT(Methode_Keuze,4)="Geen",Methode_Keuze=""),"",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26"/>
      <c r="Z1144" s="319"/>
      <c r="AA1144" s="32" t="str" cm="1">
        <f t="array" ref="AA1144">IFERROR(IF(INDEX(SubsidieTabel!$AD$1:$AG$12,MATCH($F1144,SubsidieTabel!$AD$1:$AD$12,0),IFERROR(MATCH(Methode_Keuze,SubsidieTabel!$AD$1:$AG$1,0),2))&lt;&gt;1=TRUE,"ja",""),"")</f>
        <v/>
      </c>
    </row>
    <row r="1145" spans="1:27" x14ac:dyDescent="0.25">
      <c r="A1145" s="320"/>
      <c r="B1145" s="321" t="str">
        <f>IF(A1145&lt;&gt;"",_xlfn.MAXIFS($B$1:B1144,$A$1:A1144,A1145)+1,"")</f>
        <v/>
      </c>
      <c r="C1145" s="299"/>
      <c r="D1145" s="299"/>
      <c r="E1145" s="299"/>
      <c r="F1145" s="299"/>
      <c r="G1145" s="330"/>
      <c r="H1145" s="328"/>
      <c r="I1145" s="329"/>
      <c r="J1145" s="329"/>
      <c r="K1145" s="322"/>
      <c r="L1145" s="322"/>
      <c r="M1145" s="323" t="str">
        <f>IFERROR(VLOOKUP(H1145,Lijsten!$H$1:$I$100,2,0),"")</f>
        <v/>
      </c>
      <c r="N1145" s="323" t="str">
        <f ca="1">IFERROR(IF(VLOOKUP(F1145,Kostentypen!$A$3:$E$21,3,0)=0,"",IF(OR(F1145="Arbeidskosten",F1145="Vergoeding"),VLOOKUP(G1145,Tb_KostenTypen[],2,0),VLOOKUP(F1145,Kostentypen!$A$3:$E$20,3,0))),"")</f>
        <v/>
      </c>
      <c r="O1145" s="324"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4"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3"/>
      <c r="R1145" s="363"/>
      <c r="S1145" s="325"/>
      <c r="T1145" s="325"/>
      <c r="U1145" s="317" t="str" cm="1">
        <f t="array" aca="1" ref="U1145" ca="1">IFERROR(IF(AA1145&lt;&gt;"ja",_xlfn.IFNA(_xlfn.IFS(AND(O1145&lt;&gt;"",F1145&lt;&gt;"",RIGHT($N1145,6)="tarief",F1145="Vergoeding"),SUM(O1145)*FLOOR(SUM(Q1145),0.0001),AND(O1145&lt;&gt;"",F1145&lt;&gt;"",RIGHT($N1145,6)="tarief"),SUM(O1145)*FLOOR(SUM(Q1145),0.01),S1145&gt;0,IF(F1145&lt;&gt;"",FLOOR(SUM(S1145),0.01),"")),""),""),"")</f>
        <v/>
      </c>
      <c r="V1145" s="317" t="str" cm="1">
        <f t="array" aca="1" ref="V1145" ca="1">IFERROR(IF(AA1145&lt;&gt;"ja",_xlfn.IFNA(_xlfn.IFS(AND(P1145&lt;&gt;"",R1145&lt;&gt;"",RIGHT($N1145,6)="tarief",F1145="Vergoeding"),SUM(P1145)*FLOOR(SUM(R1145),0.0001),AND(P1145&lt;&gt;"",R1145&lt;&gt;"",RIGHT($N1145,6)="tarief"),P1145*FLOOR(R1145,0.01),T1145&gt;0,FLOOR(SUM(T1145),0.01)),""),""),"")</f>
        <v/>
      </c>
      <c r="W1145" s="317" t="str" cm="1">
        <f t="array" aca="1" ref="W1145" ca="1">IFERROR(_xlfn.IFS(OR(F1145="",LEFT(Methode_Keuze,4)="Geen",Methode_Keuze=""),"",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17" t="str" cm="1">
        <f t="array" aca="1" ref="X1145" ca="1">IFERROR(_xlfn.IFS(OR(F1145="",LEFT(Methode_Keuze,4)="Geen",Methode_Keuze=""),"",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26"/>
      <c r="Z1145" s="319"/>
      <c r="AA1145" s="32" t="str" cm="1">
        <f t="array" ref="AA1145">IFERROR(IF(INDEX(SubsidieTabel!$AD$1:$AG$12,MATCH($F1145,SubsidieTabel!$AD$1:$AD$12,0),IFERROR(MATCH(Methode_Keuze,SubsidieTabel!$AD$1:$AG$1,0),2))&lt;&gt;1=TRUE,"ja",""),"")</f>
        <v/>
      </c>
    </row>
    <row r="1146" spans="1:27" x14ac:dyDescent="0.25">
      <c r="A1146" s="320"/>
      <c r="B1146" s="321" t="str">
        <f>IF(A1146&lt;&gt;"",_xlfn.MAXIFS($B$1:B1145,$A$1:A1145,A1146)+1,"")</f>
        <v/>
      </c>
      <c r="C1146" s="299"/>
      <c r="D1146" s="299"/>
      <c r="E1146" s="299"/>
      <c r="F1146" s="299"/>
      <c r="G1146" s="330"/>
      <c r="H1146" s="328"/>
      <c r="I1146" s="329"/>
      <c r="J1146" s="329"/>
      <c r="K1146" s="322"/>
      <c r="L1146" s="322"/>
      <c r="M1146" s="323" t="str">
        <f>IFERROR(VLOOKUP(H1146,Lijsten!$H$1:$I$100,2,0),"")</f>
        <v/>
      </c>
      <c r="N1146" s="323" t="str">
        <f ca="1">IFERROR(IF(VLOOKUP(F1146,Kostentypen!$A$3:$E$21,3,0)=0,"",IF(OR(F1146="Arbeidskosten",F1146="Vergoeding"),VLOOKUP(G1146,Tb_KostenTypen[],2,0),VLOOKUP(F1146,Kostentypen!$A$3:$E$20,3,0))),"")</f>
        <v/>
      </c>
      <c r="O1146" s="324"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4"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3"/>
      <c r="R1146" s="363"/>
      <c r="S1146" s="325"/>
      <c r="T1146" s="325"/>
      <c r="U1146" s="317" t="str" cm="1">
        <f t="array" aca="1" ref="U1146" ca="1">IFERROR(IF(AA1146&lt;&gt;"ja",_xlfn.IFNA(_xlfn.IFS(AND(O1146&lt;&gt;"",F1146&lt;&gt;"",RIGHT($N1146,6)="tarief",F1146="Vergoeding"),SUM(O1146)*FLOOR(SUM(Q1146),0.0001),AND(O1146&lt;&gt;"",F1146&lt;&gt;"",RIGHT($N1146,6)="tarief"),SUM(O1146)*FLOOR(SUM(Q1146),0.01),S1146&gt;0,IF(F1146&lt;&gt;"",FLOOR(SUM(S1146),0.01),"")),""),""),"")</f>
        <v/>
      </c>
      <c r="V1146" s="317" t="str" cm="1">
        <f t="array" aca="1" ref="V1146" ca="1">IFERROR(IF(AA1146&lt;&gt;"ja",_xlfn.IFNA(_xlfn.IFS(AND(P1146&lt;&gt;"",R1146&lt;&gt;"",RIGHT($N1146,6)="tarief",F1146="Vergoeding"),SUM(P1146)*FLOOR(SUM(R1146),0.0001),AND(P1146&lt;&gt;"",R1146&lt;&gt;"",RIGHT($N1146,6)="tarief"),P1146*FLOOR(R1146,0.01),T1146&gt;0,FLOOR(SUM(T1146),0.01)),""),""),"")</f>
        <v/>
      </c>
      <c r="W1146" s="317" t="str" cm="1">
        <f t="array" aca="1" ref="W1146" ca="1">IFERROR(_xlfn.IFS(OR(F1146="",LEFT(Methode_Keuze,4)="Geen",Methode_Keuze=""),"",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17" t="str" cm="1">
        <f t="array" aca="1" ref="X1146" ca="1">IFERROR(_xlfn.IFS(OR(F1146="",LEFT(Methode_Keuze,4)="Geen",Methode_Keuze=""),"",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26"/>
      <c r="Z1146" s="319"/>
      <c r="AA1146" s="32" t="str" cm="1">
        <f t="array" ref="AA1146">IFERROR(IF(INDEX(SubsidieTabel!$AD$1:$AG$12,MATCH($F1146,SubsidieTabel!$AD$1:$AD$12,0),IFERROR(MATCH(Methode_Keuze,SubsidieTabel!$AD$1:$AG$1,0),2))&lt;&gt;1=TRUE,"ja",""),"")</f>
        <v/>
      </c>
    </row>
    <row r="1147" spans="1:27" x14ac:dyDescent="0.25">
      <c r="A1147" s="320"/>
      <c r="B1147" s="321" t="str">
        <f>IF(A1147&lt;&gt;"",_xlfn.MAXIFS($B$1:B1146,$A$1:A1146,A1147)+1,"")</f>
        <v/>
      </c>
      <c r="C1147" s="299"/>
      <c r="D1147" s="299"/>
      <c r="E1147" s="299"/>
      <c r="F1147" s="299"/>
      <c r="G1147" s="330"/>
      <c r="H1147" s="328"/>
      <c r="I1147" s="329"/>
      <c r="J1147" s="329"/>
      <c r="K1147" s="322"/>
      <c r="L1147" s="322"/>
      <c r="M1147" s="323" t="str">
        <f>IFERROR(VLOOKUP(H1147,Lijsten!$H$1:$I$100,2,0),"")</f>
        <v/>
      </c>
      <c r="N1147" s="323" t="str">
        <f ca="1">IFERROR(IF(VLOOKUP(F1147,Kostentypen!$A$3:$E$21,3,0)=0,"",IF(OR(F1147="Arbeidskosten",F1147="Vergoeding"),VLOOKUP(G1147,Tb_KostenTypen[],2,0),VLOOKUP(F1147,Kostentypen!$A$3:$E$20,3,0))),"")</f>
        <v/>
      </c>
      <c r="O1147" s="324"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4"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3"/>
      <c r="R1147" s="363"/>
      <c r="S1147" s="325"/>
      <c r="T1147" s="325"/>
      <c r="U1147" s="317" t="str" cm="1">
        <f t="array" aca="1" ref="U1147" ca="1">IFERROR(IF(AA1147&lt;&gt;"ja",_xlfn.IFNA(_xlfn.IFS(AND(O1147&lt;&gt;"",F1147&lt;&gt;"",RIGHT($N1147,6)="tarief",F1147="Vergoeding"),SUM(O1147)*FLOOR(SUM(Q1147),0.0001),AND(O1147&lt;&gt;"",F1147&lt;&gt;"",RIGHT($N1147,6)="tarief"),SUM(O1147)*FLOOR(SUM(Q1147),0.01),S1147&gt;0,IF(F1147&lt;&gt;"",FLOOR(SUM(S1147),0.01),"")),""),""),"")</f>
        <v/>
      </c>
      <c r="V1147" s="317" t="str" cm="1">
        <f t="array" aca="1" ref="V1147" ca="1">IFERROR(IF(AA1147&lt;&gt;"ja",_xlfn.IFNA(_xlfn.IFS(AND(P1147&lt;&gt;"",R1147&lt;&gt;"",RIGHT($N1147,6)="tarief",F1147="Vergoeding"),SUM(P1147)*FLOOR(SUM(R1147),0.0001),AND(P1147&lt;&gt;"",R1147&lt;&gt;"",RIGHT($N1147,6)="tarief"),P1147*FLOOR(R1147,0.01),T1147&gt;0,FLOOR(SUM(T1147),0.01)),""),""),"")</f>
        <v/>
      </c>
      <c r="W1147" s="317" t="str" cm="1">
        <f t="array" aca="1" ref="W1147" ca="1">IFERROR(_xlfn.IFS(OR(F1147="",LEFT(Methode_Keuze,4)="Geen",Methode_Keuze=""),"",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17" t="str" cm="1">
        <f t="array" aca="1" ref="X1147" ca="1">IFERROR(_xlfn.IFS(OR(F1147="",LEFT(Methode_Keuze,4)="Geen",Methode_Keuze=""),"",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26"/>
      <c r="Z1147" s="319"/>
      <c r="AA1147" s="32" t="str" cm="1">
        <f t="array" ref="AA1147">IFERROR(IF(INDEX(SubsidieTabel!$AD$1:$AG$12,MATCH($F1147,SubsidieTabel!$AD$1:$AD$12,0),IFERROR(MATCH(Methode_Keuze,SubsidieTabel!$AD$1:$AG$1,0),2))&lt;&gt;1=TRUE,"ja",""),"")</f>
        <v/>
      </c>
    </row>
    <row r="1148" spans="1:27" x14ac:dyDescent="0.25">
      <c r="A1148" s="320"/>
      <c r="B1148" s="321" t="str">
        <f>IF(A1148&lt;&gt;"",_xlfn.MAXIFS($B$1:B1147,$A$1:A1147,A1148)+1,"")</f>
        <v/>
      </c>
      <c r="C1148" s="299"/>
      <c r="D1148" s="299"/>
      <c r="E1148" s="299"/>
      <c r="F1148" s="299"/>
      <c r="G1148" s="330"/>
      <c r="H1148" s="328"/>
      <c r="I1148" s="329"/>
      <c r="J1148" s="329"/>
      <c r="K1148" s="322"/>
      <c r="L1148" s="322"/>
      <c r="M1148" s="323" t="str">
        <f>IFERROR(VLOOKUP(H1148,Lijsten!$H$1:$I$100,2,0),"")</f>
        <v/>
      </c>
      <c r="N1148" s="323" t="str">
        <f ca="1">IFERROR(IF(VLOOKUP(F1148,Kostentypen!$A$3:$E$21,3,0)=0,"",IF(OR(F1148="Arbeidskosten",F1148="Vergoeding"),VLOOKUP(G1148,Tb_KostenTypen[],2,0),VLOOKUP(F1148,Kostentypen!$A$3:$E$20,3,0))),"")</f>
        <v/>
      </c>
      <c r="O1148" s="324"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4"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3"/>
      <c r="R1148" s="363"/>
      <c r="S1148" s="325"/>
      <c r="T1148" s="325"/>
      <c r="U1148" s="317" t="str" cm="1">
        <f t="array" aca="1" ref="U1148" ca="1">IFERROR(IF(AA1148&lt;&gt;"ja",_xlfn.IFNA(_xlfn.IFS(AND(O1148&lt;&gt;"",F1148&lt;&gt;"",RIGHT($N1148,6)="tarief",F1148="Vergoeding"),SUM(O1148)*FLOOR(SUM(Q1148),0.0001),AND(O1148&lt;&gt;"",F1148&lt;&gt;"",RIGHT($N1148,6)="tarief"),SUM(O1148)*FLOOR(SUM(Q1148),0.01),S1148&gt;0,IF(F1148&lt;&gt;"",FLOOR(SUM(S1148),0.01),"")),""),""),"")</f>
        <v/>
      </c>
      <c r="V1148" s="317" t="str" cm="1">
        <f t="array" aca="1" ref="V1148" ca="1">IFERROR(IF(AA1148&lt;&gt;"ja",_xlfn.IFNA(_xlfn.IFS(AND(P1148&lt;&gt;"",R1148&lt;&gt;"",RIGHT($N1148,6)="tarief",F1148="Vergoeding"),SUM(P1148)*FLOOR(SUM(R1148),0.0001),AND(P1148&lt;&gt;"",R1148&lt;&gt;"",RIGHT($N1148,6)="tarief"),P1148*FLOOR(R1148,0.01),T1148&gt;0,FLOOR(SUM(T1148),0.01)),""),""),"")</f>
        <v/>
      </c>
      <c r="W1148" s="317" t="str" cm="1">
        <f t="array" aca="1" ref="W1148" ca="1">IFERROR(_xlfn.IFS(OR(F1148="",LEFT(Methode_Keuze,4)="Geen",Methode_Keuze=""),"",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17" t="str" cm="1">
        <f t="array" aca="1" ref="X1148" ca="1">IFERROR(_xlfn.IFS(OR(F1148="",LEFT(Methode_Keuze,4)="Geen",Methode_Keuze=""),"",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26"/>
      <c r="Z1148" s="319"/>
      <c r="AA1148" s="32" t="str" cm="1">
        <f t="array" ref="AA1148">IFERROR(IF(INDEX(SubsidieTabel!$AD$1:$AG$12,MATCH($F1148,SubsidieTabel!$AD$1:$AD$12,0),IFERROR(MATCH(Methode_Keuze,SubsidieTabel!$AD$1:$AG$1,0),2))&lt;&gt;1=TRUE,"ja",""),"")</f>
        <v/>
      </c>
    </row>
    <row r="1149" spans="1:27" x14ac:dyDescent="0.25">
      <c r="A1149" s="320"/>
      <c r="B1149" s="321" t="str">
        <f>IF(A1149&lt;&gt;"",_xlfn.MAXIFS($B$1:B1148,$A$1:A1148,A1149)+1,"")</f>
        <v/>
      </c>
      <c r="C1149" s="299"/>
      <c r="D1149" s="299"/>
      <c r="E1149" s="299"/>
      <c r="F1149" s="299"/>
      <c r="G1149" s="330"/>
      <c r="H1149" s="328"/>
      <c r="I1149" s="329"/>
      <c r="J1149" s="329"/>
      <c r="K1149" s="322"/>
      <c r="L1149" s="322"/>
      <c r="M1149" s="323" t="str">
        <f>IFERROR(VLOOKUP(H1149,Lijsten!$H$1:$I$100,2,0),"")</f>
        <v/>
      </c>
      <c r="N1149" s="323" t="str">
        <f ca="1">IFERROR(IF(VLOOKUP(F1149,Kostentypen!$A$3:$E$21,3,0)=0,"",IF(OR(F1149="Arbeidskosten",F1149="Vergoeding"),VLOOKUP(G1149,Tb_KostenTypen[],2,0),VLOOKUP(F1149,Kostentypen!$A$3:$E$20,3,0))),"")</f>
        <v/>
      </c>
      <c r="O1149" s="324"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4"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3"/>
      <c r="R1149" s="363"/>
      <c r="S1149" s="325"/>
      <c r="T1149" s="325"/>
      <c r="U1149" s="317" t="str" cm="1">
        <f t="array" aca="1" ref="U1149" ca="1">IFERROR(IF(AA1149&lt;&gt;"ja",_xlfn.IFNA(_xlfn.IFS(AND(O1149&lt;&gt;"",F1149&lt;&gt;"",RIGHT($N1149,6)="tarief",F1149="Vergoeding"),SUM(O1149)*FLOOR(SUM(Q1149),0.0001),AND(O1149&lt;&gt;"",F1149&lt;&gt;"",RIGHT($N1149,6)="tarief"),SUM(O1149)*FLOOR(SUM(Q1149),0.01),S1149&gt;0,IF(F1149&lt;&gt;"",FLOOR(SUM(S1149),0.01),"")),""),""),"")</f>
        <v/>
      </c>
      <c r="V1149" s="317" t="str" cm="1">
        <f t="array" aca="1" ref="V1149" ca="1">IFERROR(IF(AA1149&lt;&gt;"ja",_xlfn.IFNA(_xlfn.IFS(AND(P1149&lt;&gt;"",R1149&lt;&gt;"",RIGHT($N1149,6)="tarief",F1149="Vergoeding"),SUM(P1149)*FLOOR(SUM(R1149),0.0001),AND(P1149&lt;&gt;"",R1149&lt;&gt;"",RIGHT($N1149,6)="tarief"),P1149*FLOOR(R1149,0.01),T1149&gt;0,FLOOR(SUM(T1149),0.01)),""),""),"")</f>
        <v/>
      </c>
      <c r="W1149" s="317" t="str" cm="1">
        <f t="array" aca="1" ref="W1149" ca="1">IFERROR(_xlfn.IFS(OR(F1149="",LEFT(Methode_Keuze,4)="Geen",Methode_Keuze=""),"",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17" t="str" cm="1">
        <f t="array" aca="1" ref="X1149" ca="1">IFERROR(_xlfn.IFS(OR(F1149="",LEFT(Methode_Keuze,4)="Geen",Methode_Keuze=""),"",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26"/>
      <c r="Z1149" s="319"/>
      <c r="AA1149" s="32" t="str" cm="1">
        <f t="array" ref="AA1149">IFERROR(IF(INDEX(SubsidieTabel!$AD$1:$AG$12,MATCH($F1149,SubsidieTabel!$AD$1:$AD$12,0),IFERROR(MATCH(Methode_Keuze,SubsidieTabel!$AD$1:$AG$1,0),2))&lt;&gt;1=TRUE,"ja",""),"")</f>
        <v/>
      </c>
    </row>
    <row r="1150" spans="1:27" x14ac:dyDescent="0.25">
      <c r="A1150" s="320"/>
      <c r="B1150" s="321" t="str">
        <f>IF(A1150&lt;&gt;"",_xlfn.MAXIFS($B$1:B1149,$A$1:A1149,A1150)+1,"")</f>
        <v/>
      </c>
      <c r="C1150" s="299"/>
      <c r="D1150" s="299"/>
      <c r="E1150" s="299"/>
      <c r="F1150" s="299"/>
      <c r="G1150" s="330"/>
      <c r="H1150" s="328"/>
      <c r="I1150" s="329"/>
      <c r="J1150" s="329"/>
      <c r="K1150" s="322"/>
      <c r="L1150" s="322"/>
      <c r="M1150" s="323" t="str">
        <f>IFERROR(VLOOKUP(H1150,Lijsten!$H$1:$I$100,2,0),"")</f>
        <v/>
      </c>
      <c r="N1150" s="323" t="str">
        <f ca="1">IFERROR(IF(VLOOKUP(F1150,Kostentypen!$A$3:$E$21,3,0)=0,"",IF(OR(F1150="Arbeidskosten",F1150="Vergoeding"),VLOOKUP(G1150,Tb_KostenTypen[],2,0),VLOOKUP(F1150,Kostentypen!$A$3:$E$20,3,0))),"")</f>
        <v/>
      </c>
      <c r="O1150" s="324"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4"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3"/>
      <c r="R1150" s="363"/>
      <c r="S1150" s="325"/>
      <c r="T1150" s="325"/>
      <c r="U1150" s="317" t="str" cm="1">
        <f t="array" aca="1" ref="U1150" ca="1">IFERROR(IF(AA1150&lt;&gt;"ja",_xlfn.IFNA(_xlfn.IFS(AND(O1150&lt;&gt;"",F1150&lt;&gt;"",RIGHT($N1150,6)="tarief",F1150="Vergoeding"),SUM(O1150)*FLOOR(SUM(Q1150),0.0001),AND(O1150&lt;&gt;"",F1150&lt;&gt;"",RIGHT($N1150,6)="tarief"),SUM(O1150)*FLOOR(SUM(Q1150),0.01),S1150&gt;0,IF(F1150&lt;&gt;"",FLOOR(SUM(S1150),0.01),"")),""),""),"")</f>
        <v/>
      </c>
      <c r="V1150" s="317" t="str" cm="1">
        <f t="array" aca="1" ref="V1150" ca="1">IFERROR(IF(AA1150&lt;&gt;"ja",_xlfn.IFNA(_xlfn.IFS(AND(P1150&lt;&gt;"",R1150&lt;&gt;"",RIGHT($N1150,6)="tarief",F1150="Vergoeding"),SUM(P1150)*FLOOR(SUM(R1150),0.0001),AND(P1150&lt;&gt;"",R1150&lt;&gt;"",RIGHT($N1150,6)="tarief"),P1150*FLOOR(R1150,0.01),T1150&gt;0,FLOOR(SUM(T1150),0.01)),""),""),"")</f>
        <v/>
      </c>
      <c r="W1150" s="317" t="str" cm="1">
        <f t="array" aca="1" ref="W1150" ca="1">IFERROR(_xlfn.IFS(OR(F1150="",LEFT(Methode_Keuze,4)="Geen",Methode_Keuze=""),"",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17" t="str" cm="1">
        <f t="array" aca="1" ref="X1150" ca="1">IFERROR(_xlfn.IFS(OR(F1150="",LEFT(Methode_Keuze,4)="Geen",Methode_Keuze=""),"",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26"/>
      <c r="Z1150" s="319"/>
      <c r="AA1150" s="32" t="str" cm="1">
        <f t="array" ref="AA1150">IFERROR(IF(INDEX(SubsidieTabel!$AD$1:$AG$12,MATCH($F1150,SubsidieTabel!$AD$1:$AD$12,0),IFERROR(MATCH(Methode_Keuze,SubsidieTabel!$AD$1:$AG$1,0),2))&lt;&gt;1=TRUE,"ja",""),"")</f>
        <v/>
      </c>
    </row>
    <row r="1151" spans="1:27" x14ac:dyDescent="0.25">
      <c r="A1151" s="320"/>
      <c r="B1151" s="321" t="str">
        <f>IF(A1151&lt;&gt;"",_xlfn.MAXIFS($B$1:B1150,$A$1:A1150,A1151)+1,"")</f>
        <v/>
      </c>
      <c r="C1151" s="299"/>
      <c r="D1151" s="299"/>
      <c r="E1151" s="299"/>
      <c r="F1151" s="299"/>
      <c r="G1151" s="330"/>
      <c r="H1151" s="328"/>
      <c r="I1151" s="329"/>
      <c r="J1151" s="329"/>
      <c r="K1151" s="322"/>
      <c r="L1151" s="322"/>
      <c r="M1151" s="323" t="str">
        <f>IFERROR(VLOOKUP(H1151,Lijsten!$H$1:$I$100,2,0),"")</f>
        <v/>
      </c>
      <c r="N1151" s="323" t="str">
        <f ca="1">IFERROR(IF(VLOOKUP(F1151,Kostentypen!$A$3:$E$21,3,0)=0,"",IF(OR(F1151="Arbeidskosten",F1151="Vergoeding"),VLOOKUP(G1151,Tb_KostenTypen[],2,0),VLOOKUP(F1151,Kostentypen!$A$3:$E$20,3,0))),"")</f>
        <v/>
      </c>
      <c r="O1151" s="324"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4"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3"/>
      <c r="R1151" s="363"/>
      <c r="S1151" s="325"/>
      <c r="T1151" s="325"/>
      <c r="U1151" s="317" t="str" cm="1">
        <f t="array" aca="1" ref="U1151" ca="1">IFERROR(IF(AA1151&lt;&gt;"ja",_xlfn.IFNA(_xlfn.IFS(AND(O1151&lt;&gt;"",F1151&lt;&gt;"",RIGHT($N1151,6)="tarief",F1151="Vergoeding"),SUM(O1151)*FLOOR(SUM(Q1151),0.0001),AND(O1151&lt;&gt;"",F1151&lt;&gt;"",RIGHT($N1151,6)="tarief"),SUM(O1151)*FLOOR(SUM(Q1151),0.01),S1151&gt;0,IF(F1151&lt;&gt;"",FLOOR(SUM(S1151),0.01),"")),""),""),"")</f>
        <v/>
      </c>
      <c r="V1151" s="317" t="str" cm="1">
        <f t="array" aca="1" ref="V1151" ca="1">IFERROR(IF(AA1151&lt;&gt;"ja",_xlfn.IFNA(_xlfn.IFS(AND(P1151&lt;&gt;"",R1151&lt;&gt;"",RIGHT($N1151,6)="tarief",F1151="Vergoeding"),SUM(P1151)*FLOOR(SUM(R1151),0.0001),AND(P1151&lt;&gt;"",R1151&lt;&gt;"",RIGHT($N1151,6)="tarief"),P1151*FLOOR(R1151,0.01),T1151&gt;0,FLOOR(SUM(T1151),0.01)),""),""),"")</f>
        <v/>
      </c>
      <c r="W1151" s="317" t="str" cm="1">
        <f t="array" aca="1" ref="W1151" ca="1">IFERROR(_xlfn.IFS(OR(F1151="",LEFT(Methode_Keuze,4)="Geen",Methode_Keuze=""),"",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17" t="str" cm="1">
        <f t="array" aca="1" ref="X1151" ca="1">IFERROR(_xlfn.IFS(OR(F1151="",LEFT(Methode_Keuze,4)="Geen",Methode_Keuze=""),"",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26"/>
      <c r="Z1151" s="319"/>
      <c r="AA1151" s="32" t="str" cm="1">
        <f t="array" ref="AA1151">IFERROR(IF(INDEX(SubsidieTabel!$AD$1:$AG$12,MATCH($F1151,SubsidieTabel!$AD$1:$AD$12,0),IFERROR(MATCH(Methode_Keuze,SubsidieTabel!$AD$1:$AG$1,0),2))&lt;&gt;1=TRUE,"ja",""),"")</f>
        <v/>
      </c>
    </row>
    <row r="1152" spans="1:27" x14ac:dyDescent="0.25">
      <c r="A1152" s="320"/>
      <c r="B1152" s="321" t="str">
        <f>IF(A1152&lt;&gt;"",_xlfn.MAXIFS($B$1:B1151,$A$1:A1151,A1152)+1,"")</f>
        <v/>
      </c>
      <c r="C1152" s="299"/>
      <c r="D1152" s="299"/>
      <c r="E1152" s="299"/>
      <c r="F1152" s="299"/>
      <c r="G1152" s="330"/>
      <c r="H1152" s="328"/>
      <c r="I1152" s="329"/>
      <c r="J1152" s="329"/>
      <c r="K1152" s="322"/>
      <c r="L1152" s="322"/>
      <c r="M1152" s="323" t="str">
        <f>IFERROR(VLOOKUP(H1152,Lijsten!$H$1:$I$100,2,0),"")</f>
        <v/>
      </c>
      <c r="N1152" s="323" t="str">
        <f ca="1">IFERROR(IF(VLOOKUP(F1152,Kostentypen!$A$3:$E$21,3,0)=0,"",IF(OR(F1152="Arbeidskosten",F1152="Vergoeding"),VLOOKUP(G1152,Tb_KostenTypen[],2,0),VLOOKUP(F1152,Kostentypen!$A$3:$E$20,3,0))),"")</f>
        <v/>
      </c>
      <c r="O1152" s="324"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4"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3"/>
      <c r="R1152" s="363"/>
      <c r="S1152" s="325"/>
      <c r="T1152" s="325"/>
      <c r="U1152" s="317" t="str" cm="1">
        <f t="array" aca="1" ref="U1152" ca="1">IFERROR(IF(AA1152&lt;&gt;"ja",_xlfn.IFNA(_xlfn.IFS(AND(O1152&lt;&gt;"",F1152&lt;&gt;"",RIGHT($N1152,6)="tarief",F1152="Vergoeding"),SUM(O1152)*FLOOR(SUM(Q1152),0.0001),AND(O1152&lt;&gt;"",F1152&lt;&gt;"",RIGHT($N1152,6)="tarief"),SUM(O1152)*FLOOR(SUM(Q1152),0.01),S1152&gt;0,IF(F1152&lt;&gt;"",FLOOR(SUM(S1152),0.01),"")),""),""),"")</f>
        <v/>
      </c>
      <c r="V1152" s="317" t="str" cm="1">
        <f t="array" aca="1" ref="V1152" ca="1">IFERROR(IF(AA1152&lt;&gt;"ja",_xlfn.IFNA(_xlfn.IFS(AND(P1152&lt;&gt;"",R1152&lt;&gt;"",RIGHT($N1152,6)="tarief",F1152="Vergoeding"),SUM(P1152)*FLOOR(SUM(R1152),0.0001),AND(P1152&lt;&gt;"",R1152&lt;&gt;"",RIGHT($N1152,6)="tarief"),P1152*FLOOR(R1152,0.01),T1152&gt;0,FLOOR(SUM(T1152),0.01)),""),""),"")</f>
        <v/>
      </c>
      <c r="W1152" s="317" t="str" cm="1">
        <f t="array" aca="1" ref="W1152" ca="1">IFERROR(_xlfn.IFS(OR(F1152="",LEFT(Methode_Keuze,4)="Geen",Methode_Keuze=""),"",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17" t="str" cm="1">
        <f t="array" aca="1" ref="X1152" ca="1">IFERROR(_xlfn.IFS(OR(F1152="",LEFT(Methode_Keuze,4)="Geen",Methode_Keuze=""),"",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26"/>
      <c r="Z1152" s="319"/>
      <c r="AA1152" s="32" t="str" cm="1">
        <f t="array" ref="AA1152">IFERROR(IF(INDEX(SubsidieTabel!$AD$1:$AG$12,MATCH($F1152,SubsidieTabel!$AD$1:$AD$12,0),IFERROR(MATCH(Methode_Keuze,SubsidieTabel!$AD$1:$AG$1,0),2))&lt;&gt;1=TRUE,"ja",""),"")</f>
        <v/>
      </c>
    </row>
    <row r="1153" spans="1:27" x14ac:dyDescent="0.25">
      <c r="A1153" s="320"/>
      <c r="B1153" s="321" t="str">
        <f>IF(A1153&lt;&gt;"",_xlfn.MAXIFS($B$1:B1152,$A$1:A1152,A1153)+1,"")</f>
        <v/>
      </c>
      <c r="C1153" s="299"/>
      <c r="D1153" s="299"/>
      <c r="E1153" s="299"/>
      <c r="F1153" s="299"/>
      <c r="G1153" s="330"/>
      <c r="H1153" s="328"/>
      <c r="I1153" s="329"/>
      <c r="J1153" s="329"/>
      <c r="K1153" s="322"/>
      <c r="L1153" s="322"/>
      <c r="M1153" s="323" t="str">
        <f>IFERROR(VLOOKUP(H1153,Lijsten!$H$1:$I$100,2,0),"")</f>
        <v/>
      </c>
      <c r="N1153" s="323" t="str">
        <f ca="1">IFERROR(IF(VLOOKUP(F1153,Kostentypen!$A$3:$E$21,3,0)=0,"",IF(OR(F1153="Arbeidskosten",F1153="Vergoeding"),VLOOKUP(G1153,Tb_KostenTypen[],2,0),VLOOKUP(F1153,Kostentypen!$A$3:$E$20,3,0))),"")</f>
        <v/>
      </c>
      <c r="O1153" s="324"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4"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3"/>
      <c r="R1153" s="363"/>
      <c r="S1153" s="325"/>
      <c r="T1153" s="325"/>
      <c r="U1153" s="317" t="str" cm="1">
        <f t="array" aca="1" ref="U1153" ca="1">IFERROR(IF(AA1153&lt;&gt;"ja",_xlfn.IFNA(_xlfn.IFS(AND(O1153&lt;&gt;"",F1153&lt;&gt;"",RIGHT($N1153,6)="tarief",F1153="Vergoeding"),SUM(O1153)*FLOOR(SUM(Q1153),0.0001),AND(O1153&lt;&gt;"",F1153&lt;&gt;"",RIGHT($N1153,6)="tarief"),SUM(O1153)*FLOOR(SUM(Q1153),0.01),S1153&gt;0,IF(F1153&lt;&gt;"",FLOOR(SUM(S1153),0.01),"")),""),""),"")</f>
        <v/>
      </c>
      <c r="V1153" s="317" t="str" cm="1">
        <f t="array" aca="1" ref="V1153" ca="1">IFERROR(IF(AA1153&lt;&gt;"ja",_xlfn.IFNA(_xlfn.IFS(AND(P1153&lt;&gt;"",R1153&lt;&gt;"",RIGHT($N1153,6)="tarief",F1153="Vergoeding"),SUM(P1153)*FLOOR(SUM(R1153),0.0001),AND(P1153&lt;&gt;"",R1153&lt;&gt;"",RIGHT($N1153,6)="tarief"),P1153*FLOOR(R1153,0.01),T1153&gt;0,FLOOR(SUM(T1153),0.01)),""),""),"")</f>
        <v/>
      </c>
      <c r="W1153" s="317" t="str" cm="1">
        <f t="array" aca="1" ref="W1153" ca="1">IFERROR(_xlfn.IFS(OR(F1153="",LEFT(Methode_Keuze,4)="Geen",Methode_Keuze=""),"",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17" t="str" cm="1">
        <f t="array" aca="1" ref="X1153" ca="1">IFERROR(_xlfn.IFS(OR(F1153="",LEFT(Methode_Keuze,4)="Geen",Methode_Keuze=""),"",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26"/>
      <c r="Z1153" s="319"/>
      <c r="AA1153" s="32" t="str" cm="1">
        <f t="array" ref="AA1153">IFERROR(IF(INDEX(SubsidieTabel!$AD$1:$AG$12,MATCH($F1153,SubsidieTabel!$AD$1:$AD$12,0),IFERROR(MATCH(Methode_Keuze,SubsidieTabel!$AD$1:$AG$1,0),2))&lt;&gt;1=TRUE,"ja",""),"")</f>
        <v/>
      </c>
    </row>
    <row r="1154" spans="1:27" x14ac:dyDescent="0.25">
      <c r="A1154" s="320"/>
      <c r="B1154" s="321" t="str">
        <f>IF(A1154&lt;&gt;"",_xlfn.MAXIFS($B$1:B1153,$A$1:A1153,A1154)+1,"")</f>
        <v/>
      </c>
      <c r="C1154" s="299"/>
      <c r="D1154" s="299"/>
      <c r="E1154" s="299"/>
      <c r="F1154" s="299"/>
      <c r="G1154" s="330"/>
      <c r="H1154" s="328"/>
      <c r="I1154" s="329"/>
      <c r="J1154" s="329"/>
      <c r="K1154" s="322"/>
      <c r="L1154" s="322"/>
      <c r="M1154" s="323" t="str">
        <f>IFERROR(VLOOKUP(H1154,Lijsten!$H$1:$I$100,2,0),"")</f>
        <v/>
      </c>
      <c r="N1154" s="323" t="str">
        <f ca="1">IFERROR(IF(VLOOKUP(F1154,Kostentypen!$A$3:$E$21,3,0)=0,"",IF(OR(F1154="Arbeidskosten",F1154="Vergoeding"),VLOOKUP(G1154,Tb_KostenTypen[],2,0),VLOOKUP(F1154,Kostentypen!$A$3:$E$20,3,0))),"")</f>
        <v/>
      </c>
      <c r="O1154" s="324"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4"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3"/>
      <c r="R1154" s="363"/>
      <c r="S1154" s="325"/>
      <c r="T1154" s="325"/>
      <c r="U1154" s="317" t="str" cm="1">
        <f t="array" aca="1" ref="U1154" ca="1">IFERROR(IF(AA1154&lt;&gt;"ja",_xlfn.IFNA(_xlfn.IFS(AND(O1154&lt;&gt;"",F1154&lt;&gt;"",RIGHT($N1154,6)="tarief",F1154="Vergoeding"),SUM(O1154)*FLOOR(SUM(Q1154),0.0001),AND(O1154&lt;&gt;"",F1154&lt;&gt;"",RIGHT($N1154,6)="tarief"),SUM(O1154)*FLOOR(SUM(Q1154),0.01),S1154&gt;0,IF(F1154&lt;&gt;"",FLOOR(SUM(S1154),0.01),"")),""),""),"")</f>
        <v/>
      </c>
      <c r="V1154" s="317" t="str" cm="1">
        <f t="array" aca="1" ref="V1154" ca="1">IFERROR(IF(AA1154&lt;&gt;"ja",_xlfn.IFNA(_xlfn.IFS(AND(P1154&lt;&gt;"",R1154&lt;&gt;"",RIGHT($N1154,6)="tarief",F1154="Vergoeding"),SUM(P1154)*FLOOR(SUM(R1154),0.0001),AND(P1154&lt;&gt;"",R1154&lt;&gt;"",RIGHT($N1154,6)="tarief"),P1154*FLOOR(R1154,0.01),T1154&gt;0,FLOOR(SUM(T1154),0.01)),""),""),"")</f>
        <v/>
      </c>
      <c r="W1154" s="317" t="str" cm="1">
        <f t="array" aca="1" ref="W1154" ca="1">IFERROR(_xlfn.IFS(OR(F1154="",LEFT(Methode_Keuze,4)="Geen",Methode_Keuze=""),"",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17" t="str" cm="1">
        <f t="array" aca="1" ref="X1154" ca="1">IFERROR(_xlfn.IFS(OR(F1154="",LEFT(Methode_Keuze,4)="Geen",Methode_Keuze=""),"",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26"/>
      <c r="Z1154" s="319"/>
      <c r="AA1154" s="32" t="str" cm="1">
        <f t="array" ref="AA1154">IFERROR(IF(INDEX(SubsidieTabel!$AD$1:$AG$12,MATCH($F1154,SubsidieTabel!$AD$1:$AD$12,0),IFERROR(MATCH(Methode_Keuze,SubsidieTabel!$AD$1:$AG$1,0),2))&lt;&gt;1=TRUE,"ja",""),"")</f>
        <v/>
      </c>
    </row>
    <row r="1155" spans="1:27" x14ac:dyDescent="0.25">
      <c r="A1155" s="320"/>
      <c r="B1155" s="321" t="str">
        <f>IF(A1155&lt;&gt;"",_xlfn.MAXIFS($B$1:B1154,$A$1:A1154,A1155)+1,"")</f>
        <v/>
      </c>
      <c r="C1155" s="299"/>
      <c r="D1155" s="299"/>
      <c r="E1155" s="299"/>
      <c r="F1155" s="299"/>
      <c r="G1155" s="330"/>
      <c r="H1155" s="328"/>
      <c r="I1155" s="329"/>
      <c r="J1155" s="329"/>
      <c r="K1155" s="322"/>
      <c r="L1155" s="322"/>
      <c r="M1155" s="323" t="str">
        <f>IFERROR(VLOOKUP(H1155,Lijsten!$H$1:$I$100,2,0),"")</f>
        <v/>
      </c>
      <c r="N1155" s="323" t="str">
        <f ca="1">IFERROR(IF(VLOOKUP(F1155,Kostentypen!$A$3:$E$21,3,0)=0,"",IF(OR(F1155="Arbeidskosten",F1155="Vergoeding"),VLOOKUP(G1155,Tb_KostenTypen[],2,0),VLOOKUP(F1155,Kostentypen!$A$3:$E$20,3,0))),"")</f>
        <v/>
      </c>
      <c r="O1155" s="324"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4"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3"/>
      <c r="R1155" s="363"/>
      <c r="S1155" s="325"/>
      <c r="T1155" s="325"/>
      <c r="U1155" s="317" t="str" cm="1">
        <f t="array" aca="1" ref="U1155" ca="1">IFERROR(IF(AA1155&lt;&gt;"ja",_xlfn.IFNA(_xlfn.IFS(AND(O1155&lt;&gt;"",F1155&lt;&gt;"",RIGHT($N1155,6)="tarief",F1155="Vergoeding"),SUM(O1155)*FLOOR(SUM(Q1155),0.0001),AND(O1155&lt;&gt;"",F1155&lt;&gt;"",RIGHT($N1155,6)="tarief"),SUM(O1155)*FLOOR(SUM(Q1155),0.01),S1155&gt;0,IF(F1155&lt;&gt;"",FLOOR(SUM(S1155),0.01),"")),""),""),"")</f>
        <v/>
      </c>
      <c r="V1155" s="317" t="str" cm="1">
        <f t="array" aca="1" ref="V1155" ca="1">IFERROR(IF(AA1155&lt;&gt;"ja",_xlfn.IFNA(_xlfn.IFS(AND(P1155&lt;&gt;"",R1155&lt;&gt;"",RIGHT($N1155,6)="tarief",F1155="Vergoeding"),SUM(P1155)*FLOOR(SUM(R1155),0.0001),AND(P1155&lt;&gt;"",R1155&lt;&gt;"",RIGHT($N1155,6)="tarief"),P1155*FLOOR(R1155,0.01),T1155&gt;0,FLOOR(SUM(T1155),0.01)),""),""),"")</f>
        <v/>
      </c>
      <c r="W1155" s="317" t="str" cm="1">
        <f t="array" aca="1" ref="W1155" ca="1">IFERROR(_xlfn.IFS(OR(F1155="",LEFT(Methode_Keuze,4)="Geen",Methode_Keuze=""),"",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17" t="str" cm="1">
        <f t="array" aca="1" ref="X1155" ca="1">IFERROR(_xlfn.IFS(OR(F1155="",LEFT(Methode_Keuze,4)="Geen",Methode_Keuze=""),"",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26"/>
      <c r="Z1155" s="319"/>
      <c r="AA1155" s="32" t="str" cm="1">
        <f t="array" ref="AA1155">IFERROR(IF(INDEX(SubsidieTabel!$AD$1:$AG$12,MATCH($F1155,SubsidieTabel!$AD$1:$AD$12,0),IFERROR(MATCH(Methode_Keuze,SubsidieTabel!$AD$1:$AG$1,0),2))&lt;&gt;1=TRUE,"ja",""),"")</f>
        <v/>
      </c>
    </row>
    <row r="1156" spans="1:27" x14ac:dyDescent="0.25">
      <c r="A1156" s="320"/>
      <c r="B1156" s="321" t="str">
        <f>IF(A1156&lt;&gt;"",_xlfn.MAXIFS($B$1:B1155,$A$1:A1155,A1156)+1,"")</f>
        <v/>
      </c>
      <c r="C1156" s="299"/>
      <c r="D1156" s="299"/>
      <c r="E1156" s="299"/>
      <c r="F1156" s="299"/>
      <c r="G1156" s="330"/>
      <c r="H1156" s="328"/>
      <c r="I1156" s="329"/>
      <c r="J1156" s="329"/>
      <c r="K1156" s="322"/>
      <c r="L1156" s="322"/>
      <c r="M1156" s="323" t="str">
        <f>IFERROR(VLOOKUP(H1156,Lijsten!$H$1:$I$100,2,0),"")</f>
        <v/>
      </c>
      <c r="N1156" s="323" t="str">
        <f ca="1">IFERROR(IF(VLOOKUP(F1156,Kostentypen!$A$3:$E$21,3,0)=0,"",IF(OR(F1156="Arbeidskosten",F1156="Vergoeding"),VLOOKUP(G1156,Tb_KostenTypen[],2,0),VLOOKUP(F1156,Kostentypen!$A$3:$E$20,3,0))),"")</f>
        <v/>
      </c>
      <c r="O1156" s="324"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4"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3"/>
      <c r="R1156" s="363"/>
      <c r="S1156" s="325"/>
      <c r="T1156" s="325"/>
      <c r="U1156" s="317" t="str" cm="1">
        <f t="array" aca="1" ref="U1156" ca="1">IFERROR(IF(AA1156&lt;&gt;"ja",_xlfn.IFNA(_xlfn.IFS(AND(O1156&lt;&gt;"",F1156&lt;&gt;"",RIGHT($N1156,6)="tarief",F1156="Vergoeding"),SUM(O1156)*FLOOR(SUM(Q1156),0.0001),AND(O1156&lt;&gt;"",F1156&lt;&gt;"",RIGHT($N1156,6)="tarief"),SUM(O1156)*FLOOR(SUM(Q1156),0.01),S1156&gt;0,IF(F1156&lt;&gt;"",FLOOR(SUM(S1156),0.01),"")),""),""),"")</f>
        <v/>
      </c>
      <c r="V1156" s="317" t="str" cm="1">
        <f t="array" aca="1" ref="V1156" ca="1">IFERROR(IF(AA1156&lt;&gt;"ja",_xlfn.IFNA(_xlfn.IFS(AND(P1156&lt;&gt;"",R1156&lt;&gt;"",RIGHT($N1156,6)="tarief",F1156="Vergoeding"),SUM(P1156)*FLOOR(SUM(R1156),0.0001),AND(P1156&lt;&gt;"",R1156&lt;&gt;"",RIGHT($N1156,6)="tarief"),P1156*FLOOR(R1156,0.01),T1156&gt;0,FLOOR(SUM(T1156),0.01)),""),""),"")</f>
        <v/>
      </c>
      <c r="W1156" s="317" t="str" cm="1">
        <f t="array" aca="1" ref="W1156" ca="1">IFERROR(_xlfn.IFS(OR(F1156="",LEFT(Methode_Keuze,4)="Geen",Methode_Keuze=""),"",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17" t="str" cm="1">
        <f t="array" aca="1" ref="X1156" ca="1">IFERROR(_xlfn.IFS(OR(F1156="",LEFT(Methode_Keuze,4)="Geen",Methode_Keuze=""),"",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26"/>
      <c r="Z1156" s="319"/>
      <c r="AA1156" s="32" t="str" cm="1">
        <f t="array" ref="AA1156">IFERROR(IF(INDEX(SubsidieTabel!$AD$1:$AG$12,MATCH($F1156,SubsidieTabel!$AD$1:$AD$12,0),IFERROR(MATCH(Methode_Keuze,SubsidieTabel!$AD$1:$AG$1,0),2))&lt;&gt;1=TRUE,"ja",""),"")</f>
        <v/>
      </c>
    </row>
    <row r="1157" spans="1:27" x14ac:dyDescent="0.25">
      <c r="A1157" s="320"/>
      <c r="B1157" s="321" t="str">
        <f>IF(A1157&lt;&gt;"",_xlfn.MAXIFS($B$1:B1156,$A$1:A1156,A1157)+1,"")</f>
        <v/>
      </c>
      <c r="C1157" s="299"/>
      <c r="D1157" s="299"/>
      <c r="E1157" s="299"/>
      <c r="F1157" s="299"/>
      <c r="G1157" s="330"/>
      <c r="H1157" s="328"/>
      <c r="I1157" s="329"/>
      <c r="J1157" s="329"/>
      <c r="K1157" s="322"/>
      <c r="L1157" s="322"/>
      <c r="M1157" s="323" t="str">
        <f>IFERROR(VLOOKUP(H1157,Lijsten!$H$1:$I$100,2,0),"")</f>
        <v/>
      </c>
      <c r="N1157" s="323" t="str">
        <f ca="1">IFERROR(IF(VLOOKUP(F1157,Kostentypen!$A$3:$E$21,3,0)=0,"",IF(OR(F1157="Arbeidskosten",F1157="Vergoeding"),VLOOKUP(G1157,Tb_KostenTypen[],2,0),VLOOKUP(F1157,Kostentypen!$A$3:$E$20,3,0))),"")</f>
        <v/>
      </c>
      <c r="O1157" s="324"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4"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3"/>
      <c r="R1157" s="363"/>
      <c r="S1157" s="325"/>
      <c r="T1157" s="325"/>
      <c r="U1157" s="317" t="str" cm="1">
        <f t="array" aca="1" ref="U1157" ca="1">IFERROR(IF(AA1157&lt;&gt;"ja",_xlfn.IFNA(_xlfn.IFS(AND(O1157&lt;&gt;"",F1157&lt;&gt;"",RIGHT($N1157,6)="tarief",F1157="Vergoeding"),SUM(O1157)*FLOOR(SUM(Q1157),0.0001),AND(O1157&lt;&gt;"",F1157&lt;&gt;"",RIGHT($N1157,6)="tarief"),SUM(O1157)*FLOOR(SUM(Q1157),0.01),S1157&gt;0,IF(F1157&lt;&gt;"",FLOOR(SUM(S1157),0.01),"")),""),""),"")</f>
        <v/>
      </c>
      <c r="V1157" s="317" t="str" cm="1">
        <f t="array" aca="1" ref="V1157" ca="1">IFERROR(IF(AA1157&lt;&gt;"ja",_xlfn.IFNA(_xlfn.IFS(AND(P1157&lt;&gt;"",R1157&lt;&gt;"",RIGHT($N1157,6)="tarief",F1157="Vergoeding"),SUM(P1157)*FLOOR(SUM(R1157),0.0001),AND(P1157&lt;&gt;"",R1157&lt;&gt;"",RIGHT($N1157,6)="tarief"),P1157*FLOOR(R1157,0.01),T1157&gt;0,FLOOR(SUM(T1157),0.01)),""),""),"")</f>
        <v/>
      </c>
      <c r="W1157" s="317" t="str" cm="1">
        <f t="array" aca="1" ref="W1157" ca="1">IFERROR(_xlfn.IFS(OR(F1157="",LEFT(Methode_Keuze,4)="Geen",Methode_Keuze=""),"",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17" t="str" cm="1">
        <f t="array" aca="1" ref="X1157" ca="1">IFERROR(_xlfn.IFS(OR(F1157="",LEFT(Methode_Keuze,4)="Geen",Methode_Keuze=""),"",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26"/>
      <c r="Z1157" s="319"/>
      <c r="AA1157" s="32" t="str" cm="1">
        <f t="array" ref="AA1157">IFERROR(IF(INDEX(SubsidieTabel!$AD$1:$AG$12,MATCH($F1157,SubsidieTabel!$AD$1:$AD$12,0),IFERROR(MATCH(Methode_Keuze,SubsidieTabel!$AD$1:$AG$1,0),2))&lt;&gt;1=TRUE,"ja",""),"")</f>
        <v/>
      </c>
    </row>
    <row r="1158" spans="1:27" x14ac:dyDescent="0.25">
      <c r="A1158" s="320"/>
      <c r="B1158" s="321" t="str">
        <f>IF(A1158&lt;&gt;"",_xlfn.MAXIFS($B$1:B1157,$A$1:A1157,A1158)+1,"")</f>
        <v/>
      </c>
      <c r="C1158" s="299"/>
      <c r="D1158" s="299"/>
      <c r="E1158" s="299"/>
      <c r="F1158" s="299"/>
      <c r="G1158" s="330"/>
      <c r="H1158" s="328"/>
      <c r="I1158" s="329"/>
      <c r="J1158" s="329"/>
      <c r="K1158" s="322"/>
      <c r="L1158" s="322"/>
      <c r="M1158" s="323" t="str">
        <f>IFERROR(VLOOKUP(H1158,Lijsten!$H$1:$I$100,2,0),"")</f>
        <v/>
      </c>
      <c r="N1158" s="323" t="str">
        <f ca="1">IFERROR(IF(VLOOKUP(F1158,Kostentypen!$A$3:$E$21,3,0)=0,"",IF(OR(F1158="Arbeidskosten",F1158="Vergoeding"),VLOOKUP(G1158,Tb_KostenTypen[],2,0),VLOOKUP(F1158,Kostentypen!$A$3:$E$20,3,0))),"")</f>
        <v/>
      </c>
      <c r="O1158" s="324"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4"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3"/>
      <c r="R1158" s="363"/>
      <c r="S1158" s="325"/>
      <c r="T1158" s="325"/>
      <c r="U1158" s="317" t="str" cm="1">
        <f t="array" aca="1" ref="U1158" ca="1">IFERROR(IF(AA1158&lt;&gt;"ja",_xlfn.IFNA(_xlfn.IFS(AND(O1158&lt;&gt;"",F1158&lt;&gt;"",RIGHT($N1158,6)="tarief",F1158="Vergoeding"),SUM(O1158)*FLOOR(SUM(Q1158),0.0001),AND(O1158&lt;&gt;"",F1158&lt;&gt;"",RIGHT($N1158,6)="tarief"),SUM(O1158)*FLOOR(SUM(Q1158),0.01),S1158&gt;0,IF(F1158&lt;&gt;"",FLOOR(SUM(S1158),0.01),"")),""),""),"")</f>
        <v/>
      </c>
      <c r="V1158" s="317" t="str" cm="1">
        <f t="array" aca="1" ref="V1158" ca="1">IFERROR(IF(AA1158&lt;&gt;"ja",_xlfn.IFNA(_xlfn.IFS(AND(P1158&lt;&gt;"",R1158&lt;&gt;"",RIGHT($N1158,6)="tarief",F1158="Vergoeding"),SUM(P1158)*FLOOR(SUM(R1158),0.0001),AND(P1158&lt;&gt;"",R1158&lt;&gt;"",RIGHT($N1158,6)="tarief"),P1158*FLOOR(R1158,0.01),T1158&gt;0,FLOOR(SUM(T1158),0.01)),""),""),"")</f>
        <v/>
      </c>
      <c r="W1158" s="317" t="str" cm="1">
        <f t="array" aca="1" ref="W1158" ca="1">IFERROR(_xlfn.IFS(OR(F1158="",LEFT(Methode_Keuze,4)="Geen",Methode_Keuze=""),"",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17" t="str" cm="1">
        <f t="array" aca="1" ref="X1158" ca="1">IFERROR(_xlfn.IFS(OR(F1158="",LEFT(Methode_Keuze,4)="Geen",Methode_Keuze=""),"",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26"/>
      <c r="Z1158" s="319"/>
      <c r="AA1158" s="32" t="str" cm="1">
        <f t="array" ref="AA1158">IFERROR(IF(INDEX(SubsidieTabel!$AD$1:$AG$12,MATCH($F1158,SubsidieTabel!$AD$1:$AD$12,0),IFERROR(MATCH(Methode_Keuze,SubsidieTabel!$AD$1:$AG$1,0),2))&lt;&gt;1=TRUE,"ja",""),"")</f>
        <v/>
      </c>
    </row>
    <row r="1159" spans="1:27" x14ac:dyDescent="0.25">
      <c r="A1159" s="320"/>
      <c r="B1159" s="321" t="str">
        <f>IF(A1159&lt;&gt;"",_xlfn.MAXIFS($B$1:B1158,$A$1:A1158,A1159)+1,"")</f>
        <v/>
      </c>
      <c r="C1159" s="299"/>
      <c r="D1159" s="299"/>
      <c r="E1159" s="299"/>
      <c r="F1159" s="299"/>
      <c r="G1159" s="330"/>
      <c r="H1159" s="328"/>
      <c r="I1159" s="329"/>
      <c r="J1159" s="329"/>
      <c r="K1159" s="322"/>
      <c r="L1159" s="322"/>
      <c r="M1159" s="323" t="str">
        <f>IFERROR(VLOOKUP(H1159,Lijsten!$H$1:$I$100,2,0),"")</f>
        <v/>
      </c>
      <c r="N1159" s="323" t="str">
        <f ca="1">IFERROR(IF(VLOOKUP(F1159,Kostentypen!$A$3:$E$21,3,0)=0,"",IF(OR(F1159="Arbeidskosten",F1159="Vergoeding"),VLOOKUP(G1159,Tb_KostenTypen[],2,0),VLOOKUP(F1159,Kostentypen!$A$3:$E$20,3,0))),"")</f>
        <v/>
      </c>
      <c r="O1159" s="324"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4"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3"/>
      <c r="R1159" s="363"/>
      <c r="S1159" s="325"/>
      <c r="T1159" s="325"/>
      <c r="U1159" s="317" t="str" cm="1">
        <f t="array" aca="1" ref="U1159" ca="1">IFERROR(IF(AA1159&lt;&gt;"ja",_xlfn.IFNA(_xlfn.IFS(AND(O1159&lt;&gt;"",F1159&lt;&gt;"",RIGHT($N1159,6)="tarief",F1159="Vergoeding"),SUM(O1159)*FLOOR(SUM(Q1159),0.0001),AND(O1159&lt;&gt;"",F1159&lt;&gt;"",RIGHT($N1159,6)="tarief"),SUM(O1159)*FLOOR(SUM(Q1159),0.01),S1159&gt;0,IF(F1159&lt;&gt;"",FLOOR(SUM(S1159),0.01),"")),""),""),"")</f>
        <v/>
      </c>
      <c r="V1159" s="317" t="str" cm="1">
        <f t="array" aca="1" ref="V1159" ca="1">IFERROR(IF(AA1159&lt;&gt;"ja",_xlfn.IFNA(_xlfn.IFS(AND(P1159&lt;&gt;"",R1159&lt;&gt;"",RIGHT($N1159,6)="tarief",F1159="Vergoeding"),SUM(P1159)*FLOOR(SUM(R1159),0.0001),AND(P1159&lt;&gt;"",R1159&lt;&gt;"",RIGHT($N1159,6)="tarief"),P1159*FLOOR(R1159,0.01),T1159&gt;0,FLOOR(SUM(T1159),0.01)),""),""),"")</f>
        <v/>
      </c>
      <c r="W1159" s="317" t="str" cm="1">
        <f t="array" aca="1" ref="W1159" ca="1">IFERROR(_xlfn.IFS(OR(F1159="",LEFT(Methode_Keuze,4)="Geen",Methode_Keuze=""),"",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17" t="str" cm="1">
        <f t="array" aca="1" ref="X1159" ca="1">IFERROR(_xlfn.IFS(OR(F1159="",LEFT(Methode_Keuze,4)="Geen",Methode_Keuze=""),"",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26"/>
      <c r="Z1159" s="319"/>
      <c r="AA1159" s="32" t="str" cm="1">
        <f t="array" ref="AA1159">IFERROR(IF(INDEX(SubsidieTabel!$AD$1:$AG$12,MATCH($F1159,SubsidieTabel!$AD$1:$AD$12,0),IFERROR(MATCH(Methode_Keuze,SubsidieTabel!$AD$1:$AG$1,0),2))&lt;&gt;1=TRUE,"ja",""),"")</f>
        <v/>
      </c>
    </row>
    <row r="1160" spans="1:27" x14ac:dyDescent="0.25">
      <c r="A1160" s="320"/>
      <c r="B1160" s="321" t="str">
        <f>IF(A1160&lt;&gt;"",_xlfn.MAXIFS($B$1:B1159,$A$1:A1159,A1160)+1,"")</f>
        <v/>
      </c>
      <c r="C1160" s="299"/>
      <c r="D1160" s="299"/>
      <c r="E1160" s="299"/>
      <c r="F1160" s="299"/>
      <c r="G1160" s="330"/>
      <c r="H1160" s="328"/>
      <c r="I1160" s="329"/>
      <c r="J1160" s="329"/>
      <c r="K1160" s="322"/>
      <c r="L1160" s="322"/>
      <c r="M1160" s="323" t="str">
        <f>IFERROR(VLOOKUP(H1160,Lijsten!$H$1:$I$100,2,0),"")</f>
        <v/>
      </c>
      <c r="N1160" s="323" t="str">
        <f ca="1">IFERROR(IF(VLOOKUP(F1160,Kostentypen!$A$3:$E$21,3,0)=0,"",IF(OR(F1160="Arbeidskosten",F1160="Vergoeding"),VLOOKUP(G1160,Tb_KostenTypen[],2,0),VLOOKUP(F1160,Kostentypen!$A$3:$E$20,3,0))),"")</f>
        <v/>
      </c>
      <c r="O1160" s="324"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4"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3"/>
      <c r="R1160" s="363"/>
      <c r="S1160" s="325"/>
      <c r="T1160" s="325"/>
      <c r="U1160" s="317" t="str" cm="1">
        <f t="array" aca="1" ref="U1160" ca="1">IFERROR(IF(AA1160&lt;&gt;"ja",_xlfn.IFNA(_xlfn.IFS(AND(O1160&lt;&gt;"",F1160&lt;&gt;"",RIGHT($N1160,6)="tarief",F1160="Vergoeding"),SUM(O1160)*FLOOR(SUM(Q1160),0.0001),AND(O1160&lt;&gt;"",F1160&lt;&gt;"",RIGHT($N1160,6)="tarief"),SUM(O1160)*FLOOR(SUM(Q1160),0.01),S1160&gt;0,IF(F1160&lt;&gt;"",FLOOR(SUM(S1160),0.01),"")),""),""),"")</f>
        <v/>
      </c>
      <c r="V1160" s="317" t="str" cm="1">
        <f t="array" aca="1" ref="V1160" ca="1">IFERROR(IF(AA1160&lt;&gt;"ja",_xlfn.IFNA(_xlfn.IFS(AND(P1160&lt;&gt;"",R1160&lt;&gt;"",RIGHT($N1160,6)="tarief",F1160="Vergoeding"),SUM(P1160)*FLOOR(SUM(R1160),0.0001),AND(P1160&lt;&gt;"",R1160&lt;&gt;"",RIGHT($N1160,6)="tarief"),P1160*FLOOR(R1160,0.01),T1160&gt;0,FLOOR(SUM(T1160),0.01)),""),""),"")</f>
        <v/>
      </c>
      <c r="W1160" s="317" t="str" cm="1">
        <f t="array" aca="1" ref="W1160" ca="1">IFERROR(_xlfn.IFS(OR(F1160="",LEFT(Methode_Keuze,4)="Geen",Methode_Keuze=""),"",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17" t="str" cm="1">
        <f t="array" aca="1" ref="X1160" ca="1">IFERROR(_xlfn.IFS(OR(F1160="",LEFT(Methode_Keuze,4)="Geen",Methode_Keuze=""),"",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26"/>
      <c r="Z1160" s="319"/>
      <c r="AA1160" s="32" t="str" cm="1">
        <f t="array" ref="AA1160">IFERROR(IF(INDEX(SubsidieTabel!$AD$1:$AG$12,MATCH($F1160,SubsidieTabel!$AD$1:$AD$12,0),IFERROR(MATCH(Methode_Keuze,SubsidieTabel!$AD$1:$AG$1,0),2))&lt;&gt;1=TRUE,"ja",""),"")</f>
        <v/>
      </c>
    </row>
    <row r="1161" spans="1:27" x14ac:dyDescent="0.25">
      <c r="A1161" s="320"/>
      <c r="B1161" s="321" t="str">
        <f>IF(A1161&lt;&gt;"",_xlfn.MAXIFS($B$1:B1160,$A$1:A1160,A1161)+1,"")</f>
        <v/>
      </c>
      <c r="C1161" s="299"/>
      <c r="D1161" s="299"/>
      <c r="E1161" s="299"/>
      <c r="F1161" s="299"/>
      <c r="G1161" s="330"/>
      <c r="H1161" s="328"/>
      <c r="I1161" s="329"/>
      <c r="J1161" s="329"/>
      <c r="K1161" s="322"/>
      <c r="L1161" s="322"/>
      <c r="M1161" s="323" t="str">
        <f>IFERROR(VLOOKUP(H1161,Lijsten!$H$1:$I$100,2,0),"")</f>
        <v/>
      </c>
      <c r="N1161" s="323" t="str">
        <f ca="1">IFERROR(IF(VLOOKUP(F1161,Kostentypen!$A$3:$E$21,3,0)=0,"",IF(OR(F1161="Arbeidskosten",F1161="Vergoeding"),VLOOKUP(G1161,Tb_KostenTypen[],2,0),VLOOKUP(F1161,Kostentypen!$A$3:$E$20,3,0))),"")</f>
        <v/>
      </c>
      <c r="O1161" s="324"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4"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3"/>
      <c r="R1161" s="363"/>
      <c r="S1161" s="325"/>
      <c r="T1161" s="325"/>
      <c r="U1161" s="317" t="str" cm="1">
        <f t="array" aca="1" ref="U1161" ca="1">IFERROR(IF(AA1161&lt;&gt;"ja",_xlfn.IFNA(_xlfn.IFS(AND(O1161&lt;&gt;"",F1161&lt;&gt;"",RIGHT($N1161,6)="tarief",F1161="Vergoeding"),SUM(O1161)*FLOOR(SUM(Q1161),0.0001),AND(O1161&lt;&gt;"",F1161&lt;&gt;"",RIGHT($N1161,6)="tarief"),SUM(O1161)*FLOOR(SUM(Q1161),0.01),S1161&gt;0,IF(F1161&lt;&gt;"",FLOOR(SUM(S1161),0.01),"")),""),""),"")</f>
        <v/>
      </c>
      <c r="V1161" s="317" t="str" cm="1">
        <f t="array" aca="1" ref="V1161" ca="1">IFERROR(IF(AA1161&lt;&gt;"ja",_xlfn.IFNA(_xlfn.IFS(AND(P1161&lt;&gt;"",R1161&lt;&gt;"",RIGHT($N1161,6)="tarief",F1161="Vergoeding"),SUM(P1161)*FLOOR(SUM(R1161),0.0001),AND(P1161&lt;&gt;"",R1161&lt;&gt;"",RIGHT($N1161,6)="tarief"),P1161*FLOOR(R1161,0.01),T1161&gt;0,FLOOR(SUM(T1161),0.01)),""),""),"")</f>
        <v/>
      </c>
      <c r="W1161" s="317" t="str" cm="1">
        <f t="array" aca="1" ref="W1161" ca="1">IFERROR(_xlfn.IFS(OR(F1161="",LEFT(Methode_Keuze,4)="Geen",Methode_Keuze=""),"",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17" t="str" cm="1">
        <f t="array" aca="1" ref="X1161" ca="1">IFERROR(_xlfn.IFS(OR(F1161="",LEFT(Methode_Keuze,4)="Geen",Methode_Keuze=""),"",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26"/>
      <c r="Z1161" s="319"/>
      <c r="AA1161" s="32" t="str" cm="1">
        <f t="array" ref="AA1161">IFERROR(IF(INDEX(SubsidieTabel!$AD$1:$AG$12,MATCH($F1161,SubsidieTabel!$AD$1:$AD$12,0),IFERROR(MATCH(Methode_Keuze,SubsidieTabel!$AD$1:$AG$1,0),2))&lt;&gt;1=TRUE,"ja",""),"")</f>
        <v/>
      </c>
    </row>
    <row r="1162" spans="1:27" x14ac:dyDescent="0.25">
      <c r="A1162" s="320"/>
      <c r="B1162" s="321" t="str">
        <f>IF(A1162&lt;&gt;"",_xlfn.MAXIFS($B$1:B1161,$A$1:A1161,A1162)+1,"")</f>
        <v/>
      </c>
      <c r="C1162" s="299"/>
      <c r="D1162" s="299"/>
      <c r="E1162" s="299"/>
      <c r="F1162" s="299"/>
      <c r="G1162" s="330"/>
      <c r="H1162" s="328"/>
      <c r="I1162" s="329"/>
      <c r="J1162" s="329"/>
      <c r="K1162" s="322"/>
      <c r="L1162" s="322"/>
      <c r="M1162" s="323" t="str">
        <f>IFERROR(VLOOKUP(H1162,Lijsten!$H$1:$I$100,2,0),"")</f>
        <v/>
      </c>
      <c r="N1162" s="323" t="str">
        <f ca="1">IFERROR(IF(VLOOKUP(F1162,Kostentypen!$A$3:$E$21,3,0)=0,"",IF(OR(F1162="Arbeidskosten",F1162="Vergoeding"),VLOOKUP(G1162,Tb_KostenTypen[],2,0),VLOOKUP(F1162,Kostentypen!$A$3:$E$20,3,0))),"")</f>
        <v/>
      </c>
      <c r="O1162" s="324"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4"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3"/>
      <c r="R1162" s="363"/>
      <c r="S1162" s="325"/>
      <c r="T1162" s="325"/>
      <c r="U1162" s="317" t="str" cm="1">
        <f t="array" aca="1" ref="U1162" ca="1">IFERROR(IF(AA1162&lt;&gt;"ja",_xlfn.IFNA(_xlfn.IFS(AND(O1162&lt;&gt;"",F1162&lt;&gt;"",RIGHT($N1162,6)="tarief",F1162="Vergoeding"),SUM(O1162)*FLOOR(SUM(Q1162),0.0001),AND(O1162&lt;&gt;"",F1162&lt;&gt;"",RIGHT($N1162,6)="tarief"),SUM(O1162)*FLOOR(SUM(Q1162),0.01),S1162&gt;0,IF(F1162&lt;&gt;"",FLOOR(SUM(S1162),0.01),"")),""),""),"")</f>
        <v/>
      </c>
      <c r="V1162" s="317" t="str" cm="1">
        <f t="array" aca="1" ref="V1162" ca="1">IFERROR(IF(AA1162&lt;&gt;"ja",_xlfn.IFNA(_xlfn.IFS(AND(P1162&lt;&gt;"",R1162&lt;&gt;"",RIGHT($N1162,6)="tarief",F1162="Vergoeding"),SUM(P1162)*FLOOR(SUM(R1162),0.0001),AND(P1162&lt;&gt;"",R1162&lt;&gt;"",RIGHT($N1162,6)="tarief"),P1162*FLOOR(R1162,0.01),T1162&gt;0,FLOOR(SUM(T1162),0.01)),""),""),"")</f>
        <v/>
      </c>
      <c r="W1162" s="317" t="str" cm="1">
        <f t="array" aca="1" ref="W1162" ca="1">IFERROR(_xlfn.IFS(OR(F1162="",LEFT(Methode_Keuze,4)="Geen",Methode_Keuze=""),"",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17" t="str" cm="1">
        <f t="array" aca="1" ref="X1162" ca="1">IFERROR(_xlfn.IFS(OR(F1162="",LEFT(Methode_Keuze,4)="Geen",Methode_Keuze=""),"",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26"/>
      <c r="Z1162" s="319"/>
      <c r="AA1162" s="32" t="str" cm="1">
        <f t="array" ref="AA1162">IFERROR(IF(INDEX(SubsidieTabel!$AD$1:$AG$12,MATCH($F1162,SubsidieTabel!$AD$1:$AD$12,0),IFERROR(MATCH(Methode_Keuze,SubsidieTabel!$AD$1:$AG$1,0),2))&lt;&gt;1=TRUE,"ja",""),"")</f>
        <v/>
      </c>
    </row>
    <row r="1163" spans="1:27" x14ac:dyDescent="0.25">
      <c r="A1163" s="320"/>
      <c r="B1163" s="321" t="str">
        <f>IF(A1163&lt;&gt;"",_xlfn.MAXIFS($B$1:B1162,$A$1:A1162,A1163)+1,"")</f>
        <v/>
      </c>
      <c r="C1163" s="299"/>
      <c r="D1163" s="299"/>
      <c r="E1163" s="299"/>
      <c r="F1163" s="299"/>
      <c r="G1163" s="330"/>
      <c r="H1163" s="328"/>
      <c r="I1163" s="329"/>
      <c r="J1163" s="329"/>
      <c r="K1163" s="322"/>
      <c r="L1163" s="322"/>
      <c r="M1163" s="323" t="str">
        <f>IFERROR(VLOOKUP(H1163,Lijsten!$H$1:$I$100,2,0),"")</f>
        <v/>
      </c>
      <c r="N1163" s="323" t="str">
        <f ca="1">IFERROR(IF(VLOOKUP(F1163,Kostentypen!$A$3:$E$21,3,0)=0,"",IF(OR(F1163="Arbeidskosten",F1163="Vergoeding"),VLOOKUP(G1163,Tb_KostenTypen[],2,0),VLOOKUP(F1163,Kostentypen!$A$3:$E$20,3,0))),"")</f>
        <v/>
      </c>
      <c r="O1163" s="324"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4"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3"/>
      <c r="R1163" s="363"/>
      <c r="S1163" s="325"/>
      <c r="T1163" s="325"/>
      <c r="U1163" s="317" t="str" cm="1">
        <f t="array" aca="1" ref="U1163" ca="1">IFERROR(IF(AA1163&lt;&gt;"ja",_xlfn.IFNA(_xlfn.IFS(AND(O1163&lt;&gt;"",F1163&lt;&gt;"",RIGHT($N1163,6)="tarief",F1163="Vergoeding"),SUM(O1163)*FLOOR(SUM(Q1163),0.0001),AND(O1163&lt;&gt;"",F1163&lt;&gt;"",RIGHT($N1163,6)="tarief"),SUM(O1163)*FLOOR(SUM(Q1163),0.01),S1163&gt;0,IF(F1163&lt;&gt;"",FLOOR(SUM(S1163),0.01),"")),""),""),"")</f>
        <v/>
      </c>
      <c r="V1163" s="317" t="str" cm="1">
        <f t="array" aca="1" ref="V1163" ca="1">IFERROR(IF(AA1163&lt;&gt;"ja",_xlfn.IFNA(_xlfn.IFS(AND(P1163&lt;&gt;"",R1163&lt;&gt;"",RIGHT($N1163,6)="tarief",F1163="Vergoeding"),SUM(P1163)*FLOOR(SUM(R1163),0.0001),AND(P1163&lt;&gt;"",R1163&lt;&gt;"",RIGHT($N1163,6)="tarief"),P1163*FLOOR(R1163,0.01),T1163&gt;0,FLOOR(SUM(T1163),0.01)),""),""),"")</f>
        <v/>
      </c>
      <c r="W1163" s="317" t="str" cm="1">
        <f t="array" aca="1" ref="W1163" ca="1">IFERROR(_xlfn.IFS(OR(F1163="",LEFT(Methode_Keuze,4)="Geen",Methode_Keuze=""),"",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17" t="str" cm="1">
        <f t="array" aca="1" ref="X1163" ca="1">IFERROR(_xlfn.IFS(OR(F1163="",LEFT(Methode_Keuze,4)="Geen",Methode_Keuze=""),"",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26"/>
      <c r="Z1163" s="319"/>
      <c r="AA1163" s="32" t="str" cm="1">
        <f t="array" ref="AA1163">IFERROR(IF(INDEX(SubsidieTabel!$AD$1:$AG$12,MATCH($F1163,SubsidieTabel!$AD$1:$AD$12,0),IFERROR(MATCH(Methode_Keuze,SubsidieTabel!$AD$1:$AG$1,0),2))&lt;&gt;1=TRUE,"ja",""),"")</f>
        <v/>
      </c>
    </row>
    <row r="1164" spans="1:27" x14ac:dyDescent="0.25">
      <c r="A1164" s="320"/>
      <c r="B1164" s="321" t="str">
        <f>IF(A1164&lt;&gt;"",_xlfn.MAXIFS($B$1:B1163,$A$1:A1163,A1164)+1,"")</f>
        <v/>
      </c>
      <c r="C1164" s="299"/>
      <c r="D1164" s="299"/>
      <c r="E1164" s="299"/>
      <c r="F1164" s="299"/>
      <c r="G1164" s="330"/>
      <c r="H1164" s="328"/>
      <c r="I1164" s="329"/>
      <c r="J1164" s="329"/>
      <c r="K1164" s="322"/>
      <c r="L1164" s="322"/>
      <c r="M1164" s="323" t="str">
        <f>IFERROR(VLOOKUP(H1164,Lijsten!$H$1:$I$100,2,0),"")</f>
        <v/>
      </c>
      <c r="N1164" s="323" t="str">
        <f ca="1">IFERROR(IF(VLOOKUP(F1164,Kostentypen!$A$3:$E$21,3,0)=0,"",IF(OR(F1164="Arbeidskosten",F1164="Vergoeding"),VLOOKUP(G1164,Tb_KostenTypen[],2,0),VLOOKUP(F1164,Kostentypen!$A$3:$E$20,3,0))),"")</f>
        <v/>
      </c>
      <c r="O1164" s="324"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4"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3"/>
      <c r="R1164" s="363"/>
      <c r="S1164" s="325"/>
      <c r="T1164" s="325"/>
      <c r="U1164" s="317" t="str" cm="1">
        <f t="array" aca="1" ref="U1164" ca="1">IFERROR(IF(AA1164&lt;&gt;"ja",_xlfn.IFNA(_xlfn.IFS(AND(O1164&lt;&gt;"",F1164&lt;&gt;"",RIGHT($N1164,6)="tarief",F1164="Vergoeding"),SUM(O1164)*FLOOR(SUM(Q1164),0.0001),AND(O1164&lt;&gt;"",F1164&lt;&gt;"",RIGHT($N1164,6)="tarief"),SUM(O1164)*FLOOR(SUM(Q1164),0.01),S1164&gt;0,IF(F1164&lt;&gt;"",FLOOR(SUM(S1164),0.01),"")),""),""),"")</f>
        <v/>
      </c>
      <c r="V1164" s="317" t="str" cm="1">
        <f t="array" aca="1" ref="V1164" ca="1">IFERROR(IF(AA1164&lt;&gt;"ja",_xlfn.IFNA(_xlfn.IFS(AND(P1164&lt;&gt;"",R1164&lt;&gt;"",RIGHT($N1164,6)="tarief",F1164="Vergoeding"),SUM(P1164)*FLOOR(SUM(R1164),0.0001),AND(P1164&lt;&gt;"",R1164&lt;&gt;"",RIGHT($N1164,6)="tarief"),P1164*FLOOR(R1164,0.01),T1164&gt;0,FLOOR(SUM(T1164),0.01)),""),""),"")</f>
        <v/>
      </c>
      <c r="W1164" s="317" t="str" cm="1">
        <f t="array" aca="1" ref="W1164" ca="1">IFERROR(_xlfn.IFS(OR(F1164="",LEFT(Methode_Keuze,4)="Geen",Methode_Keuze=""),"",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17" t="str" cm="1">
        <f t="array" aca="1" ref="X1164" ca="1">IFERROR(_xlfn.IFS(OR(F1164="",LEFT(Methode_Keuze,4)="Geen",Methode_Keuze=""),"",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26"/>
      <c r="Z1164" s="319"/>
      <c r="AA1164" s="32" t="str" cm="1">
        <f t="array" ref="AA1164">IFERROR(IF(INDEX(SubsidieTabel!$AD$1:$AG$12,MATCH($F1164,SubsidieTabel!$AD$1:$AD$12,0),IFERROR(MATCH(Methode_Keuze,SubsidieTabel!$AD$1:$AG$1,0),2))&lt;&gt;1=TRUE,"ja",""),"")</f>
        <v/>
      </c>
    </row>
    <row r="1165" spans="1:27" x14ac:dyDescent="0.25">
      <c r="A1165" s="320"/>
      <c r="B1165" s="321" t="str">
        <f>IF(A1165&lt;&gt;"",_xlfn.MAXIFS($B$1:B1164,$A$1:A1164,A1165)+1,"")</f>
        <v/>
      </c>
      <c r="C1165" s="299"/>
      <c r="D1165" s="299"/>
      <c r="E1165" s="299"/>
      <c r="F1165" s="299"/>
      <c r="G1165" s="330"/>
      <c r="H1165" s="328"/>
      <c r="I1165" s="329"/>
      <c r="J1165" s="329"/>
      <c r="K1165" s="322"/>
      <c r="L1165" s="322"/>
      <c r="M1165" s="323" t="str">
        <f>IFERROR(VLOOKUP(H1165,Lijsten!$H$1:$I$100,2,0),"")</f>
        <v/>
      </c>
      <c r="N1165" s="323" t="str">
        <f ca="1">IFERROR(IF(VLOOKUP(F1165,Kostentypen!$A$3:$E$21,3,0)=0,"",IF(OR(F1165="Arbeidskosten",F1165="Vergoeding"),VLOOKUP(G1165,Tb_KostenTypen[],2,0),VLOOKUP(F1165,Kostentypen!$A$3:$E$20,3,0))),"")</f>
        <v/>
      </c>
      <c r="O1165" s="324"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4"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3"/>
      <c r="R1165" s="363"/>
      <c r="S1165" s="325"/>
      <c r="T1165" s="325"/>
      <c r="U1165" s="317" t="str" cm="1">
        <f t="array" aca="1" ref="U1165" ca="1">IFERROR(IF(AA1165&lt;&gt;"ja",_xlfn.IFNA(_xlfn.IFS(AND(O1165&lt;&gt;"",F1165&lt;&gt;"",RIGHT($N1165,6)="tarief",F1165="Vergoeding"),SUM(O1165)*FLOOR(SUM(Q1165),0.0001),AND(O1165&lt;&gt;"",F1165&lt;&gt;"",RIGHT($N1165,6)="tarief"),SUM(O1165)*FLOOR(SUM(Q1165),0.01),S1165&gt;0,IF(F1165&lt;&gt;"",FLOOR(SUM(S1165),0.01),"")),""),""),"")</f>
        <v/>
      </c>
      <c r="V1165" s="317" t="str" cm="1">
        <f t="array" aca="1" ref="V1165" ca="1">IFERROR(IF(AA1165&lt;&gt;"ja",_xlfn.IFNA(_xlfn.IFS(AND(P1165&lt;&gt;"",R1165&lt;&gt;"",RIGHT($N1165,6)="tarief",F1165="Vergoeding"),SUM(P1165)*FLOOR(SUM(R1165),0.0001),AND(P1165&lt;&gt;"",R1165&lt;&gt;"",RIGHT($N1165,6)="tarief"),P1165*FLOOR(R1165,0.01),T1165&gt;0,FLOOR(SUM(T1165),0.01)),""),""),"")</f>
        <v/>
      </c>
      <c r="W1165" s="317" t="str" cm="1">
        <f t="array" aca="1" ref="W1165" ca="1">IFERROR(_xlfn.IFS(OR(F1165="",LEFT(Methode_Keuze,4)="Geen",Methode_Keuze=""),"",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17" t="str" cm="1">
        <f t="array" aca="1" ref="X1165" ca="1">IFERROR(_xlfn.IFS(OR(F1165="",LEFT(Methode_Keuze,4)="Geen",Methode_Keuze=""),"",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26"/>
      <c r="Z1165" s="319"/>
      <c r="AA1165" s="32" t="str" cm="1">
        <f t="array" ref="AA1165">IFERROR(IF(INDEX(SubsidieTabel!$AD$1:$AG$12,MATCH($F1165,SubsidieTabel!$AD$1:$AD$12,0),IFERROR(MATCH(Methode_Keuze,SubsidieTabel!$AD$1:$AG$1,0),2))&lt;&gt;1=TRUE,"ja",""),"")</f>
        <v/>
      </c>
    </row>
    <row r="1166" spans="1:27" x14ac:dyDescent="0.25">
      <c r="A1166" s="320"/>
      <c r="B1166" s="321" t="str">
        <f>IF(A1166&lt;&gt;"",_xlfn.MAXIFS($B$1:B1165,$A$1:A1165,A1166)+1,"")</f>
        <v/>
      </c>
      <c r="C1166" s="299"/>
      <c r="D1166" s="299"/>
      <c r="E1166" s="299"/>
      <c r="F1166" s="299"/>
      <c r="G1166" s="330"/>
      <c r="H1166" s="328"/>
      <c r="I1166" s="329"/>
      <c r="J1166" s="329"/>
      <c r="K1166" s="322"/>
      <c r="L1166" s="322"/>
      <c r="M1166" s="323" t="str">
        <f>IFERROR(VLOOKUP(H1166,Lijsten!$H$1:$I$100,2,0),"")</f>
        <v/>
      </c>
      <c r="N1166" s="323" t="str">
        <f ca="1">IFERROR(IF(VLOOKUP(F1166,Kostentypen!$A$3:$E$21,3,0)=0,"",IF(OR(F1166="Arbeidskosten",F1166="Vergoeding"),VLOOKUP(G1166,Tb_KostenTypen[],2,0),VLOOKUP(F1166,Kostentypen!$A$3:$E$20,3,0))),"")</f>
        <v/>
      </c>
      <c r="O1166" s="324"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4"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3"/>
      <c r="R1166" s="363"/>
      <c r="S1166" s="325"/>
      <c r="T1166" s="325"/>
      <c r="U1166" s="317" t="str" cm="1">
        <f t="array" aca="1" ref="U1166" ca="1">IFERROR(IF(AA1166&lt;&gt;"ja",_xlfn.IFNA(_xlfn.IFS(AND(O1166&lt;&gt;"",F1166&lt;&gt;"",RIGHT($N1166,6)="tarief",F1166="Vergoeding"),SUM(O1166)*FLOOR(SUM(Q1166),0.0001),AND(O1166&lt;&gt;"",F1166&lt;&gt;"",RIGHT($N1166,6)="tarief"),SUM(O1166)*FLOOR(SUM(Q1166),0.01),S1166&gt;0,IF(F1166&lt;&gt;"",FLOOR(SUM(S1166),0.01),"")),""),""),"")</f>
        <v/>
      </c>
      <c r="V1166" s="317" t="str" cm="1">
        <f t="array" aca="1" ref="V1166" ca="1">IFERROR(IF(AA1166&lt;&gt;"ja",_xlfn.IFNA(_xlfn.IFS(AND(P1166&lt;&gt;"",R1166&lt;&gt;"",RIGHT($N1166,6)="tarief",F1166="Vergoeding"),SUM(P1166)*FLOOR(SUM(R1166),0.0001),AND(P1166&lt;&gt;"",R1166&lt;&gt;"",RIGHT($N1166,6)="tarief"),P1166*FLOOR(R1166,0.01),T1166&gt;0,FLOOR(SUM(T1166),0.01)),""),""),"")</f>
        <v/>
      </c>
      <c r="W1166" s="317" t="str" cm="1">
        <f t="array" aca="1" ref="W1166" ca="1">IFERROR(_xlfn.IFS(OR(F1166="",LEFT(Methode_Keuze,4)="Geen",Methode_Keuze=""),"",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17" t="str" cm="1">
        <f t="array" aca="1" ref="X1166" ca="1">IFERROR(_xlfn.IFS(OR(F1166="",LEFT(Methode_Keuze,4)="Geen",Methode_Keuze=""),"",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26"/>
      <c r="Z1166" s="319"/>
      <c r="AA1166" s="32" t="str" cm="1">
        <f t="array" ref="AA1166">IFERROR(IF(INDEX(SubsidieTabel!$AD$1:$AG$12,MATCH($F1166,SubsidieTabel!$AD$1:$AD$12,0),IFERROR(MATCH(Methode_Keuze,SubsidieTabel!$AD$1:$AG$1,0),2))&lt;&gt;1=TRUE,"ja",""),"")</f>
        <v/>
      </c>
    </row>
    <row r="1167" spans="1:27" x14ac:dyDescent="0.25">
      <c r="A1167" s="320"/>
      <c r="B1167" s="321" t="str">
        <f>IF(A1167&lt;&gt;"",_xlfn.MAXIFS($B$1:B1166,$A$1:A1166,A1167)+1,"")</f>
        <v/>
      </c>
      <c r="C1167" s="299"/>
      <c r="D1167" s="299"/>
      <c r="E1167" s="299"/>
      <c r="F1167" s="299"/>
      <c r="G1167" s="330"/>
      <c r="H1167" s="328"/>
      <c r="I1167" s="329"/>
      <c r="J1167" s="329"/>
      <c r="K1167" s="322"/>
      <c r="L1167" s="322"/>
      <c r="M1167" s="323" t="str">
        <f>IFERROR(VLOOKUP(H1167,Lijsten!$H$1:$I$100,2,0),"")</f>
        <v/>
      </c>
      <c r="N1167" s="323" t="str">
        <f ca="1">IFERROR(IF(VLOOKUP(F1167,Kostentypen!$A$3:$E$21,3,0)=0,"",IF(OR(F1167="Arbeidskosten",F1167="Vergoeding"),VLOOKUP(G1167,Tb_KostenTypen[],2,0),VLOOKUP(F1167,Kostentypen!$A$3:$E$20,3,0))),"")</f>
        <v/>
      </c>
      <c r="O1167" s="324"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4"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3"/>
      <c r="R1167" s="363"/>
      <c r="S1167" s="325"/>
      <c r="T1167" s="325"/>
      <c r="U1167" s="317" t="str" cm="1">
        <f t="array" aca="1" ref="U1167" ca="1">IFERROR(IF(AA1167&lt;&gt;"ja",_xlfn.IFNA(_xlfn.IFS(AND(O1167&lt;&gt;"",F1167&lt;&gt;"",RIGHT($N1167,6)="tarief",F1167="Vergoeding"),SUM(O1167)*FLOOR(SUM(Q1167),0.0001),AND(O1167&lt;&gt;"",F1167&lt;&gt;"",RIGHT($N1167,6)="tarief"),SUM(O1167)*FLOOR(SUM(Q1167),0.01),S1167&gt;0,IF(F1167&lt;&gt;"",FLOOR(SUM(S1167),0.01),"")),""),""),"")</f>
        <v/>
      </c>
      <c r="V1167" s="317" t="str" cm="1">
        <f t="array" aca="1" ref="V1167" ca="1">IFERROR(IF(AA1167&lt;&gt;"ja",_xlfn.IFNA(_xlfn.IFS(AND(P1167&lt;&gt;"",R1167&lt;&gt;"",RIGHT($N1167,6)="tarief",F1167="Vergoeding"),SUM(P1167)*FLOOR(SUM(R1167),0.0001),AND(P1167&lt;&gt;"",R1167&lt;&gt;"",RIGHT($N1167,6)="tarief"),P1167*FLOOR(R1167,0.01),T1167&gt;0,FLOOR(SUM(T1167),0.01)),""),""),"")</f>
        <v/>
      </c>
      <c r="W1167" s="317" t="str" cm="1">
        <f t="array" aca="1" ref="W1167" ca="1">IFERROR(_xlfn.IFS(OR(F1167="",LEFT(Methode_Keuze,4)="Geen",Methode_Keuze=""),"",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17" t="str" cm="1">
        <f t="array" aca="1" ref="X1167" ca="1">IFERROR(_xlfn.IFS(OR(F1167="",LEFT(Methode_Keuze,4)="Geen",Methode_Keuze=""),"",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26"/>
      <c r="Z1167" s="319"/>
      <c r="AA1167" s="32" t="str" cm="1">
        <f t="array" ref="AA1167">IFERROR(IF(INDEX(SubsidieTabel!$AD$1:$AG$12,MATCH($F1167,SubsidieTabel!$AD$1:$AD$12,0),IFERROR(MATCH(Methode_Keuze,SubsidieTabel!$AD$1:$AG$1,0),2))&lt;&gt;1=TRUE,"ja",""),"")</f>
        <v/>
      </c>
    </row>
    <row r="1168" spans="1:27" x14ac:dyDescent="0.25">
      <c r="A1168" s="320"/>
      <c r="B1168" s="321" t="str">
        <f>IF(A1168&lt;&gt;"",_xlfn.MAXIFS($B$1:B1167,$A$1:A1167,A1168)+1,"")</f>
        <v/>
      </c>
      <c r="C1168" s="299"/>
      <c r="D1168" s="299"/>
      <c r="E1168" s="299"/>
      <c r="F1168" s="299"/>
      <c r="G1168" s="330"/>
      <c r="H1168" s="328"/>
      <c r="I1168" s="329"/>
      <c r="J1168" s="329"/>
      <c r="K1168" s="322"/>
      <c r="L1168" s="322"/>
      <c r="M1168" s="323" t="str">
        <f>IFERROR(VLOOKUP(H1168,Lijsten!$H$1:$I$100,2,0),"")</f>
        <v/>
      </c>
      <c r="N1168" s="323" t="str">
        <f ca="1">IFERROR(IF(VLOOKUP(F1168,Kostentypen!$A$3:$E$21,3,0)=0,"",IF(OR(F1168="Arbeidskosten",F1168="Vergoeding"),VLOOKUP(G1168,Tb_KostenTypen[],2,0),VLOOKUP(F1168,Kostentypen!$A$3:$E$20,3,0))),"")</f>
        <v/>
      </c>
      <c r="O1168" s="324"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4"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3"/>
      <c r="R1168" s="363"/>
      <c r="S1168" s="325"/>
      <c r="T1168" s="325"/>
      <c r="U1168" s="317" t="str" cm="1">
        <f t="array" aca="1" ref="U1168" ca="1">IFERROR(IF(AA1168&lt;&gt;"ja",_xlfn.IFNA(_xlfn.IFS(AND(O1168&lt;&gt;"",F1168&lt;&gt;"",RIGHT($N1168,6)="tarief",F1168="Vergoeding"),SUM(O1168)*FLOOR(SUM(Q1168),0.0001),AND(O1168&lt;&gt;"",F1168&lt;&gt;"",RIGHT($N1168,6)="tarief"),SUM(O1168)*FLOOR(SUM(Q1168),0.01),S1168&gt;0,IF(F1168&lt;&gt;"",FLOOR(SUM(S1168),0.01),"")),""),""),"")</f>
        <v/>
      </c>
      <c r="V1168" s="317" t="str" cm="1">
        <f t="array" aca="1" ref="V1168" ca="1">IFERROR(IF(AA1168&lt;&gt;"ja",_xlfn.IFNA(_xlfn.IFS(AND(P1168&lt;&gt;"",R1168&lt;&gt;"",RIGHT($N1168,6)="tarief",F1168="Vergoeding"),SUM(P1168)*FLOOR(SUM(R1168),0.0001),AND(P1168&lt;&gt;"",R1168&lt;&gt;"",RIGHT($N1168,6)="tarief"),P1168*FLOOR(R1168,0.01),T1168&gt;0,FLOOR(SUM(T1168),0.01)),""),""),"")</f>
        <v/>
      </c>
      <c r="W1168" s="317" t="str" cm="1">
        <f t="array" aca="1" ref="W1168" ca="1">IFERROR(_xlfn.IFS(OR(F1168="",LEFT(Methode_Keuze,4)="Geen",Methode_Keuze=""),"",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17" t="str" cm="1">
        <f t="array" aca="1" ref="X1168" ca="1">IFERROR(_xlfn.IFS(OR(F1168="",LEFT(Methode_Keuze,4)="Geen",Methode_Keuze=""),"",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26"/>
      <c r="Z1168" s="319"/>
      <c r="AA1168" s="32" t="str" cm="1">
        <f t="array" ref="AA1168">IFERROR(IF(INDEX(SubsidieTabel!$AD$1:$AG$12,MATCH($F1168,SubsidieTabel!$AD$1:$AD$12,0),IFERROR(MATCH(Methode_Keuze,SubsidieTabel!$AD$1:$AG$1,0),2))&lt;&gt;1=TRUE,"ja",""),"")</f>
        <v/>
      </c>
    </row>
    <row r="1169" spans="1:27" x14ac:dyDescent="0.25">
      <c r="A1169" s="320"/>
      <c r="B1169" s="321" t="str">
        <f>IF(A1169&lt;&gt;"",_xlfn.MAXIFS($B$1:B1168,$A$1:A1168,A1169)+1,"")</f>
        <v/>
      </c>
      <c r="C1169" s="299"/>
      <c r="D1169" s="299"/>
      <c r="E1169" s="299"/>
      <c r="F1169" s="299"/>
      <c r="G1169" s="330"/>
      <c r="H1169" s="328"/>
      <c r="I1169" s="329"/>
      <c r="J1169" s="329"/>
      <c r="K1169" s="322"/>
      <c r="L1169" s="322"/>
      <c r="M1169" s="323" t="str">
        <f>IFERROR(VLOOKUP(H1169,Lijsten!$H$1:$I$100,2,0),"")</f>
        <v/>
      </c>
      <c r="N1169" s="323" t="str">
        <f ca="1">IFERROR(IF(VLOOKUP(F1169,Kostentypen!$A$3:$E$21,3,0)=0,"",IF(OR(F1169="Arbeidskosten",F1169="Vergoeding"),VLOOKUP(G1169,Tb_KostenTypen[],2,0),VLOOKUP(F1169,Kostentypen!$A$3:$E$20,3,0))),"")</f>
        <v/>
      </c>
      <c r="O1169" s="324"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4"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3"/>
      <c r="R1169" s="363"/>
      <c r="S1169" s="325"/>
      <c r="T1169" s="325"/>
      <c r="U1169" s="317" t="str" cm="1">
        <f t="array" aca="1" ref="U1169" ca="1">IFERROR(IF(AA1169&lt;&gt;"ja",_xlfn.IFNA(_xlfn.IFS(AND(O1169&lt;&gt;"",F1169&lt;&gt;"",RIGHT($N1169,6)="tarief",F1169="Vergoeding"),SUM(O1169)*FLOOR(SUM(Q1169),0.0001),AND(O1169&lt;&gt;"",F1169&lt;&gt;"",RIGHT($N1169,6)="tarief"),SUM(O1169)*FLOOR(SUM(Q1169),0.01),S1169&gt;0,IF(F1169&lt;&gt;"",FLOOR(SUM(S1169),0.01),"")),""),""),"")</f>
        <v/>
      </c>
      <c r="V1169" s="317" t="str" cm="1">
        <f t="array" aca="1" ref="V1169" ca="1">IFERROR(IF(AA1169&lt;&gt;"ja",_xlfn.IFNA(_xlfn.IFS(AND(P1169&lt;&gt;"",R1169&lt;&gt;"",RIGHT($N1169,6)="tarief",F1169="Vergoeding"),SUM(P1169)*FLOOR(SUM(R1169),0.0001),AND(P1169&lt;&gt;"",R1169&lt;&gt;"",RIGHT($N1169,6)="tarief"),P1169*FLOOR(R1169,0.01),T1169&gt;0,FLOOR(SUM(T1169),0.01)),""),""),"")</f>
        <v/>
      </c>
      <c r="W1169" s="317" t="str" cm="1">
        <f t="array" aca="1" ref="W1169" ca="1">IFERROR(_xlfn.IFS(OR(F1169="",LEFT(Methode_Keuze,4)="Geen",Methode_Keuze=""),"",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17" t="str" cm="1">
        <f t="array" aca="1" ref="X1169" ca="1">IFERROR(_xlfn.IFS(OR(F1169="",LEFT(Methode_Keuze,4)="Geen",Methode_Keuze=""),"",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26"/>
      <c r="Z1169" s="319"/>
      <c r="AA1169" s="32" t="str" cm="1">
        <f t="array" ref="AA1169">IFERROR(IF(INDEX(SubsidieTabel!$AD$1:$AG$12,MATCH($F1169,SubsidieTabel!$AD$1:$AD$12,0),IFERROR(MATCH(Methode_Keuze,SubsidieTabel!$AD$1:$AG$1,0),2))&lt;&gt;1=TRUE,"ja",""),"")</f>
        <v/>
      </c>
    </row>
    <row r="1170" spans="1:27" x14ac:dyDescent="0.25">
      <c r="A1170" s="320"/>
      <c r="B1170" s="321" t="str">
        <f>IF(A1170&lt;&gt;"",_xlfn.MAXIFS($B$1:B1169,$A$1:A1169,A1170)+1,"")</f>
        <v/>
      </c>
      <c r="C1170" s="299"/>
      <c r="D1170" s="299"/>
      <c r="E1170" s="299"/>
      <c r="F1170" s="299"/>
      <c r="G1170" s="330"/>
      <c r="H1170" s="328"/>
      <c r="I1170" s="329"/>
      <c r="J1170" s="329"/>
      <c r="K1170" s="322"/>
      <c r="L1170" s="322"/>
      <c r="M1170" s="323" t="str">
        <f>IFERROR(VLOOKUP(H1170,Lijsten!$H$1:$I$100,2,0),"")</f>
        <v/>
      </c>
      <c r="N1170" s="323" t="str">
        <f ca="1">IFERROR(IF(VLOOKUP(F1170,Kostentypen!$A$3:$E$21,3,0)=0,"",IF(OR(F1170="Arbeidskosten",F1170="Vergoeding"),VLOOKUP(G1170,Tb_KostenTypen[],2,0),VLOOKUP(F1170,Kostentypen!$A$3:$E$20,3,0))),"")</f>
        <v/>
      </c>
      <c r="O1170" s="324"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4"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3"/>
      <c r="R1170" s="363"/>
      <c r="S1170" s="325"/>
      <c r="T1170" s="325"/>
      <c r="U1170" s="317" t="str" cm="1">
        <f t="array" aca="1" ref="U1170" ca="1">IFERROR(IF(AA1170&lt;&gt;"ja",_xlfn.IFNA(_xlfn.IFS(AND(O1170&lt;&gt;"",F1170&lt;&gt;"",RIGHT($N1170,6)="tarief",F1170="Vergoeding"),SUM(O1170)*FLOOR(SUM(Q1170),0.0001),AND(O1170&lt;&gt;"",F1170&lt;&gt;"",RIGHT($N1170,6)="tarief"),SUM(O1170)*FLOOR(SUM(Q1170),0.01),S1170&gt;0,IF(F1170&lt;&gt;"",FLOOR(SUM(S1170),0.01),"")),""),""),"")</f>
        <v/>
      </c>
      <c r="V1170" s="317" t="str" cm="1">
        <f t="array" aca="1" ref="V1170" ca="1">IFERROR(IF(AA1170&lt;&gt;"ja",_xlfn.IFNA(_xlfn.IFS(AND(P1170&lt;&gt;"",R1170&lt;&gt;"",RIGHT($N1170,6)="tarief",F1170="Vergoeding"),SUM(P1170)*FLOOR(SUM(R1170),0.0001),AND(P1170&lt;&gt;"",R1170&lt;&gt;"",RIGHT($N1170,6)="tarief"),P1170*FLOOR(R1170,0.01),T1170&gt;0,FLOOR(SUM(T1170),0.01)),""),""),"")</f>
        <v/>
      </c>
      <c r="W1170" s="317" t="str" cm="1">
        <f t="array" aca="1" ref="W1170" ca="1">IFERROR(_xlfn.IFS(OR(F1170="",LEFT(Methode_Keuze,4)="Geen",Methode_Keuze=""),"",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17" t="str" cm="1">
        <f t="array" aca="1" ref="X1170" ca="1">IFERROR(_xlfn.IFS(OR(F1170="",LEFT(Methode_Keuze,4)="Geen",Methode_Keuze=""),"",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26"/>
      <c r="Z1170" s="319"/>
      <c r="AA1170" s="32" t="str" cm="1">
        <f t="array" ref="AA1170">IFERROR(IF(INDEX(SubsidieTabel!$AD$1:$AG$12,MATCH($F1170,SubsidieTabel!$AD$1:$AD$12,0),IFERROR(MATCH(Methode_Keuze,SubsidieTabel!$AD$1:$AG$1,0),2))&lt;&gt;1=TRUE,"ja",""),"")</f>
        <v/>
      </c>
    </row>
    <row r="1171" spans="1:27" x14ac:dyDescent="0.25">
      <c r="A1171" s="320"/>
      <c r="B1171" s="321" t="str">
        <f>IF(A1171&lt;&gt;"",_xlfn.MAXIFS($B$1:B1170,$A$1:A1170,A1171)+1,"")</f>
        <v/>
      </c>
      <c r="C1171" s="299"/>
      <c r="D1171" s="299"/>
      <c r="E1171" s="299"/>
      <c r="F1171" s="299"/>
      <c r="G1171" s="330"/>
      <c r="H1171" s="328"/>
      <c r="I1171" s="329"/>
      <c r="J1171" s="329"/>
      <c r="K1171" s="322"/>
      <c r="L1171" s="322"/>
      <c r="M1171" s="323" t="str">
        <f>IFERROR(VLOOKUP(H1171,Lijsten!$H$1:$I$100,2,0),"")</f>
        <v/>
      </c>
      <c r="N1171" s="323" t="str">
        <f ca="1">IFERROR(IF(VLOOKUP(F1171,Kostentypen!$A$3:$E$21,3,0)=0,"",IF(OR(F1171="Arbeidskosten",F1171="Vergoeding"),VLOOKUP(G1171,Tb_KostenTypen[],2,0),VLOOKUP(F1171,Kostentypen!$A$3:$E$20,3,0))),"")</f>
        <v/>
      </c>
      <c r="O1171" s="324"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4"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3"/>
      <c r="R1171" s="363"/>
      <c r="S1171" s="325"/>
      <c r="T1171" s="325"/>
      <c r="U1171" s="317" t="str" cm="1">
        <f t="array" aca="1" ref="U1171" ca="1">IFERROR(IF(AA1171&lt;&gt;"ja",_xlfn.IFNA(_xlfn.IFS(AND(O1171&lt;&gt;"",F1171&lt;&gt;"",RIGHT($N1171,6)="tarief",F1171="Vergoeding"),SUM(O1171)*FLOOR(SUM(Q1171),0.0001),AND(O1171&lt;&gt;"",F1171&lt;&gt;"",RIGHT($N1171,6)="tarief"),SUM(O1171)*FLOOR(SUM(Q1171),0.01),S1171&gt;0,IF(F1171&lt;&gt;"",FLOOR(SUM(S1171),0.01),"")),""),""),"")</f>
        <v/>
      </c>
      <c r="V1171" s="317" t="str" cm="1">
        <f t="array" aca="1" ref="V1171" ca="1">IFERROR(IF(AA1171&lt;&gt;"ja",_xlfn.IFNA(_xlfn.IFS(AND(P1171&lt;&gt;"",R1171&lt;&gt;"",RIGHT($N1171,6)="tarief",F1171="Vergoeding"),SUM(P1171)*FLOOR(SUM(R1171),0.0001),AND(P1171&lt;&gt;"",R1171&lt;&gt;"",RIGHT($N1171,6)="tarief"),P1171*FLOOR(R1171,0.01),T1171&gt;0,FLOOR(SUM(T1171),0.01)),""),""),"")</f>
        <v/>
      </c>
      <c r="W1171" s="317" t="str" cm="1">
        <f t="array" aca="1" ref="W1171" ca="1">IFERROR(_xlfn.IFS(OR(F1171="",LEFT(Methode_Keuze,4)="Geen",Methode_Keuze=""),"",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17" t="str" cm="1">
        <f t="array" aca="1" ref="X1171" ca="1">IFERROR(_xlfn.IFS(OR(F1171="",LEFT(Methode_Keuze,4)="Geen",Methode_Keuze=""),"",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26"/>
      <c r="Z1171" s="319"/>
      <c r="AA1171" s="32" t="str" cm="1">
        <f t="array" ref="AA1171">IFERROR(IF(INDEX(SubsidieTabel!$AD$1:$AG$12,MATCH($F1171,SubsidieTabel!$AD$1:$AD$12,0),IFERROR(MATCH(Methode_Keuze,SubsidieTabel!$AD$1:$AG$1,0),2))&lt;&gt;1=TRUE,"ja",""),"")</f>
        <v/>
      </c>
    </row>
    <row r="1172" spans="1:27" x14ac:dyDescent="0.25">
      <c r="A1172" s="320"/>
      <c r="B1172" s="321" t="str">
        <f>IF(A1172&lt;&gt;"",_xlfn.MAXIFS($B$1:B1171,$A$1:A1171,A1172)+1,"")</f>
        <v/>
      </c>
      <c r="C1172" s="299"/>
      <c r="D1172" s="299"/>
      <c r="E1172" s="299"/>
      <c r="F1172" s="299"/>
      <c r="G1172" s="330"/>
      <c r="H1172" s="328"/>
      <c r="I1172" s="329"/>
      <c r="J1172" s="329"/>
      <c r="K1172" s="322"/>
      <c r="L1172" s="322"/>
      <c r="M1172" s="323" t="str">
        <f>IFERROR(VLOOKUP(H1172,Lijsten!$H$1:$I$100,2,0),"")</f>
        <v/>
      </c>
      <c r="N1172" s="323" t="str">
        <f ca="1">IFERROR(IF(VLOOKUP(F1172,Kostentypen!$A$3:$E$21,3,0)=0,"",IF(OR(F1172="Arbeidskosten",F1172="Vergoeding"),VLOOKUP(G1172,Tb_KostenTypen[],2,0),VLOOKUP(F1172,Kostentypen!$A$3:$E$20,3,0))),"")</f>
        <v/>
      </c>
      <c r="O1172" s="324"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4"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3"/>
      <c r="R1172" s="363"/>
      <c r="S1172" s="325"/>
      <c r="T1172" s="325"/>
      <c r="U1172" s="317" t="str" cm="1">
        <f t="array" aca="1" ref="U1172" ca="1">IFERROR(IF(AA1172&lt;&gt;"ja",_xlfn.IFNA(_xlfn.IFS(AND(O1172&lt;&gt;"",F1172&lt;&gt;"",RIGHT($N1172,6)="tarief",F1172="Vergoeding"),SUM(O1172)*FLOOR(SUM(Q1172),0.0001),AND(O1172&lt;&gt;"",F1172&lt;&gt;"",RIGHT($N1172,6)="tarief"),SUM(O1172)*FLOOR(SUM(Q1172),0.01),S1172&gt;0,IF(F1172&lt;&gt;"",FLOOR(SUM(S1172),0.01),"")),""),""),"")</f>
        <v/>
      </c>
      <c r="V1172" s="317" t="str" cm="1">
        <f t="array" aca="1" ref="V1172" ca="1">IFERROR(IF(AA1172&lt;&gt;"ja",_xlfn.IFNA(_xlfn.IFS(AND(P1172&lt;&gt;"",R1172&lt;&gt;"",RIGHT($N1172,6)="tarief",F1172="Vergoeding"),SUM(P1172)*FLOOR(SUM(R1172),0.0001),AND(P1172&lt;&gt;"",R1172&lt;&gt;"",RIGHT($N1172,6)="tarief"),P1172*FLOOR(R1172,0.01),T1172&gt;0,FLOOR(SUM(T1172),0.01)),""),""),"")</f>
        <v/>
      </c>
      <c r="W1172" s="317" t="str" cm="1">
        <f t="array" aca="1" ref="W1172" ca="1">IFERROR(_xlfn.IFS(OR(F1172="",LEFT(Methode_Keuze,4)="Geen",Methode_Keuze=""),"",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17" t="str" cm="1">
        <f t="array" aca="1" ref="X1172" ca="1">IFERROR(_xlfn.IFS(OR(F1172="",LEFT(Methode_Keuze,4)="Geen",Methode_Keuze=""),"",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26"/>
      <c r="Z1172" s="319"/>
      <c r="AA1172" s="32" t="str" cm="1">
        <f t="array" ref="AA1172">IFERROR(IF(INDEX(SubsidieTabel!$AD$1:$AG$12,MATCH($F1172,SubsidieTabel!$AD$1:$AD$12,0),IFERROR(MATCH(Methode_Keuze,SubsidieTabel!$AD$1:$AG$1,0),2))&lt;&gt;1=TRUE,"ja",""),"")</f>
        <v/>
      </c>
    </row>
    <row r="1173" spans="1:27" x14ac:dyDescent="0.25">
      <c r="A1173" s="320"/>
      <c r="B1173" s="321" t="str">
        <f>IF(A1173&lt;&gt;"",_xlfn.MAXIFS($B$1:B1172,$A$1:A1172,A1173)+1,"")</f>
        <v/>
      </c>
      <c r="C1173" s="299"/>
      <c r="D1173" s="299"/>
      <c r="E1173" s="299"/>
      <c r="F1173" s="299"/>
      <c r="G1173" s="330"/>
      <c r="H1173" s="328"/>
      <c r="I1173" s="329"/>
      <c r="J1173" s="329"/>
      <c r="K1173" s="322"/>
      <c r="L1173" s="322"/>
      <c r="M1173" s="323" t="str">
        <f>IFERROR(VLOOKUP(H1173,Lijsten!$H$1:$I$100,2,0),"")</f>
        <v/>
      </c>
      <c r="N1173" s="323" t="str">
        <f ca="1">IFERROR(IF(VLOOKUP(F1173,Kostentypen!$A$3:$E$21,3,0)=0,"",IF(OR(F1173="Arbeidskosten",F1173="Vergoeding"),VLOOKUP(G1173,Tb_KostenTypen[],2,0),VLOOKUP(F1173,Kostentypen!$A$3:$E$20,3,0))),"")</f>
        <v/>
      </c>
      <c r="O1173" s="324"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4"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3"/>
      <c r="R1173" s="363"/>
      <c r="S1173" s="325"/>
      <c r="T1173" s="325"/>
      <c r="U1173" s="317" t="str" cm="1">
        <f t="array" aca="1" ref="U1173" ca="1">IFERROR(IF(AA1173&lt;&gt;"ja",_xlfn.IFNA(_xlfn.IFS(AND(O1173&lt;&gt;"",F1173&lt;&gt;"",RIGHT($N1173,6)="tarief",F1173="Vergoeding"),SUM(O1173)*FLOOR(SUM(Q1173),0.0001),AND(O1173&lt;&gt;"",F1173&lt;&gt;"",RIGHT($N1173,6)="tarief"),SUM(O1173)*FLOOR(SUM(Q1173),0.01),S1173&gt;0,IF(F1173&lt;&gt;"",FLOOR(SUM(S1173),0.01),"")),""),""),"")</f>
        <v/>
      </c>
      <c r="V1173" s="317" t="str" cm="1">
        <f t="array" aca="1" ref="V1173" ca="1">IFERROR(IF(AA1173&lt;&gt;"ja",_xlfn.IFNA(_xlfn.IFS(AND(P1173&lt;&gt;"",R1173&lt;&gt;"",RIGHT($N1173,6)="tarief",F1173="Vergoeding"),SUM(P1173)*FLOOR(SUM(R1173),0.0001),AND(P1173&lt;&gt;"",R1173&lt;&gt;"",RIGHT($N1173,6)="tarief"),P1173*FLOOR(R1173,0.01),T1173&gt;0,FLOOR(SUM(T1173),0.01)),""),""),"")</f>
        <v/>
      </c>
      <c r="W1173" s="317" t="str" cm="1">
        <f t="array" aca="1" ref="W1173" ca="1">IFERROR(_xlfn.IFS(OR(F1173="",LEFT(Methode_Keuze,4)="Geen",Methode_Keuze=""),"",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17" t="str" cm="1">
        <f t="array" aca="1" ref="X1173" ca="1">IFERROR(_xlfn.IFS(OR(F1173="",LEFT(Methode_Keuze,4)="Geen",Methode_Keuze=""),"",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26"/>
      <c r="Z1173" s="319"/>
      <c r="AA1173" s="32" t="str" cm="1">
        <f t="array" ref="AA1173">IFERROR(IF(INDEX(SubsidieTabel!$AD$1:$AG$12,MATCH($F1173,SubsidieTabel!$AD$1:$AD$12,0),IFERROR(MATCH(Methode_Keuze,SubsidieTabel!$AD$1:$AG$1,0),2))&lt;&gt;1=TRUE,"ja",""),"")</f>
        <v/>
      </c>
    </row>
    <row r="1174" spans="1:27" x14ac:dyDescent="0.25">
      <c r="A1174" s="320"/>
      <c r="B1174" s="321" t="str">
        <f>IF(A1174&lt;&gt;"",_xlfn.MAXIFS($B$1:B1173,$A$1:A1173,A1174)+1,"")</f>
        <v/>
      </c>
      <c r="C1174" s="299"/>
      <c r="D1174" s="299"/>
      <c r="E1174" s="299"/>
      <c r="F1174" s="299"/>
      <c r="G1174" s="330"/>
      <c r="H1174" s="328"/>
      <c r="I1174" s="329"/>
      <c r="J1174" s="329"/>
      <c r="K1174" s="322"/>
      <c r="L1174" s="322"/>
      <c r="M1174" s="323" t="str">
        <f>IFERROR(VLOOKUP(H1174,Lijsten!$H$1:$I$100,2,0),"")</f>
        <v/>
      </c>
      <c r="N1174" s="323" t="str">
        <f ca="1">IFERROR(IF(VLOOKUP(F1174,Kostentypen!$A$3:$E$21,3,0)=0,"",IF(OR(F1174="Arbeidskosten",F1174="Vergoeding"),VLOOKUP(G1174,Tb_KostenTypen[],2,0),VLOOKUP(F1174,Kostentypen!$A$3:$E$20,3,0))),"")</f>
        <v/>
      </c>
      <c r="O1174" s="324"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4"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3"/>
      <c r="R1174" s="363"/>
      <c r="S1174" s="325"/>
      <c r="T1174" s="325"/>
      <c r="U1174" s="317" t="str" cm="1">
        <f t="array" aca="1" ref="U1174" ca="1">IFERROR(IF(AA1174&lt;&gt;"ja",_xlfn.IFNA(_xlfn.IFS(AND(O1174&lt;&gt;"",F1174&lt;&gt;"",RIGHT($N1174,6)="tarief",F1174="Vergoeding"),SUM(O1174)*FLOOR(SUM(Q1174),0.0001),AND(O1174&lt;&gt;"",F1174&lt;&gt;"",RIGHT($N1174,6)="tarief"),SUM(O1174)*FLOOR(SUM(Q1174),0.01),S1174&gt;0,IF(F1174&lt;&gt;"",FLOOR(SUM(S1174),0.01),"")),""),""),"")</f>
        <v/>
      </c>
      <c r="V1174" s="317" t="str" cm="1">
        <f t="array" aca="1" ref="V1174" ca="1">IFERROR(IF(AA1174&lt;&gt;"ja",_xlfn.IFNA(_xlfn.IFS(AND(P1174&lt;&gt;"",R1174&lt;&gt;"",RIGHT($N1174,6)="tarief",F1174="Vergoeding"),SUM(P1174)*FLOOR(SUM(R1174),0.0001),AND(P1174&lt;&gt;"",R1174&lt;&gt;"",RIGHT($N1174,6)="tarief"),P1174*FLOOR(R1174,0.01),T1174&gt;0,FLOOR(SUM(T1174),0.01)),""),""),"")</f>
        <v/>
      </c>
      <c r="W1174" s="317" t="str" cm="1">
        <f t="array" aca="1" ref="W1174" ca="1">IFERROR(_xlfn.IFS(OR(F1174="",LEFT(Methode_Keuze,4)="Geen",Methode_Keuze=""),"",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17" t="str" cm="1">
        <f t="array" aca="1" ref="X1174" ca="1">IFERROR(_xlfn.IFS(OR(F1174="",LEFT(Methode_Keuze,4)="Geen",Methode_Keuze=""),"",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26"/>
      <c r="Z1174" s="319"/>
      <c r="AA1174" s="32" t="str" cm="1">
        <f t="array" ref="AA1174">IFERROR(IF(INDEX(SubsidieTabel!$AD$1:$AG$12,MATCH($F1174,SubsidieTabel!$AD$1:$AD$12,0),IFERROR(MATCH(Methode_Keuze,SubsidieTabel!$AD$1:$AG$1,0),2))&lt;&gt;1=TRUE,"ja",""),"")</f>
        <v/>
      </c>
    </row>
    <row r="1175" spans="1:27" x14ac:dyDescent="0.25">
      <c r="A1175" s="320"/>
      <c r="B1175" s="321" t="str">
        <f>IF(A1175&lt;&gt;"",_xlfn.MAXIFS($B$1:B1174,$A$1:A1174,A1175)+1,"")</f>
        <v/>
      </c>
      <c r="C1175" s="299"/>
      <c r="D1175" s="299"/>
      <c r="E1175" s="299"/>
      <c r="F1175" s="299"/>
      <c r="G1175" s="330"/>
      <c r="H1175" s="328"/>
      <c r="I1175" s="329"/>
      <c r="J1175" s="329"/>
      <c r="K1175" s="322"/>
      <c r="L1175" s="322"/>
      <c r="M1175" s="323" t="str">
        <f>IFERROR(VLOOKUP(H1175,Lijsten!$H$1:$I$100,2,0),"")</f>
        <v/>
      </c>
      <c r="N1175" s="323" t="str">
        <f ca="1">IFERROR(IF(VLOOKUP(F1175,Kostentypen!$A$3:$E$21,3,0)=0,"",IF(OR(F1175="Arbeidskosten",F1175="Vergoeding"),VLOOKUP(G1175,Tb_KostenTypen[],2,0),VLOOKUP(F1175,Kostentypen!$A$3:$E$20,3,0))),"")</f>
        <v/>
      </c>
      <c r="O1175" s="324"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4"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3"/>
      <c r="R1175" s="363"/>
      <c r="S1175" s="325"/>
      <c r="T1175" s="325"/>
      <c r="U1175" s="317" t="str" cm="1">
        <f t="array" aca="1" ref="U1175" ca="1">IFERROR(IF(AA1175&lt;&gt;"ja",_xlfn.IFNA(_xlfn.IFS(AND(O1175&lt;&gt;"",F1175&lt;&gt;"",RIGHT($N1175,6)="tarief",F1175="Vergoeding"),SUM(O1175)*FLOOR(SUM(Q1175),0.0001),AND(O1175&lt;&gt;"",F1175&lt;&gt;"",RIGHT($N1175,6)="tarief"),SUM(O1175)*FLOOR(SUM(Q1175),0.01),S1175&gt;0,IF(F1175&lt;&gt;"",FLOOR(SUM(S1175),0.01),"")),""),""),"")</f>
        <v/>
      </c>
      <c r="V1175" s="317" t="str" cm="1">
        <f t="array" aca="1" ref="V1175" ca="1">IFERROR(IF(AA1175&lt;&gt;"ja",_xlfn.IFNA(_xlfn.IFS(AND(P1175&lt;&gt;"",R1175&lt;&gt;"",RIGHT($N1175,6)="tarief",F1175="Vergoeding"),SUM(P1175)*FLOOR(SUM(R1175),0.0001),AND(P1175&lt;&gt;"",R1175&lt;&gt;"",RIGHT($N1175,6)="tarief"),P1175*FLOOR(R1175,0.01),T1175&gt;0,FLOOR(SUM(T1175),0.01)),""),""),"")</f>
        <v/>
      </c>
      <c r="W1175" s="317" t="str" cm="1">
        <f t="array" aca="1" ref="W1175" ca="1">IFERROR(_xlfn.IFS(OR(F1175="",LEFT(Methode_Keuze,4)="Geen",Methode_Keuze=""),"",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17" t="str" cm="1">
        <f t="array" aca="1" ref="X1175" ca="1">IFERROR(_xlfn.IFS(OR(F1175="",LEFT(Methode_Keuze,4)="Geen",Methode_Keuze=""),"",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26"/>
      <c r="Z1175" s="319"/>
      <c r="AA1175" s="32" t="str" cm="1">
        <f t="array" ref="AA1175">IFERROR(IF(INDEX(SubsidieTabel!$AD$1:$AG$12,MATCH($F1175,SubsidieTabel!$AD$1:$AD$12,0),IFERROR(MATCH(Methode_Keuze,SubsidieTabel!$AD$1:$AG$1,0),2))&lt;&gt;1=TRUE,"ja",""),"")</f>
        <v/>
      </c>
    </row>
    <row r="1176" spans="1:27" x14ac:dyDescent="0.25">
      <c r="A1176" s="320"/>
      <c r="B1176" s="321" t="str">
        <f>IF(A1176&lt;&gt;"",_xlfn.MAXIFS($B$1:B1175,$A$1:A1175,A1176)+1,"")</f>
        <v/>
      </c>
      <c r="C1176" s="299"/>
      <c r="D1176" s="299"/>
      <c r="E1176" s="299"/>
      <c r="F1176" s="299"/>
      <c r="G1176" s="330"/>
      <c r="H1176" s="328"/>
      <c r="I1176" s="329"/>
      <c r="J1176" s="329"/>
      <c r="K1176" s="322"/>
      <c r="L1176" s="322"/>
      <c r="M1176" s="323" t="str">
        <f>IFERROR(VLOOKUP(H1176,Lijsten!$H$1:$I$100,2,0),"")</f>
        <v/>
      </c>
      <c r="N1176" s="323" t="str">
        <f ca="1">IFERROR(IF(VLOOKUP(F1176,Kostentypen!$A$3:$E$21,3,0)=0,"",IF(OR(F1176="Arbeidskosten",F1176="Vergoeding"),VLOOKUP(G1176,Tb_KostenTypen[],2,0),VLOOKUP(F1176,Kostentypen!$A$3:$E$20,3,0))),"")</f>
        <v/>
      </c>
      <c r="O1176" s="324"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4"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3"/>
      <c r="R1176" s="363"/>
      <c r="S1176" s="325"/>
      <c r="T1176" s="325"/>
      <c r="U1176" s="317" t="str" cm="1">
        <f t="array" aca="1" ref="U1176" ca="1">IFERROR(IF(AA1176&lt;&gt;"ja",_xlfn.IFNA(_xlfn.IFS(AND(O1176&lt;&gt;"",F1176&lt;&gt;"",RIGHT($N1176,6)="tarief",F1176="Vergoeding"),SUM(O1176)*FLOOR(SUM(Q1176),0.0001),AND(O1176&lt;&gt;"",F1176&lt;&gt;"",RIGHT($N1176,6)="tarief"),SUM(O1176)*FLOOR(SUM(Q1176),0.01),S1176&gt;0,IF(F1176&lt;&gt;"",FLOOR(SUM(S1176),0.01),"")),""),""),"")</f>
        <v/>
      </c>
      <c r="V1176" s="317" t="str" cm="1">
        <f t="array" aca="1" ref="V1176" ca="1">IFERROR(IF(AA1176&lt;&gt;"ja",_xlfn.IFNA(_xlfn.IFS(AND(P1176&lt;&gt;"",R1176&lt;&gt;"",RIGHT($N1176,6)="tarief",F1176="Vergoeding"),SUM(P1176)*FLOOR(SUM(R1176),0.0001),AND(P1176&lt;&gt;"",R1176&lt;&gt;"",RIGHT($N1176,6)="tarief"),P1176*FLOOR(R1176,0.01),T1176&gt;0,FLOOR(SUM(T1176),0.01)),""),""),"")</f>
        <v/>
      </c>
      <c r="W1176" s="317" t="str" cm="1">
        <f t="array" aca="1" ref="W1176" ca="1">IFERROR(_xlfn.IFS(OR(F1176="",LEFT(Methode_Keuze,4)="Geen",Methode_Keuze=""),"",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17" t="str" cm="1">
        <f t="array" aca="1" ref="X1176" ca="1">IFERROR(_xlfn.IFS(OR(F1176="",LEFT(Methode_Keuze,4)="Geen",Methode_Keuze=""),"",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26"/>
      <c r="Z1176" s="319"/>
      <c r="AA1176" s="32" t="str" cm="1">
        <f t="array" ref="AA1176">IFERROR(IF(INDEX(SubsidieTabel!$AD$1:$AG$12,MATCH($F1176,SubsidieTabel!$AD$1:$AD$12,0),IFERROR(MATCH(Methode_Keuze,SubsidieTabel!$AD$1:$AG$1,0),2))&lt;&gt;1=TRUE,"ja",""),"")</f>
        <v/>
      </c>
    </row>
    <row r="1177" spans="1:27" x14ac:dyDescent="0.25">
      <c r="A1177" s="320"/>
      <c r="B1177" s="321" t="str">
        <f>IF(A1177&lt;&gt;"",_xlfn.MAXIFS($B$1:B1176,$A$1:A1176,A1177)+1,"")</f>
        <v/>
      </c>
      <c r="C1177" s="299"/>
      <c r="D1177" s="299"/>
      <c r="E1177" s="299"/>
      <c r="F1177" s="299"/>
      <c r="G1177" s="330"/>
      <c r="H1177" s="328"/>
      <c r="I1177" s="329"/>
      <c r="J1177" s="329"/>
      <c r="K1177" s="322"/>
      <c r="L1177" s="322"/>
      <c r="M1177" s="323" t="str">
        <f>IFERROR(VLOOKUP(H1177,Lijsten!$H$1:$I$100,2,0),"")</f>
        <v/>
      </c>
      <c r="N1177" s="323" t="str">
        <f ca="1">IFERROR(IF(VLOOKUP(F1177,Kostentypen!$A$3:$E$21,3,0)=0,"",IF(OR(F1177="Arbeidskosten",F1177="Vergoeding"),VLOOKUP(G1177,Tb_KostenTypen[],2,0),VLOOKUP(F1177,Kostentypen!$A$3:$E$20,3,0))),"")</f>
        <v/>
      </c>
      <c r="O1177" s="324"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4"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3"/>
      <c r="R1177" s="363"/>
      <c r="S1177" s="325"/>
      <c r="T1177" s="325"/>
      <c r="U1177" s="317" t="str" cm="1">
        <f t="array" aca="1" ref="U1177" ca="1">IFERROR(IF(AA1177&lt;&gt;"ja",_xlfn.IFNA(_xlfn.IFS(AND(O1177&lt;&gt;"",F1177&lt;&gt;"",RIGHT($N1177,6)="tarief",F1177="Vergoeding"),SUM(O1177)*FLOOR(SUM(Q1177),0.0001),AND(O1177&lt;&gt;"",F1177&lt;&gt;"",RIGHT($N1177,6)="tarief"),SUM(O1177)*FLOOR(SUM(Q1177),0.01),S1177&gt;0,IF(F1177&lt;&gt;"",FLOOR(SUM(S1177),0.01),"")),""),""),"")</f>
        <v/>
      </c>
      <c r="V1177" s="317" t="str" cm="1">
        <f t="array" aca="1" ref="V1177" ca="1">IFERROR(IF(AA1177&lt;&gt;"ja",_xlfn.IFNA(_xlfn.IFS(AND(P1177&lt;&gt;"",R1177&lt;&gt;"",RIGHT($N1177,6)="tarief",F1177="Vergoeding"),SUM(P1177)*FLOOR(SUM(R1177),0.0001),AND(P1177&lt;&gt;"",R1177&lt;&gt;"",RIGHT($N1177,6)="tarief"),P1177*FLOOR(R1177,0.01),T1177&gt;0,FLOOR(SUM(T1177),0.01)),""),""),"")</f>
        <v/>
      </c>
      <c r="W1177" s="317" t="str" cm="1">
        <f t="array" aca="1" ref="W1177" ca="1">IFERROR(_xlfn.IFS(OR(F1177="",LEFT(Methode_Keuze,4)="Geen",Methode_Keuze=""),"",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17" t="str" cm="1">
        <f t="array" aca="1" ref="X1177" ca="1">IFERROR(_xlfn.IFS(OR(F1177="",LEFT(Methode_Keuze,4)="Geen",Methode_Keuze=""),"",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26"/>
      <c r="Z1177" s="319"/>
      <c r="AA1177" s="32" t="str" cm="1">
        <f t="array" ref="AA1177">IFERROR(IF(INDEX(SubsidieTabel!$AD$1:$AG$12,MATCH($F1177,SubsidieTabel!$AD$1:$AD$12,0),IFERROR(MATCH(Methode_Keuze,SubsidieTabel!$AD$1:$AG$1,0),2))&lt;&gt;1=TRUE,"ja",""),"")</f>
        <v/>
      </c>
    </row>
    <row r="1178" spans="1:27" x14ac:dyDescent="0.25">
      <c r="A1178" s="320"/>
      <c r="B1178" s="321" t="str">
        <f>IF(A1178&lt;&gt;"",_xlfn.MAXIFS($B$1:B1177,$A$1:A1177,A1178)+1,"")</f>
        <v/>
      </c>
      <c r="C1178" s="299"/>
      <c r="D1178" s="299"/>
      <c r="E1178" s="299"/>
      <c r="F1178" s="299"/>
      <c r="G1178" s="330"/>
      <c r="H1178" s="328"/>
      <c r="I1178" s="329"/>
      <c r="J1178" s="329"/>
      <c r="K1178" s="322"/>
      <c r="L1178" s="322"/>
      <c r="M1178" s="323" t="str">
        <f>IFERROR(VLOOKUP(H1178,Lijsten!$H$1:$I$100,2,0),"")</f>
        <v/>
      </c>
      <c r="N1178" s="323" t="str">
        <f ca="1">IFERROR(IF(VLOOKUP(F1178,Kostentypen!$A$3:$E$21,3,0)=0,"",IF(OR(F1178="Arbeidskosten",F1178="Vergoeding"),VLOOKUP(G1178,Tb_KostenTypen[],2,0),VLOOKUP(F1178,Kostentypen!$A$3:$E$20,3,0))),"")</f>
        <v/>
      </c>
      <c r="O1178" s="324"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4"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3"/>
      <c r="R1178" s="363"/>
      <c r="S1178" s="325"/>
      <c r="T1178" s="325"/>
      <c r="U1178" s="317" t="str" cm="1">
        <f t="array" aca="1" ref="U1178" ca="1">IFERROR(IF(AA1178&lt;&gt;"ja",_xlfn.IFNA(_xlfn.IFS(AND(O1178&lt;&gt;"",F1178&lt;&gt;"",RIGHT($N1178,6)="tarief",F1178="Vergoeding"),SUM(O1178)*FLOOR(SUM(Q1178),0.0001),AND(O1178&lt;&gt;"",F1178&lt;&gt;"",RIGHT($N1178,6)="tarief"),SUM(O1178)*FLOOR(SUM(Q1178),0.01),S1178&gt;0,IF(F1178&lt;&gt;"",FLOOR(SUM(S1178),0.01),"")),""),""),"")</f>
        <v/>
      </c>
      <c r="V1178" s="317" t="str" cm="1">
        <f t="array" aca="1" ref="V1178" ca="1">IFERROR(IF(AA1178&lt;&gt;"ja",_xlfn.IFNA(_xlfn.IFS(AND(P1178&lt;&gt;"",R1178&lt;&gt;"",RIGHT($N1178,6)="tarief",F1178="Vergoeding"),SUM(P1178)*FLOOR(SUM(R1178),0.0001),AND(P1178&lt;&gt;"",R1178&lt;&gt;"",RIGHT($N1178,6)="tarief"),P1178*FLOOR(R1178,0.01),T1178&gt;0,FLOOR(SUM(T1178),0.01)),""),""),"")</f>
        <v/>
      </c>
      <c r="W1178" s="317" t="str" cm="1">
        <f t="array" aca="1" ref="W1178" ca="1">IFERROR(_xlfn.IFS(OR(F1178="",LEFT(Methode_Keuze,4)="Geen",Methode_Keuze=""),"",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17" t="str" cm="1">
        <f t="array" aca="1" ref="X1178" ca="1">IFERROR(_xlfn.IFS(OR(F1178="",LEFT(Methode_Keuze,4)="Geen",Methode_Keuze=""),"",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26"/>
      <c r="Z1178" s="319"/>
      <c r="AA1178" s="32" t="str" cm="1">
        <f t="array" ref="AA1178">IFERROR(IF(INDEX(SubsidieTabel!$AD$1:$AG$12,MATCH($F1178,SubsidieTabel!$AD$1:$AD$12,0),IFERROR(MATCH(Methode_Keuze,SubsidieTabel!$AD$1:$AG$1,0),2))&lt;&gt;1=TRUE,"ja",""),"")</f>
        <v/>
      </c>
    </row>
    <row r="1179" spans="1:27" x14ac:dyDescent="0.25">
      <c r="A1179" s="320"/>
      <c r="B1179" s="321" t="str">
        <f>IF(A1179&lt;&gt;"",_xlfn.MAXIFS($B$1:B1178,$A$1:A1178,A1179)+1,"")</f>
        <v/>
      </c>
      <c r="C1179" s="299"/>
      <c r="D1179" s="299"/>
      <c r="E1179" s="299"/>
      <c r="F1179" s="299"/>
      <c r="G1179" s="330"/>
      <c r="H1179" s="328"/>
      <c r="I1179" s="329"/>
      <c r="J1179" s="329"/>
      <c r="K1179" s="322"/>
      <c r="L1179" s="322"/>
      <c r="M1179" s="323" t="str">
        <f>IFERROR(VLOOKUP(H1179,Lijsten!$H$1:$I$100,2,0),"")</f>
        <v/>
      </c>
      <c r="N1179" s="323" t="str">
        <f ca="1">IFERROR(IF(VLOOKUP(F1179,Kostentypen!$A$3:$E$21,3,0)=0,"",IF(OR(F1179="Arbeidskosten",F1179="Vergoeding"),VLOOKUP(G1179,Tb_KostenTypen[],2,0),VLOOKUP(F1179,Kostentypen!$A$3:$E$20,3,0))),"")</f>
        <v/>
      </c>
      <c r="O1179" s="324"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4"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3"/>
      <c r="R1179" s="363"/>
      <c r="S1179" s="325"/>
      <c r="T1179" s="325"/>
      <c r="U1179" s="317" t="str" cm="1">
        <f t="array" aca="1" ref="U1179" ca="1">IFERROR(IF(AA1179&lt;&gt;"ja",_xlfn.IFNA(_xlfn.IFS(AND(O1179&lt;&gt;"",F1179&lt;&gt;"",RIGHT($N1179,6)="tarief",F1179="Vergoeding"),SUM(O1179)*FLOOR(SUM(Q1179),0.0001),AND(O1179&lt;&gt;"",F1179&lt;&gt;"",RIGHT($N1179,6)="tarief"),SUM(O1179)*FLOOR(SUM(Q1179),0.01),S1179&gt;0,IF(F1179&lt;&gt;"",FLOOR(SUM(S1179),0.01),"")),""),""),"")</f>
        <v/>
      </c>
      <c r="V1179" s="317" t="str" cm="1">
        <f t="array" aca="1" ref="V1179" ca="1">IFERROR(IF(AA1179&lt;&gt;"ja",_xlfn.IFNA(_xlfn.IFS(AND(P1179&lt;&gt;"",R1179&lt;&gt;"",RIGHT($N1179,6)="tarief",F1179="Vergoeding"),SUM(P1179)*FLOOR(SUM(R1179),0.0001),AND(P1179&lt;&gt;"",R1179&lt;&gt;"",RIGHT($N1179,6)="tarief"),P1179*FLOOR(R1179,0.01),T1179&gt;0,FLOOR(SUM(T1179),0.01)),""),""),"")</f>
        <v/>
      </c>
      <c r="W1179" s="317" t="str" cm="1">
        <f t="array" aca="1" ref="W1179" ca="1">IFERROR(_xlfn.IFS(OR(F1179="",LEFT(Methode_Keuze,4)="Geen",Methode_Keuze=""),"",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17" t="str" cm="1">
        <f t="array" aca="1" ref="X1179" ca="1">IFERROR(_xlfn.IFS(OR(F1179="",LEFT(Methode_Keuze,4)="Geen",Methode_Keuze=""),"",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26"/>
      <c r="Z1179" s="319"/>
      <c r="AA1179" s="32" t="str" cm="1">
        <f t="array" ref="AA1179">IFERROR(IF(INDEX(SubsidieTabel!$AD$1:$AG$12,MATCH($F1179,SubsidieTabel!$AD$1:$AD$12,0),IFERROR(MATCH(Methode_Keuze,SubsidieTabel!$AD$1:$AG$1,0),2))&lt;&gt;1=TRUE,"ja",""),"")</f>
        <v/>
      </c>
    </row>
    <row r="1180" spans="1:27" x14ac:dyDescent="0.25">
      <c r="A1180" s="320"/>
      <c r="B1180" s="321" t="str">
        <f>IF(A1180&lt;&gt;"",_xlfn.MAXIFS($B$1:B1179,$A$1:A1179,A1180)+1,"")</f>
        <v/>
      </c>
      <c r="C1180" s="299"/>
      <c r="D1180" s="299"/>
      <c r="E1180" s="299"/>
      <c r="F1180" s="299"/>
      <c r="G1180" s="330"/>
      <c r="H1180" s="328"/>
      <c r="I1180" s="329"/>
      <c r="J1180" s="329"/>
      <c r="K1180" s="322"/>
      <c r="L1180" s="322"/>
      <c r="M1180" s="323" t="str">
        <f>IFERROR(VLOOKUP(H1180,Lijsten!$H$1:$I$100,2,0),"")</f>
        <v/>
      </c>
      <c r="N1180" s="323" t="str">
        <f ca="1">IFERROR(IF(VLOOKUP(F1180,Kostentypen!$A$3:$E$21,3,0)=0,"",IF(OR(F1180="Arbeidskosten",F1180="Vergoeding"),VLOOKUP(G1180,Tb_KostenTypen[],2,0),VLOOKUP(F1180,Kostentypen!$A$3:$E$20,3,0))),"")</f>
        <v/>
      </c>
      <c r="O1180" s="324"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4"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3"/>
      <c r="R1180" s="363"/>
      <c r="S1180" s="325"/>
      <c r="T1180" s="325"/>
      <c r="U1180" s="317" t="str" cm="1">
        <f t="array" aca="1" ref="U1180" ca="1">IFERROR(IF(AA1180&lt;&gt;"ja",_xlfn.IFNA(_xlfn.IFS(AND(O1180&lt;&gt;"",F1180&lt;&gt;"",RIGHT($N1180,6)="tarief",F1180="Vergoeding"),SUM(O1180)*FLOOR(SUM(Q1180),0.0001),AND(O1180&lt;&gt;"",F1180&lt;&gt;"",RIGHT($N1180,6)="tarief"),SUM(O1180)*FLOOR(SUM(Q1180),0.01),S1180&gt;0,IF(F1180&lt;&gt;"",FLOOR(SUM(S1180),0.01),"")),""),""),"")</f>
        <v/>
      </c>
      <c r="V1180" s="317" t="str" cm="1">
        <f t="array" aca="1" ref="V1180" ca="1">IFERROR(IF(AA1180&lt;&gt;"ja",_xlfn.IFNA(_xlfn.IFS(AND(P1180&lt;&gt;"",R1180&lt;&gt;"",RIGHT($N1180,6)="tarief",F1180="Vergoeding"),SUM(P1180)*FLOOR(SUM(R1180),0.0001),AND(P1180&lt;&gt;"",R1180&lt;&gt;"",RIGHT($N1180,6)="tarief"),P1180*FLOOR(R1180,0.01),T1180&gt;0,FLOOR(SUM(T1180),0.01)),""),""),"")</f>
        <v/>
      </c>
      <c r="W1180" s="317" t="str" cm="1">
        <f t="array" aca="1" ref="W1180" ca="1">IFERROR(_xlfn.IFS(OR(F1180="",LEFT(Methode_Keuze,4)="Geen",Methode_Keuze=""),"",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17" t="str" cm="1">
        <f t="array" aca="1" ref="X1180" ca="1">IFERROR(_xlfn.IFS(OR(F1180="",LEFT(Methode_Keuze,4)="Geen",Methode_Keuze=""),"",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26"/>
      <c r="Z1180" s="319"/>
      <c r="AA1180" s="32" t="str" cm="1">
        <f t="array" ref="AA1180">IFERROR(IF(INDEX(SubsidieTabel!$AD$1:$AG$12,MATCH($F1180,SubsidieTabel!$AD$1:$AD$12,0),IFERROR(MATCH(Methode_Keuze,SubsidieTabel!$AD$1:$AG$1,0),2))&lt;&gt;1=TRUE,"ja",""),"")</f>
        <v/>
      </c>
    </row>
    <row r="1181" spans="1:27" x14ac:dyDescent="0.25">
      <c r="A1181" s="320"/>
      <c r="B1181" s="321" t="str">
        <f>IF(A1181&lt;&gt;"",_xlfn.MAXIFS($B$1:B1180,$A$1:A1180,A1181)+1,"")</f>
        <v/>
      </c>
      <c r="C1181" s="299"/>
      <c r="D1181" s="299"/>
      <c r="E1181" s="299"/>
      <c r="F1181" s="299"/>
      <c r="G1181" s="330"/>
      <c r="H1181" s="328"/>
      <c r="I1181" s="329"/>
      <c r="J1181" s="329"/>
      <c r="K1181" s="322"/>
      <c r="L1181" s="322"/>
      <c r="M1181" s="323" t="str">
        <f>IFERROR(VLOOKUP(H1181,Lijsten!$H$1:$I$100,2,0),"")</f>
        <v/>
      </c>
      <c r="N1181" s="323" t="str">
        <f ca="1">IFERROR(IF(VLOOKUP(F1181,Kostentypen!$A$3:$E$21,3,0)=0,"",IF(OR(F1181="Arbeidskosten",F1181="Vergoeding"),VLOOKUP(G1181,Tb_KostenTypen[],2,0),VLOOKUP(F1181,Kostentypen!$A$3:$E$20,3,0))),"")</f>
        <v/>
      </c>
      <c r="O1181" s="324"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4"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3"/>
      <c r="R1181" s="363"/>
      <c r="S1181" s="325"/>
      <c r="T1181" s="325"/>
      <c r="U1181" s="317" t="str" cm="1">
        <f t="array" aca="1" ref="U1181" ca="1">IFERROR(IF(AA1181&lt;&gt;"ja",_xlfn.IFNA(_xlfn.IFS(AND(O1181&lt;&gt;"",F1181&lt;&gt;"",RIGHT($N1181,6)="tarief",F1181="Vergoeding"),SUM(O1181)*FLOOR(SUM(Q1181),0.0001),AND(O1181&lt;&gt;"",F1181&lt;&gt;"",RIGHT($N1181,6)="tarief"),SUM(O1181)*FLOOR(SUM(Q1181),0.01),S1181&gt;0,IF(F1181&lt;&gt;"",FLOOR(SUM(S1181),0.01),"")),""),""),"")</f>
        <v/>
      </c>
      <c r="V1181" s="317" t="str" cm="1">
        <f t="array" aca="1" ref="V1181" ca="1">IFERROR(IF(AA1181&lt;&gt;"ja",_xlfn.IFNA(_xlfn.IFS(AND(P1181&lt;&gt;"",R1181&lt;&gt;"",RIGHT($N1181,6)="tarief",F1181="Vergoeding"),SUM(P1181)*FLOOR(SUM(R1181),0.0001),AND(P1181&lt;&gt;"",R1181&lt;&gt;"",RIGHT($N1181,6)="tarief"),P1181*FLOOR(R1181,0.01),T1181&gt;0,FLOOR(SUM(T1181),0.01)),""),""),"")</f>
        <v/>
      </c>
      <c r="W1181" s="317" t="str" cm="1">
        <f t="array" aca="1" ref="W1181" ca="1">IFERROR(_xlfn.IFS(OR(F1181="",LEFT(Methode_Keuze,4)="Geen",Methode_Keuze=""),"",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17" t="str" cm="1">
        <f t="array" aca="1" ref="X1181" ca="1">IFERROR(_xlfn.IFS(OR(F1181="",LEFT(Methode_Keuze,4)="Geen",Methode_Keuze=""),"",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26"/>
      <c r="Z1181" s="319"/>
      <c r="AA1181" s="32" t="str" cm="1">
        <f t="array" ref="AA1181">IFERROR(IF(INDEX(SubsidieTabel!$AD$1:$AG$12,MATCH($F1181,SubsidieTabel!$AD$1:$AD$12,0),IFERROR(MATCH(Methode_Keuze,SubsidieTabel!$AD$1:$AG$1,0),2))&lt;&gt;1=TRUE,"ja",""),"")</f>
        <v/>
      </c>
    </row>
    <row r="1182" spans="1:27" x14ac:dyDescent="0.25">
      <c r="A1182" s="320"/>
      <c r="B1182" s="321" t="str">
        <f>IF(A1182&lt;&gt;"",_xlfn.MAXIFS($B$1:B1181,$A$1:A1181,A1182)+1,"")</f>
        <v/>
      </c>
      <c r="C1182" s="299"/>
      <c r="D1182" s="299"/>
      <c r="E1182" s="299"/>
      <c r="F1182" s="299"/>
      <c r="G1182" s="330"/>
      <c r="H1182" s="328"/>
      <c r="I1182" s="329"/>
      <c r="J1182" s="329"/>
      <c r="K1182" s="322"/>
      <c r="L1182" s="322"/>
      <c r="M1182" s="323" t="str">
        <f>IFERROR(VLOOKUP(H1182,Lijsten!$H$1:$I$100,2,0),"")</f>
        <v/>
      </c>
      <c r="N1182" s="323" t="str">
        <f ca="1">IFERROR(IF(VLOOKUP(F1182,Kostentypen!$A$3:$E$21,3,0)=0,"",IF(OR(F1182="Arbeidskosten",F1182="Vergoeding"),VLOOKUP(G1182,Tb_KostenTypen[],2,0),VLOOKUP(F1182,Kostentypen!$A$3:$E$20,3,0))),"")</f>
        <v/>
      </c>
      <c r="O1182" s="324"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4"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3"/>
      <c r="R1182" s="363"/>
      <c r="S1182" s="325"/>
      <c r="T1182" s="325"/>
      <c r="U1182" s="317" t="str" cm="1">
        <f t="array" aca="1" ref="U1182" ca="1">IFERROR(IF(AA1182&lt;&gt;"ja",_xlfn.IFNA(_xlfn.IFS(AND(O1182&lt;&gt;"",F1182&lt;&gt;"",RIGHT($N1182,6)="tarief",F1182="Vergoeding"),SUM(O1182)*FLOOR(SUM(Q1182),0.0001),AND(O1182&lt;&gt;"",F1182&lt;&gt;"",RIGHT($N1182,6)="tarief"),SUM(O1182)*FLOOR(SUM(Q1182),0.01),S1182&gt;0,IF(F1182&lt;&gt;"",FLOOR(SUM(S1182),0.01),"")),""),""),"")</f>
        <v/>
      </c>
      <c r="V1182" s="317" t="str" cm="1">
        <f t="array" aca="1" ref="V1182" ca="1">IFERROR(IF(AA1182&lt;&gt;"ja",_xlfn.IFNA(_xlfn.IFS(AND(P1182&lt;&gt;"",R1182&lt;&gt;"",RIGHT($N1182,6)="tarief",F1182="Vergoeding"),SUM(P1182)*FLOOR(SUM(R1182),0.0001),AND(P1182&lt;&gt;"",R1182&lt;&gt;"",RIGHT($N1182,6)="tarief"),P1182*FLOOR(R1182,0.01),T1182&gt;0,FLOOR(SUM(T1182),0.01)),""),""),"")</f>
        <v/>
      </c>
      <c r="W1182" s="317" t="str" cm="1">
        <f t="array" aca="1" ref="W1182" ca="1">IFERROR(_xlfn.IFS(OR(F1182="",LEFT(Methode_Keuze,4)="Geen",Methode_Keuze=""),"",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17" t="str" cm="1">
        <f t="array" aca="1" ref="X1182" ca="1">IFERROR(_xlfn.IFS(OR(F1182="",LEFT(Methode_Keuze,4)="Geen",Methode_Keuze=""),"",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26"/>
      <c r="Z1182" s="319"/>
      <c r="AA1182" s="32" t="str" cm="1">
        <f t="array" ref="AA1182">IFERROR(IF(INDEX(SubsidieTabel!$AD$1:$AG$12,MATCH($F1182,SubsidieTabel!$AD$1:$AD$12,0),IFERROR(MATCH(Methode_Keuze,SubsidieTabel!$AD$1:$AG$1,0),2))&lt;&gt;1=TRUE,"ja",""),"")</f>
        <v/>
      </c>
    </row>
    <row r="1183" spans="1:27" x14ac:dyDescent="0.25">
      <c r="A1183" s="320"/>
      <c r="B1183" s="321" t="str">
        <f>IF(A1183&lt;&gt;"",_xlfn.MAXIFS($B$1:B1182,$A$1:A1182,A1183)+1,"")</f>
        <v/>
      </c>
      <c r="C1183" s="299"/>
      <c r="D1183" s="299"/>
      <c r="E1183" s="299"/>
      <c r="F1183" s="299"/>
      <c r="G1183" s="330"/>
      <c r="H1183" s="328"/>
      <c r="I1183" s="329"/>
      <c r="J1183" s="329"/>
      <c r="K1183" s="322"/>
      <c r="L1183" s="322"/>
      <c r="M1183" s="323" t="str">
        <f>IFERROR(VLOOKUP(H1183,Lijsten!$H$1:$I$100,2,0),"")</f>
        <v/>
      </c>
      <c r="N1183" s="323" t="str">
        <f ca="1">IFERROR(IF(VLOOKUP(F1183,Kostentypen!$A$3:$E$21,3,0)=0,"",IF(OR(F1183="Arbeidskosten",F1183="Vergoeding"),VLOOKUP(G1183,Tb_KostenTypen[],2,0),VLOOKUP(F1183,Kostentypen!$A$3:$E$20,3,0))),"")</f>
        <v/>
      </c>
      <c r="O1183" s="324"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4"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3"/>
      <c r="R1183" s="363"/>
      <c r="S1183" s="325"/>
      <c r="T1183" s="325"/>
      <c r="U1183" s="317" t="str" cm="1">
        <f t="array" aca="1" ref="U1183" ca="1">IFERROR(IF(AA1183&lt;&gt;"ja",_xlfn.IFNA(_xlfn.IFS(AND(O1183&lt;&gt;"",F1183&lt;&gt;"",RIGHT($N1183,6)="tarief",F1183="Vergoeding"),SUM(O1183)*FLOOR(SUM(Q1183),0.0001),AND(O1183&lt;&gt;"",F1183&lt;&gt;"",RIGHT($N1183,6)="tarief"),SUM(O1183)*FLOOR(SUM(Q1183),0.01),S1183&gt;0,IF(F1183&lt;&gt;"",FLOOR(SUM(S1183),0.01),"")),""),""),"")</f>
        <v/>
      </c>
      <c r="V1183" s="317" t="str" cm="1">
        <f t="array" aca="1" ref="V1183" ca="1">IFERROR(IF(AA1183&lt;&gt;"ja",_xlfn.IFNA(_xlfn.IFS(AND(P1183&lt;&gt;"",R1183&lt;&gt;"",RIGHT($N1183,6)="tarief",F1183="Vergoeding"),SUM(P1183)*FLOOR(SUM(R1183),0.0001),AND(P1183&lt;&gt;"",R1183&lt;&gt;"",RIGHT($N1183,6)="tarief"),P1183*FLOOR(R1183,0.01),T1183&gt;0,FLOOR(SUM(T1183),0.01)),""),""),"")</f>
        <v/>
      </c>
      <c r="W1183" s="317" t="str" cm="1">
        <f t="array" aca="1" ref="W1183" ca="1">IFERROR(_xlfn.IFS(OR(F1183="",LEFT(Methode_Keuze,4)="Geen",Methode_Keuze=""),"",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17" t="str" cm="1">
        <f t="array" aca="1" ref="X1183" ca="1">IFERROR(_xlfn.IFS(OR(F1183="",LEFT(Methode_Keuze,4)="Geen",Methode_Keuze=""),"",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26"/>
      <c r="Z1183" s="319"/>
      <c r="AA1183" s="32" t="str" cm="1">
        <f t="array" ref="AA1183">IFERROR(IF(INDEX(SubsidieTabel!$AD$1:$AG$12,MATCH($F1183,SubsidieTabel!$AD$1:$AD$12,0),IFERROR(MATCH(Methode_Keuze,SubsidieTabel!$AD$1:$AG$1,0),2))&lt;&gt;1=TRUE,"ja",""),"")</f>
        <v/>
      </c>
    </row>
    <row r="1184" spans="1:27" x14ac:dyDescent="0.25">
      <c r="A1184" s="320"/>
      <c r="B1184" s="321" t="str">
        <f>IF(A1184&lt;&gt;"",_xlfn.MAXIFS($B$1:B1183,$A$1:A1183,A1184)+1,"")</f>
        <v/>
      </c>
      <c r="C1184" s="299"/>
      <c r="D1184" s="299"/>
      <c r="E1184" s="299"/>
      <c r="F1184" s="299"/>
      <c r="G1184" s="330"/>
      <c r="H1184" s="328"/>
      <c r="I1184" s="329"/>
      <c r="J1184" s="329"/>
      <c r="K1184" s="322"/>
      <c r="L1184" s="322"/>
      <c r="M1184" s="323" t="str">
        <f>IFERROR(VLOOKUP(H1184,Lijsten!$H$1:$I$100,2,0),"")</f>
        <v/>
      </c>
      <c r="N1184" s="323" t="str">
        <f ca="1">IFERROR(IF(VLOOKUP(F1184,Kostentypen!$A$3:$E$21,3,0)=0,"",IF(OR(F1184="Arbeidskosten",F1184="Vergoeding"),VLOOKUP(G1184,Tb_KostenTypen[],2,0),VLOOKUP(F1184,Kostentypen!$A$3:$E$20,3,0))),"")</f>
        <v/>
      </c>
      <c r="O1184" s="324"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4"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3"/>
      <c r="R1184" s="363"/>
      <c r="S1184" s="325"/>
      <c r="T1184" s="325"/>
      <c r="U1184" s="317" t="str" cm="1">
        <f t="array" aca="1" ref="U1184" ca="1">IFERROR(IF(AA1184&lt;&gt;"ja",_xlfn.IFNA(_xlfn.IFS(AND(O1184&lt;&gt;"",F1184&lt;&gt;"",RIGHT($N1184,6)="tarief",F1184="Vergoeding"),SUM(O1184)*FLOOR(SUM(Q1184),0.0001),AND(O1184&lt;&gt;"",F1184&lt;&gt;"",RIGHT($N1184,6)="tarief"),SUM(O1184)*FLOOR(SUM(Q1184),0.01),S1184&gt;0,IF(F1184&lt;&gt;"",FLOOR(SUM(S1184),0.01),"")),""),""),"")</f>
        <v/>
      </c>
      <c r="V1184" s="317" t="str" cm="1">
        <f t="array" aca="1" ref="V1184" ca="1">IFERROR(IF(AA1184&lt;&gt;"ja",_xlfn.IFNA(_xlfn.IFS(AND(P1184&lt;&gt;"",R1184&lt;&gt;"",RIGHT($N1184,6)="tarief",F1184="Vergoeding"),SUM(P1184)*FLOOR(SUM(R1184),0.0001),AND(P1184&lt;&gt;"",R1184&lt;&gt;"",RIGHT($N1184,6)="tarief"),P1184*FLOOR(R1184,0.01),T1184&gt;0,FLOOR(SUM(T1184),0.01)),""),""),"")</f>
        <v/>
      </c>
      <c r="W1184" s="317" t="str" cm="1">
        <f t="array" aca="1" ref="W1184" ca="1">IFERROR(_xlfn.IFS(OR(F1184="",LEFT(Methode_Keuze,4)="Geen",Methode_Keuze=""),"",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17" t="str" cm="1">
        <f t="array" aca="1" ref="X1184" ca="1">IFERROR(_xlfn.IFS(OR(F1184="",LEFT(Methode_Keuze,4)="Geen",Methode_Keuze=""),"",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26"/>
      <c r="Z1184" s="319"/>
      <c r="AA1184" s="32" t="str" cm="1">
        <f t="array" ref="AA1184">IFERROR(IF(INDEX(SubsidieTabel!$AD$1:$AG$12,MATCH($F1184,SubsidieTabel!$AD$1:$AD$12,0),IFERROR(MATCH(Methode_Keuze,SubsidieTabel!$AD$1:$AG$1,0),2))&lt;&gt;1=TRUE,"ja",""),"")</f>
        <v/>
      </c>
    </row>
    <row r="1185" spans="1:27" x14ac:dyDescent="0.25">
      <c r="A1185" s="320"/>
      <c r="B1185" s="321" t="str">
        <f>IF(A1185&lt;&gt;"",_xlfn.MAXIFS($B$1:B1184,$A$1:A1184,A1185)+1,"")</f>
        <v/>
      </c>
      <c r="C1185" s="299"/>
      <c r="D1185" s="299"/>
      <c r="E1185" s="299"/>
      <c r="F1185" s="299"/>
      <c r="G1185" s="330"/>
      <c r="H1185" s="328"/>
      <c r="I1185" s="329"/>
      <c r="J1185" s="329"/>
      <c r="K1185" s="322"/>
      <c r="L1185" s="322"/>
      <c r="M1185" s="323" t="str">
        <f>IFERROR(VLOOKUP(H1185,Lijsten!$H$1:$I$100,2,0),"")</f>
        <v/>
      </c>
      <c r="N1185" s="323" t="str">
        <f ca="1">IFERROR(IF(VLOOKUP(F1185,Kostentypen!$A$3:$E$21,3,0)=0,"",IF(OR(F1185="Arbeidskosten",F1185="Vergoeding"),VLOOKUP(G1185,Tb_KostenTypen[],2,0),VLOOKUP(F1185,Kostentypen!$A$3:$E$20,3,0))),"")</f>
        <v/>
      </c>
      <c r="O1185" s="324"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4"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3"/>
      <c r="R1185" s="363"/>
      <c r="S1185" s="325"/>
      <c r="T1185" s="325"/>
      <c r="U1185" s="317" t="str" cm="1">
        <f t="array" aca="1" ref="U1185" ca="1">IFERROR(IF(AA1185&lt;&gt;"ja",_xlfn.IFNA(_xlfn.IFS(AND(O1185&lt;&gt;"",F1185&lt;&gt;"",RIGHT($N1185,6)="tarief",F1185="Vergoeding"),SUM(O1185)*FLOOR(SUM(Q1185),0.0001),AND(O1185&lt;&gt;"",F1185&lt;&gt;"",RIGHT($N1185,6)="tarief"),SUM(O1185)*FLOOR(SUM(Q1185),0.01),S1185&gt;0,IF(F1185&lt;&gt;"",FLOOR(SUM(S1185),0.01),"")),""),""),"")</f>
        <v/>
      </c>
      <c r="V1185" s="317" t="str" cm="1">
        <f t="array" aca="1" ref="V1185" ca="1">IFERROR(IF(AA1185&lt;&gt;"ja",_xlfn.IFNA(_xlfn.IFS(AND(P1185&lt;&gt;"",R1185&lt;&gt;"",RIGHT($N1185,6)="tarief",F1185="Vergoeding"),SUM(P1185)*FLOOR(SUM(R1185),0.0001),AND(P1185&lt;&gt;"",R1185&lt;&gt;"",RIGHT($N1185,6)="tarief"),P1185*FLOOR(R1185,0.01),T1185&gt;0,FLOOR(SUM(T1185),0.01)),""),""),"")</f>
        <v/>
      </c>
      <c r="W1185" s="317" t="str" cm="1">
        <f t="array" aca="1" ref="W1185" ca="1">IFERROR(_xlfn.IFS(OR(F1185="",LEFT(Methode_Keuze,4)="Geen",Methode_Keuze=""),"",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17" t="str" cm="1">
        <f t="array" aca="1" ref="X1185" ca="1">IFERROR(_xlfn.IFS(OR(F1185="",LEFT(Methode_Keuze,4)="Geen",Methode_Keuze=""),"",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26"/>
      <c r="Z1185" s="319"/>
      <c r="AA1185" s="32" t="str" cm="1">
        <f t="array" ref="AA1185">IFERROR(IF(INDEX(SubsidieTabel!$AD$1:$AG$12,MATCH($F1185,SubsidieTabel!$AD$1:$AD$12,0),IFERROR(MATCH(Methode_Keuze,SubsidieTabel!$AD$1:$AG$1,0),2))&lt;&gt;1=TRUE,"ja",""),"")</f>
        <v/>
      </c>
    </row>
    <row r="1186" spans="1:27" x14ac:dyDescent="0.25">
      <c r="A1186" s="320"/>
      <c r="B1186" s="321" t="str">
        <f>IF(A1186&lt;&gt;"",_xlfn.MAXIFS($B$1:B1185,$A$1:A1185,A1186)+1,"")</f>
        <v/>
      </c>
      <c r="C1186" s="299"/>
      <c r="D1186" s="299"/>
      <c r="E1186" s="299"/>
      <c r="F1186" s="299"/>
      <c r="G1186" s="330"/>
      <c r="H1186" s="328"/>
      <c r="I1186" s="329"/>
      <c r="J1186" s="329"/>
      <c r="K1186" s="322"/>
      <c r="L1186" s="322"/>
      <c r="M1186" s="323" t="str">
        <f>IFERROR(VLOOKUP(H1186,Lijsten!$H$1:$I$100,2,0),"")</f>
        <v/>
      </c>
      <c r="N1186" s="323" t="str">
        <f ca="1">IFERROR(IF(VLOOKUP(F1186,Kostentypen!$A$3:$E$21,3,0)=0,"",IF(OR(F1186="Arbeidskosten",F1186="Vergoeding"),VLOOKUP(G1186,Tb_KostenTypen[],2,0),VLOOKUP(F1186,Kostentypen!$A$3:$E$20,3,0))),"")</f>
        <v/>
      </c>
      <c r="O1186" s="324"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4"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3"/>
      <c r="R1186" s="363"/>
      <c r="S1186" s="325"/>
      <c r="T1186" s="325"/>
      <c r="U1186" s="317" t="str" cm="1">
        <f t="array" aca="1" ref="U1186" ca="1">IFERROR(IF(AA1186&lt;&gt;"ja",_xlfn.IFNA(_xlfn.IFS(AND(O1186&lt;&gt;"",F1186&lt;&gt;"",RIGHT($N1186,6)="tarief",F1186="Vergoeding"),SUM(O1186)*FLOOR(SUM(Q1186),0.0001),AND(O1186&lt;&gt;"",F1186&lt;&gt;"",RIGHT($N1186,6)="tarief"),SUM(O1186)*FLOOR(SUM(Q1186),0.01),S1186&gt;0,IF(F1186&lt;&gt;"",FLOOR(SUM(S1186),0.01),"")),""),""),"")</f>
        <v/>
      </c>
      <c r="V1186" s="317" t="str" cm="1">
        <f t="array" aca="1" ref="V1186" ca="1">IFERROR(IF(AA1186&lt;&gt;"ja",_xlfn.IFNA(_xlfn.IFS(AND(P1186&lt;&gt;"",R1186&lt;&gt;"",RIGHT($N1186,6)="tarief",F1186="Vergoeding"),SUM(P1186)*FLOOR(SUM(R1186),0.0001),AND(P1186&lt;&gt;"",R1186&lt;&gt;"",RIGHT($N1186,6)="tarief"),P1186*FLOOR(R1186,0.01),T1186&gt;0,FLOOR(SUM(T1186),0.01)),""),""),"")</f>
        <v/>
      </c>
      <c r="W1186" s="317" t="str" cm="1">
        <f t="array" aca="1" ref="W1186" ca="1">IFERROR(_xlfn.IFS(OR(F1186="",LEFT(Methode_Keuze,4)="Geen",Methode_Keuze=""),"",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17" t="str" cm="1">
        <f t="array" aca="1" ref="X1186" ca="1">IFERROR(_xlfn.IFS(OR(F1186="",LEFT(Methode_Keuze,4)="Geen",Methode_Keuze=""),"",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26"/>
      <c r="Z1186" s="319"/>
      <c r="AA1186" s="32" t="str" cm="1">
        <f t="array" ref="AA1186">IFERROR(IF(INDEX(SubsidieTabel!$AD$1:$AG$12,MATCH($F1186,SubsidieTabel!$AD$1:$AD$12,0),IFERROR(MATCH(Methode_Keuze,SubsidieTabel!$AD$1:$AG$1,0),2))&lt;&gt;1=TRUE,"ja",""),"")</f>
        <v/>
      </c>
    </row>
    <row r="1187" spans="1:27" x14ac:dyDescent="0.25">
      <c r="A1187" s="320"/>
      <c r="B1187" s="321" t="str">
        <f>IF(A1187&lt;&gt;"",_xlfn.MAXIFS($B$1:B1186,$A$1:A1186,A1187)+1,"")</f>
        <v/>
      </c>
      <c r="C1187" s="299"/>
      <c r="D1187" s="299"/>
      <c r="E1187" s="299"/>
      <c r="F1187" s="299"/>
      <c r="G1187" s="330"/>
      <c r="H1187" s="328"/>
      <c r="I1187" s="329"/>
      <c r="J1187" s="329"/>
      <c r="K1187" s="322"/>
      <c r="L1187" s="322"/>
      <c r="M1187" s="323" t="str">
        <f>IFERROR(VLOOKUP(H1187,Lijsten!$H$1:$I$100,2,0),"")</f>
        <v/>
      </c>
      <c r="N1187" s="323" t="str">
        <f ca="1">IFERROR(IF(VLOOKUP(F1187,Kostentypen!$A$3:$E$21,3,0)=0,"",IF(OR(F1187="Arbeidskosten",F1187="Vergoeding"),VLOOKUP(G1187,Tb_KostenTypen[],2,0),VLOOKUP(F1187,Kostentypen!$A$3:$E$20,3,0))),"")</f>
        <v/>
      </c>
      <c r="O1187" s="324"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4"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3"/>
      <c r="R1187" s="363"/>
      <c r="S1187" s="325"/>
      <c r="T1187" s="325"/>
      <c r="U1187" s="317" t="str" cm="1">
        <f t="array" aca="1" ref="U1187" ca="1">IFERROR(IF(AA1187&lt;&gt;"ja",_xlfn.IFNA(_xlfn.IFS(AND(O1187&lt;&gt;"",F1187&lt;&gt;"",RIGHT($N1187,6)="tarief",F1187="Vergoeding"),SUM(O1187)*FLOOR(SUM(Q1187),0.0001),AND(O1187&lt;&gt;"",F1187&lt;&gt;"",RIGHT($N1187,6)="tarief"),SUM(O1187)*FLOOR(SUM(Q1187),0.01),S1187&gt;0,IF(F1187&lt;&gt;"",FLOOR(SUM(S1187),0.01),"")),""),""),"")</f>
        <v/>
      </c>
      <c r="V1187" s="317" t="str" cm="1">
        <f t="array" aca="1" ref="V1187" ca="1">IFERROR(IF(AA1187&lt;&gt;"ja",_xlfn.IFNA(_xlfn.IFS(AND(P1187&lt;&gt;"",R1187&lt;&gt;"",RIGHT($N1187,6)="tarief",F1187="Vergoeding"),SUM(P1187)*FLOOR(SUM(R1187),0.0001),AND(P1187&lt;&gt;"",R1187&lt;&gt;"",RIGHT($N1187,6)="tarief"),P1187*FLOOR(R1187,0.01),T1187&gt;0,FLOOR(SUM(T1187),0.01)),""),""),"")</f>
        <v/>
      </c>
      <c r="W1187" s="317" t="str" cm="1">
        <f t="array" aca="1" ref="W1187" ca="1">IFERROR(_xlfn.IFS(OR(F1187="",LEFT(Methode_Keuze,4)="Geen",Methode_Keuze=""),"",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17" t="str" cm="1">
        <f t="array" aca="1" ref="X1187" ca="1">IFERROR(_xlfn.IFS(OR(F1187="",LEFT(Methode_Keuze,4)="Geen",Methode_Keuze=""),"",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26"/>
      <c r="Z1187" s="319"/>
      <c r="AA1187" s="32" t="str" cm="1">
        <f t="array" ref="AA1187">IFERROR(IF(INDEX(SubsidieTabel!$AD$1:$AG$12,MATCH($F1187,SubsidieTabel!$AD$1:$AD$12,0),IFERROR(MATCH(Methode_Keuze,SubsidieTabel!$AD$1:$AG$1,0),2))&lt;&gt;1=TRUE,"ja",""),"")</f>
        <v/>
      </c>
    </row>
    <row r="1188" spans="1:27" x14ac:dyDescent="0.25">
      <c r="A1188" s="320"/>
      <c r="B1188" s="321" t="str">
        <f>IF(A1188&lt;&gt;"",_xlfn.MAXIFS($B$1:B1187,$A$1:A1187,A1188)+1,"")</f>
        <v/>
      </c>
      <c r="C1188" s="299"/>
      <c r="D1188" s="299"/>
      <c r="E1188" s="299"/>
      <c r="F1188" s="299"/>
      <c r="G1188" s="330"/>
      <c r="H1188" s="328"/>
      <c r="I1188" s="329"/>
      <c r="J1188" s="329"/>
      <c r="K1188" s="322"/>
      <c r="L1188" s="322"/>
      <c r="M1188" s="323" t="str">
        <f>IFERROR(VLOOKUP(H1188,Lijsten!$H$1:$I$100,2,0),"")</f>
        <v/>
      </c>
      <c r="N1188" s="323" t="str">
        <f ca="1">IFERROR(IF(VLOOKUP(F1188,Kostentypen!$A$3:$E$21,3,0)=0,"",IF(OR(F1188="Arbeidskosten",F1188="Vergoeding"),VLOOKUP(G1188,Tb_KostenTypen[],2,0),VLOOKUP(F1188,Kostentypen!$A$3:$E$20,3,0))),"")</f>
        <v/>
      </c>
      <c r="O1188" s="324"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4"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3"/>
      <c r="R1188" s="363"/>
      <c r="S1188" s="325"/>
      <c r="T1188" s="325"/>
      <c r="U1188" s="317" t="str" cm="1">
        <f t="array" aca="1" ref="U1188" ca="1">IFERROR(IF(AA1188&lt;&gt;"ja",_xlfn.IFNA(_xlfn.IFS(AND(O1188&lt;&gt;"",F1188&lt;&gt;"",RIGHT($N1188,6)="tarief",F1188="Vergoeding"),SUM(O1188)*FLOOR(SUM(Q1188),0.0001),AND(O1188&lt;&gt;"",F1188&lt;&gt;"",RIGHT($N1188,6)="tarief"),SUM(O1188)*FLOOR(SUM(Q1188),0.01),S1188&gt;0,IF(F1188&lt;&gt;"",FLOOR(SUM(S1188),0.01),"")),""),""),"")</f>
        <v/>
      </c>
      <c r="V1188" s="317" t="str" cm="1">
        <f t="array" aca="1" ref="V1188" ca="1">IFERROR(IF(AA1188&lt;&gt;"ja",_xlfn.IFNA(_xlfn.IFS(AND(P1188&lt;&gt;"",R1188&lt;&gt;"",RIGHT($N1188,6)="tarief",F1188="Vergoeding"),SUM(P1188)*FLOOR(SUM(R1188),0.0001),AND(P1188&lt;&gt;"",R1188&lt;&gt;"",RIGHT($N1188,6)="tarief"),P1188*FLOOR(R1188,0.01),T1188&gt;0,FLOOR(SUM(T1188),0.01)),""),""),"")</f>
        <v/>
      </c>
      <c r="W1188" s="317" t="str" cm="1">
        <f t="array" aca="1" ref="W1188" ca="1">IFERROR(_xlfn.IFS(OR(F1188="",LEFT(Methode_Keuze,4)="Geen",Methode_Keuze=""),"",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17" t="str" cm="1">
        <f t="array" aca="1" ref="X1188" ca="1">IFERROR(_xlfn.IFS(OR(F1188="",LEFT(Methode_Keuze,4)="Geen",Methode_Keuze=""),"",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26"/>
      <c r="Z1188" s="319"/>
      <c r="AA1188" s="32" t="str" cm="1">
        <f t="array" ref="AA1188">IFERROR(IF(INDEX(SubsidieTabel!$AD$1:$AG$12,MATCH($F1188,SubsidieTabel!$AD$1:$AD$12,0),IFERROR(MATCH(Methode_Keuze,SubsidieTabel!$AD$1:$AG$1,0),2))&lt;&gt;1=TRUE,"ja",""),"")</f>
        <v/>
      </c>
    </row>
    <row r="1189" spans="1:27" x14ac:dyDescent="0.25">
      <c r="A1189" s="320"/>
      <c r="B1189" s="321" t="str">
        <f>IF(A1189&lt;&gt;"",_xlfn.MAXIFS($B$1:B1188,$A$1:A1188,A1189)+1,"")</f>
        <v/>
      </c>
      <c r="C1189" s="299"/>
      <c r="D1189" s="299"/>
      <c r="E1189" s="299"/>
      <c r="F1189" s="299"/>
      <c r="G1189" s="330"/>
      <c r="H1189" s="328"/>
      <c r="I1189" s="329"/>
      <c r="J1189" s="329"/>
      <c r="K1189" s="322"/>
      <c r="L1189" s="322"/>
      <c r="M1189" s="323" t="str">
        <f>IFERROR(VLOOKUP(H1189,Lijsten!$H$1:$I$100,2,0),"")</f>
        <v/>
      </c>
      <c r="N1189" s="323" t="str">
        <f ca="1">IFERROR(IF(VLOOKUP(F1189,Kostentypen!$A$3:$E$21,3,0)=0,"",IF(OR(F1189="Arbeidskosten",F1189="Vergoeding"),VLOOKUP(G1189,Tb_KostenTypen[],2,0),VLOOKUP(F1189,Kostentypen!$A$3:$E$20,3,0))),"")</f>
        <v/>
      </c>
      <c r="O1189" s="324"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4"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3"/>
      <c r="R1189" s="363"/>
      <c r="S1189" s="325"/>
      <c r="T1189" s="325"/>
      <c r="U1189" s="317" t="str" cm="1">
        <f t="array" aca="1" ref="U1189" ca="1">IFERROR(IF(AA1189&lt;&gt;"ja",_xlfn.IFNA(_xlfn.IFS(AND(O1189&lt;&gt;"",F1189&lt;&gt;"",RIGHT($N1189,6)="tarief",F1189="Vergoeding"),SUM(O1189)*FLOOR(SUM(Q1189),0.0001),AND(O1189&lt;&gt;"",F1189&lt;&gt;"",RIGHT($N1189,6)="tarief"),SUM(O1189)*FLOOR(SUM(Q1189),0.01),S1189&gt;0,IF(F1189&lt;&gt;"",FLOOR(SUM(S1189),0.01),"")),""),""),"")</f>
        <v/>
      </c>
      <c r="V1189" s="317" t="str" cm="1">
        <f t="array" aca="1" ref="V1189" ca="1">IFERROR(IF(AA1189&lt;&gt;"ja",_xlfn.IFNA(_xlfn.IFS(AND(P1189&lt;&gt;"",R1189&lt;&gt;"",RIGHT($N1189,6)="tarief",F1189="Vergoeding"),SUM(P1189)*FLOOR(SUM(R1189),0.0001),AND(P1189&lt;&gt;"",R1189&lt;&gt;"",RIGHT($N1189,6)="tarief"),P1189*FLOOR(R1189,0.01),T1189&gt;0,FLOOR(SUM(T1189),0.01)),""),""),"")</f>
        <v/>
      </c>
      <c r="W1189" s="317" t="str" cm="1">
        <f t="array" aca="1" ref="W1189" ca="1">IFERROR(_xlfn.IFS(OR(F1189="",LEFT(Methode_Keuze,4)="Geen",Methode_Keuze=""),"",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17" t="str" cm="1">
        <f t="array" aca="1" ref="X1189" ca="1">IFERROR(_xlfn.IFS(OR(F1189="",LEFT(Methode_Keuze,4)="Geen",Methode_Keuze=""),"",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26"/>
      <c r="Z1189" s="319"/>
      <c r="AA1189" s="32" t="str" cm="1">
        <f t="array" ref="AA1189">IFERROR(IF(INDEX(SubsidieTabel!$AD$1:$AG$12,MATCH($F1189,SubsidieTabel!$AD$1:$AD$12,0),IFERROR(MATCH(Methode_Keuze,SubsidieTabel!$AD$1:$AG$1,0),2))&lt;&gt;1=TRUE,"ja",""),"")</f>
        <v/>
      </c>
    </row>
    <row r="1190" spans="1:27" x14ac:dyDescent="0.25">
      <c r="A1190" s="320"/>
      <c r="B1190" s="321" t="str">
        <f>IF(A1190&lt;&gt;"",_xlfn.MAXIFS($B$1:B1189,$A$1:A1189,A1190)+1,"")</f>
        <v/>
      </c>
      <c r="C1190" s="299"/>
      <c r="D1190" s="299"/>
      <c r="E1190" s="299"/>
      <c r="F1190" s="299"/>
      <c r="G1190" s="330"/>
      <c r="H1190" s="328"/>
      <c r="I1190" s="329"/>
      <c r="J1190" s="329"/>
      <c r="K1190" s="322"/>
      <c r="L1190" s="322"/>
      <c r="M1190" s="323" t="str">
        <f>IFERROR(VLOOKUP(H1190,Lijsten!$H$1:$I$100,2,0),"")</f>
        <v/>
      </c>
      <c r="N1190" s="323" t="str">
        <f ca="1">IFERROR(IF(VLOOKUP(F1190,Kostentypen!$A$3:$E$21,3,0)=0,"",IF(OR(F1190="Arbeidskosten",F1190="Vergoeding"),VLOOKUP(G1190,Tb_KostenTypen[],2,0),VLOOKUP(F1190,Kostentypen!$A$3:$E$20,3,0))),"")</f>
        <v/>
      </c>
      <c r="O1190" s="324"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4"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3"/>
      <c r="R1190" s="363"/>
      <c r="S1190" s="325"/>
      <c r="T1190" s="325"/>
      <c r="U1190" s="317" t="str" cm="1">
        <f t="array" aca="1" ref="U1190" ca="1">IFERROR(IF(AA1190&lt;&gt;"ja",_xlfn.IFNA(_xlfn.IFS(AND(O1190&lt;&gt;"",F1190&lt;&gt;"",RIGHT($N1190,6)="tarief",F1190="Vergoeding"),SUM(O1190)*FLOOR(SUM(Q1190),0.0001),AND(O1190&lt;&gt;"",F1190&lt;&gt;"",RIGHT($N1190,6)="tarief"),SUM(O1190)*FLOOR(SUM(Q1190),0.01),S1190&gt;0,IF(F1190&lt;&gt;"",FLOOR(SUM(S1190),0.01),"")),""),""),"")</f>
        <v/>
      </c>
      <c r="V1190" s="317" t="str" cm="1">
        <f t="array" aca="1" ref="V1190" ca="1">IFERROR(IF(AA1190&lt;&gt;"ja",_xlfn.IFNA(_xlfn.IFS(AND(P1190&lt;&gt;"",R1190&lt;&gt;"",RIGHT($N1190,6)="tarief",F1190="Vergoeding"),SUM(P1190)*FLOOR(SUM(R1190),0.0001),AND(P1190&lt;&gt;"",R1190&lt;&gt;"",RIGHT($N1190,6)="tarief"),P1190*FLOOR(R1190,0.01),T1190&gt;0,FLOOR(SUM(T1190),0.01)),""),""),"")</f>
        <v/>
      </c>
      <c r="W1190" s="317" t="str" cm="1">
        <f t="array" aca="1" ref="W1190" ca="1">IFERROR(_xlfn.IFS(OR(F1190="",LEFT(Methode_Keuze,4)="Geen",Methode_Keuze=""),"",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17" t="str" cm="1">
        <f t="array" aca="1" ref="X1190" ca="1">IFERROR(_xlfn.IFS(OR(F1190="",LEFT(Methode_Keuze,4)="Geen",Methode_Keuze=""),"",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26"/>
      <c r="Z1190" s="319"/>
      <c r="AA1190" s="32" t="str" cm="1">
        <f t="array" ref="AA1190">IFERROR(IF(INDEX(SubsidieTabel!$AD$1:$AG$12,MATCH($F1190,SubsidieTabel!$AD$1:$AD$12,0),IFERROR(MATCH(Methode_Keuze,SubsidieTabel!$AD$1:$AG$1,0),2))&lt;&gt;1=TRUE,"ja",""),"")</f>
        <v/>
      </c>
    </row>
    <row r="1191" spans="1:27" x14ac:dyDescent="0.25">
      <c r="A1191" s="320"/>
      <c r="B1191" s="321" t="str">
        <f>IF(A1191&lt;&gt;"",_xlfn.MAXIFS($B$1:B1190,$A$1:A1190,A1191)+1,"")</f>
        <v/>
      </c>
      <c r="C1191" s="299"/>
      <c r="D1191" s="299"/>
      <c r="E1191" s="299"/>
      <c r="F1191" s="299"/>
      <c r="G1191" s="330"/>
      <c r="H1191" s="328"/>
      <c r="I1191" s="329"/>
      <c r="J1191" s="329"/>
      <c r="K1191" s="322"/>
      <c r="L1191" s="322"/>
      <c r="M1191" s="323" t="str">
        <f>IFERROR(VLOOKUP(H1191,Lijsten!$H$1:$I$100,2,0),"")</f>
        <v/>
      </c>
      <c r="N1191" s="323" t="str">
        <f ca="1">IFERROR(IF(VLOOKUP(F1191,Kostentypen!$A$3:$E$21,3,0)=0,"",IF(OR(F1191="Arbeidskosten",F1191="Vergoeding"),VLOOKUP(G1191,Tb_KostenTypen[],2,0),VLOOKUP(F1191,Kostentypen!$A$3:$E$20,3,0))),"")</f>
        <v/>
      </c>
      <c r="O1191" s="324"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4"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3"/>
      <c r="R1191" s="363"/>
      <c r="S1191" s="325"/>
      <c r="T1191" s="325"/>
      <c r="U1191" s="317" t="str" cm="1">
        <f t="array" aca="1" ref="U1191" ca="1">IFERROR(IF(AA1191&lt;&gt;"ja",_xlfn.IFNA(_xlfn.IFS(AND(O1191&lt;&gt;"",F1191&lt;&gt;"",RIGHT($N1191,6)="tarief",F1191="Vergoeding"),SUM(O1191)*FLOOR(SUM(Q1191),0.0001),AND(O1191&lt;&gt;"",F1191&lt;&gt;"",RIGHT($N1191,6)="tarief"),SUM(O1191)*FLOOR(SUM(Q1191),0.01),S1191&gt;0,IF(F1191&lt;&gt;"",FLOOR(SUM(S1191),0.01),"")),""),""),"")</f>
        <v/>
      </c>
      <c r="V1191" s="317" t="str" cm="1">
        <f t="array" aca="1" ref="V1191" ca="1">IFERROR(IF(AA1191&lt;&gt;"ja",_xlfn.IFNA(_xlfn.IFS(AND(P1191&lt;&gt;"",R1191&lt;&gt;"",RIGHT($N1191,6)="tarief",F1191="Vergoeding"),SUM(P1191)*FLOOR(SUM(R1191),0.0001),AND(P1191&lt;&gt;"",R1191&lt;&gt;"",RIGHT($N1191,6)="tarief"),P1191*FLOOR(R1191,0.01),T1191&gt;0,FLOOR(SUM(T1191),0.01)),""),""),"")</f>
        <v/>
      </c>
      <c r="W1191" s="317" t="str" cm="1">
        <f t="array" aca="1" ref="W1191" ca="1">IFERROR(_xlfn.IFS(OR(F1191="",LEFT(Methode_Keuze,4)="Geen",Methode_Keuze=""),"",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17" t="str" cm="1">
        <f t="array" aca="1" ref="X1191" ca="1">IFERROR(_xlfn.IFS(OR(F1191="",LEFT(Methode_Keuze,4)="Geen",Methode_Keuze=""),"",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26"/>
      <c r="Z1191" s="319"/>
      <c r="AA1191" s="32" t="str" cm="1">
        <f t="array" ref="AA1191">IFERROR(IF(INDEX(SubsidieTabel!$AD$1:$AG$12,MATCH($F1191,SubsidieTabel!$AD$1:$AD$12,0),IFERROR(MATCH(Methode_Keuze,SubsidieTabel!$AD$1:$AG$1,0),2))&lt;&gt;1=TRUE,"ja",""),"")</f>
        <v/>
      </c>
    </row>
    <row r="1192" spans="1:27" x14ac:dyDescent="0.25">
      <c r="A1192" s="320"/>
      <c r="B1192" s="321" t="str">
        <f>IF(A1192&lt;&gt;"",_xlfn.MAXIFS($B$1:B1191,$A$1:A1191,A1192)+1,"")</f>
        <v/>
      </c>
      <c r="C1192" s="299"/>
      <c r="D1192" s="299"/>
      <c r="E1192" s="299"/>
      <c r="F1192" s="299"/>
      <c r="G1192" s="330"/>
      <c r="H1192" s="328"/>
      <c r="I1192" s="329"/>
      <c r="J1192" s="329"/>
      <c r="K1192" s="322"/>
      <c r="L1192" s="322"/>
      <c r="M1192" s="323" t="str">
        <f>IFERROR(VLOOKUP(H1192,Lijsten!$H$1:$I$100,2,0),"")</f>
        <v/>
      </c>
      <c r="N1192" s="323" t="str">
        <f ca="1">IFERROR(IF(VLOOKUP(F1192,Kostentypen!$A$3:$E$21,3,0)=0,"",IF(OR(F1192="Arbeidskosten",F1192="Vergoeding"),VLOOKUP(G1192,Tb_KostenTypen[],2,0),VLOOKUP(F1192,Kostentypen!$A$3:$E$20,3,0))),"")</f>
        <v/>
      </c>
      <c r="O1192" s="324"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4"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3"/>
      <c r="R1192" s="363"/>
      <c r="S1192" s="325"/>
      <c r="T1192" s="325"/>
      <c r="U1192" s="317" t="str" cm="1">
        <f t="array" aca="1" ref="U1192" ca="1">IFERROR(IF(AA1192&lt;&gt;"ja",_xlfn.IFNA(_xlfn.IFS(AND(O1192&lt;&gt;"",F1192&lt;&gt;"",RIGHT($N1192,6)="tarief",F1192="Vergoeding"),SUM(O1192)*FLOOR(SUM(Q1192),0.0001),AND(O1192&lt;&gt;"",F1192&lt;&gt;"",RIGHT($N1192,6)="tarief"),SUM(O1192)*FLOOR(SUM(Q1192),0.01),S1192&gt;0,IF(F1192&lt;&gt;"",FLOOR(SUM(S1192),0.01),"")),""),""),"")</f>
        <v/>
      </c>
      <c r="V1192" s="317" t="str" cm="1">
        <f t="array" aca="1" ref="V1192" ca="1">IFERROR(IF(AA1192&lt;&gt;"ja",_xlfn.IFNA(_xlfn.IFS(AND(P1192&lt;&gt;"",R1192&lt;&gt;"",RIGHT($N1192,6)="tarief",F1192="Vergoeding"),SUM(P1192)*FLOOR(SUM(R1192),0.0001),AND(P1192&lt;&gt;"",R1192&lt;&gt;"",RIGHT($N1192,6)="tarief"),P1192*FLOOR(R1192,0.01),T1192&gt;0,FLOOR(SUM(T1192),0.01)),""),""),"")</f>
        <v/>
      </c>
      <c r="W1192" s="317" t="str" cm="1">
        <f t="array" aca="1" ref="W1192" ca="1">IFERROR(_xlfn.IFS(OR(F1192="",LEFT(Methode_Keuze,4)="Geen",Methode_Keuze=""),"",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17" t="str" cm="1">
        <f t="array" aca="1" ref="X1192" ca="1">IFERROR(_xlfn.IFS(OR(F1192="",LEFT(Methode_Keuze,4)="Geen",Methode_Keuze=""),"",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26"/>
      <c r="Z1192" s="319"/>
      <c r="AA1192" s="32" t="str" cm="1">
        <f t="array" ref="AA1192">IFERROR(IF(INDEX(SubsidieTabel!$AD$1:$AG$12,MATCH($F1192,SubsidieTabel!$AD$1:$AD$12,0),IFERROR(MATCH(Methode_Keuze,SubsidieTabel!$AD$1:$AG$1,0),2))&lt;&gt;1=TRUE,"ja",""),"")</f>
        <v/>
      </c>
    </row>
    <row r="1193" spans="1:27" x14ac:dyDescent="0.25">
      <c r="A1193" s="320"/>
      <c r="B1193" s="321" t="str">
        <f>IF(A1193&lt;&gt;"",_xlfn.MAXIFS($B$1:B1192,$A$1:A1192,A1193)+1,"")</f>
        <v/>
      </c>
      <c r="C1193" s="299"/>
      <c r="D1193" s="299"/>
      <c r="E1193" s="299"/>
      <c r="F1193" s="299"/>
      <c r="G1193" s="330"/>
      <c r="H1193" s="328"/>
      <c r="I1193" s="329"/>
      <c r="J1193" s="329"/>
      <c r="K1193" s="322"/>
      <c r="L1193" s="322"/>
      <c r="M1193" s="323" t="str">
        <f>IFERROR(VLOOKUP(H1193,Lijsten!$H$1:$I$100,2,0),"")</f>
        <v/>
      </c>
      <c r="N1193" s="323" t="str">
        <f ca="1">IFERROR(IF(VLOOKUP(F1193,Kostentypen!$A$3:$E$21,3,0)=0,"",IF(OR(F1193="Arbeidskosten",F1193="Vergoeding"),VLOOKUP(G1193,Tb_KostenTypen[],2,0),VLOOKUP(F1193,Kostentypen!$A$3:$E$20,3,0))),"")</f>
        <v/>
      </c>
      <c r="O1193" s="324"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4"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3"/>
      <c r="R1193" s="363"/>
      <c r="S1193" s="325"/>
      <c r="T1193" s="325"/>
      <c r="U1193" s="317" t="str" cm="1">
        <f t="array" aca="1" ref="U1193" ca="1">IFERROR(IF(AA1193&lt;&gt;"ja",_xlfn.IFNA(_xlfn.IFS(AND(O1193&lt;&gt;"",F1193&lt;&gt;"",RIGHT($N1193,6)="tarief",F1193="Vergoeding"),SUM(O1193)*FLOOR(SUM(Q1193),0.0001),AND(O1193&lt;&gt;"",F1193&lt;&gt;"",RIGHT($N1193,6)="tarief"),SUM(O1193)*FLOOR(SUM(Q1193),0.01),S1193&gt;0,IF(F1193&lt;&gt;"",FLOOR(SUM(S1193),0.01),"")),""),""),"")</f>
        <v/>
      </c>
      <c r="V1193" s="317" t="str" cm="1">
        <f t="array" aca="1" ref="V1193" ca="1">IFERROR(IF(AA1193&lt;&gt;"ja",_xlfn.IFNA(_xlfn.IFS(AND(P1193&lt;&gt;"",R1193&lt;&gt;"",RIGHT($N1193,6)="tarief",F1193="Vergoeding"),SUM(P1193)*FLOOR(SUM(R1193),0.0001),AND(P1193&lt;&gt;"",R1193&lt;&gt;"",RIGHT($N1193,6)="tarief"),P1193*FLOOR(R1193,0.01),T1193&gt;0,FLOOR(SUM(T1193),0.01)),""),""),"")</f>
        <v/>
      </c>
      <c r="W1193" s="317" t="str" cm="1">
        <f t="array" aca="1" ref="W1193" ca="1">IFERROR(_xlfn.IFS(OR(F1193="",LEFT(Methode_Keuze,4)="Geen",Methode_Keuze=""),"",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17" t="str" cm="1">
        <f t="array" aca="1" ref="X1193" ca="1">IFERROR(_xlfn.IFS(OR(F1193="",LEFT(Methode_Keuze,4)="Geen",Methode_Keuze=""),"",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26"/>
      <c r="Z1193" s="319"/>
      <c r="AA1193" s="32" t="str" cm="1">
        <f t="array" ref="AA1193">IFERROR(IF(INDEX(SubsidieTabel!$AD$1:$AG$12,MATCH($F1193,SubsidieTabel!$AD$1:$AD$12,0),IFERROR(MATCH(Methode_Keuze,SubsidieTabel!$AD$1:$AG$1,0),2))&lt;&gt;1=TRUE,"ja",""),"")</f>
        <v/>
      </c>
    </row>
    <row r="1194" spans="1:27" x14ac:dyDescent="0.25">
      <c r="A1194" s="320"/>
      <c r="B1194" s="321" t="str">
        <f>IF(A1194&lt;&gt;"",_xlfn.MAXIFS($B$1:B1193,$A$1:A1193,A1194)+1,"")</f>
        <v/>
      </c>
      <c r="C1194" s="299"/>
      <c r="D1194" s="299"/>
      <c r="E1194" s="299"/>
      <c r="F1194" s="299"/>
      <c r="G1194" s="330"/>
      <c r="H1194" s="328"/>
      <c r="I1194" s="329"/>
      <c r="J1194" s="329"/>
      <c r="K1194" s="322"/>
      <c r="L1194" s="322"/>
      <c r="M1194" s="323" t="str">
        <f>IFERROR(VLOOKUP(H1194,Lijsten!$H$1:$I$100,2,0),"")</f>
        <v/>
      </c>
      <c r="N1194" s="323" t="str">
        <f ca="1">IFERROR(IF(VLOOKUP(F1194,Kostentypen!$A$3:$E$21,3,0)=0,"",IF(OR(F1194="Arbeidskosten",F1194="Vergoeding"),VLOOKUP(G1194,Tb_KostenTypen[],2,0),VLOOKUP(F1194,Kostentypen!$A$3:$E$20,3,0))),"")</f>
        <v/>
      </c>
      <c r="O1194" s="324"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4"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3"/>
      <c r="R1194" s="363"/>
      <c r="S1194" s="325"/>
      <c r="T1194" s="325"/>
      <c r="U1194" s="317" t="str" cm="1">
        <f t="array" aca="1" ref="U1194" ca="1">IFERROR(IF(AA1194&lt;&gt;"ja",_xlfn.IFNA(_xlfn.IFS(AND(O1194&lt;&gt;"",F1194&lt;&gt;"",RIGHT($N1194,6)="tarief",F1194="Vergoeding"),SUM(O1194)*FLOOR(SUM(Q1194),0.0001),AND(O1194&lt;&gt;"",F1194&lt;&gt;"",RIGHT($N1194,6)="tarief"),SUM(O1194)*FLOOR(SUM(Q1194),0.01),S1194&gt;0,IF(F1194&lt;&gt;"",FLOOR(SUM(S1194),0.01),"")),""),""),"")</f>
        <v/>
      </c>
      <c r="V1194" s="317" t="str" cm="1">
        <f t="array" aca="1" ref="V1194" ca="1">IFERROR(IF(AA1194&lt;&gt;"ja",_xlfn.IFNA(_xlfn.IFS(AND(P1194&lt;&gt;"",R1194&lt;&gt;"",RIGHT($N1194,6)="tarief",F1194="Vergoeding"),SUM(P1194)*FLOOR(SUM(R1194),0.0001),AND(P1194&lt;&gt;"",R1194&lt;&gt;"",RIGHT($N1194,6)="tarief"),P1194*FLOOR(R1194,0.01),T1194&gt;0,FLOOR(SUM(T1194),0.01)),""),""),"")</f>
        <v/>
      </c>
      <c r="W1194" s="317" t="str" cm="1">
        <f t="array" aca="1" ref="W1194" ca="1">IFERROR(_xlfn.IFS(OR(F1194="",LEFT(Methode_Keuze,4)="Geen",Methode_Keuze=""),"",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17" t="str" cm="1">
        <f t="array" aca="1" ref="X1194" ca="1">IFERROR(_xlfn.IFS(OR(F1194="",LEFT(Methode_Keuze,4)="Geen",Methode_Keuze=""),"",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26"/>
      <c r="Z1194" s="319"/>
      <c r="AA1194" s="32" t="str" cm="1">
        <f t="array" ref="AA1194">IFERROR(IF(INDEX(SubsidieTabel!$AD$1:$AG$12,MATCH($F1194,SubsidieTabel!$AD$1:$AD$12,0),IFERROR(MATCH(Methode_Keuze,SubsidieTabel!$AD$1:$AG$1,0),2))&lt;&gt;1=TRUE,"ja",""),"")</f>
        <v/>
      </c>
    </row>
    <row r="1195" spans="1:27" x14ac:dyDescent="0.25">
      <c r="A1195" s="320"/>
      <c r="B1195" s="321" t="str">
        <f>IF(A1195&lt;&gt;"",_xlfn.MAXIFS($B$1:B1194,$A$1:A1194,A1195)+1,"")</f>
        <v/>
      </c>
      <c r="C1195" s="299"/>
      <c r="D1195" s="299"/>
      <c r="E1195" s="299"/>
      <c r="F1195" s="299"/>
      <c r="G1195" s="330"/>
      <c r="H1195" s="328"/>
      <c r="I1195" s="329"/>
      <c r="J1195" s="329"/>
      <c r="K1195" s="322"/>
      <c r="L1195" s="322"/>
      <c r="M1195" s="323" t="str">
        <f>IFERROR(VLOOKUP(H1195,Lijsten!$H$1:$I$100,2,0),"")</f>
        <v/>
      </c>
      <c r="N1195" s="323" t="str">
        <f ca="1">IFERROR(IF(VLOOKUP(F1195,Kostentypen!$A$3:$E$21,3,0)=0,"",IF(OR(F1195="Arbeidskosten",F1195="Vergoeding"),VLOOKUP(G1195,Tb_KostenTypen[],2,0),VLOOKUP(F1195,Kostentypen!$A$3:$E$20,3,0))),"")</f>
        <v/>
      </c>
      <c r="O1195" s="324"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4"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3"/>
      <c r="R1195" s="363"/>
      <c r="S1195" s="325"/>
      <c r="T1195" s="325"/>
      <c r="U1195" s="317" t="str" cm="1">
        <f t="array" aca="1" ref="U1195" ca="1">IFERROR(IF(AA1195&lt;&gt;"ja",_xlfn.IFNA(_xlfn.IFS(AND(O1195&lt;&gt;"",F1195&lt;&gt;"",RIGHT($N1195,6)="tarief",F1195="Vergoeding"),SUM(O1195)*FLOOR(SUM(Q1195),0.0001),AND(O1195&lt;&gt;"",F1195&lt;&gt;"",RIGHT($N1195,6)="tarief"),SUM(O1195)*FLOOR(SUM(Q1195),0.01),S1195&gt;0,IF(F1195&lt;&gt;"",FLOOR(SUM(S1195),0.01),"")),""),""),"")</f>
        <v/>
      </c>
      <c r="V1195" s="317" t="str" cm="1">
        <f t="array" aca="1" ref="V1195" ca="1">IFERROR(IF(AA1195&lt;&gt;"ja",_xlfn.IFNA(_xlfn.IFS(AND(P1195&lt;&gt;"",R1195&lt;&gt;"",RIGHT($N1195,6)="tarief",F1195="Vergoeding"),SUM(P1195)*FLOOR(SUM(R1195),0.0001),AND(P1195&lt;&gt;"",R1195&lt;&gt;"",RIGHT($N1195,6)="tarief"),P1195*FLOOR(R1195,0.01),T1195&gt;0,FLOOR(SUM(T1195),0.01)),""),""),"")</f>
        <v/>
      </c>
      <c r="W1195" s="317" t="str" cm="1">
        <f t="array" aca="1" ref="W1195" ca="1">IFERROR(_xlfn.IFS(OR(F1195="",LEFT(Methode_Keuze,4)="Geen",Methode_Keuze=""),"",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17" t="str" cm="1">
        <f t="array" aca="1" ref="X1195" ca="1">IFERROR(_xlfn.IFS(OR(F1195="",LEFT(Methode_Keuze,4)="Geen",Methode_Keuze=""),"",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26"/>
      <c r="Z1195" s="319"/>
      <c r="AA1195" s="32" t="str" cm="1">
        <f t="array" ref="AA1195">IFERROR(IF(INDEX(SubsidieTabel!$AD$1:$AG$12,MATCH($F1195,SubsidieTabel!$AD$1:$AD$12,0),IFERROR(MATCH(Methode_Keuze,SubsidieTabel!$AD$1:$AG$1,0),2))&lt;&gt;1=TRUE,"ja",""),"")</f>
        <v/>
      </c>
    </row>
    <row r="1196" spans="1:27" x14ac:dyDescent="0.25">
      <c r="A1196" s="320"/>
      <c r="B1196" s="321" t="str">
        <f>IF(A1196&lt;&gt;"",_xlfn.MAXIFS($B$1:B1195,$A$1:A1195,A1196)+1,"")</f>
        <v/>
      </c>
      <c r="C1196" s="299"/>
      <c r="D1196" s="299"/>
      <c r="E1196" s="299"/>
      <c r="F1196" s="299"/>
      <c r="G1196" s="330"/>
      <c r="H1196" s="328"/>
      <c r="I1196" s="329"/>
      <c r="J1196" s="329"/>
      <c r="K1196" s="322"/>
      <c r="L1196" s="322"/>
      <c r="M1196" s="323" t="str">
        <f>IFERROR(VLOOKUP(H1196,Lijsten!$H$1:$I$100,2,0),"")</f>
        <v/>
      </c>
      <c r="N1196" s="323" t="str">
        <f ca="1">IFERROR(IF(VLOOKUP(F1196,Kostentypen!$A$3:$E$21,3,0)=0,"",IF(OR(F1196="Arbeidskosten",F1196="Vergoeding"),VLOOKUP(G1196,Tb_KostenTypen[],2,0),VLOOKUP(F1196,Kostentypen!$A$3:$E$20,3,0))),"")</f>
        <v/>
      </c>
      <c r="O1196" s="324"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4"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3"/>
      <c r="R1196" s="363"/>
      <c r="S1196" s="325"/>
      <c r="T1196" s="325"/>
      <c r="U1196" s="317" t="str" cm="1">
        <f t="array" aca="1" ref="U1196" ca="1">IFERROR(IF(AA1196&lt;&gt;"ja",_xlfn.IFNA(_xlfn.IFS(AND(O1196&lt;&gt;"",F1196&lt;&gt;"",RIGHT($N1196,6)="tarief",F1196="Vergoeding"),SUM(O1196)*FLOOR(SUM(Q1196),0.0001),AND(O1196&lt;&gt;"",F1196&lt;&gt;"",RIGHT($N1196,6)="tarief"),SUM(O1196)*FLOOR(SUM(Q1196),0.01),S1196&gt;0,IF(F1196&lt;&gt;"",FLOOR(SUM(S1196),0.01),"")),""),""),"")</f>
        <v/>
      </c>
      <c r="V1196" s="317" t="str" cm="1">
        <f t="array" aca="1" ref="V1196" ca="1">IFERROR(IF(AA1196&lt;&gt;"ja",_xlfn.IFNA(_xlfn.IFS(AND(P1196&lt;&gt;"",R1196&lt;&gt;"",RIGHT($N1196,6)="tarief",F1196="Vergoeding"),SUM(P1196)*FLOOR(SUM(R1196),0.0001),AND(P1196&lt;&gt;"",R1196&lt;&gt;"",RIGHT($N1196,6)="tarief"),P1196*FLOOR(R1196,0.01),T1196&gt;0,FLOOR(SUM(T1196),0.01)),""),""),"")</f>
        <v/>
      </c>
      <c r="W1196" s="317" t="str" cm="1">
        <f t="array" aca="1" ref="W1196" ca="1">IFERROR(_xlfn.IFS(OR(F1196="",LEFT(Methode_Keuze,4)="Geen",Methode_Keuze=""),"",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17" t="str" cm="1">
        <f t="array" aca="1" ref="X1196" ca="1">IFERROR(_xlfn.IFS(OR(F1196="",LEFT(Methode_Keuze,4)="Geen",Methode_Keuze=""),"",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26"/>
      <c r="Z1196" s="319"/>
      <c r="AA1196" s="32" t="str" cm="1">
        <f t="array" ref="AA1196">IFERROR(IF(INDEX(SubsidieTabel!$AD$1:$AG$12,MATCH($F1196,SubsidieTabel!$AD$1:$AD$12,0),IFERROR(MATCH(Methode_Keuze,SubsidieTabel!$AD$1:$AG$1,0),2))&lt;&gt;1=TRUE,"ja",""),"")</f>
        <v/>
      </c>
    </row>
    <row r="1197" spans="1:27" x14ac:dyDescent="0.25">
      <c r="A1197" s="320"/>
      <c r="B1197" s="321" t="str">
        <f>IF(A1197&lt;&gt;"",_xlfn.MAXIFS($B$1:B1196,$A$1:A1196,A1197)+1,"")</f>
        <v/>
      </c>
      <c r="C1197" s="299"/>
      <c r="D1197" s="299"/>
      <c r="E1197" s="299"/>
      <c r="F1197" s="299"/>
      <c r="G1197" s="330"/>
      <c r="H1197" s="328"/>
      <c r="I1197" s="329"/>
      <c r="J1197" s="329"/>
      <c r="K1197" s="322"/>
      <c r="L1197" s="322"/>
      <c r="M1197" s="323" t="str">
        <f>IFERROR(VLOOKUP(H1197,Lijsten!$H$1:$I$100,2,0),"")</f>
        <v/>
      </c>
      <c r="N1197" s="323" t="str">
        <f ca="1">IFERROR(IF(VLOOKUP(F1197,Kostentypen!$A$3:$E$21,3,0)=0,"",IF(OR(F1197="Arbeidskosten",F1197="Vergoeding"),VLOOKUP(G1197,Tb_KostenTypen[],2,0),VLOOKUP(F1197,Kostentypen!$A$3:$E$20,3,0))),"")</f>
        <v/>
      </c>
      <c r="O1197" s="324"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4"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3"/>
      <c r="R1197" s="363"/>
      <c r="S1197" s="325"/>
      <c r="T1197" s="325"/>
      <c r="U1197" s="317" t="str" cm="1">
        <f t="array" aca="1" ref="U1197" ca="1">IFERROR(IF(AA1197&lt;&gt;"ja",_xlfn.IFNA(_xlfn.IFS(AND(O1197&lt;&gt;"",F1197&lt;&gt;"",RIGHT($N1197,6)="tarief",F1197="Vergoeding"),SUM(O1197)*FLOOR(SUM(Q1197),0.0001),AND(O1197&lt;&gt;"",F1197&lt;&gt;"",RIGHT($N1197,6)="tarief"),SUM(O1197)*FLOOR(SUM(Q1197),0.01),S1197&gt;0,IF(F1197&lt;&gt;"",FLOOR(SUM(S1197),0.01),"")),""),""),"")</f>
        <v/>
      </c>
      <c r="V1197" s="317" t="str" cm="1">
        <f t="array" aca="1" ref="V1197" ca="1">IFERROR(IF(AA1197&lt;&gt;"ja",_xlfn.IFNA(_xlfn.IFS(AND(P1197&lt;&gt;"",R1197&lt;&gt;"",RIGHT($N1197,6)="tarief",F1197="Vergoeding"),SUM(P1197)*FLOOR(SUM(R1197),0.0001),AND(P1197&lt;&gt;"",R1197&lt;&gt;"",RIGHT($N1197,6)="tarief"),P1197*FLOOR(R1197,0.01),T1197&gt;0,FLOOR(SUM(T1197),0.01)),""),""),"")</f>
        <v/>
      </c>
      <c r="W1197" s="317" t="str" cm="1">
        <f t="array" aca="1" ref="W1197" ca="1">IFERROR(_xlfn.IFS(OR(F1197="",LEFT(Methode_Keuze,4)="Geen",Methode_Keuze=""),"",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17" t="str" cm="1">
        <f t="array" aca="1" ref="X1197" ca="1">IFERROR(_xlfn.IFS(OR(F1197="",LEFT(Methode_Keuze,4)="Geen",Methode_Keuze=""),"",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26"/>
      <c r="Z1197" s="319"/>
      <c r="AA1197" s="32" t="str" cm="1">
        <f t="array" ref="AA1197">IFERROR(IF(INDEX(SubsidieTabel!$AD$1:$AG$12,MATCH($F1197,SubsidieTabel!$AD$1:$AD$12,0),IFERROR(MATCH(Methode_Keuze,SubsidieTabel!$AD$1:$AG$1,0),2))&lt;&gt;1=TRUE,"ja",""),"")</f>
        <v/>
      </c>
    </row>
    <row r="1198" spans="1:27" x14ac:dyDescent="0.25">
      <c r="A1198" s="320"/>
      <c r="B1198" s="321" t="str">
        <f>IF(A1198&lt;&gt;"",_xlfn.MAXIFS($B$1:B1197,$A$1:A1197,A1198)+1,"")</f>
        <v/>
      </c>
      <c r="C1198" s="299"/>
      <c r="D1198" s="299"/>
      <c r="E1198" s="299"/>
      <c r="F1198" s="299"/>
      <c r="G1198" s="330"/>
      <c r="H1198" s="328"/>
      <c r="I1198" s="329"/>
      <c r="J1198" s="329"/>
      <c r="K1198" s="322"/>
      <c r="L1198" s="322"/>
      <c r="M1198" s="323" t="str">
        <f>IFERROR(VLOOKUP(H1198,Lijsten!$H$1:$I$100,2,0),"")</f>
        <v/>
      </c>
      <c r="N1198" s="323" t="str">
        <f ca="1">IFERROR(IF(VLOOKUP(F1198,Kostentypen!$A$3:$E$21,3,0)=0,"",IF(OR(F1198="Arbeidskosten",F1198="Vergoeding"),VLOOKUP(G1198,Tb_KostenTypen[],2,0),VLOOKUP(F1198,Kostentypen!$A$3:$E$20,3,0))),"")</f>
        <v/>
      </c>
      <c r="O1198" s="324"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4"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3"/>
      <c r="R1198" s="363"/>
      <c r="S1198" s="325"/>
      <c r="T1198" s="325"/>
      <c r="U1198" s="317" t="str" cm="1">
        <f t="array" aca="1" ref="U1198" ca="1">IFERROR(IF(AA1198&lt;&gt;"ja",_xlfn.IFNA(_xlfn.IFS(AND(O1198&lt;&gt;"",F1198&lt;&gt;"",RIGHT($N1198,6)="tarief",F1198="Vergoeding"),SUM(O1198)*FLOOR(SUM(Q1198),0.0001),AND(O1198&lt;&gt;"",F1198&lt;&gt;"",RIGHT($N1198,6)="tarief"),SUM(O1198)*FLOOR(SUM(Q1198),0.01),S1198&gt;0,IF(F1198&lt;&gt;"",FLOOR(SUM(S1198),0.01),"")),""),""),"")</f>
        <v/>
      </c>
      <c r="V1198" s="317" t="str" cm="1">
        <f t="array" aca="1" ref="V1198" ca="1">IFERROR(IF(AA1198&lt;&gt;"ja",_xlfn.IFNA(_xlfn.IFS(AND(P1198&lt;&gt;"",R1198&lt;&gt;"",RIGHT($N1198,6)="tarief",F1198="Vergoeding"),SUM(P1198)*FLOOR(SUM(R1198),0.0001),AND(P1198&lt;&gt;"",R1198&lt;&gt;"",RIGHT($N1198,6)="tarief"),P1198*FLOOR(R1198,0.01),T1198&gt;0,FLOOR(SUM(T1198),0.01)),""),""),"")</f>
        <v/>
      </c>
      <c r="W1198" s="317" t="str" cm="1">
        <f t="array" aca="1" ref="W1198" ca="1">IFERROR(_xlfn.IFS(OR(F1198="",LEFT(Methode_Keuze,4)="Geen",Methode_Keuze=""),"",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17" t="str" cm="1">
        <f t="array" aca="1" ref="X1198" ca="1">IFERROR(_xlfn.IFS(OR(F1198="",LEFT(Methode_Keuze,4)="Geen",Methode_Keuze=""),"",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26"/>
      <c r="Z1198" s="319"/>
      <c r="AA1198" s="32" t="str" cm="1">
        <f t="array" ref="AA1198">IFERROR(IF(INDEX(SubsidieTabel!$AD$1:$AG$12,MATCH($F1198,SubsidieTabel!$AD$1:$AD$12,0),IFERROR(MATCH(Methode_Keuze,SubsidieTabel!$AD$1:$AG$1,0),2))&lt;&gt;1=TRUE,"ja",""),"")</f>
        <v/>
      </c>
    </row>
    <row r="1199" spans="1:27" x14ac:dyDescent="0.25">
      <c r="A1199" s="320"/>
      <c r="B1199" s="321" t="str">
        <f>IF(A1199&lt;&gt;"",_xlfn.MAXIFS($B$1:B1198,$A$1:A1198,A1199)+1,"")</f>
        <v/>
      </c>
      <c r="C1199" s="299"/>
      <c r="D1199" s="299"/>
      <c r="E1199" s="299"/>
      <c r="F1199" s="299"/>
      <c r="G1199" s="330"/>
      <c r="H1199" s="328"/>
      <c r="I1199" s="329"/>
      <c r="J1199" s="329"/>
      <c r="K1199" s="322"/>
      <c r="L1199" s="322"/>
      <c r="M1199" s="323" t="str">
        <f>IFERROR(VLOOKUP(H1199,Lijsten!$H$1:$I$100,2,0),"")</f>
        <v/>
      </c>
      <c r="N1199" s="323" t="str">
        <f ca="1">IFERROR(IF(VLOOKUP(F1199,Kostentypen!$A$3:$E$21,3,0)=0,"",IF(OR(F1199="Arbeidskosten",F1199="Vergoeding"),VLOOKUP(G1199,Tb_KostenTypen[],2,0),VLOOKUP(F1199,Kostentypen!$A$3:$E$20,3,0))),"")</f>
        <v/>
      </c>
      <c r="O1199" s="324"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4"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3"/>
      <c r="R1199" s="363"/>
      <c r="S1199" s="325"/>
      <c r="T1199" s="325"/>
      <c r="U1199" s="317" t="str" cm="1">
        <f t="array" aca="1" ref="U1199" ca="1">IFERROR(IF(AA1199&lt;&gt;"ja",_xlfn.IFNA(_xlfn.IFS(AND(O1199&lt;&gt;"",F1199&lt;&gt;"",RIGHT($N1199,6)="tarief",F1199="Vergoeding"),SUM(O1199)*FLOOR(SUM(Q1199),0.0001),AND(O1199&lt;&gt;"",F1199&lt;&gt;"",RIGHT($N1199,6)="tarief"),SUM(O1199)*FLOOR(SUM(Q1199),0.01),S1199&gt;0,IF(F1199&lt;&gt;"",FLOOR(SUM(S1199),0.01),"")),""),""),"")</f>
        <v/>
      </c>
      <c r="V1199" s="317" t="str" cm="1">
        <f t="array" aca="1" ref="V1199" ca="1">IFERROR(IF(AA1199&lt;&gt;"ja",_xlfn.IFNA(_xlfn.IFS(AND(P1199&lt;&gt;"",R1199&lt;&gt;"",RIGHT($N1199,6)="tarief",F1199="Vergoeding"),SUM(P1199)*FLOOR(SUM(R1199),0.0001),AND(P1199&lt;&gt;"",R1199&lt;&gt;"",RIGHT($N1199,6)="tarief"),P1199*FLOOR(R1199,0.01),T1199&gt;0,FLOOR(SUM(T1199),0.01)),""),""),"")</f>
        <v/>
      </c>
      <c r="W1199" s="317" t="str" cm="1">
        <f t="array" aca="1" ref="W1199" ca="1">IFERROR(_xlfn.IFS(OR(F1199="",LEFT(Methode_Keuze,4)="Geen",Methode_Keuze=""),"",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17" t="str" cm="1">
        <f t="array" aca="1" ref="X1199" ca="1">IFERROR(_xlfn.IFS(OR(F1199="",LEFT(Methode_Keuze,4)="Geen",Methode_Keuze=""),"",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26"/>
      <c r="Z1199" s="319"/>
      <c r="AA1199" s="32" t="str" cm="1">
        <f t="array" ref="AA1199">IFERROR(IF(INDEX(SubsidieTabel!$AD$1:$AG$12,MATCH($F1199,SubsidieTabel!$AD$1:$AD$12,0),IFERROR(MATCH(Methode_Keuze,SubsidieTabel!$AD$1:$AG$1,0),2))&lt;&gt;1=TRUE,"ja",""),"")</f>
        <v/>
      </c>
    </row>
    <row r="1200" spans="1:27" x14ac:dyDescent="0.25">
      <c r="A1200" s="320"/>
      <c r="B1200" s="321" t="str">
        <f>IF(A1200&lt;&gt;"",_xlfn.MAXIFS($B$1:B1199,$A$1:A1199,A1200)+1,"")</f>
        <v/>
      </c>
      <c r="C1200" s="299"/>
      <c r="D1200" s="299"/>
      <c r="E1200" s="299"/>
      <c r="F1200" s="299"/>
      <c r="G1200" s="330"/>
      <c r="H1200" s="328"/>
      <c r="I1200" s="329"/>
      <c r="J1200" s="329"/>
      <c r="K1200" s="322"/>
      <c r="L1200" s="322"/>
      <c r="M1200" s="323" t="str">
        <f>IFERROR(VLOOKUP(H1200,Lijsten!$H$1:$I$100,2,0),"")</f>
        <v/>
      </c>
      <c r="N1200" s="323" t="str">
        <f ca="1">IFERROR(IF(VLOOKUP(F1200,Kostentypen!$A$3:$E$21,3,0)=0,"",IF(OR(F1200="Arbeidskosten",F1200="Vergoeding"),VLOOKUP(G1200,Tb_KostenTypen[],2,0),VLOOKUP(F1200,Kostentypen!$A$3:$E$20,3,0))),"")</f>
        <v/>
      </c>
      <c r="O1200" s="324"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4"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3"/>
      <c r="R1200" s="363"/>
      <c r="S1200" s="325"/>
      <c r="T1200" s="325"/>
      <c r="U1200" s="317" t="str" cm="1">
        <f t="array" aca="1" ref="U1200" ca="1">IFERROR(IF(AA1200&lt;&gt;"ja",_xlfn.IFNA(_xlfn.IFS(AND(O1200&lt;&gt;"",F1200&lt;&gt;"",RIGHT($N1200,6)="tarief",F1200="Vergoeding"),SUM(O1200)*FLOOR(SUM(Q1200),0.0001),AND(O1200&lt;&gt;"",F1200&lt;&gt;"",RIGHT($N1200,6)="tarief"),SUM(O1200)*FLOOR(SUM(Q1200),0.01),S1200&gt;0,IF(F1200&lt;&gt;"",FLOOR(SUM(S1200),0.01),"")),""),""),"")</f>
        <v/>
      </c>
      <c r="V1200" s="317" t="str" cm="1">
        <f t="array" aca="1" ref="V1200" ca="1">IFERROR(IF(AA1200&lt;&gt;"ja",_xlfn.IFNA(_xlfn.IFS(AND(P1200&lt;&gt;"",R1200&lt;&gt;"",RIGHT($N1200,6)="tarief",F1200="Vergoeding"),SUM(P1200)*FLOOR(SUM(R1200),0.0001),AND(P1200&lt;&gt;"",R1200&lt;&gt;"",RIGHT($N1200,6)="tarief"),P1200*FLOOR(R1200,0.01),T1200&gt;0,FLOOR(SUM(T1200),0.01)),""),""),"")</f>
        <v/>
      </c>
      <c r="W1200" s="317" t="str" cm="1">
        <f t="array" aca="1" ref="W1200" ca="1">IFERROR(_xlfn.IFS(OR(F1200="",LEFT(Methode_Keuze,4)="Geen",Methode_Keuze=""),"",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17" t="str" cm="1">
        <f t="array" aca="1" ref="X1200" ca="1">IFERROR(_xlfn.IFS(OR(F1200="",LEFT(Methode_Keuze,4)="Geen",Methode_Keuze=""),"",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26"/>
      <c r="Z1200" s="319"/>
      <c r="AA1200" s="32" t="str" cm="1">
        <f t="array" ref="AA1200">IFERROR(IF(INDEX(SubsidieTabel!$AD$1:$AG$12,MATCH($F1200,SubsidieTabel!$AD$1:$AD$12,0),IFERROR(MATCH(Methode_Keuze,SubsidieTabel!$AD$1:$AG$1,0),2))&lt;&gt;1=TRUE,"ja",""),"")</f>
        <v/>
      </c>
    </row>
    <row r="1201" spans="1:27" x14ac:dyDescent="0.25">
      <c r="A1201" s="320"/>
      <c r="B1201" s="321" t="str">
        <f>IF(A1201&lt;&gt;"",_xlfn.MAXIFS($B$1:B1200,$A$1:A1200,A1201)+1,"")</f>
        <v/>
      </c>
      <c r="C1201" s="299"/>
      <c r="D1201" s="299"/>
      <c r="E1201" s="299"/>
      <c r="F1201" s="299"/>
      <c r="G1201" s="330"/>
      <c r="H1201" s="328"/>
      <c r="I1201" s="329"/>
      <c r="J1201" s="329"/>
      <c r="K1201" s="322"/>
      <c r="L1201" s="322"/>
      <c r="M1201" s="323" t="str">
        <f>IFERROR(VLOOKUP(H1201,Lijsten!$H$1:$I$100,2,0),"")</f>
        <v/>
      </c>
      <c r="N1201" s="323" t="str">
        <f ca="1">IFERROR(IF(VLOOKUP(F1201,Kostentypen!$A$3:$E$21,3,0)=0,"",IF(OR(F1201="Arbeidskosten",F1201="Vergoeding"),VLOOKUP(G1201,Tb_KostenTypen[],2,0),VLOOKUP(F1201,Kostentypen!$A$3:$E$20,3,0))),"")</f>
        <v/>
      </c>
      <c r="O1201" s="324"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4"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3"/>
      <c r="R1201" s="363"/>
      <c r="S1201" s="325"/>
      <c r="T1201" s="325"/>
      <c r="U1201" s="317" t="str" cm="1">
        <f t="array" aca="1" ref="U1201" ca="1">IFERROR(IF(AA1201&lt;&gt;"ja",_xlfn.IFNA(_xlfn.IFS(AND(O1201&lt;&gt;"",F1201&lt;&gt;"",RIGHT($N1201,6)="tarief",F1201="Vergoeding"),SUM(O1201)*FLOOR(SUM(Q1201),0.0001),AND(O1201&lt;&gt;"",F1201&lt;&gt;"",RIGHT($N1201,6)="tarief"),SUM(O1201)*FLOOR(SUM(Q1201),0.01),S1201&gt;0,IF(F1201&lt;&gt;"",FLOOR(SUM(S1201),0.01),"")),""),""),"")</f>
        <v/>
      </c>
      <c r="V1201" s="317" t="str" cm="1">
        <f t="array" aca="1" ref="V1201" ca="1">IFERROR(IF(AA1201&lt;&gt;"ja",_xlfn.IFNA(_xlfn.IFS(AND(P1201&lt;&gt;"",R1201&lt;&gt;"",RIGHT($N1201,6)="tarief",F1201="Vergoeding"),SUM(P1201)*FLOOR(SUM(R1201),0.0001),AND(P1201&lt;&gt;"",R1201&lt;&gt;"",RIGHT($N1201,6)="tarief"),P1201*FLOOR(R1201,0.01),T1201&gt;0,FLOOR(SUM(T1201),0.01)),""),""),"")</f>
        <v/>
      </c>
      <c r="W1201" s="317" t="str" cm="1">
        <f t="array" aca="1" ref="W1201" ca="1">IFERROR(_xlfn.IFS(OR(F1201="",LEFT(Methode_Keuze,4)="Geen",Methode_Keuze=""),"",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17" t="str" cm="1">
        <f t="array" aca="1" ref="X1201" ca="1">IFERROR(_xlfn.IFS(OR(F1201="",LEFT(Methode_Keuze,4)="Geen",Methode_Keuze=""),"",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26"/>
      <c r="Z1201" s="319"/>
      <c r="AA1201" s="32" t="str" cm="1">
        <f t="array" ref="AA1201">IFERROR(IF(INDEX(SubsidieTabel!$AD$1:$AG$12,MATCH($F1201,SubsidieTabel!$AD$1:$AD$12,0),IFERROR(MATCH(Methode_Keuze,SubsidieTabel!$AD$1:$AG$1,0),2))&lt;&gt;1=TRUE,"ja",""),"")</f>
        <v/>
      </c>
    </row>
    <row r="1202" spans="1:27" x14ac:dyDescent="0.25">
      <c r="A1202" s="320"/>
      <c r="B1202" s="321" t="str">
        <f>IF(A1202&lt;&gt;"",_xlfn.MAXIFS($B$1:B1201,$A$1:A1201,A1202)+1,"")</f>
        <v/>
      </c>
      <c r="C1202" s="299"/>
      <c r="D1202" s="299"/>
      <c r="E1202" s="299"/>
      <c r="F1202" s="299"/>
      <c r="G1202" s="330"/>
      <c r="H1202" s="328"/>
      <c r="I1202" s="329"/>
      <c r="J1202" s="329"/>
      <c r="K1202" s="322"/>
      <c r="L1202" s="322"/>
      <c r="M1202" s="323" t="str">
        <f>IFERROR(VLOOKUP(H1202,Lijsten!$H$1:$I$100,2,0),"")</f>
        <v/>
      </c>
      <c r="N1202" s="323" t="str">
        <f ca="1">IFERROR(IF(VLOOKUP(F1202,Kostentypen!$A$3:$E$21,3,0)=0,"",IF(OR(F1202="Arbeidskosten",F1202="Vergoeding"),VLOOKUP(G1202,Tb_KostenTypen[],2,0),VLOOKUP(F1202,Kostentypen!$A$3:$E$20,3,0))),"")</f>
        <v/>
      </c>
      <c r="O1202" s="324"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4"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3"/>
      <c r="R1202" s="363"/>
      <c r="S1202" s="325"/>
      <c r="T1202" s="325"/>
      <c r="U1202" s="317" t="str" cm="1">
        <f t="array" aca="1" ref="U1202" ca="1">IFERROR(IF(AA1202&lt;&gt;"ja",_xlfn.IFNA(_xlfn.IFS(AND(O1202&lt;&gt;"",F1202&lt;&gt;"",RIGHT($N1202,6)="tarief",F1202="Vergoeding"),SUM(O1202)*FLOOR(SUM(Q1202),0.0001),AND(O1202&lt;&gt;"",F1202&lt;&gt;"",RIGHT($N1202,6)="tarief"),SUM(O1202)*FLOOR(SUM(Q1202),0.01),S1202&gt;0,IF(F1202&lt;&gt;"",FLOOR(SUM(S1202),0.01),"")),""),""),"")</f>
        <v/>
      </c>
      <c r="V1202" s="317" t="str" cm="1">
        <f t="array" aca="1" ref="V1202" ca="1">IFERROR(IF(AA1202&lt;&gt;"ja",_xlfn.IFNA(_xlfn.IFS(AND(P1202&lt;&gt;"",R1202&lt;&gt;"",RIGHT($N1202,6)="tarief",F1202="Vergoeding"),SUM(P1202)*FLOOR(SUM(R1202),0.0001),AND(P1202&lt;&gt;"",R1202&lt;&gt;"",RIGHT($N1202,6)="tarief"),P1202*FLOOR(R1202,0.01),T1202&gt;0,FLOOR(SUM(T1202),0.01)),""),""),"")</f>
        <v/>
      </c>
      <c r="W1202" s="317" t="str" cm="1">
        <f t="array" aca="1" ref="W1202" ca="1">IFERROR(_xlfn.IFS(OR(F1202="",LEFT(Methode_Keuze,4)="Geen",Methode_Keuze=""),"",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17" t="str" cm="1">
        <f t="array" aca="1" ref="X1202" ca="1">IFERROR(_xlfn.IFS(OR(F1202="",LEFT(Methode_Keuze,4)="Geen",Methode_Keuze=""),"",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26"/>
      <c r="Z1202" s="319"/>
      <c r="AA1202" s="32" t="str" cm="1">
        <f t="array" ref="AA1202">IFERROR(IF(INDEX(SubsidieTabel!$AD$1:$AG$12,MATCH($F1202,SubsidieTabel!$AD$1:$AD$12,0),IFERROR(MATCH(Methode_Keuze,SubsidieTabel!$AD$1:$AG$1,0),2))&lt;&gt;1=TRUE,"ja",""),"")</f>
        <v/>
      </c>
    </row>
    <row r="1203" spans="1:27" x14ac:dyDescent="0.25">
      <c r="A1203" s="320"/>
      <c r="B1203" s="321" t="str">
        <f>IF(A1203&lt;&gt;"",_xlfn.MAXIFS($B$1:B1202,$A$1:A1202,A1203)+1,"")</f>
        <v/>
      </c>
      <c r="C1203" s="299"/>
      <c r="D1203" s="299"/>
      <c r="E1203" s="299"/>
      <c r="F1203" s="299"/>
      <c r="G1203" s="330"/>
      <c r="H1203" s="328"/>
      <c r="I1203" s="329"/>
      <c r="J1203" s="329"/>
      <c r="K1203" s="322"/>
      <c r="L1203" s="322"/>
      <c r="M1203" s="323" t="str">
        <f>IFERROR(VLOOKUP(H1203,Lijsten!$H$1:$I$100,2,0),"")</f>
        <v/>
      </c>
      <c r="N1203" s="323" t="str">
        <f ca="1">IFERROR(IF(VLOOKUP(F1203,Kostentypen!$A$3:$E$21,3,0)=0,"",IF(OR(F1203="Arbeidskosten",F1203="Vergoeding"),VLOOKUP(G1203,Tb_KostenTypen[],2,0),VLOOKUP(F1203,Kostentypen!$A$3:$E$20,3,0))),"")</f>
        <v/>
      </c>
      <c r="O1203" s="324"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4"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3"/>
      <c r="R1203" s="363"/>
      <c r="S1203" s="325"/>
      <c r="T1203" s="325"/>
      <c r="U1203" s="317" t="str" cm="1">
        <f t="array" aca="1" ref="U1203" ca="1">IFERROR(IF(AA1203&lt;&gt;"ja",_xlfn.IFNA(_xlfn.IFS(AND(O1203&lt;&gt;"",F1203&lt;&gt;"",RIGHT($N1203,6)="tarief",F1203="Vergoeding"),SUM(O1203)*FLOOR(SUM(Q1203),0.0001),AND(O1203&lt;&gt;"",F1203&lt;&gt;"",RIGHT($N1203,6)="tarief"),SUM(O1203)*FLOOR(SUM(Q1203),0.01),S1203&gt;0,IF(F1203&lt;&gt;"",FLOOR(SUM(S1203),0.01),"")),""),""),"")</f>
        <v/>
      </c>
      <c r="V1203" s="317" t="str" cm="1">
        <f t="array" aca="1" ref="V1203" ca="1">IFERROR(IF(AA1203&lt;&gt;"ja",_xlfn.IFNA(_xlfn.IFS(AND(P1203&lt;&gt;"",R1203&lt;&gt;"",RIGHT($N1203,6)="tarief",F1203="Vergoeding"),SUM(P1203)*FLOOR(SUM(R1203),0.0001),AND(P1203&lt;&gt;"",R1203&lt;&gt;"",RIGHT($N1203,6)="tarief"),P1203*FLOOR(R1203,0.01),T1203&gt;0,FLOOR(SUM(T1203),0.01)),""),""),"")</f>
        <v/>
      </c>
      <c r="W1203" s="317" t="str" cm="1">
        <f t="array" aca="1" ref="W1203" ca="1">IFERROR(_xlfn.IFS(OR(F1203="",LEFT(Methode_Keuze,4)="Geen",Methode_Keuze=""),"",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17" t="str" cm="1">
        <f t="array" aca="1" ref="X1203" ca="1">IFERROR(_xlfn.IFS(OR(F1203="",LEFT(Methode_Keuze,4)="Geen",Methode_Keuze=""),"",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26"/>
      <c r="Z1203" s="319"/>
      <c r="AA1203" s="32" t="str" cm="1">
        <f t="array" ref="AA1203">IFERROR(IF(INDEX(SubsidieTabel!$AD$1:$AG$12,MATCH($F1203,SubsidieTabel!$AD$1:$AD$12,0),IFERROR(MATCH(Methode_Keuze,SubsidieTabel!$AD$1:$AG$1,0),2))&lt;&gt;1=TRUE,"ja",""),"")</f>
        <v/>
      </c>
    </row>
    <row r="1204" spans="1:27" x14ac:dyDescent="0.25">
      <c r="A1204" s="320"/>
      <c r="B1204" s="321" t="str">
        <f>IF(A1204&lt;&gt;"",_xlfn.MAXIFS($B$1:B1203,$A$1:A1203,A1204)+1,"")</f>
        <v/>
      </c>
      <c r="C1204" s="299"/>
      <c r="D1204" s="299"/>
      <c r="E1204" s="299"/>
      <c r="F1204" s="299"/>
      <c r="G1204" s="330"/>
      <c r="H1204" s="328"/>
      <c r="I1204" s="329"/>
      <c r="J1204" s="329"/>
      <c r="K1204" s="322"/>
      <c r="L1204" s="322"/>
      <c r="M1204" s="323" t="str">
        <f>IFERROR(VLOOKUP(H1204,Lijsten!$H$1:$I$100,2,0),"")</f>
        <v/>
      </c>
      <c r="N1204" s="323" t="str">
        <f ca="1">IFERROR(IF(VLOOKUP(F1204,Kostentypen!$A$3:$E$21,3,0)=0,"",IF(OR(F1204="Arbeidskosten",F1204="Vergoeding"),VLOOKUP(G1204,Tb_KostenTypen[],2,0),VLOOKUP(F1204,Kostentypen!$A$3:$E$20,3,0))),"")</f>
        <v/>
      </c>
      <c r="O1204" s="324"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4"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3"/>
      <c r="R1204" s="363"/>
      <c r="S1204" s="325"/>
      <c r="T1204" s="325"/>
      <c r="U1204" s="317" t="str" cm="1">
        <f t="array" aca="1" ref="U1204" ca="1">IFERROR(IF(AA1204&lt;&gt;"ja",_xlfn.IFNA(_xlfn.IFS(AND(O1204&lt;&gt;"",F1204&lt;&gt;"",RIGHT($N1204,6)="tarief",F1204="Vergoeding"),SUM(O1204)*FLOOR(SUM(Q1204),0.0001),AND(O1204&lt;&gt;"",F1204&lt;&gt;"",RIGHT($N1204,6)="tarief"),SUM(O1204)*FLOOR(SUM(Q1204),0.01),S1204&gt;0,IF(F1204&lt;&gt;"",FLOOR(SUM(S1204),0.01),"")),""),""),"")</f>
        <v/>
      </c>
      <c r="V1204" s="317" t="str" cm="1">
        <f t="array" aca="1" ref="V1204" ca="1">IFERROR(IF(AA1204&lt;&gt;"ja",_xlfn.IFNA(_xlfn.IFS(AND(P1204&lt;&gt;"",R1204&lt;&gt;"",RIGHT($N1204,6)="tarief",F1204="Vergoeding"),SUM(P1204)*FLOOR(SUM(R1204),0.0001),AND(P1204&lt;&gt;"",R1204&lt;&gt;"",RIGHT($N1204,6)="tarief"),P1204*FLOOR(R1204,0.01),T1204&gt;0,FLOOR(SUM(T1204),0.01)),""),""),"")</f>
        <v/>
      </c>
      <c r="W1204" s="317" t="str" cm="1">
        <f t="array" aca="1" ref="W1204" ca="1">IFERROR(_xlfn.IFS(OR(F1204="",LEFT(Methode_Keuze,4)="Geen",Methode_Keuze=""),"",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17" t="str" cm="1">
        <f t="array" aca="1" ref="X1204" ca="1">IFERROR(_xlfn.IFS(OR(F1204="",LEFT(Methode_Keuze,4)="Geen",Methode_Keuze=""),"",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26"/>
      <c r="Z1204" s="319"/>
      <c r="AA1204" s="32" t="str" cm="1">
        <f t="array" ref="AA1204">IFERROR(IF(INDEX(SubsidieTabel!$AD$1:$AG$12,MATCH($F1204,SubsidieTabel!$AD$1:$AD$12,0),IFERROR(MATCH(Methode_Keuze,SubsidieTabel!$AD$1:$AG$1,0),2))&lt;&gt;1=TRUE,"ja",""),"")</f>
        <v/>
      </c>
    </row>
    <row r="1205" spans="1:27" x14ac:dyDescent="0.25">
      <c r="A1205" s="320"/>
      <c r="B1205" s="321" t="str">
        <f>IF(A1205&lt;&gt;"",_xlfn.MAXIFS($B$1:B1204,$A$1:A1204,A1205)+1,"")</f>
        <v/>
      </c>
      <c r="C1205" s="299"/>
      <c r="D1205" s="299"/>
      <c r="E1205" s="299"/>
      <c r="F1205" s="299"/>
      <c r="G1205" s="330"/>
      <c r="H1205" s="328"/>
      <c r="I1205" s="329"/>
      <c r="J1205" s="329"/>
      <c r="K1205" s="322"/>
      <c r="L1205" s="322"/>
      <c r="M1205" s="323" t="str">
        <f>IFERROR(VLOOKUP(H1205,Lijsten!$H$1:$I$100,2,0),"")</f>
        <v/>
      </c>
      <c r="N1205" s="323" t="str">
        <f ca="1">IFERROR(IF(VLOOKUP(F1205,Kostentypen!$A$3:$E$21,3,0)=0,"",IF(OR(F1205="Arbeidskosten",F1205="Vergoeding"),VLOOKUP(G1205,Tb_KostenTypen[],2,0),VLOOKUP(F1205,Kostentypen!$A$3:$E$20,3,0))),"")</f>
        <v/>
      </c>
      <c r="O1205" s="324"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4"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3"/>
      <c r="R1205" s="363"/>
      <c r="S1205" s="325"/>
      <c r="T1205" s="325"/>
      <c r="U1205" s="317" t="str" cm="1">
        <f t="array" aca="1" ref="U1205" ca="1">IFERROR(IF(AA1205&lt;&gt;"ja",_xlfn.IFNA(_xlfn.IFS(AND(O1205&lt;&gt;"",F1205&lt;&gt;"",RIGHT($N1205,6)="tarief",F1205="Vergoeding"),SUM(O1205)*FLOOR(SUM(Q1205),0.0001),AND(O1205&lt;&gt;"",F1205&lt;&gt;"",RIGHT($N1205,6)="tarief"),SUM(O1205)*FLOOR(SUM(Q1205),0.01),S1205&gt;0,IF(F1205&lt;&gt;"",FLOOR(SUM(S1205),0.01),"")),""),""),"")</f>
        <v/>
      </c>
      <c r="V1205" s="317" t="str" cm="1">
        <f t="array" aca="1" ref="V1205" ca="1">IFERROR(IF(AA1205&lt;&gt;"ja",_xlfn.IFNA(_xlfn.IFS(AND(P1205&lt;&gt;"",R1205&lt;&gt;"",RIGHT($N1205,6)="tarief",F1205="Vergoeding"),SUM(P1205)*FLOOR(SUM(R1205),0.0001),AND(P1205&lt;&gt;"",R1205&lt;&gt;"",RIGHT($N1205,6)="tarief"),P1205*FLOOR(R1205,0.01),T1205&gt;0,FLOOR(SUM(T1205),0.01)),""),""),"")</f>
        <v/>
      </c>
      <c r="W1205" s="317" t="str" cm="1">
        <f t="array" aca="1" ref="W1205" ca="1">IFERROR(_xlfn.IFS(OR(F1205="",LEFT(Methode_Keuze,4)="Geen",Methode_Keuze=""),"",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17" t="str" cm="1">
        <f t="array" aca="1" ref="X1205" ca="1">IFERROR(_xlfn.IFS(OR(F1205="",LEFT(Methode_Keuze,4)="Geen",Methode_Keuze=""),"",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26"/>
      <c r="Z1205" s="319"/>
      <c r="AA1205" s="32" t="str" cm="1">
        <f t="array" ref="AA1205">IFERROR(IF(INDEX(SubsidieTabel!$AD$1:$AG$12,MATCH($F1205,SubsidieTabel!$AD$1:$AD$12,0),IFERROR(MATCH(Methode_Keuze,SubsidieTabel!$AD$1:$AG$1,0),2))&lt;&gt;1=TRUE,"ja",""),"")</f>
        <v/>
      </c>
    </row>
    <row r="1206" spans="1:27" x14ac:dyDescent="0.25">
      <c r="A1206" s="320"/>
      <c r="B1206" s="321" t="str">
        <f>IF(A1206&lt;&gt;"",_xlfn.MAXIFS($B$1:B1205,$A$1:A1205,A1206)+1,"")</f>
        <v/>
      </c>
      <c r="C1206" s="299"/>
      <c r="D1206" s="299"/>
      <c r="E1206" s="299"/>
      <c r="F1206" s="299"/>
      <c r="G1206" s="330"/>
      <c r="H1206" s="328"/>
      <c r="I1206" s="329"/>
      <c r="J1206" s="329"/>
      <c r="K1206" s="322"/>
      <c r="L1206" s="322"/>
      <c r="M1206" s="323" t="str">
        <f>IFERROR(VLOOKUP(H1206,Lijsten!$H$1:$I$100,2,0),"")</f>
        <v/>
      </c>
      <c r="N1206" s="323" t="str">
        <f ca="1">IFERROR(IF(VLOOKUP(F1206,Kostentypen!$A$3:$E$21,3,0)=0,"",IF(OR(F1206="Arbeidskosten",F1206="Vergoeding"),VLOOKUP(G1206,Tb_KostenTypen[],2,0),VLOOKUP(F1206,Kostentypen!$A$3:$E$20,3,0))),"")</f>
        <v/>
      </c>
      <c r="O1206" s="324"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4"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3"/>
      <c r="R1206" s="363"/>
      <c r="S1206" s="325"/>
      <c r="T1206" s="325"/>
      <c r="U1206" s="317" t="str" cm="1">
        <f t="array" aca="1" ref="U1206" ca="1">IFERROR(IF(AA1206&lt;&gt;"ja",_xlfn.IFNA(_xlfn.IFS(AND(O1206&lt;&gt;"",F1206&lt;&gt;"",RIGHT($N1206,6)="tarief",F1206="Vergoeding"),SUM(O1206)*FLOOR(SUM(Q1206),0.0001),AND(O1206&lt;&gt;"",F1206&lt;&gt;"",RIGHT($N1206,6)="tarief"),SUM(O1206)*FLOOR(SUM(Q1206),0.01),S1206&gt;0,IF(F1206&lt;&gt;"",FLOOR(SUM(S1206),0.01),"")),""),""),"")</f>
        <v/>
      </c>
      <c r="V1206" s="317" t="str" cm="1">
        <f t="array" aca="1" ref="V1206" ca="1">IFERROR(IF(AA1206&lt;&gt;"ja",_xlfn.IFNA(_xlfn.IFS(AND(P1206&lt;&gt;"",R1206&lt;&gt;"",RIGHT($N1206,6)="tarief",F1206="Vergoeding"),SUM(P1206)*FLOOR(SUM(R1206),0.0001),AND(P1206&lt;&gt;"",R1206&lt;&gt;"",RIGHT($N1206,6)="tarief"),P1206*FLOOR(R1206,0.01),T1206&gt;0,FLOOR(SUM(T1206),0.01)),""),""),"")</f>
        <v/>
      </c>
      <c r="W1206" s="317" t="str" cm="1">
        <f t="array" aca="1" ref="W1206" ca="1">IFERROR(_xlfn.IFS(OR(F1206="",LEFT(Methode_Keuze,4)="Geen",Methode_Keuze=""),"",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17" t="str" cm="1">
        <f t="array" aca="1" ref="X1206" ca="1">IFERROR(_xlfn.IFS(OR(F1206="",LEFT(Methode_Keuze,4)="Geen",Methode_Keuze=""),"",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26"/>
      <c r="Z1206" s="319"/>
      <c r="AA1206" s="32" t="str" cm="1">
        <f t="array" ref="AA1206">IFERROR(IF(INDEX(SubsidieTabel!$AD$1:$AG$12,MATCH($F1206,SubsidieTabel!$AD$1:$AD$12,0),IFERROR(MATCH(Methode_Keuze,SubsidieTabel!$AD$1:$AG$1,0),2))&lt;&gt;1=TRUE,"ja",""),"")</f>
        <v/>
      </c>
    </row>
    <row r="1207" spans="1:27" x14ac:dyDescent="0.25">
      <c r="A1207" s="320"/>
      <c r="B1207" s="321" t="str">
        <f>IF(A1207&lt;&gt;"",_xlfn.MAXIFS($B$1:B1206,$A$1:A1206,A1207)+1,"")</f>
        <v/>
      </c>
      <c r="C1207" s="299"/>
      <c r="D1207" s="299"/>
      <c r="E1207" s="299"/>
      <c r="F1207" s="299"/>
      <c r="G1207" s="330"/>
      <c r="H1207" s="328"/>
      <c r="I1207" s="329"/>
      <c r="J1207" s="329"/>
      <c r="K1207" s="322"/>
      <c r="L1207" s="322"/>
      <c r="M1207" s="323" t="str">
        <f>IFERROR(VLOOKUP(H1207,Lijsten!$H$1:$I$100,2,0),"")</f>
        <v/>
      </c>
      <c r="N1207" s="323" t="str">
        <f ca="1">IFERROR(IF(VLOOKUP(F1207,Kostentypen!$A$3:$E$21,3,0)=0,"",IF(OR(F1207="Arbeidskosten",F1207="Vergoeding"),VLOOKUP(G1207,Tb_KostenTypen[],2,0),VLOOKUP(F1207,Kostentypen!$A$3:$E$20,3,0))),"")</f>
        <v/>
      </c>
      <c r="O1207" s="324"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4"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3"/>
      <c r="R1207" s="363"/>
      <c r="S1207" s="325"/>
      <c r="T1207" s="325"/>
      <c r="U1207" s="317" t="str" cm="1">
        <f t="array" aca="1" ref="U1207" ca="1">IFERROR(IF(AA1207&lt;&gt;"ja",_xlfn.IFNA(_xlfn.IFS(AND(O1207&lt;&gt;"",F1207&lt;&gt;"",RIGHT($N1207,6)="tarief",F1207="Vergoeding"),SUM(O1207)*FLOOR(SUM(Q1207),0.0001),AND(O1207&lt;&gt;"",F1207&lt;&gt;"",RIGHT($N1207,6)="tarief"),SUM(O1207)*FLOOR(SUM(Q1207),0.01),S1207&gt;0,IF(F1207&lt;&gt;"",FLOOR(SUM(S1207),0.01),"")),""),""),"")</f>
        <v/>
      </c>
      <c r="V1207" s="317" t="str" cm="1">
        <f t="array" aca="1" ref="V1207" ca="1">IFERROR(IF(AA1207&lt;&gt;"ja",_xlfn.IFNA(_xlfn.IFS(AND(P1207&lt;&gt;"",R1207&lt;&gt;"",RIGHT($N1207,6)="tarief",F1207="Vergoeding"),SUM(P1207)*FLOOR(SUM(R1207),0.0001),AND(P1207&lt;&gt;"",R1207&lt;&gt;"",RIGHT($N1207,6)="tarief"),P1207*FLOOR(R1207,0.01),T1207&gt;0,FLOOR(SUM(T1207),0.01)),""),""),"")</f>
        <v/>
      </c>
      <c r="W1207" s="317" t="str" cm="1">
        <f t="array" aca="1" ref="W1207" ca="1">IFERROR(_xlfn.IFS(OR(F1207="",LEFT(Methode_Keuze,4)="Geen",Methode_Keuze=""),"",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17" t="str" cm="1">
        <f t="array" aca="1" ref="X1207" ca="1">IFERROR(_xlfn.IFS(OR(F1207="",LEFT(Methode_Keuze,4)="Geen",Methode_Keuze=""),"",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26"/>
      <c r="Z1207" s="319"/>
      <c r="AA1207" s="32" t="str" cm="1">
        <f t="array" ref="AA1207">IFERROR(IF(INDEX(SubsidieTabel!$AD$1:$AG$12,MATCH($F1207,SubsidieTabel!$AD$1:$AD$12,0),IFERROR(MATCH(Methode_Keuze,SubsidieTabel!$AD$1:$AG$1,0),2))&lt;&gt;1=TRUE,"ja",""),"")</f>
        <v/>
      </c>
    </row>
    <row r="1208" spans="1:27" x14ac:dyDescent="0.25">
      <c r="A1208" s="320"/>
      <c r="B1208" s="321" t="str">
        <f>IF(A1208&lt;&gt;"",_xlfn.MAXIFS($B$1:B1207,$A$1:A1207,A1208)+1,"")</f>
        <v/>
      </c>
      <c r="C1208" s="299"/>
      <c r="D1208" s="299"/>
      <c r="E1208" s="299"/>
      <c r="F1208" s="299"/>
      <c r="G1208" s="330"/>
      <c r="H1208" s="328"/>
      <c r="I1208" s="329"/>
      <c r="J1208" s="329"/>
      <c r="K1208" s="322"/>
      <c r="L1208" s="322"/>
      <c r="M1208" s="323" t="str">
        <f>IFERROR(VLOOKUP(H1208,Lijsten!$H$1:$I$100,2,0),"")</f>
        <v/>
      </c>
      <c r="N1208" s="323" t="str">
        <f ca="1">IFERROR(IF(VLOOKUP(F1208,Kostentypen!$A$3:$E$21,3,0)=0,"",IF(OR(F1208="Arbeidskosten",F1208="Vergoeding"),VLOOKUP(G1208,Tb_KostenTypen[],2,0),VLOOKUP(F1208,Kostentypen!$A$3:$E$20,3,0))),"")</f>
        <v/>
      </c>
      <c r="O1208" s="324"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4"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3"/>
      <c r="R1208" s="363"/>
      <c r="S1208" s="325"/>
      <c r="T1208" s="325"/>
      <c r="U1208" s="317" t="str" cm="1">
        <f t="array" aca="1" ref="U1208" ca="1">IFERROR(IF(AA1208&lt;&gt;"ja",_xlfn.IFNA(_xlfn.IFS(AND(O1208&lt;&gt;"",F1208&lt;&gt;"",RIGHT($N1208,6)="tarief",F1208="Vergoeding"),SUM(O1208)*FLOOR(SUM(Q1208),0.0001),AND(O1208&lt;&gt;"",F1208&lt;&gt;"",RIGHT($N1208,6)="tarief"),SUM(O1208)*FLOOR(SUM(Q1208),0.01),S1208&gt;0,IF(F1208&lt;&gt;"",FLOOR(SUM(S1208),0.01),"")),""),""),"")</f>
        <v/>
      </c>
      <c r="V1208" s="317" t="str" cm="1">
        <f t="array" aca="1" ref="V1208" ca="1">IFERROR(IF(AA1208&lt;&gt;"ja",_xlfn.IFNA(_xlfn.IFS(AND(P1208&lt;&gt;"",R1208&lt;&gt;"",RIGHT($N1208,6)="tarief",F1208="Vergoeding"),SUM(P1208)*FLOOR(SUM(R1208),0.0001),AND(P1208&lt;&gt;"",R1208&lt;&gt;"",RIGHT($N1208,6)="tarief"),P1208*FLOOR(R1208,0.01),T1208&gt;0,FLOOR(SUM(T1208),0.01)),""),""),"")</f>
        <v/>
      </c>
      <c r="W1208" s="317" t="str" cm="1">
        <f t="array" aca="1" ref="W1208" ca="1">IFERROR(_xlfn.IFS(OR(F1208="",LEFT(Methode_Keuze,4)="Geen",Methode_Keuze=""),"",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17" t="str" cm="1">
        <f t="array" aca="1" ref="X1208" ca="1">IFERROR(_xlfn.IFS(OR(F1208="",LEFT(Methode_Keuze,4)="Geen",Methode_Keuze=""),"",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26"/>
      <c r="Z1208" s="319"/>
      <c r="AA1208" s="32" t="str" cm="1">
        <f t="array" ref="AA1208">IFERROR(IF(INDEX(SubsidieTabel!$AD$1:$AG$12,MATCH($F1208,SubsidieTabel!$AD$1:$AD$12,0),IFERROR(MATCH(Methode_Keuze,SubsidieTabel!$AD$1:$AG$1,0),2))&lt;&gt;1=TRUE,"ja",""),"")</f>
        <v/>
      </c>
    </row>
    <row r="1209" spans="1:27" x14ac:dyDescent="0.25">
      <c r="A1209" s="320"/>
      <c r="B1209" s="321" t="str">
        <f>IF(A1209&lt;&gt;"",_xlfn.MAXIFS($B$1:B1208,$A$1:A1208,A1209)+1,"")</f>
        <v/>
      </c>
      <c r="C1209" s="299"/>
      <c r="D1209" s="299"/>
      <c r="E1209" s="299"/>
      <c r="F1209" s="299"/>
      <c r="G1209" s="330"/>
      <c r="H1209" s="328"/>
      <c r="I1209" s="329"/>
      <c r="J1209" s="329"/>
      <c r="K1209" s="322"/>
      <c r="L1209" s="322"/>
      <c r="M1209" s="323" t="str">
        <f>IFERROR(VLOOKUP(H1209,Lijsten!$H$1:$I$100,2,0),"")</f>
        <v/>
      </c>
      <c r="N1209" s="323" t="str">
        <f ca="1">IFERROR(IF(VLOOKUP(F1209,Kostentypen!$A$3:$E$21,3,0)=0,"",IF(OR(F1209="Arbeidskosten",F1209="Vergoeding"),VLOOKUP(G1209,Tb_KostenTypen[],2,0),VLOOKUP(F1209,Kostentypen!$A$3:$E$20,3,0))),"")</f>
        <v/>
      </c>
      <c r="O1209" s="324"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4"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3"/>
      <c r="R1209" s="363"/>
      <c r="S1209" s="325"/>
      <c r="T1209" s="325"/>
      <c r="U1209" s="317" t="str" cm="1">
        <f t="array" aca="1" ref="U1209" ca="1">IFERROR(IF(AA1209&lt;&gt;"ja",_xlfn.IFNA(_xlfn.IFS(AND(O1209&lt;&gt;"",F1209&lt;&gt;"",RIGHT($N1209,6)="tarief",F1209="Vergoeding"),SUM(O1209)*FLOOR(SUM(Q1209),0.0001),AND(O1209&lt;&gt;"",F1209&lt;&gt;"",RIGHT($N1209,6)="tarief"),SUM(O1209)*FLOOR(SUM(Q1209),0.01),S1209&gt;0,IF(F1209&lt;&gt;"",FLOOR(SUM(S1209),0.01),"")),""),""),"")</f>
        <v/>
      </c>
      <c r="V1209" s="317" t="str" cm="1">
        <f t="array" aca="1" ref="V1209" ca="1">IFERROR(IF(AA1209&lt;&gt;"ja",_xlfn.IFNA(_xlfn.IFS(AND(P1209&lt;&gt;"",R1209&lt;&gt;"",RIGHT($N1209,6)="tarief",F1209="Vergoeding"),SUM(P1209)*FLOOR(SUM(R1209),0.0001),AND(P1209&lt;&gt;"",R1209&lt;&gt;"",RIGHT($N1209,6)="tarief"),P1209*FLOOR(R1209,0.01),T1209&gt;0,FLOOR(SUM(T1209),0.01)),""),""),"")</f>
        <v/>
      </c>
      <c r="W1209" s="317" t="str" cm="1">
        <f t="array" aca="1" ref="W1209" ca="1">IFERROR(_xlfn.IFS(OR(F1209="",LEFT(Methode_Keuze,4)="Geen",Methode_Keuze=""),"",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17" t="str" cm="1">
        <f t="array" aca="1" ref="X1209" ca="1">IFERROR(_xlfn.IFS(OR(F1209="",LEFT(Methode_Keuze,4)="Geen",Methode_Keuze=""),"",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26"/>
      <c r="Z1209" s="319"/>
      <c r="AA1209" s="32" t="str" cm="1">
        <f t="array" ref="AA1209">IFERROR(IF(INDEX(SubsidieTabel!$AD$1:$AG$12,MATCH($F1209,SubsidieTabel!$AD$1:$AD$12,0),IFERROR(MATCH(Methode_Keuze,SubsidieTabel!$AD$1:$AG$1,0),2))&lt;&gt;1=TRUE,"ja",""),"")</f>
        <v/>
      </c>
    </row>
    <row r="1210" spans="1:27" x14ac:dyDescent="0.25">
      <c r="A1210" s="320"/>
      <c r="B1210" s="321" t="str">
        <f>IF(A1210&lt;&gt;"",_xlfn.MAXIFS($B$1:B1209,$A$1:A1209,A1210)+1,"")</f>
        <v/>
      </c>
      <c r="C1210" s="299"/>
      <c r="D1210" s="299"/>
      <c r="E1210" s="299"/>
      <c r="F1210" s="299"/>
      <c r="G1210" s="330"/>
      <c r="H1210" s="328"/>
      <c r="I1210" s="329"/>
      <c r="J1210" s="329"/>
      <c r="K1210" s="322"/>
      <c r="L1210" s="322"/>
      <c r="M1210" s="323" t="str">
        <f>IFERROR(VLOOKUP(H1210,Lijsten!$H$1:$I$100,2,0),"")</f>
        <v/>
      </c>
      <c r="N1210" s="323" t="str">
        <f ca="1">IFERROR(IF(VLOOKUP(F1210,Kostentypen!$A$3:$E$21,3,0)=0,"",IF(OR(F1210="Arbeidskosten",F1210="Vergoeding"),VLOOKUP(G1210,Tb_KostenTypen[],2,0),VLOOKUP(F1210,Kostentypen!$A$3:$E$20,3,0))),"")</f>
        <v/>
      </c>
      <c r="O1210" s="324"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4"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3"/>
      <c r="R1210" s="363"/>
      <c r="S1210" s="325"/>
      <c r="T1210" s="325"/>
      <c r="U1210" s="317" t="str" cm="1">
        <f t="array" aca="1" ref="U1210" ca="1">IFERROR(IF(AA1210&lt;&gt;"ja",_xlfn.IFNA(_xlfn.IFS(AND(O1210&lt;&gt;"",F1210&lt;&gt;"",RIGHT($N1210,6)="tarief",F1210="Vergoeding"),SUM(O1210)*FLOOR(SUM(Q1210),0.0001),AND(O1210&lt;&gt;"",F1210&lt;&gt;"",RIGHT($N1210,6)="tarief"),SUM(O1210)*FLOOR(SUM(Q1210),0.01),S1210&gt;0,IF(F1210&lt;&gt;"",FLOOR(SUM(S1210),0.01),"")),""),""),"")</f>
        <v/>
      </c>
      <c r="V1210" s="317" t="str" cm="1">
        <f t="array" aca="1" ref="V1210" ca="1">IFERROR(IF(AA1210&lt;&gt;"ja",_xlfn.IFNA(_xlfn.IFS(AND(P1210&lt;&gt;"",R1210&lt;&gt;"",RIGHT($N1210,6)="tarief",F1210="Vergoeding"),SUM(P1210)*FLOOR(SUM(R1210),0.0001),AND(P1210&lt;&gt;"",R1210&lt;&gt;"",RIGHT($N1210,6)="tarief"),P1210*FLOOR(R1210,0.01),T1210&gt;0,FLOOR(SUM(T1210),0.01)),""),""),"")</f>
        <v/>
      </c>
      <c r="W1210" s="317" t="str" cm="1">
        <f t="array" aca="1" ref="W1210" ca="1">IFERROR(_xlfn.IFS(OR(F1210="",LEFT(Methode_Keuze,4)="Geen",Methode_Keuze=""),"",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17" t="str" cm="1">
        <f t="array" aca="1" ref="X1210" ca="1">IFERROR(_xlfn.IFS(OR(F1210="",LEFT(Methode_Keuze,4)="Geen",Methode_Keuze=""),"",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26"/>
      <c r="Z1210" s="319"/>
      <c r="AA1210" s="32" t="str" cm="1">
        <f t="array" ref="AA1210">IFERROR(IF(INDEX(SubsidieTabel!$AD$1:$AG$12,MATCH($F1210,SubsidieTabel!$AD$1:$AD$12,0),IFERROR(MATCH(Methode_Keuze,SubsidieTabel!$AD$1:$AG$1,0),2))&lt;&gt;1=TRUE,"ja",""),"")</f>
        <v/>
      </c>
    </row>
    <row r="1211" spans="1:27" x14ac:dyDescent="0.25">
      <c r="A1211" s="320"/>
      <c r="B1211" s="321" t="str">
        <f>IF(A1211&lt;&gt;"",_xlfn.MAXIFS($B$1:B1210,$A$1:A1210,A1211)+1,"")</f>
        <v/>
      </c>
      <c r="C1211" s="299"/>
      <c r="D1211" s="299"/>
      <c r="E1211" s="299"/>
      <c r="F1211" s="299"/>
      <c r="G1211" s="330"/>
      <c r="H1211" s="328"/>
      <c r="I1211" s="329"/>
      <c r="J1211" s="329"/>
      <c r="K1211" s="322"/>
      <c r="L1211" s="322"/>
      <c r="M1211" s="323" t="str">
        <f>IFERROR(VLOOKUP(H1211,Lijsten!$H$1:$I$100,2,0),"")</f>
        <v/>
      </c>
      <c r="N1211" s="323" t="str">
        <f ca="1">IFERROR(IF(VLOOKUP(F1211,Kostentypen!$A$3:$E$21,3,0)=0,"",IF(OR(F1211="Arbeidskosten",F1211="Vergoeding"),VLOOKUP(G1211,Tb_KostenTypen[],2,0),VLOOKUP(F1211,Kostentypen!$A$3:$E$20,3,0))),"")</f>
        <v/>
      </c>
      <c r="O1211" s="324"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4"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3"/>
      <c r="R1211" s="363"/>
      <c r="S1211" s="325"/>
      <c r="T1211" s="325"/>
      <c r="U1211" s="317" t="str" cm="1">
        <f t="array" aca="1" ref="U1211" ca="1">IFERROR(IF(AA1211&lt;&gt;"ja",_xlfn.IFNA(_xlfn.IFS(AND(O1211&lt;&gt;"",F1211&lt;&gt;"",RIGHT($N1211,6)="tarief",F1211="Vergoeding"),SUM(O1211)*FLOOR(SUM(Q1211),0.0001),AND(O1211&lt;&gt;"",F1211&lt;&gt;"",RIGHT($N1211,6)="tarief"),SUM(O1211)*FLOOR(SUM(Q1211),0.01),S1211&gt;0,IF(F1211&lt;&gt;"",FLOOR(SUM(S1211),0.01),"")),""),""),"")</f>
        <v/>
      </c>
      <c r="V1211" s="317" t="str" cm="1">
        <f t="array" aca="1" ref="V1211" ca="1">IFERROR(IF(AA1211&lt;&gt;"ja",_xlfn.IFNA(_xlfn.IFS(AND(P1211&lt;&gt;"",R1211&lt;&gt;"",RIGHT($N1211,6)="tarief",F1211="Vergoeding"),SUM(P1211)*FLOOR(SUM(R1211),0.0001),AND(P1211&lt;&gt;"",R1211&lt;&gt;"",RIGHT($N1211,6)="tarief"),P1211*FLOOR(R1211,0.01),T1211&gt;0,FLOOR(SUM(T1211),0.01)),""),""),"")</f>
        <v/>
      </c>
      <c r="W1211" s="317" t="str" cm="1">
        <f t="array" aca="1" ref="W1211" ca="1">IFERROR(_xlfn.IFS(OR(F1211="",LEFT(Methode_Keuze,4)="Geen",Methode_Keuze=""),"",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17" t="str" cm="1">
        <f t="array" aca="1" ref="X1211" ca="1">IFERROR(_xlfn.IFS(OR(F1211="",LEFT(Methode_Keuze,4)="Geen",Methode_Keuze=""),"",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26"/>
      <c r="Z1211" s="319"/>
      <c r="AA1211" s="32" t="str" cm="1">
        <f t="array" ref="AA1211">IFERROR(IF(INDEX(SubsidieTabel!$AD$1:$AG$12,MATCH($F1211,SubsidieTabel!$AD$1:$AD$12,0),IFERROR(MATCH(Methode_Keuze,SubsidieTabel!$AD$1:$AG$1,0),2))&lt;&gt;1=TRUE,"ja",""),"")</f>
        <v/>
      </c>
    </row>
    <row r="1212" spans="1:27" x14ac:dyDescent="0.25">
      <c r="A1212" s="320"/>
      <c r="B1212" s="321" t="str">
        <f>IF(A1212&lt;&gt;"",_xlfn.MAXIFS($B$1:B1211,$A$1:A1211,A1212)+1,"")</f>
        <v/>
      </c>
      <c r="C1212" s="299"/>
      <c r="D1212" s="299"/>
      <c r="E1212" s="299"/>
      <c r="F1212" s="299"/>
      <c r="G1212" s="330"/>
      <c r="H1212" s="328"/>
      <c r="I1212" s="329"/>
      <c r="J1212" s="329"/>
      <c r="K1212" s="322"/>
      <c r="L1212" s="322"/>
      <c r="M1212" s="323" t="str">
        <f>IFERROR(VLOOKUP(H1212,Lijsten!$H$1:$I$100,2,0),"")</f>
        <v/>
      </c>
      <c r="N1212" s="323" t="str">
        <f ca="1">IFERROR(IF(VLOOKUP(F1212,Kostentypen!$A$3:$E$21,3,0)=0,"",IF(OR(F1212="Arbeidskosten",F1212="Vergoeding"),VLOOKUP(G1212,Tb_KostenTypen[],2,0),VLOOKUP(F1212,Kostentypen!$A$3:$E$20,3,0))),"")</f>
        <v/>
      </c>
      <c r="O1212" s="324"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4"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3"/>
      <c r="R1212" s="363"/>
      <c r="S1212" s="325"/>
      <c r="T1212" s="325"/>
      <c r="U1212" s="317" t="str" cm="1">
        <f t="array" aca="1" ref="U1212" ca="1">IFERROR(IF(AA1212&lt;&gt;"ja",_xlfn.IFNA(_xlfn.IFS(AND(O1212&lt;&gt;"",F1212&lt;&gt;"",RIGHT($N1212,6)="tarief",F1212="Vergoeding"),SUM(O1212)*FLOOR(SUM(Q1212),0.0001),AND(O1212&lt;&gt;"",F1212&lt;&gt;"",RIGHT($N1212,6)="tarief"),SUM(O1212)*FLOOR(SUM(Q1212),0.01),S1212&gt;0,IF(F1212&lt;&gt;"",FLOOR(SUM(S1212),0.01),"")),""),""),"")</f>
        <v/>
      </c>
      <c r="V1212" s="317" t="str" cm="1">
        <f t="array" aca="1" ref="V1212" ca="1">IFERROR(IF(AA1212&lt;&gt;"ja",_xlfn.IFNA(_xlfn.IFS(AND(P1212&lt;&gt;"",R1212&lt;&gt;"",RIGHT($N1212,6)="tarief",F1212="Vergoeding"),SUM(P1212)*FLOOR(SUM(R1212),0.0001),AND(P1212&lt;&gt;"",R1212&lt;&gt;"",RIGHT($N1212,6)="tarief"),P1212*FLOOR(R1212,0.01),T1212&gt;0,FLOOR(SUM(T1212),0.01)),""),""),"")</f>
        <v/>
      </c>
      <c r="W1212" s="317" t="str" cm="1">
        <f t="array" aca="1" ref="W1212" ca="1">IFERROR(_xlfn.IFS(OR(F1212="",LEFT(Methode_Keuze,4)="Geen",Methode_Keuze=""),"",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17" t="str" cm="1">
        <f t="array" aca="1" ref="X1212" ca="1">IFERROR(_xlfn.IFS(OR(F1212="",LEFT(Methode_Keuze,4)="Geen",Methode_Keuze=""),"",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26"/>
      <c r="Z1212" s="319"/>
      <c r="AA1212" s="32" t="str" cm="1">
        <f t="array" ref="AA1212">IFERROR(IF(INDEX(SubsidieTabel!$AD$1:$AG$12,MATCH($F1212,SubsidieTabel!$AD$1:$AD$12,0),IFERROR(MATCH(Methode_Keuze,SubsidieTabel!$AD$1:$AG$1,0),2))&lt;&gt;1=TRUE,"ja",""),"")</f>
        <v/>
      </c>
    </row>
    <row r="1213" spans="1:27" x14ac:dyDescent="0.25">
      <c r="A1213" s="320"/>
      <c r="B1213" s="321" t="str">
        <f>IF(A1213&lt;&gt;"",_xlfn.MAXIFS($B$1:B1212,$A$1:A1212,A1213)+1,"")</f>
        <v/>
      </c>
      <c r="C1213" s="299"/>
      <c r="D1213" s="299"/>
      <c r="E1213" s="299"/>
      <c r="F1213" s="299"/>
      <c r="G1213" s="330"/>
      <c r="H1213" s="328"/>
      <c r="I1213" s="329"/>
      <c r="J1213" s="329"/>
      <c r="K1213" s="322"/>
      <c r="L1213" s="322"/>
      <c r="M1213" s="323" t="str">
        <f>IFERROR(VLOOKUP(H1213,Lijsten!$H$1:$I$100,2,0),"")</f>
        <v/>
      </c>
      <c r="N1213" s="323" t="str">
        <f ca="1">IFERROR(IF(VLOOKUP(F1213,Kostentypen!$A$3:$E$21,3,0)=0,"",IF(OR(F1213="Arbeidskosten",F1213="Vergoeding"),VLOOKUP(G1213,Tb_KostenTypen[],2,0),VLOOKUP(F1213,Kostentypen!$A$3:$E$20,3,0))),"")</f>
        <v/>
      </c>
      <c r="O1213" s="324"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4"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3"/>
      <c r="R1213" s="363"/>
      <c r="S1213" s="325"/>
      <c r="T1213" s="325"/>
      <c r="U1213" s="317" t="str" cm="1">
        <f t="array" aca="1" ref="U1213" ca="1">IFERROR(IF(AA1213&lt;&gt;"ja",_xlfn.IFNA(_xlfn.IFS(AND(O1213&lt;&gt;"",F1213&lt;&gt;"",RIGHT($N1213,6)="tarief",F1213="Vergoeding"),SUM(O1213)*FLOOR(SUM(Q1213),0.0001),AND(O1213&lt;&gt;"",F1213&lt;&gt;"",RIGHT($N1213,6)="tarief"),SUM(O1213)*FLOOR(SUM(Q1213),0.01),S1213&gt;0,IF(F1213&lt;&gt;"",FLOOR(SUM(S1213),0.01),"")),""),""),"")</f>
        <v/>
      </c>
      <c r="V1213" s="317" t="str" cm="1">
        <f t="array" aca="1" ref="V1213" ca="1">IFERROR(IF(AA1213&lt;&gt;"ja",_xlfn.IFNA(_xlfn.IFS(AND(P1213&lt;&gt;"",R1213&lt;&gt;"",RIGHT($N1213,6)="tarief",F1213="Vergoeding"),SUM(P1213)*FLOOR(SUM(R1213),0.0001),AND(P1213&lt;&gt;"",R1213&lt;&gt;"",RIGHT($N1213,6)="tarief"),P1213*FLOOR(R1213,0.01),T1213&gt;0,FLOOR(SUM(T1213),0.01)),""),""),"")</f>
        <v/>
      </c>
      <c r="W1213" s="317" t="str" cm="1">
        <f t="array" aca="1" ref="W1213" ca="1">IFERROR(_xlfn.IFS(OR(F1213="",LEFT(Methode_Keuze,4)="Geen",Methode_Keuze=""),"",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17" t="str" cm="1">
        <f t="array" aca="1" ref="X1213" ca="1">IFERROR(_xlfn.IFS(OR(F1213="",LEFT(Methode_Keuze,4)="Geen",Methode_Keuze=""),"",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26"/>
      <c r="Z1213" s="319"/>
      <c r="AA1213" s="32" t="str" cm="1">
        <f t="array" ref="AA1213">IFERROR(IF(INDEX(SubsidieTabel!$AD$1:$AG$12,MATCH($F1213,SubsidieTabel!$AD$1:$AD$12,0),IFERROR(MATCH(Methode_Keuze,SubsidieTabel!$AD$1:$AG$1,0),2))&lt;&gt;1=TRUE,"ja",""),"")</f>
        <v/>
      </c>
    </row>
    <row r="1214" spans="1:27" x14ac:dyDescent="0.25">
      <c r="A1214" s="320"/>
      <c r="B1214" s="321" t="str">
        <f>IF(A1214&lt;&gt;"",_xlfn.MAXIFS($B$1:B1213,$A$1:A1213,A1214)+1,"")</f>
        <v/>
      </c>
      <c r="C1214" s="299"/>
      <c r="D1214" s="299"/>
      <c r="E1214" s="299"/>
      <c r="F1214" s="299"/>
      <c r="G1214" s="330"/>
      <c r="H1214" s="328"/>
      <c r="I1214" s="329"/>
      <c r="J1214" s="329"/>
      <c r="K1214" s="322"/>
      <c r="L1214" s="322"/>
      <c r="M1214" s="323" t="str">
        <f>IFERROR(VLOOKUP(H1214,Lijsten!$H$1:$I$100,2,0),"")</f>
        <v/>
      </c>
      <c r="N1214" s="323" t="str">
        <f ca="1">IFERROR(IF(VLOOKUP(F1214,Kostentypen!$A$3:$E$21,3,0)=0,"",IF(OR(F1214="Arbeidskosten",F1214="Vergoeding"),VLOOKUP(G1214,Tb_KostenTypen[],2,0),VLOOKUP(F1214,Kostentypen!$A$3:$E$20,3,0))),"")</f>
        <v/>
      </c>
      <c r="O1214" s="324"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4"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3"/>
      <c r="R1214" s="363"/>
      <c r="S1214" s="325"/>
      <c r="T1214" s="325"/>
      <c r="U1214" s="317" t="str" cm="1">
        <f t="array" aca="1" ref="U1214" ca="1">IFERROR(IF(AA1214&lt;&gt;"ja",_xlfn.IFNA(_xlfn.IFS(AND(O1214&lt;&gt;"",F1214&lt;&gt;"",RIGHT($N1214,6)="tarief",F1214="Vergoeding"),SUM(O1214)*FLOOR(SUM(Q1214),0.0001),AND(O1214&lt;&gt;"",F1214&lt;&gt;"",RIGHT($N1214,6)="tarief"),SUM(O1214)*FLOOR(SUM(Q1214),0.01),S1214&gt;0,IF(F1214&lt;&gt;"",FLOOR(SUM(S1214),0.01),"")),""),""),"")</f>
        <v/>
      </c>
      <c r="V1214" s="317" t="str" cm="1">
        <f t="array" aca="1" ref="V1214" ca="1">IFERROR(IF(AA1214&lt;&gt;"ja",_xlfn.IFNA(_xlfn.IFS(AND(P1214&lt;&gt;"",R1214&lt;&gt;"",RIGHT($N1214,6)="tarief",F1214="Vergoeding"),SUM(P1214)*FLOOR(SUM(R1214),0.0001),AND(P1214&lt;&gt;"",R1214&lt;&gt;"",RIGHT($N1214,6)="tarief"),P1214*FLOOR(R1214,0.01),T1214&gt;0,FLOOR(SUM(T1214),0.01)),""),""),"")</f>
        <v/>
      </c>
      <c r="W1214" s="317" t="str" cm="1">
        <f t="array" aca="1" ref="W1214" ca="1">IFERROR(_xlfn.IFS(OR(F1214="",LEFT(Methode_Keuze,4)="Geen",Methode_Keuze=""),"",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17" t="str" cm="1">
        <f t="array" aca="1" ref="X1214" ca="1">IFERROR(_xlfn.IFS(OR(F1214="",LEFT(Methode_Keuze,4)="Geen",Methode_Keuze=""),"",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26"/>
      <c r="Z1214" s="319"/>
      <c r="AA1214" s="32" t="str" cm="1">
        <f t="array" ref="AA1214">IFERROR(IF(INDEX(SubsidieTabel!$AD$1:$AG$12,MATCH($F1214,SubsidieTabel!$AD$1:$AD$12,0),IFERROR(MATCH(Methode_Keuze,SubsidieTabel!$AD$1:$AG$1,0),2))&lt;&gt;1=TRUE,"ja",""),"")</f>
        <v/>
      </c>
    </row>
    <row r="1215" spans="1:27" x14ac:dyDescent="0.25">
      <c r="A1215" s="320"/>
      <c r="B1215" s="321" t="str">
        <f>IF(A1215&lt;&gt;"",_xlfn.MAXIFS($B$1:B1214,$A$1:A1214,A1215)+1,"")</f>
        <v/>
      </c>
      <c r="C1215" s="299"/>
      <c r="D1215" s="299"/>
      <c r="E1215" s="299"/>
      <c r="F1215" s="299"/>
      <c r="G1215" s="330"/>
      <c r="H1215" s="328"/>
      <c r="I1215" s="329"/>
      <c r="J1215" s="329"/>
      <c r="K1215" s="322"/>
      <c r="L1215" s="322"/>
      <c r="M1215" s="323" t="str">
        <f>IFERROR(VLOOKUP(H1215,Lijsten!$H$1:$I$100,2,0),"")</f>
        <v/>
      </c>
      <c r="N1215" s="323" t="str">
        <f ca="1">IFERROR(IF(VLOOKUP(F1215,Kostentypen!$A$3:$E$21,3,0)=0,"",IF(OR(F1215="Arbeidskosten",F1215="Vergoeding"),VLOOKUP(G1215,Tb_KostenTypen[],2,0),VLOOKUP(F1215,Kostentypen!$A$3:$E$20,3,0))),"")</f>
        <v/>
      </c>
      <c r="O1215" s="324"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4"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3"/>
      <c r="R1215" s="363"/>
      <c r="S1215" s="325"/>
      <c r="T1215" s="325"/>
      <c r="U1215" s="317" t="str" cm="1">
        <f t="array" aca="1" ref="U1215" ca="1">IFERROR(IF(AA1215&lt;&gt;"ja",_xlfn.IFNA(_xlfn.IFS(AND(O1215&lt;&gt;"",F1215&lt;&gt;"",RIGHT($N1215,6)="tarief",F1215="Vergoeding"),SUM(O1215)*FLOOR(SUM(Q1215),0.0001),AND(O1215&lt;&gt;"",F1215&lt;&gt;"",RIGHT($N1215,6)="tarief"),SUM(O1215)*FLOOR(SUM(Q1215),0.01),S1215&gt;0,IF(F1215&lt;&gt;"",FLOOR(SUM(S1215),0.01),"")),""),""),"")</f>
        <v/>
      </c>
      <c r="V1215" s="317" t="str" cm="1">
        <f t="array" aca="1" ref="V1215" ca="1">IFERROR(IF(AA1215&lt;&gt;"ja",_xlfn.IFNA(_xlfn.IFS(AND(P1215&lt;&gt;"",R1215&lt;&gt;"",RIGHT($N1215,6)="tarief",F1215="Vergoeding"),SUM(P1215)*FLOOR(SUM(R1215),0.0001),AND(P1215&lt;&gt;"",R1215&lt;&gt;"",RIGHT($N1215,6)="tarief"),P1215*FLOOR(R1215,0.01),T1215&gt;0,FLOOR(SUM(T1215),0.01)),""),""),"")</f>
        <v/>
      </c>
      <c r="W1215" s="317" t="str" cm="1">
        <f t="array" aca="1" ref="W1215" ca="1">IFERROR(_xlfn.IFS(OR(F1215="",LEFT(Methode_Keuze,4)="Geen",Methode_Keuze=""),"",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17" t="str" cm="1">
        <f t="array" aca="1" ref="X1215" ca="1">IFERROR(_xlfn.IFS(OR(F1215="",LEFT(Methode_Keuze,4)="Geen",Methode_Keuze=""),"",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26"/>
      <c r="Z1215" s="319"/>
      <c r="AA1215" s="32" t="str" cm="1">
        <f t="array" ref="AA1215">IFERROR(IF(INDEX(SubsidieTabel!$AD$1:$AG$12,MATCH($F1215,SubsidieTabel!$AD$1:$AD$12,0),IFERROR(MATCH(Methode_Keuze,SubsidieTabel!$AD$1:$AG$1,0),2))&lt;&gt;1=TRUE,"ja",""),"")</f>
        <v/>
      </c>
    </row>
    <row r="1216" spans="1:27" x14ac:dyDescent="0.25">
      <c r="A1216" s="320"/>
      <c r="B1216" s="321" t="str">
        <f>IF(A1216&lt;&gt;"",_xlfn.MAXIFS($B$1:B1215,$A$1:A1215,A1216)+1,"")</f>
        <v/>
      </c>
      <c r="C1216" s="299"/>
      <c r="D1216" s="299"/>
      <c r="E1216" s="299"/>
      <c r="F1216" s="299"/>
      <c r="G1216" s="330"/>
      <c r="H1216" s="328"/>
      <c r="I1216" s="329"/>
      <c r="J1216" s="329"/>
      <c r="K1216" s="322"/>
      <c r="L1216" s="322"/>
      <c r="M1216" s="323" t="str">
        <f>IFERROR(VLOOKUP(H1216,Lijsten!$H$1:$I$100,2,0),"")</f>
        <v/>
      </c>
      <c r="N1216" s="323" t="str">
        <f ca="1">IFERROR(IF(VLOOKUP(F1216,Kostentypen!$A$3:$E$21,3,0)=0,"",IF(OR(F1216="Arbeidskosten",F1216="Vergoeding"),VLOOKUP(G1216,Tb_KostenTypen[],2,0),VLOOKUP(F1216,Kostentypen!$A$3:$E$20,3,0))),"")</f>
        <v/>
      </c>
      <c r="O1216" s="324"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4"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3"/>
      <c r="R1216" s="363"/>
      <c r="S1216" s="325"/>
      <c r="T1216" s="325"/>
      <c r="U1216" s="317" t="str" cm="1">
        <f t="array" aca="1" ref="U1216" ca="1">IFERROR(IF(AA1216&lt;&gt;"ja",_xlfn.IFNA(_xlfn.IFS(AND(O1216&lt;&gt;"",F1216&lt;&gt;"",RIGHT($N1216,6)="tarief",F1216="Vergoeding"),SUM(O1216)*FLOOR(SUM(Q1216),0.0001),AND(O1216&lt;&gt;"",F1216&lt;&gt;"",RIGHT($N1216,6)="tarief"),SUM(O1216)*FLOOR(SUM(Q1216),0.01),S1216&gt;0,IF(F1216&lt;&gt;"",FLOOR(SUM(S1216),0.01),"")),""),""),"")</f>
        <v/>
      </c>
      <c r="V1216" s="317" t="str" cm="1">
        <f t="array" aca="1" ref="V1216" ca="1">IFERROR(IF(AA1216&lt;&gt;"ja",_xlfn.IFNA(_xlfn.IFS(AND(P1216&lt;&gt;"",R1216&lt;&gt;"",RIGHT($N1216,6)="tarief",F1216="Vergoeding"),SUM(P1216)*FLOOR(SUM(R1216),0.0001),AND(P1216&lt;&gt;"",R1216&lt;&gt;"",RIGHT($N1216,6)="tarief"),P1216*FLOOR(R1216,0.01),T1216&gt;0,FLOOR(SUM(T1216),0.01)),""),""),"")</f>
        <v/>
      </c>
      <c r="W1216" s="317" t="str" cm="1">
        <f t="array" aca="1" ref="W1216" ca="1">IFERROR(_xlfn.IFS(OR(F1216="",LEFT(Methode_Keuze,4)="Geen",Methode_Keuze=""),"",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17" t="str" cm="1">
        <f t="array" aca="1" ref="X1216" ca="1">IFERROR(_xlfn.IFS(OR(F1216="",LEFT(Methode_Keuze,4)="Geen",Methode_Keuze=""),"",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26"/>
      <c r="Z1216" s="319"/>
      <c r="AA1216" s="32" t="str" cm="1">
        <f t="array" ref="AA1216">IFERROR(IF(INDEX(SubsidieTabel!$AD$1:$AG$12,MATCH($F1216,SubsidieTabel!$AD$1:$AD$12,0),IFERROR(MATCH(Methode_Keuze,SubsidieTabel!$AD$1:$AG$1,0),2))&lt;&gt;1=TRUE,"ja",""),"")</f>
        <v/>
      </c>
    </row>
    <row r="1217" spans="1:27" x14ac:dyDescent="0.25">
      <c r="A1217" s="320"/>
      <c r="B1217" s="321" t="str">
        <f>IF(A1217&lt;&gt;"",_xlfn.MAXIFS($B$1:B1216,$A$1:A1216,A1217)+1,"")</f>
        <v/>
      </c>
      <c r="C1217" s="299"/>
      <c r="D1217" s="299"/>
      <c r="E1217" s="299"/>
      <c r="F1217" s="299"/>
      <c r="G1217" s="330"/>
      <c r="H1217" s="328"/>
      <c r="I1217" s="329"/>
      <c r="J1217" s="329"/>
      <c r="K1217" s="322"/>
      <c r="L1217" s="322"/>
      <c r="M1217" s="323" t="str">
        <f>IFERROR(VLOOKUP(H1217,Lijsten!$H$1:$I$100,2,0),"")</f>
        <v/>
      </c>
      <c r="N1217" s="323" t="str">
        <f ca="1">IFERROR(IF(VLOOKUP(F1217,Kostentypen!$A$3:$E$21,3,0)=0,"",IF(OR(F1217="Arbeidskosten",F1217="Vergoeding"),VLOOKUP(G1217,Tb_KostenTypen[],2,0),VLOOKUP(F1217,Kostentypen!$A$3:$E$20,3,0))),"")</f>
        <v/>
      </c>
      <c r="O1217" s="324"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4"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3"/>
      <c r="R1217" s="363"/>
      <c r="S1217" s="325"/>
      <c r="T1217" s="325"/>
      <c r="U1217" s="317" t="str" cm="1">
        <f t="array" aca="1" ref="U1217" ca="1">IFERROR(IF(AA1217&lt;&gt;"ja",_xlfn.IFNA(_xlfn.IFS(AND(O1217&lt;&gt;"",F1217&lt;&gt;"",RIGHT($N1217,6)="tarief",F1217="Vergoeding"),SUM(O1217)*FLOOR(SUM(Q1217),0.0001),AND(O1217&lt;&gt;"",F1217&lt;&gt;"",RIGHT($N1217,6)="tarief"),SUM(O1217)*FLOOR(SUM(Q1217),0.01),S1217&gt;0,IF(F1217&lt;&gt;"",FLOOR(SUM(S1217),0.01),"")),""),""),"")</f>
        <v/>
      </c>
      <c r="V1217" s="317" t="str" cm="1">
        <f t="array" aca="1" ref="V1217" ca="1">IFERROR(IF(AA1217&lt;&gt;"ja",_xlfn.IFNA(_xlfn.IFS(AND(P1217&lt;&gt;"",R1217&lt;&gt;"",RIGHT($N1217,6)="tarief",F1217="Vergoeding"),SUM(P1217)*FLOOR(SUM(R1217),0.0001),AND(P1217&lt;&gt;"",R1217&lt;&gt;"",RIGHT($N1217,6)="tarief"),P1217*FLOOR(R1217,0.01),T1217&gt;0,FLOOR(SUM(T1217),0.01)),""),""),"")</f>
        <v/>
      </c>
      <c r="W1217" s="317" t="str" cm="1">
        <f t="array" aca="1" ref="W1217" ca="1">IFERROR(_xlfn.IFS(OR(F1217="",LEFT(Methode_Keuze,4)="Geen",Methode_Keuze=""),"",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17" t="str" cm="1">
        <f t="array" aca="1" ref="X1217" ca="1">IFERROR(_xlfn.IFS(OR(F1217="",LEFT(Methode_Keuze,4)="Geen",Methode_Keuze=""),"",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26"/>
      <c r="Z1217" s="319"/>
      <c r="AA1217" s="32" t="str" cm="1">
        <f t="array" ref="AA1217">IFERROR(IF(INDEX(SubsidieTabel!$AD$1:$AG$12,MATCH($F1217,SubsidieTabel!$AD$1:$AD$12,0),IFERROR(MATCH(Methode_Keuze,SubsidieTabel!$AD$1:$AG$1,0),2))&lt;&gt;1=TRUE,"ja",""),"")</f>
        <v/>
      </c>
    </row>
    <row r="1218" spans="1:27" x14ac:dyDescent="0.25">
      <c r="A1218" s="320"/>
      <c r="B1218" s="321" t="str">
        <f>IF(A1218&lt;&gt;"",_xlfn.MAXIFS($B$1:B1217,$A$1:A1217,A1218)+1,"")</f>
        <v/>
      </c>
      <c r="C1218" s="299"/>
      <c r="D1218" s="299"/>
      <c r="E1218" s="299"/>
      <c r="F1218" s="299"/>
      <c r="G1218" s="330"/>
      <c r="H1218" s="328"/>
      <c r="I1218" s="329"/>
      <c r="J1218" s="329"/>
      <c r="K1218" s="322"/>
      <c r="L1218" s="322"/>
      <c r="M1218" s="323" t="str">
        <f>IFERROR(VLOOKUP(H1218,Lijsten!$H$1:$I$100,2,0),"")</f>
        <v/>
      </c>
      <c r="N1218" s="323" t="str">
        <f ca="1">IFERROR(IF(VLOOKUP(F1218,Kostentypen!$A$3:$E$21,3,0)=0,"",IF(OR(F1218="Arbeidskosten",F1218="Vergoeding"),VLOOKUP(G1218,Tb_KostenTypen[],2,0),VLOOKUP(F1218,Kostentypen!$A$3:$E$20,3,0))),"")</f>
        <v/>
      </c>
      <c r="O1218" s="324"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4"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3"/>
      <c r="R1218" s="363"/>
      <c r="S1218" s="325"/>
      <c r="T1218" s="325"/>
      <c r="U1218" s="317" t="str" cm="1">
        <f t="array" aca="1" ref="U1218" ca="1">IFERROR(IF(AA1218&lt;&gt;"ja",_xlfn.IFNA(_xlfn.IFS(AND(O1218&lt;&gt;"",F1218&lt;&gt;"",RIGHT($N1218,6)="tarief",F1218="Vergoeding"),SUM(O1218)*FLOOR(SUM(Q1218),0.0001),AND(O1218&lt;&gt;"",F1218&lt;&gt;"",RIGHT($N1218,6)="tarief"),SUM(O1218)*FLOOR(SUM(Q1218),0.01),S1218&gt;0,IF(F1218&lt;&gt;"",FLOOR(SUM(S1218),0.01),"")),""),""),"")</f>
        <v/>
      </c>
      <c r="V1218" s="317" t="str" cm="1">
        <f t="array" aca="1" ref="V1218" ca="1">IFERROR(IF(AA1218&lt;&gt;"ja",_xlfn.IFNA(_xlfn.IFS(AND(P1218&lt;&gt;"",R1218&lt;&gt;"",RIGHT($N1218,6)="tarief",F1218="Vergoeding"),SUM(P1218)*FLOOR(SUM(R1218),0.0001),AND(P1218&lt;&gt;"",R1218&lt;&gt;"",RIGHT($N1218,6)="tarief"),P1218*FLOOR(R1218,0.01),T1218&gt;0,FLOOR(SUM(T1218),0.01)),""),""),"")</f>
        <v/>
      </c>
      <c r="W1218" s="317" t="str" cm="1">
        <f t="array" aca="1" ref="W1218" ca="1">IFERROR(_xlfn.IFS(OR(F1218="",LEFT(Methode_Keuze,4)="Geen",Methode_Keuze=""),"",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17" t="str" cm="1">
        <f t="array" aca="1" ref="X1218" ca="1">IFERROR(_xlfn.IFS(OR(F1218="",LEFT(Methode_Keuze,4)="Geen",Methode_Keuze=""),"",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26"/>
      <c r="Z1218" s="319"/>
      <c r="AA1218" s="32" t="str" cm="1">
        <f t="array" ref="AA1218">IFERROR(IF(INDEX(SubsidieTabel!$AD$1:$AG$12,MATCH($F1218,SubsidieTabel!$AD$1:$AD$12,0),IFERROR(MATCH(Methode_Keuze,SubsidieTabel!$AD$1:$AG$1,0),2))&lt;&gt;1=TRUE,"ja",""),"")</f>
        <v/>
      </c>
    </row>
    <row r="1219" spans="1:27" x14ac:dyDescent="0.25">
      <c r="A1219" s="320"/>
      <c r="B1219" s="321" t="str">
        <f>IF(A1219&lt;&gt;"",_xlfn.MAXIFS($B$1:B1218,$A$1:A1218,A1219)+1,"")</f>
        <v/>
      </c>
      <c r="C1219" s="299"/>
      <c r="D1219" s="299"/>
      <c r="E1219" s="299"/>
      <c r="F1219" s="299"/>
      <c r="G1219" s="330"/>
      <c r="H1219" s="328"/>
      <c r="I1219" s="329"/>
      <c r="J1219" s="329"/>
      <c r="K1219" s="322"/>
      <c r="L1219" s="322"/>
      <c r="M1219" s="323" t="str">
        <f>IFERROR(VLOOKUP(H1219,Lijsten!$H$1:$I$100,2,0),"")</f>
        <v/>
      </c>
      <c r="N1219" s="323" t="str">
        <f ca="1">IFERROR(IF(VLOOKUP(F1219,Kostentypen!$A$3:$E$21,3,0)=0,"",IF(OR(F1219="Arbeidskosten",F1219="Vergoeding"),VLOOKUP(G1219,Tb_KostenTypen[],2,0),VLOOKUP(F1219,Kostentypen!$A$3:$E$20,3,0))),"")</f>
        <v/>
      </c>
      <c r="O1219" s="324"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4"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3"/>
      <c r="R1219" s="363"/>
      <c r="S1219" s="325"/>
      <c r="T1219" s="325"/>
      <c r="U1219" s="317" t="str" cm="1">
        <f t="array" aca="1" ref="U1219" ca="1">IFERROR(IF(AA1219&lt;&gt;"ja",_xlfn.IFNA(_xlfn.IFS(AND(O1219&lt;&gt;"",F1219&lt;&gt;"",RIGHT($N1219,6)="tarief",F1219="Vergoeding"),SUM(O1219)*FLOOR(SUM(Q1219),0.0001),AND(O1219&lt;&gt;"",F1219&lt;&gt;"",RIGHT($N1219,6)="tarief"),SUM(O1219)*FLOOR(SUM(Q1219),0.01),S1219&gt;0,IF(F1219&lt;&gt;"",FLOOR(SUM(S1219),0.01),"")),""),""),"")</f>
        <v/>
      </c>
      <c r="V1219" s="317" t="str" cm="1">
        <f t="array" aca="1" ref="V1219" ca="1">IFERROR(IF(AA1219&lt;&gt;"ja",_xlfn.IFNA(_xlfn.IFS(AND(P1219&lt;&gt;"",R1219&lt;&gt;"",RIGHT($N1219,6)="tarief",F1219="Vergoeding"),SUM(P1219)*FLOOR(SUM(R1219),0.0001),AND(P1219&lt;&gt;"",R1219&lt;&gt;"",RIGHT($N1219,6)="tarief"),P1219*FLOOR(R1219,0.01),T1219&gt;0,FLOOR(SUM(T1219),0.01)),""),""),"")</f>
        <v/>
      </c>
      <c r="W1219" s="317" t="str" cm="1">
        <f t="array" aca="1" ref="W1219" ca="1">IFERROR(_xlfn.IFS(OR(F1219="",LEFT(Methode_Keuze,4)="Geen",Methode_Keuze=""),"",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17" t="str" cm="1">
        <f t="array" aca="1" ref="X1219" ca="1">IFERROR(_xlfn.IFS(OR(F1219="",LEFT(Methode_Keuze,4)="Geen",Methode_Keuze=""),"",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26"/>
      <c r="Z1219" s="319"/>
      <c r="AA1219" s="32" t="str" cm="1">
        <f t="array" ref="AA1219">IFERROR(IF(INDEX(SubsidieTabel!$AD$1:$AG$12,MATCH($F1219,SubsidieTabel!$AD$1:$AD$12,0),IFERROR(MATCH(Methode_Keuze,SubsidieTabel!$AD$1:$AG$1,0),2))&lt;&gt;1=TRUE,"ja",""),"")</f>
        <v/>
      </c>
    </row>
    <row r="1220" spans="1:27" x14ac:dyDescent="0.25">
      <c r="A1220" s="320"/>
      <c r="B1220" s="321" t="str">
        <f>IF(A1220&lt;&gt;"",_xlfn.MAXIFS($B$1:B1219,$A$1:A1219,A1220)+1,"")</f>
        <v/>
      </c>
      <c r="C1220" s="299"/>
      <c r="D1220" s="299"/>
      <c r="E1220" s="299"/>
      <c r="F1220" s="299"/>
      <c r="G1220" s="330"/>
      <c r="H1220" s="328"/>
      <c r="I1220" s="329"/>
      <c r="J1220" s="329"/>
      <c r="K1220" s="322"/>
      <c r="L1220" s="322"/>
      <c r="M1220" s="323" t="str">
        <f>IFERROR(VLOOKUP(H1220,Lijsten!$H$1:$I$100,2,0),"")</f>
        <v/>
      </c>
      <c r="N1220" s="323" t="str">
        <f ca="1">IFERROR(IF(VLOOKUP(F1220,Kostentypen!$A$3:$E$21,3,0)=0,"",IF(OR(F1220="Arbeidskosten",F1220="Vergoeding"),VLOOKUP(G1220,Tb_KostenTypen[],2,0),VLOOKUP(F1220,Kostentypen!$A$3:$E$20,3,0))),"")</f>
        <v/>
      </c>
      <c r="O1220" s="324"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4"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3"/>
      <c r="R1220" s="363"/>
      <c r="S1220" s="325"/>
      <c r="T1220" s="325"/>
      <c r="U1220" s="317" t="str" cm="1">
        <f t="array" aca="1" ref="U1220" ca="1">IFERROR(IF(AA1220&lt;&gt;"ja",_xlfn.IFNA(_xlfn.IFS(AND(O1220&lt;&gt;"",F1220&lt;&gt;"",RIGHT($N1220,6)="tarief",F1220="Vergoeding"),SUM(O1220)*FLOOR(SUM(Q1220),0.0001),AND(O1220&lt;&gt;"",F1220&lt;&gt;"",RIGHT($N1220,6)="tarief"),SUM(O1220)*FLOOR(SUM(Q1220),0.01),S1220&gt;0,IF(F1220&lt;&gt;"",FLOOR(SUM(S1220),0.01),"")),""),""),"")</f>
        <v/>
      </c>
      <c r="V1220" s="317" t="str" cm="1">
        <f t="array" aca="1" ref="V1220" ca="1">IFERROR(IF(AA1220&lt;&gt;"ja",_xlfn.IFNA(_xlfn.IFS(AND(P1220&lt;&gt;"",R1220&lt;&gt;"",RIGHT($N1220,6)="tarief",F1220="Vergoeding"),SUM(P1220)*FLOOR(SUM(R1220),0.0001),AND(P1220&lt;&gt;"",R1220&lt;&gt;"",RIGHT($N1220,6)="tarief"),P1220*FLOOR(R1220,0.01),T1220&gt;0,FLOOR(SUM(T1220),0.01)),""),""),"")</f>
        <v/>
      </c>
      <c r="W1220" s="317" t="str" cm="1">
        <f t="array" aca="1" ref="W1220" ca="1">IFERROR(_xlfn.IFS(OR(F1220="",LEFT(Methode_Keuze,4)="Geen",Methode_Keuze=""),"",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17" t="str" cm="1">
        <f t="array" aca="1" ref="X1220" ca="1">IFERROR(_xlfn.IFS(OR(F1220="",LEFT(Methode_Keuze,4)="Geen",Methode_Keuze=""),"",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26"/>
      <c r="Z1220" s="319"/>
      <c r="AA1220" s="32" t="str" cm="1">
        <f t="array" ref="AA1220">IFERROR(IF(INDEX(SubsidieTabel!$AD$1:$AG$12,MATCH($F1220,SubsidieTabel!$AD$1:$AD$12,0),IFERROR(MATCH(Methode_Keuze,SubsidieTabel!$AD$1:$AG$1,0),2))&lt;&gt;1=TRUE,"ja",""),"")</f>
        <v/>
      </c>
    </row>
    <row r="1221" spans="1:27" x14ac:dyDescent="0.25">
      <c r="A1221" s="320"/>
      <c r="B1221" s="321" t="str">
        <f>IF(A1221&lt;&gt;"",_xlfn.MAXIFS($B$1:B1220,$A$1:A1220,A1221)+1,"")</f>
        <v/>
      </c>
      <c r="C1221" s="299"/>
      <c r="D1221" s="299"/>
      <c r="E1221" s="299"/>
      <c r="F1221" s="299"/>
      <c r="G1221" s="330"/>
      <c r="H1221" s="328"/>
      <c r="I1221" s="329"/>
      <c r="J1221" s="329"/>
      <c r="K1221" s="322"/>
      <c r="L1221" s="322"/>
      <c r="M1221" s="323" t="str">
        <f>IFERROR(VLOOKUP(H1221,Lijsten!$H$1:$I$100,2,0),"")</f>
        <v/>
      </c>
      <c r="N1221" s="323" t="str">
        <f ca="1">IFERROR(IF(VLOOKUP(F1221,Kostentypen!$A$3:$E$21,3,0)=0,"",IF(OR(F1221="Arbeidskosten",F1221="Vergoeding"),VLOOKUP(G1221,Tb_KostenTypen[],2,0),VLOOKUP(F1221,Kostentypen!$A$3:$E$20,3,0))),"")</f>
        <v/>
      </c>
      <c r="O1221" s="324"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4"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3"/>
      <c r="R1221" s="363"/>
      <c r="S1221" s="325"/>
      <c r="T1221" s="325"/>
      <c r="U1221" s="317" t="str" cm="1">
        <f t="array" aca="1" ref="U1221" ca="1">IFERROR(IF(AA1221&lt;&gt;"ja",_xlfn.IFNA(_xlfn.IFS(AND(O1221&lt;&gt;"",F1221&lt;&gt;"",RIGHT($N1221,6)="tarief",F1221="Vergoeding"),SUM(O1221)*FLOOR(SUM(Q1221),0.0001),AND(O1221&lt;&gt;"",F1221&lt;&gt;"",RIGHT($N1221,6)="tarief"),SUM(O1221)*FLOOR(SUM(Q1221),0.01),S1221&gt;0,IF(F1221&lt;&gt;"",FLOOR(SUM(S1221),0.01),"")),""),""),"")</f>
        <v/>
      </c>
      <c r="V1221" s="317" t="str" cm="1">
        <f t="array" aca="1" ref="V1221" ca="1">IFERROR(IF(AA1221&lt;&gt;"ja",_xlfn.IFNA(_xlfn.IFS(AND(P1221&lt;&gt;"",R1221&lt;&gt;"",RIGHT($N1221,6)="tarief",F1221="Vergoeding"),SUM(P1221)*FLOOR(SUM(R1221),0.0001),AND(P1221&lt;&gt;"",R1221&lt;&gt;"",RIGHT($N1221,6)="tarief"),P1221*FLOOR(R1221,0.01),T1221&gt;0,FLOOR(SUM(T1221),0.01)),""),""),"")</f>
        <v/>
      </c>
      <c r="W1221" s="317" t="str" cm="1">
        <f t="array" aca="1" ref="W1221" ca="1">IFERROR(_xlfn.IFS(OR(F1221="",LEFT(Methode_Keuze,4)="Geen",Methode_Keuze=""),"",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17" t="str" cm="1">
        <f t="array" aca="1" ref="X1221" ca="1">IFERROR(_xlfn.IFS(OR(F1221="",LEFT(Methode_Keuze,4)="Geen",Methode_Keuze=""),"",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26"/>
      <c r="Z1221" s="319"/>
      <c r="AA1221" s="32" t="str" cm="1">
        <f t="array" ref="AA1221">IFERROR(IF(INDEX(SubsidieTabel!$AD$1:$AG$12,MATCH($F1221,SubsidieTabel!$AD$1:$AD$12,0),IFERROR(MATCH(Methode_Keuze,SubsidieTabel!$AD$1:$AG$1,0),2))&lt;&gt;1=TRUE,"ja",""),"")</f>
        <v/>
      </c>
    </row>
    <row r="1222" spans="1:27" x14ac:dyDescent="0.25">
      <c r="A1222" s="320"/>
      <c r="B1222" s="321" t="str">
        <f>IF(A1222&lt;&gt;"",_xlfn.MAXIFS($B$1:B1221,$A$1:A1221,A1222)+1,"")</f>
        <v/>
      </c>
      <c r="C1222" s="299"/>
      <c r="D1222" s="299"/>
      <c r="E1222" s="299"/>
      <c r="F1222" s="299"/>
      <c r="G1222" s="330"/>
      <c r="H1222" s="328"/>
      <c r="I1222" s="329"/>
      <c r="J1222" s="329"/>
      <c r="K1222" s="322"/>
      <c r="L1222" s="322"/>
      <c r="M1222" s="323" t="str">
        <f>IFERROR(VLOOKUP(H1222,Lijsten!$H$1:$I$100,2,0),"")</f>
        <v/>
      </c>
      <c r="N1222" s="323" t="str">
        <f ca="1">IFERROR(IF(VLOOKUP(F1222,Kostentypen!$A$3:$E$21,3,0)=0,"",IF(OR(F1222="Arbeidskosten",F1222="Vergoeding"),VLOOKUP(G1222,Tb_KostenTypen[],2,0),VLOOKUP(F1222,Kostentypen!$A$3:$E$20,3,0))),"")</f>
        <v/>
      </c>
      <c r="O1222" s="324"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4"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3"/>
      <c r="R1222" s="363"/>
      <c r="S1222" s="325"/>
      <c r="T1222" s="325"/>
      <c r="U1222" s="317" t="str" cm="1">
        <f t="array" aca="1" ref="U1222" ca="1">IFERROR(IF(AA1222&lt;&gt;"ja",_xlfn.IFNA(_xlfn.IFS(AND(O1222&lt;&gt;"",F1222&lt;&gt;"",RIGHT($N1222,6)="tarief",F1222="Vergoeding"),SUM(O1222)*FLOOR(SUM(Q1222),0.0001),AND(O1222&lt;&gt;"",F1222&lt;&gt;"",RIGHT($N1222,6)="tarief"),SUM(O1222)*FLOOR(SUM(Q1222),0.01),S1222&gt;0,IF(F1222&lt;&gt;"",FLOOR(SUM(S1222),0.01),"")),""),""),"")</f>
        <v/>
      </c>
      <c r="V1222" s="317" t="str" cm="1">
        <f t="array" aca="1" ref="V1222" ca="1">IFERROR(IF(AA1222&lt;&gt;"ja",_xlfn.IFNA(_xlfn.IFS(AND(P1222&lt;&gt;"",R1222&lt;&gt;"",RIGHT($N1222,6)="tarief",F1222="Vergoeding"),SUM(P1222)*FLOOR(SUM(R1222),0.0001),AND(P1222&lt;&gt;"",R1222&lt;&gt;"",RIGHT($N1222,6)="tarief"),P1222*FLOOR(R1222,0.01),T1222&gt;0,FLOOR(SUM(T1222),0.01)),""),""),"")</f>
        <v/>
      </c>
      <c r="W1222" s="317" t="str" cm="1">
        <f t="array" aca="1" ref="W1222" ca="1">IFERROR(_xlfn.IFS(OR(F1222="",LEFT(Methode_Keuze,4)="Geen",Methode_Keuze=""),"",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17" t="str" cm="1">
        <f t="array" aca="1" ref="X1222" ca="1">IFERROR(_xlfn.IFS(OR(F1222="",LEFT(Methode_Keuze,4)="Geen",Methode_Keuze=""),"",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26"/>
      <c r="Z1222" s="319"/>
      <c r="AA1222" s="32" t="str" cm="1">
        <f t="array" ref="AA1222">IFERROR(IF(INDEX(SubsidieTabel!$AD$1:$AG$12,MATCH($F1222,SubsidieTabel!$AD$1:$AD$12,0),IFERROR(MATCH(Methode_Keuze,SubsidieTabel!$AD$1:$AG$1,0),2))&lt;&gt;1=TRUE,"ja",""),"")</f>
        <v/>
      </c>
    </row>
    <row r="1223" spans="1:27" x14ac:dyDescent="0.25">
      <c r="A1223" s="320"/>
      <c r="B1223" s="321" t="str">
        <f>IF(A1223&lt;&gt;"",_xlfn.MAXIFS($B$1:B1222,$A$1:A1222,A1223)+1,"")</f>
        <v/>
      </c>
      <c r="C1223" s="299"/>
      <c r="D1223" s="299"/>
      <c r="E1223" s="299"/>
      <c r="F1223" s="299"/>
      <c r="G1223" s="330"/>
      <c r="H1223" s="328"/>
      <c r="I1223" s="329"/>
      <c r="J1223" s="329"/>
      <c r="K1223" s="322"/>
      <c r="L1223" s="322"/>
      <c r="M1223" s="323" t="str">
        <f>IFERROR(VLOOKUP(H1223,Lijsten!$H$1:$I$100,2,0),"")</f>
        <v/>
      </c>
      <c r="N1223" s="323" t="str">
        <f ca="1">IFERROR(IF(VLOOKUP(F1223,Kostentypen!$A$3:$E$21,3,0)=0,"",IF(OR(F1223="Arbeidskosten",F1223="Vergoeding"),VLOOKUP(G1223,Tb_KostenTypen[],2,0),VLOOKUP(F1223,Kostentypen!$A$3:$E$20,3,0))),"")</f>
        <v/>
      </c>
      <c r="O1223" s="324"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4"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3"/>
      <c r="R1223" s="363"/>
      <c r="S1223" s="325"/>
      <c r="T1223" s="325"/>
      <c r="U1223" s="317" t="str" cm="1">
        <f t="array" aca="1" ref="U1223" ca="1">IFERROR(IF(AA1223&lt;&gt;"ja",_xlfn.IFNA(_xlfn.IFS(AND(O1223&lt;&gt;"",F1223&lt;&gt;"",RIGHT($N1223,6)="tarief",F1223="Vergoeding"),SUM(O1223)*FLOOR(SUM(Q1223),0.0001),AND(O1223&lt;&gt;"",F1223&lt;&gt;"",RIGHT($N1223,6)="tarief"),SUM(O1223)*FLOOR(SUM(Q1223),0.01),S1223&gt;0,IF(F1223&lt;&gt;"",FLOOR(SUM(S1223),0.01),"")),""),""),"")</f>
        <v/>
      </c>
      <c r="V1223" s="317" t="str" cm="1">
        <f t="array" aca="1" ref="V1223" ca="1">IFERROR(IF(AA1223&lt;&gt;"ja",_xlfn.IFNA(_xlfn.IFS(AND(P1223&lt;&gt;"",R1223&lt;&gt;"",RIGHT($N1223,6)="tarief",F1223="Vergoeding"),SUM(P1223)*FLOOR(SUM(R1223),0.0001),AND(P1223&lt;&gt;"",R1223&lt;&gt;"",RIGHT($N1223,6)="tarief"),P1223*FLOOR(R1223,0.01),T1223&gt;0,FLOOR(SUM(T1223),0.01)),""),""),"")</f>
        <v/>
      </c>
      <c r="W1223" s="317" t="str" cm="1">
        <f t="array" aca="1" ref="W1223" ca="1">IFERROR(_xlfn.IFS(OR(F1223="",LEFT(Methode_Keuze,4)="Geen",Methode_Keuze=""),"",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17" t="str" cm="1">
        <f t="array" aca="1" ref="X1223" ca="1">IFERROR(_xlfn.IFS(OR(F1223="",LEFT(Methode_Keuze,4)="Geen",Methode_Keuze=""),"",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26"/>
      <c r="Z1223" s="319"/>
      <c r="AA1223" s="32" t="str" cm="1">
        <f t="array" ref="AA1223">IFERROR(IF(INDEX(SubsidieTabel!$AD$1:$AG$12,MATCH($F1223,SubsidieTabel!$AD$1:$AD$12,0),IFERROR(MATCH(Methode_Keuze,SubsidieTabel!$AD$1:$AG$1,0),2))&lt;&gt;1=TRUE,"ja",""),"")</f>
        <v/>
      </c>
    </row>
    <row r="1224" spans="1:27" x14ac:dyDescent="0.25">
      <c r="A1224" s="320"/>
      <c r="B1224" s="321" t="str">
        <f>IF(A1224&lt;&gt;"",_xlfn.MAXIFS($B$1:B1223,$A$1:A1223,A1224)+1,"")</f>
        <v/>
      </c>
      <c r="C1224" s="299"/>
      <c r="D1224" s="299"/>
      <c r="E1224" s="299"/>
      <c r="F1224" s="299"/>
      <c r="G1224" s="330"/>
      <c r="H1224" s="328"/>
      <c r="I1224" s="329"/>
      <c r="J1224" s="329"/>
      <c r="K1224" s="322"/>
      <c r="L1224" s="322"/>
      <c r="M1224" s="323" t="str">
        <f>IFERROR(VLOOKUP(H1224,Lijsten!$H$1:$I$100,2,0),"")</f>
        <v/>
      </c>
      <c r="N1224" s="323" t="str">
        <f ca="1">IFERROR(IF(VLOOKUP(F1224,Kostentypen!$A$3:$E$21,3,0)=0,"",IF(OR(F1224="Arbeidskosten",F1224="Vergoeding"),VLOOKUP(G1224,Tb_KostenTypen[],2,0),VLOOKUP(F1224,Kostentypen!$A$3:$E$20,3,0))),"")</f>
        <v/>
      </c>
      <c r="O1224" s="324"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4"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3"/>
      <c r="R1224" s="363"/>
      <c r="S1224" s="325"/>
      <c r="T1224" s="325"/>
      <c r="U1224" s="317" t="str" cm="1">
        <f t="array" aca="1" ref="U1224" ca="1">IFERROR(IF(AA1224&lt;&gt;"ja",_xlfn.IFNA(_xlfn.IFS(AND(O1224&lt;&gt;"",F1224&lt;&gt;"",RIGHT($N1224,6)="tarief",F1224="Vergoeding"),SUM(O1224)*FLOOR(SUM(Q1224),0.0001),AND(O1224&lt;&gt;"",F1224&lt;&gt;"",RIGHT($N1224,6)="tarief"),SUM(O1224)*FLOOR(SUM(Q1224),0.01),S1224&gt;0,IF(F1224&lt;&gt;"",FLOOR(SUM(S1224),0.01),"")),""),""),"")</f>
        <v/>
      </c>
      <c r="V1224" s="317" t="str" cm="1">
        <f t="array" aca="1" ref="V1224" ca="1">IFERROR(IF(AA1224&lt;&gt;"ja",_xlfn.IFNA(_xlfn.IFS(AND(P1224&lt;&gt;"",R1224&lt;&gt;"",RIGHT($N1224,6)="tarief",F1224="Vergoeding"),SUM(P1224)*FLOOR(SUM(R1224),0.0001),AND(P1224&lt;&gt;"",R1224&lt;&gt;"",RIGHT($N1224,6)="tarief"),P1224*FLOOR(R1224,0.01),T1224&gt;0,FLOOR(SUM(T1224),0.01)),""),""),"")</f>
        <v/>
      </c>
      <c r="W1224" s="317" t="str" cm="1">
        <f t="array" aca="1" ref="W1224" ca="1">IFERROR(_xlfn.IFS(OR(F1224="",LEFT(Methode_Keuze,4)="Geen",Methode_Keuze=""),"",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17" t="str" cm="1">
        <f t="array" aca="1" ref="X1224" ca="1">IFERROR(_xlfn.IFS(OR(F1224="",LEFT(Methode_Keuze,4)="Geen",Methode_Keuze=""),"",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26"/>
      <c r="Z1224" s="319"/>
      <c r="AA1224" s="32" t="str" cm="1">
        <f t="array" ref="AA1224">IFERROR(IF(INDEX(SubsidieTabel!$AD$1:$AG$12,MATCH($F1224,SubsidieTabel!$AD$1:$AD$12,0),IFERROR(MATCH(Methode_Keuze,SubsidieTabel!$AD$1:$AG$1,0),2))&lt;&gt;1=TRUE,"ja",""),"")</f>
        <v/>
      </c>
    </row>
    <row r="1225" spans="1:27" x14ac:dyDescent="0.25">
      <c r="A1225" s="320"/>
      <c r="B1225" s="321" t="str">
        <f>IF(A1225&lt;&gt;"",_xlfn.MAXIFS($B$1:B1224,$A$1:A1224,A1225)+1,"")</f>
        <v/>
      </c>
      <c r="C1225" s="299"/>
      <c r="D1225" s="299"/>
      <c r="E1225" s="299"/>
      <c r="F1225" s="299"/>
      <c r="G1225" s="330"/>
      <c r="H1225" s="328"/>
      <c r="I1225" s="329"/>
      <c r="J1225" s="329"/>
      <c r="K1225" s="322"/>
      <c r="L1225" s="322"/>
      <c r="M1225" s="323" t="str">
        <f>IFERROR(VLOOKUP(H1225,Lijsten!$H$1:$I$100,2,0),"")</f>
        <v/>
      </c>
      <c r="N1225" s="323" t="str">
        <f ca="1">IFERROR(IF(VLOOKUP(F1225,Kostentypen!$A$3:$E$21,3,0)=0,"",IF(OR(F1225="Arbeidskosten",F1225="Vergoeding"),VLOOKUP(G1225,Tb_KostenTypen[],2,0),VLOOKUP(F1225,Kostentypen!$A$3:$E$20,3,0))),"")</f>
        <v/>
      </c>
      <c r="O1225" s="324"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4"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3"/>
      <c r="R1225" s="363"/>
      <c r="S1225" s="325"/>
      <c r="T1225" s="325"/>
      <c r="U1225" s="317" t="str" cm="1">
        <f t="array" aca="1" ref="U1225" ca="1">IFERROR(IF(AA1225&lt;&gt;"ja",_xlfn.IFNA(_xlfn.IFS(AND(O1225&lt;&gt;"",F1225&lt;&gt;"",RIGHT($N1225,6)="tarief",F1225="Vergoeding"),SUM(O1225)*FLOOR(SUM(Q1225),0.0001),AND(O1225&lt;&gt;"",F1225&lt;&gt;"",RIGHT($N1225,6)="tarief"),SUM(O1225)*FLOOR(SUM(Q1225),0.01),S1225&gt;0,IF(F1225&lt;&gt;"",FLOOR(SUM(S1225),0.01),"")),""),""),"")</f>
        <v/>
      </c>
      <c r="V1225" s="317" t="str" cm="1">
        <f t="array" aca="1" ref="V1225" ca="1">IFERROR(IF(AA1225&lt;&gt;"ja",_xlfn.IFNA(_xlfn.IFS(AND(P1225&lt;&gt;"",R1225&lt;&gt;"",RIGHT($N1225,6)="tarief",F1225="Vergoeding"),SUM(P1225)*FLOOR(SUM(R1225),0.0001),AND(P1225&lt;&gt;"",R1225&lt;&gt;"",RIGHT($N1225,6)="tarief"),P1225*FLOOR(R1225,0.01),T1225&gt;0,FLOOR(SUM(T1225),0.01)),""),""),"")</f>
        <v/>
      </c>
      <c r="W1225" s="317" t="str" cm="1">
        <f t="array" aca="1" ref="W1225" ca="1">IFERROR(_xlfn.IFS(OR(F1225="",LEFT(Methode_Keuze,4)="Geen",Methode_Keuze=""),"",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17" t="str" cm="1">
        <f t="array" aca="1" ref="X1225" ca="1">IFERROR(_xlfn.IFS(OR(F1225="",LEFT(Methode_Keuze,4)="Geen",Methode_Keuze=""),"",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26"/>
      <c r="Z1225" s="319"/>
      <c r="AA1225" s="32" t="str" cm="1">
        <f t="array" ref="AA1225">IFERROR(IF(INDEX(SubsidieTabel!$AD$1:$AG$12,MATCH($F1225,SubsidieTabel!$AD$1:$AD$12,0),IFERROR(MATCH(Methode_Keuze,SubsidieTabel!$AD$1:$AG$1,0),2))&lt;&gt;1=TRUE,"ja",""),"")</f>
        <v/>
      </c>
    </row>
    <row r="1226" spans="1:27" x14ac:dyDescent="0.25">
      <c r="A1226" s="320"/>
      <c r="B1226" s="321" t="str">
        <f>IF(A1226&lt;&gt;"",_xlfn.MAXIFS($B$1:B1225,$A$1:A1225,A1226)+1,"")</f>
        <v/>
      </c>
      <c r="C1226" s="299"/>
      <c r="D1226" s="299"/>
      <c r="E1226" s="299"/>
      <c r="F1226" s="299"/>
      <c r="G1226" s="330"/>
      <c r="H1226" s="328"/>
      <c r="I1226" s="329"/>
      <c r="J1226" s="329"/>
      <c r="K1226" s="322"/>
      <c r="L1226" s="322"/>
      <c r="M1226" s="323" t="str">
        <f>IFERROR(VLOOKUP(H1226,Lijsten!$H$1:$I$100,2,0),"")</f>
        <v/>
      </c>
      <c r="N1226" s="323" t="str">
        <f ca="1">IFERROR(IF(VLOOKUP(F1226,Kostentypen!$A$3:$E$21,3,0)=0,"",IF(OR(F1226="Arbeidskosten",F1226="Vergoeding"),VLOOKUP(G1226,Tb_KostenTypen[],2,0),VLOOKUP(F1226,Kostentypen!$A$3:$E$20,3,0))),"")</f>
        <v/>
      </c>
      <c r="O1226" s="324"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4"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3"/>
      <c r="R1226" s="363"/>
      <c r="S1226" s="325"/>
      <c r="T1226" s="325"/>
      <c r="U1226" s="317" t="str" cm="1">
        <f t="array" aca="1" ref="U1226" ca="1">IFERROR(IF(AA1226&lt;&gt;"ja",_xlfn.IFNA(_xlfn.IFS(AND(O1226&lt;&gt;"",F1226&lt;&gt;"",RIGHT($N1226,6)="tarief",F1226="Vergoeding"),SUM(O1226)*FLOOR(SUM(Q1226),0.0001),AND(O1226&lt;&gt;"",F1226&lt;&gt;"",RIGHT($N1226,6)="tarief"),SUM(O1226)*FLOOR(SUM(Q1226),0.01),S1226&gt;0,IF(F1226&lt;&gt;"",FLOOR(SUM(S1226),0.01),"")),""),""),"")</f>
        <v/>
      </c>
      <c r="V1226" s="317" t="str" cm="1">
        <f t="array" aca="1" ref="V1226" ca="1">IFERROR(IF(AA1226&lt;&gt;"ja",_xlfn.IFNA(_xlfn.IFS(AND(P1226&lt;&gt;"",R1226&lt;&gt;"",RIGHT($N1226,6)="tarief",F1226="Vergoeding"),SUM(P1226)*FLOOR(SUM(R1226),0.0001),AND(P1226&lt;&gt;"",R1226&lt;&gt;"",RIGHT($N1226,6)="tarief"),P1226*FLOOR(R1226,0.01),T1226&gt;0,FLOOR(SUM(T1226),0.01)),""),""),"")</f>
        <v/>
      </c>
      <c r="W1226" s="317" t="str" cm="1">
        <f t="array" aca="1" ref="W1226" ca="1">IFERROR(_xlfn.IFS(OR(F1226="",LEFT(Methode_Keuze,4)="Geen",Methode_Keuze=""),"",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17" t="str" cm="1">
        <f t="array" aca="1" ref="X1226" ca="1">IFERROR(_xlfn.IFS(OR(F1226="",LEFT(Methode_Keuze,4)="Geen",Methode_Keuze=""),"",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26"/>
      <c r="Z1226" s="319"/>
      <c r="AA1226" s="32" t="str" cm="1">
        <f t="array" ref="AA1226">IFERROR(IF(INDEX(SubsidieTabel!$AD$1:$AG$12,MATCH($F1226,SubsidieTabel!$AD$1:$AD$12,0),IFERROR(MATCH(Methode_Keuze,SubsidieTabel!$AD$1:$AG$1,0),2))&lt;&gt;1=TRUE,"ja",""),"")</f>
        <v/>
      </c>
    </row>
    <row r="1227" spans="1:27" x14ac:dyDescent="0.25">
      <c r="A1227" s="320"/>
      <c r="B1227" s="321" t="str">
        <f>IF(A1227&lt;&gt;"",_xlfn.MAXIFS($B$1:B1226,$A$1:A1226,A1227)+1,"")</f>
        <v/>
      </c>
      <c r="C1227" s="299"/>
      <c r="D1227" s="299"/>
      <c r="E1227" s="299"/>
      <c r="F1227" s="299"/>
      <c r="G1227" s="330"/>
      <c r="H1227" s="328"/>
      <c r="I1227" s="329"/>
      <c r="J1227" s="329"/>
      <c r="K1227" s="322"/>
      <c r="L1227" s="322"/>
      <c r="M1227" s="323" t="str">
        <f>IFERROR(VLOOKUP(H1227,Lijsten!$H$1:$I$100,2,0),"")</f>
        <v/>
      </c>
      <c r="N1227" s="323" t="str">
        <f ca="1">IFERROR(IF(VLOOKUP(F1227,Kostentypen!$A$3:$E$21,3,0)=0,"",IF(OR(F1227="Arbeidskosten",F1227="Vergoeding"),VLOOKUP(G1227,Tb_KostenTypen[],2,0),VLOOKUP(F1227,Kostentypen!$A$3:$E$20,3,0))),"")</f>
        <v/>
      </c>
      <c r="O1227" s="324"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4"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3"/>
      <c r="R1227" s="363"/>
      <c r="S1227" s="325"/>
      <c r="T1227" s="325"/>
      <c r="U1227" s="317" t="str" cm="1">
        <f t="array" aca="1" ref="U1227" ca="1">IFERROR(IF(AA1227&lt;&gt;"ja",_xlfn.IFNA(_xlfn.IFS(AND(O1227&lt;&gt;"",F1227&lt;&gt;"",RIGHT($N1227,6)="tarief",F1227="Vergoeding"),SUM(O1227)*FLOOR(SUM(Q1227),0.0001),AND(O1227&lt;&gt;"",F1227&lt;&gt;"",RIGHT($N1227,6)="tarief"),SUM(O1227)*FLOOR(SUM(Q1227),0.01),S1227&gt;0,IF(F1227&lt;&gt;"",FLOOR(SUM(S1227),0.01),"")),""),""),"")</f>
        <v/>
      </c>
      <c r="V1227" s="317" t="str" cm="1">
        <f t="array" aca="1" ref="V1227" ca="1">IFERROR(IF(AA1227&lt;&gt;"ja",_xlfn.IFNA(_xlfn.IFS(AND(P1227&lt;&gt;"",R1227&lt;&gt;"",RIGHT($N1227,6)="tarief",F1227="Vergoeding"),SUM(P1227)*FLOOR(SUM(R1227),0.0001),AND(P1227&lt;&gt;"",R1227&lt;&gt;"",RIGHT($N1227,6)="tarief"),P1227*FLOOR(R1227,0.01),T1227&gt;0,FLOOR(SUM(T1227),0.01)),""),""),"")</f>
        <v/>
      </c>
      <c r="W1227" s="317" t="str" cm="1">
        <f t="array" aca="1" ref="W1227" ca="1">IFERROR(_xlfn.IFS(OR(F1227="",LEFT(Methode_Keuze,4)="Geen",Methode_Keuze=""),"",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17" t="str" cm="1">
        <f t="array" aca="1" ref="X1227" ca="1">IFERROR(_xlfn.IFS(OR(F1227="",LEFT(Methode_Keuze,4)="Geen",Methode_Keuze=""),"",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26"/>
      <c r="Z1227" s="319"/>
      <c r="AA1227" s="32" t="str" cm="1">
        <f t="array" ref="AA1227">IFERROR(IF(INDEX(SubsidieTabel!$AD$1:$AG$12,MATCH($F1227,SubsidieTabel!$AD$1:$AD$12,0),IFERROR(MATCH(Methode_Keuze,SubsidieTabel!$AD$1:$AG$1,0),2))&lt;&gt;1=TRUE,"ja",""),"")</f>
        <v/>
      </c>
    </row>
    <row r="1228" spans="1:27" x14ac:dyDescent="0.25">
      <c r="A1228" s="320"/>
      <c r="B1228" s="321" t="str">
        <f>IF(A1228&lt;&gt;"",_xlfn.MAXIFS($B$1:B1227,$A$1:A1227,A1228)+1,"")</f>
        <v/>
      </c>
      <c r="C1228" s="299"/>
      <c r="D1228" s="299"/>
      <c r="E1228" s="299"/>
      <c r="F1228" s="299"/>
      <c r="G1228" s="330"/>
      <c r="H1228" s="328"/>
      <c r="I1228" s="329"/>
      <c r="J1228" s="329"/>
      <c r="K1228" s="322"/>
      <c r="L1228" s="322"/>
      <c r="M1228" s="323" t="str">
        <f>IFERROR(VLOOKUP(H1228,Lijsten!$H$1:$I$100,2,0),"")</f>
        <v/>
      </c>
      <c r="N1228" s="323" t="str">
        <f ca="1">IFERROR(IF(VLOOKUP(F1228,Kostentypen!$A$3:$E$21,3,0)=0,"",IF(OR(F1228="Arbeidskosten",F1228="Vergoeding"),VLOOKUP(G1228,Tb_KostenTypen[],2,0),VLOOKUP(F1228,Kostentypen!$A$3:$E$20,3,0))),"")</f>
        <v/>
      </c>
      <c r="O1228" s="324"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4"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3"/>
      <c r="R1228" s="363"/>
      <c r="S1228" s="325"/>
      <c r="T1228" s="325"/>
      <c r="U1228" s="317" t="str" cm="1">
        <f t="array" aca="1" ref="U1228" ca="1">IFERROR(IF(AA1228&lt;&gt;"ja",_xlfn.IFNA(_xlfn.IFS(AND(O1228&lt;&gt;"",F1228&lt;&gt;"",RIGHT($N1228,6)="tarief",F1228="Vergoeding"),SUM(O1228)*FLOOR(SUM(Q1228),0.0001),AND(O1228&lt;&gt;"",F1228&lt;&gt;"",RIGHT($N1228,6)="tarief"),SUM(O1228)*FLOOR(SUM(Q1228),0.01),S1228&gt;0,IF(F1228&lt;&gt;"",FLOOR(SUM(S1228),0.01),"")),""),""),"")</f>
        <v/>
      </c>
      <c r="V1228" s="317" t="str" cm="1">
        <f t="array" aca="1" ref="V1228" ca="1">IFERROR(IF(AA1228&lt;&gt;"ja",_xlfn.IFNA(_xlfn.IFS(AND(P1228&lt;&gt;"",R1228&lt;&gt;"",RIGHT($N1228,6)="tarief",F1228="Vergoeding"),SUM(P1228)*FLOOR(SUM(R1228),0.0001),AND(P1228&lt;&gt;"",R1228&lt;&gt;"",RIGHT($N1228,6)="tarief"),P1228*FLOOR(R1228,0.01),T1228&gt;0,FLOOR(SUM(T1228),0.01)),""),""),"")</f>
        <v/>
      </c>
      <c r="W1228" s="317" t="str" cm="1">
        <f t="array" aca="1" ref="W1228" ca="1">IFERROR(_xlfn.IFS(OR(F1228="",LEFT(Methode_Keuze,4)="Geen",Methode_Keuze=""),"",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17" t="str" cm="1">
        <f t="array" aca="1" ref="X1228" ca="1">IFERROR(_xlfn.IFS(OR(F1228="",LEFT(Methode_Keuze,4)="Geen",Methode_Keuze=""),"",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26"/>
      <c r="Z1228" s="319"/>
      <c r="AA1228" s="32" t="str" cm="1">
        <f t="array" ref="AA1228">IFERROR(IF(INDEX(SubsidieTabel!$AD$1:$AG$12,MATCH($F1228,SubsidieTabel!$AD$1:$AD$12,0),IFERROR(MATCH(Methode_Keuze,SubsidieTabel!$AD$1:$AG$1,0),2))&lt;&gt;1=TRUE,"ja",""),"")</f>
        <v/>
      </c>
    </row>
    <row r="1229" spans="1:27" x14ac:dyDescent="0.25">
      <c r="A1229" s="320"/>
      <c r="B1229" s="321" t="str">
        <f>IF(A1229&lt;&gt;"",_xlfn.MAXIFS($B$1:B1228,$A$1:A1228,A1229)+1,"")</f>
        <v/>
      </c>
      <c r="C1229" s="299"/>
      <c r="D1229" s="299"/>
      <c r="E1229" s="299"/>
      <c r="F1229" s="299"/>
      <c r="G1229" s="330"/>
      <c r="H1229" s="328"/>
      <c r="I1229" s="329"/>
      <c r="J1229" s="329"/>
      <c r="K1229" s="322"/>
      <c r="L1229" s="322"/>
      <c r="M1229" s="323" t="str">
        <f>IFERROR(VLOOKUP(H1229,Lijsten!$H$1:$I$100,2,0),"")</f>
        <v/>
      </c>
      <c r="N1229" s="323" t="str">
        <f ca="1">IFERROR(IF(VLOOKUP(F1229,Kostentypen!$A$3:$E$21,3,0)=0,"",IF(OR(F1229="Arbeidskosten",F1229="Vergoeding"),VLOOKUP(G1229,Tb_KostenTypen[],2,0),VLOOKUP(F1229,Kostentypen!$A$3:$E$20,3,0))),"")</f>
        <v/>
      </c>
      <c r="O1229" s="324"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4"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3"/>
      <c r="R1229" s="363"/>
      <c r="S1229" s="325"/>
      <c r="T1229" s="325"/>
      <c r="U1229" s="317" t="str" cm="1">
        <f t="array" aca="1" ref="U1229" ca="1">IFERROR(IF(AA1229&lt;&gt;"ja",_xlfn.IFNA(_xlfn.IFS(AND(O1229&lt;&gt;"",F1229&lt;&gt;"",RIGHT($N1229,6)="tarief",F1229="Vergoeding"),SUM(O1229)*FLOOR(SUM(Q1229),0.0001),AND(O1229&lt;&gt;"",F1229&lt;&gt;"",RIGHT($N1229,6)="tarief"),SUM(O1229)*FLOOR(SUM(Q1229),0.01),S1229&gt;0,IF(F1229&lt;&gt;"",FLOOR(SUM(S1229),0.01),"")),""),""),"")</f>
        <v/>
      </c>
      <c r="V1229" s="317" t="str" cm="1">
        <f t="array" aca="1" ref="V1229" ca="1">IFERROR(IF(AA1229&lt;&gt;"ja",_xlfn.IFNA(_xlfn.IFS(AND(P1229&lt;&gt;"",R1229&lt;&gt;"",RIGHT($N1229,6)="tarief",F1229="Vergoeding"),SUM(P1229)*FLOOR(SUM(R1229),0.0001),AND(P1229&lt;&gt;"",R1229&lt;&gt;"",RIGHT($N1229,6)="tarief"),P1229*FLOOR(R1229,0.01),T1229&gt;0,FLOOR(SUM(T1229),0.01)),""),""),"")</f>
        <v/>
      </c>
      <c r="W1229" s="317" t="str" cm="1">
        <f t="array" aca="1" ref="W1229" ca="1">IFERROR(_xlfn.IFS(OR(F1229="",LEFT(Methode_Keuze,4)="Geen",Methode_Keuze=""),"",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17" t="str" cm="1">
        <f t="array" aca="1" ref="X1229" ca="1">IFERROR(_xlfn.IFS(OR(F1229="",LEFT(Methode_Keuze,4)="Geen",Methode_Keuze=""),"",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26"/>
      <c r="Z1229" s="319"/>
      <c r="AA1229" s="32" t="str" cm="1">
        <f t="array" ref="AA1229">IFERROR(IF(INDEX(SubsidieTabel!$AD$1:$AG$12,MATCH($F1229,SubsidieTabel!$AD$1:$AD$12,0),IFERROR(MATCH(Methode_Keuze,SubsidieTabel!$AD$1:$AG$1,0),2))&lt;&gt;1=TRUE,"ja",""),"")</f>
        <v/>
      </c>
    </row>
    <row r="1230" spans="1:27" x14ac:dyDescent="0.25">
      <c r="A1230" s="320"/>
      <c r="B1230" s="321" t="str">
        <f>IF(A1230&lt;&gt;"",_xlfn.MAXIFS($B$1:B1229,$A$1:A1229,A1230)+1,"")</f>
        <v/>
      </c>
      <c r="C1230" s="299"/>
      <c r="D1230" s="299"/>
      <c r="E1230" s="299"/>
      <c r="F1230" s="299"/>
      <c r="G1230" s="330"/>
      <c r="H1230" s="328"/>
      <c r="I1230" s="329"/>
      <c r="J1230" s="329"/>
      <c r="K1230" s="322"/>
      <c r="L1230" s="322"/>
      <c r="M1230" s="323" t="str">
        <f>IFERROR(VLOOKUP(H1230,Lijsten!$H$1:$I$100,2,0),"")</f>
        <v/>
      </c>
      <c r="N1230" s="323" t="str">
        <f ca="1">IFERROR(IF(VLOOKUP(F1230,Kostentypen!$A$3:$E$21,3,0)=0,"",IF(OR(F1230="Arbeidskosten",F1230="Vergoeding"),VLOOKUP(G1230,Tb_KostenTypen[],2,0),VLOOKUP(F1230,Kostentypen!$A$3:$E$20,3,0))),"")</f>
        <v/>
      </c>
      <c r="O1230" s="324"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4"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3"/>
      <c r="R1230" s="363"/>
      <c r="S1230" s="325"/>
      <c r="T1230" s="325"/>
      <c r="U1230" s="317" t="str" cm="1">
        <f t="array" aca="1" ref="U1230" ca="1">IFERROR(IF(AA1230&lt;&gt;"ja",_xlfn.IFNA(_xlfn.IFS(AND(O1230&lt;&gt;"",F1230&lt;&gt;"",RIGHT($N1230,6)="tarief",F1230="Vergoeding"),SUM(O1230)*FLOOR(SUM(Q1230),0.0001),AND(O1230&lt;&gt;"",F1230&lt;&gt;"",RIGHT($N1230,6)="tarief"),SUM(O1230)*FLOOR(SUM(Q1230),0.01),S1230&gt;0,IF(F1230&lt;&gt;"",FLOOR(SUM(S1230),0.01),"")),""),""),"")</f>
        <v/>
      </c>
      <c r="V1230" s="317" t="str" cm="1">
        <f t="array" aca="1" ref="V1230" ca="1">IFERROR(IF(AA1230&lt;&gt;"ja",_xlfn.IFNA(_xlfn.IFS(AND(P1230&lt;&gt;"",R1230&lt;&gt;"",RIGHT($N1230,6)="tarief",F1230="Vergoeding"),SUM(P1230)*FLOOR(SUM(R1230),0.0001),AND(P1230&lt;&gt;"",R1230&lt;&gt;"",RIGHT($N1230,6)="tarief"),P1230*FLOOR(R1230,0.01),T1230&gt;0,FLOOR(SUM(T1230),0.01)),""),""),"")</f>
        <v/>
      </c>
      <c r="W1230" s="317" t="str" cm="1">
        <f t="array" aca="1" ref="W1230" ca="1">IFERROR(_xlfn.IFS(OR(F1230="",LEFT(Methode_Keuze,4)="Geen",Methode_Keuze=""),"",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17" t="str" cm="1">
        <f t="array" aca="1" ref="X1230" ca="1">IFERROR(_xlfn.IFS(OR(F1230="",LEFT(Methode_Keuze,4)="Geen",Methode_Keuze=""),"",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26"/>
      <c r="Z1230" s="319"/>
      <c r="AA1230" s="32" t="str" cm="1">
        <f t="array" ref="AA1230">IFERROR(IF(INDEX(SubsidieTabel!$AD$1:$AG$12,MATCH($F1230,SubsidieTabel!$AD$1:$AD$12,0),IFERROR(MATCH(Methode_Keuze,SubsidieTabel!$AD$1:$AG$1,0),2))&lt;&gt;1=TRUE,"ja",""),"")</f>
        <v/>
      </c>
    </row>
    <row r="1231" spans="1:27" x14ac:dyDescent="0.25">
      <c r="A1231" s="320"/>
      <c r="B1231" s="321" t="str">
        <f>IF(A1231&lt;&gt;"",_xlfn.MAXIFS($B$1:B1230,$A$1:A1230,A1231)+1,"")</f>
        <v/>
      </c>
      <c r="C1231" s="299"/>
      <c r="D1231" s="299"/>
      <c r="E1231" s="299"/>
      <c r="F1231" s="299"/>
      <c r="G1231" s="330"/>
      <c r="H1231" s="328"/>
      <c r="I1231" s="329"/>
      <c r="J1231" s="329"/>
      <c r="K1231" s="322"/>
      <c r="L1231" s="322"/>
      <c r="M1231" s="323" t="str">
        <f>IFERROR(VLOOKUP(H1231,Lijsten!$H$1:$I$100,2,0),"")</f>
        <v/>
      </c>
      <c r="N1231" s="323" t="str">
        <f ca="1">IFERROR(IF(VLOOKUP(F1231,Kostentypen!$A$3:$E$21,3,0)=0,"",IF(OR(F1231="Arbeidskosten",F1231="Vergoeding"),VLOOKUP(G1231,Tb_KostenTypen[],2,0),VLOOKUP(F1231,Kostentypen!$A$3:$E$20,3,0))),"")</f>
        <v/>
      </c>
      <c r="O1231" s="324"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4"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3"/>
      <c r="R1231" s="363"/>
      <c r="S1231" s="325"/>
      <c r="T1231" s="325"/>
      <c r="U1231" s="317" t="str" cm="1">
        <f t="array" aca="1" ref="U1231" ca="1">IFERROR(IF(AA1231&lt;&gt;"ja",_xlfn.IFNA(_xlfn.IFS(AND(O1231&lt;&gt;"",F1231&lt;&gt;"",RIGHT($N1231,6)="tarief",F1231="Vergoeding"),SUM(O1231)*FLOOR(SUM(Q1231),0.0001),AND(O1231&lt;&gt;"",F1231&lt;&gt;"",RIGHT($N1231,6)="tarief"),SUM(O1231)*FLOOR(SUM(Q1231),0.01),S1231&gt;0,IF(F1231&lt;&gt;"",FLOOR(SUM(S1231),0.01),"")),""),""),"")</f>
        <v/>
      </c>
      <c r="V1231" s="317" t="str" cm="1">
        <f t="array" aca="1" ref="V1231" ca="1">IFERROR(IF(AA1231&lt;&gt;"ja",_xlfn.IFNA(_xlfn.IFS(AND(P1231&lt;&gt;"",R1231&lt;&gt;"",RIGHT($N1231,6)="tarief",F1231="Vergoeding"),SUM(P1231)*FLOOR(SUM(R1231),0.0001),AND(P1231&lt;&gt;"",R1231&lt;&gt;"",RIGHT($N1231,6)="tarief"),P1231*FLOOR(R1231,0.01),T1231&gt;0,FLOOR(SUM(T1231),0.01)),""),""),"")</f>
        <v/>
      </c>
      <c r="W1231" s="317" t="str" cm="1">
        <f t="array" aca="1" ref="W1231" ca="1">IFERROR(_xlfn.IFS(OR(F1231="",LEFT(Methode_Keuze,4)="Geen",Methode_Keuze=""),"",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17" t="str" cm="1">
        <f t="array" aca="1" ref="X1231" ca="1">IFERROR(_xlfn.IFS(OR(F1231="",LEFT(Methode_Keuze,4)="Geen",Methode_Keuze=""),"",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26"/>
      <c r="Z1231" s="319"/>
      <c r="AA1231" s="32" t="str" cm="1">
        <f t="array" ref="AA1231">IFERROR(IF(INDEX(SubsidieTabel!$AD$1:$AG$12,MATCH($F1231,SubsidieTabel!$AD$1:$AD$12,0),IFERROR(MATCH(Methode_Keuze,SubsidieTabel!$AD$1:$AG$1,0),2))&lt;&gt;1=TRUE,"ja",""),"")</f>
        <v/>
      </c>
    </row>
    <row r="1232" spans="1:27" x14ac:dyDescent="0.25">
      <c r="A1232" s="320"/>
      <c r="B1232" s="321" t="str">
        <f>IF(A1232&lt;&gt;"",_xlfn.MAXIFS($B$1:B1231,$A$1:A1231,A1232)+1,"")</f>
        <v/>
      </c>
      <c r="C1232" s="299"/>
      <c r="D1232" s="299"/>
      <c r="E1232" s="299"/>
      <c r="F1232" s="299"/>
      <c r="G1232" s="330"/>
      <c r="H1232" s="328"/>
      <c r="I1232" s="329"/>
      <c r="J1232" s="329"/>
      <c r="K1232" s="322"/>
      <c r="L1232" s="322"/>
      <c r="M1232" s="323" t="str">
        <f>IFERROR(VLOOKUP(H1232,Lijsten!$H$1:$I$100,2,0),"")</f>
        <v/>
      </c>
      <c r="N1232" s="323" t="str">
        <f ca="1">IFERROR(IF(VLOOKUP(F1232,Kostentypen!$A$3:$E$21,3,0)=0,"",IF(OR(F1232="Arbeidskosten",F1232="Vergoeding"),VLOOKUP(G1232,Tb_KostenTypen[],2,0),VLOOKUP(F1232,Kostentypen!$A$3:$E$20,3,0))),"")</f>
        <v/>
      </c>
      <c r="O1232" s="324"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4"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3"/>
      <c r="R1232" s="363"/>
      <c r="S1232" s="325"/>
      <c r="T1232" s="325"/>
      <c r="U1232" s="317" t="str" cm="1">
        <f t="array" aca="1" ref="U1232" ca="1">IFERROR(IF(AA1232&lt;&gt;"ja",_xlfn.IFNA(_xlfn.IFS(AND(O1232&lt;&gt;"",F1232&lt;&gt;"",RIGHT($N1232,6)="tarief",F1232="Vergoeding"),SUM(O1232)*FLOOR(SUM(Q1232),0.0001),AND(O1232&lt;&gt;"",F1232&lt;&gt;"",RIGHT($N1232,6)="tarief"),SUM(O1232)*FLOOR(SUM(Q1232),0.01),S1232&gt;0,IF(F1232&lt;&gt;"",FLOOR(SUM(S1232),0.01),"")),""),""),"")</f>
        <v/>
      </c>
      <c r="V1232" s="317" t="str" cm="1">
        <f t="array" aca="1" ref="V1232" ca="1">IFERROR(IF(AA1232&lt;&gt;"ja",_xlfn.IFNA(_xlfn.IFS(AND(P1232&lt;&gt;"",R1232&lt;&gt;"",RIGHT($N1232,6)="tarief",F1232="Vergoeding"),SUM(P1232)*FLOOR(SUM(R1232),0.0001),AND(P1232&lt;&gt;"",R1232&lt;&gt;"",RIGHT($N1232,6)="tarief"),P1232*FLOOR(R1232,0.01),T1232&gt;0,FLOOR(SUM(T1232),0.01)),""),""),"")</f>
        <v/>
      </c>
      <c r="W1232" s="317" t="str" cm="1">
        <f t="array" aca="1" ref="W1232" ca="1">IFERROR(_xlfn.IFS(OR(F1232="",LEFT(Methode_Keuze,4)="Geen",Methode_Keuze=""),"",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17" t="str" cm="1">
        <f t="array" aca="1" ref="X1232" ca="1">IFERROR(_xlfn.IFS(OR(F1232="",LEFT(Methode_Keuze,4)="Geen",Methode_Keuze=""),"",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26"/>
      <c r="Z1232" s="319"/>
      <c r="AA1232" s="32" t="str" cm="1">
        <f t="array" ref="AA1232">IFERROR(IF(INDEX(SubsidieTabel!$AD$1:$AG$12,MATCH($F1232,SubsidieTabel!$AD$1:$AD$12,0),IFERROR(MATCH(Methode_Keuze,SubsidieTabel!$AD$1:$AG$1,0),2))&lt;&gt;1=TRUE,"ja",""),"")</f>
        <v/>
      </c>
    </row>
    <row r="1233" spans="1:27" x14ac:dyDescent="0.25">
      <c r="A1233" s="320"/>
      <c r="B1233" s="321" t="str">
        <f>IF(A1233&lt;&gt;"",_xlfn.MAXIFS($B$1:B1232,$A$1:A1232,A1233)+1,"")</f>
        <v/>
      </c>
      <c r="C1233" s="299"/>
      <c r="D1233" s="299"/>
      <c r="E1233" s="299"/>
      <c r="F1233" s="299"/>
      <c r="G1233" s="330"/>
      <c r="H1233" s="328"/>
      <c r="I1233" s="329"/>
      <c r="J1233" s="329"/>
      <c r="K1233" s="322"/>
      <c r="L1233" s="322"/>
      <c r="M1233" s="323" t="str">
        <f>IFERROR(VLOOKUP(H1233,Lijsten!$H$1:$I$100,2,0),"")</f>
        <v/>
      </c>
      <c r="N1233" s="323" t="str">
        <f ca="1">IFERROR(IF(VLOOKUP(F1233,Kostentypen!$A$3:$E$21,3,0)=0,"",IF(OR(F1233="Arbeidskosten",F1233="Vergoeding"),VLOOKUP(G1233,Tb_KostenTypen[],2,0),VLOOKUP(F1233,Kostentypen!$A$3:$E$20,3,0))),"")</f>
        <v/>
      </c>
      <c r="O1233" s="324"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4"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3"/>
      <c r="R1233" s="363"/>
      <c r="S1233" s="325"/>
      <c r="T1233" s="325"/>
      <c r="U1233" s="317" t="str" cm="1">
        <f t="array" aca="1" ref="U1233" ca="1">IFERROR(IF(AA1233&lt;&gt;"ja",_xlfn.IFNA(_xlfn.IFS(AND(O1233&lt;&gt;"",F1233&lt;&gt;"",RIGHT($N1233,6)="tarief",F1233="Vergoeding"),SUM(O1233)*FLOOR(SUM(Q1233),0.0001),AND(O1233&lt;&gt;"",F1233&lt;&gt;"",RIGHT($N1233,6)="tarief"),SUM(O1233)*FLOOR(SUM(Q1233),0.01),S1233&gt;0,IF(F1233&lt;&gt;"",FLOOR(SUM(S1233),0.01),"")),""),""),"")</f>
        <v/>
      </c>
      <c r="V1233" s="317" t="str" cm="1">
        <f t="array" aca="1" ref="V1233" ca="1">IFERROR(IF(AA1233&lt;&gt;"ja",_xlfn.IFNA(_xlfn.IFS(AND(P1233&lt;&gt;"",R1233&lt;&gt;"",RIGHT($N1233,6)="tarief",F1233="Vergoeding"),SUM(P1233)*FLOOR(SUM(R1233),0.0001),AND(P1233&lt;&gt;"",R1233&lt;&gt;"",RIGHT($N1233,6)="tarief"),P1233*FLOOR(R1233,0.01),T1233&gt;0,FLOOR(SUM(T1233),0.01)),""),""),"")</f>
        <v/>
      </c>
      <c r="W1233" s="317" t="str" cm="1">
        <f t="array" aca="1" ref="W1233" ca="1">IFERROR(_xlfn.IFS(OR(F1233="",LEFT(Methode_Keuze,4)="Geen",Methode_Keuze=""),"",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17" t="str" cm="1">
        <f t="array" aca="1" ref="X1233" ca="1">IFERROR(_xlfn.IFS(OR(F1233="",LEFT(Methode_Keuze,4)="Geen",Methode_Keuze=""),"",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26"/>
      <c r="Z1233" s="319"/>
      <c r="AA1233" s="32" t="str" cm="1">
        <f t="array" ref="AA1233">IFERROR(IF(INDEX(SubsidieTabel!$AD$1:$AG$12,MATCH($F1233,SubsidieTabel!$AD$1:$AD$12,0),IFERROR(MATCH(Methode_Keuze,SubsidieTabel!$AD$1:$AG$1,0),2))&lt;&gt;1=TRUE,"ja",""),"")</f>
        <v/>
      </c>
    </row>
    <row r="1234" spans="1:27" x14ac:dyDescent="0.25">
      <c r="A1234" s="320"/>
      <c r="B1234" s="321" t="str">
        <f>IF(A1234&lt;&gt;"",_xlfn.MAXIFS($B$1:B1233,$A$1:A1233,A1234)+1,"")</f>
        <v/>
      </c>
      <c r="C1234" s="299"/>
      <c r="D1234" s="299"/>
      <c r="E1234" s="299"/>
      <c r="F1234" s="299"/>
      <c r="G1234" s="330"/>
      <c r="H1234" s="328"/>
      <c r="I1234" s="329"/>
      <c r="J1234" s="329"/>
      <c r="K1234" s="322"/>
      <c r="L1234" s="322"/>
      <c r="M1234" s="323" t="str">
        <f>IFERROR(VLOOKUP(H1234,Lijsten!$H$1:$I$100,2,0),"")</f>
        <v/>
      </c>
      <c r="N1234" s="323" t="str">
        <f ca="1">IFERROR(IF(VLOOKUP(F1234,Kostentypen!$A$3:$E$21,3,0)=0,"",IF(OR(F1234="Arbeidskosten",F1234="Vergoeding"),VLOOKUP(G1234,Tb_KostenTypen[],2,0),VLOOKUP(F1234,Kostentypen!$A$3:$E$20,3,0))),"")</f>
        <v/>
      </c>
      <c r="O1234" s="324"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4"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3"/>
      <c r="R1234" s="363"/>
      <c r="S1234" s="325"/>
      <c r="T1234" s="325"/>
      <c r="U1234" s="317" t="str" cm="1">
        <f t="array" aca="1" ref="U1234" ca="1">IFERROR(IF(AA1234&lt;&gt;"ja",_xlfn.IFNA(_xlfn.IFS(AND(O1234&lt;&gt;"",F1234&lt;&gt;"",RIGHT($N1234,6)="tarief",F1234="Vergoeding"),SUM(O1234)*FLOOR(SUM(Q1234),0.0001),AND(O1234&lt;&gt;"",F1234&lt;&gt;"",RIGHT($N1234,6)="tarief"),SUM(O1234)*FLOOR(SUM(Q1234),0.01),S1234&gt;0,IF(F1234&lt;&gt;"",FLOOR(SUM(S1234),0.01),"")),""),""),"")</f>
        <v/>
      </c>
      <c r="V1234" s="317" t="str" cm="1">
        <f t="array" aca="1" ref="V1234" ca="1">IFERROR(IF(AA1234&lt;&gt;"ja",_xlfn.IFNA(_xlfn.IFS(AND(P1234&lt;&gt;"",R1234&lt;&gt;"",RIGHT($N1234,6)="tarief",F1234="Vergoeding"),SUM(P1234)*FLOOR(SUM(R1234),0.0001),AND(P1234&lt;&gt;"",R1234&lt;&gt;"",RIGHT($N1234,6)="tarief"),P1234*FLOOR(R1234,0.01),T1234&gt;0,FLOOR(SUM(T1234),0.01)),""),""),"")</f>
        <v/>
      </c>
      <c r="W1234" s="317" t="str" cm="1">
        <f t="array" aca="1" ref="W1234" ca="1">IFERROR(_xlfn.IFS(OR(F1234="",LEFT(Methode_Keuze,4)="Geen",Methode_Keuze=""),"",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17" t="str" cm="1">
        <f t="array" aca="1" ref="X1234" ca="1">IFERROR(_xlfn.IFS(OR(F1234="",LEFT(Methode_Keuze,4)="Geen",Methode_Keuze=""),"",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26"/>
      <c r="Z1234" s="319"/>
      <c r="AA1234" s="32" t="str" cm="1">
        <f t="array" ref="AA1234">IFERROR(IF(INDEX(SubsidieTabel!$AD$1:$AG$12,MATCH($F1234,SubsidieTabel!$AD$1:$AD$12,0),IFERROR(MATCH(Methode_Keuze,SubsidieTabel!$AD$1:$AG$1,0),2))&lt;&gt;1=TRUE,"ja",""),"")</f>
        <v/>
      </c>
    </row>
    <row r="1235" spans="1:27" x14ac:dyDescent="0.25">
      <c r="A1235" s="320"/>
      <c r="B1235" s="321" t="str">
        <f>IF(A1235&lt;&gt;"",_xlfn.MAXIFS($B$1:B1234,$A$1:A1234,A1235)+1,"")</f>
        <v/>
      </c>
      <c r="C1235" s="299"/>
      <c r="D1235" s="299"/>
      <c r="E1235" s="299"/>
      <c r="F1235" s="299"/>
      <c r="G1235" s="330"/>
      <c r="H1235" s="328"/>
      <c r="I1235" s="329"/>
      <c r="J1235" s="329"/>
      <c r="K1235" s="322"/>
      <c r="L1235" s="322"/>
      <c r="M1235" s="323" t="str">
        <f>IFERROR(VLOOKUP(H1235,Lijsten!$H$1:$I$100,2,0),"")</f>
        <v/>
      </c>
      <c r="N1235" s="323" t="str">
        <f ca="1">IFERROR(IF(VLOOKUP(F1235,Kostentypen!$A$3:$E$21,3,0)=0,"",IF(OR(F1235="Arbeidskosten",F1235="Vergoeding"),VLOOKUP(G1235,Tb_KostenTypen[],2,0),VLOOKUP(F1235,Kostentypen!$A$3:$E$20,3,0))),"")</f>
        <v/>
      </c>
      <c r="O1235" s="324"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4"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3"/>
      <c r="R1235" s="363"/>
      <c r="S1235" s="325"/>
      <c r="T1235" s="325"/>
      <c r="U1235" s="317" t="str" cm="1">
        <f t="array" aca="1" ref="U1235" ca="1">IFERROR(IF(AA1235&lt;&gt;"ja",_xlfn.IFNA(_xlfn.IFS(AND(O1235&lt;&gt;"",F1235&lt;&gt;"",RIGHT($N1235,6)="tarief",F1235="Vergoeding"),SUM(O1235)*FLOOR(SUM(Q1235),0.0001),AND(O1235&lt;&gt;"",F1235&lt;&gt;"",RIGHT($N1235,6)="tarief"),SUM(O1235)*FLOOR(SUM(Q1235),0.01),S1235&gt;0,IF(F1235&lt;&gt;"",FLOOR(SUM(S1235),0.01),"")),""),""),"")</f>
        <v/>
      </c>
      <c r="V1235" s="317" t="str" cm="1">
        <f t="array" aca="1" ref="V1235" ca="1">IFERROR(IF(AA1235&lt;&gt;"ja",_xlfn.IFNA(_xlfn.IFS(AND(P1235&lt;&gt;"",R1235&lt;&gt;"",RIGHT($N1235,6)="tarief",F1235="Vergoeding"),SUM(P1235)*FLOOR(SUM(R1235),0.0001),AND(P1235&lt;&gt;"",R1235&lt;&gt;"",RIGHT($N1235,6)="tarief"),P1235*FLOOR(R1235,0.01),T1235&gt;0,FLOOR(SUM(T1235),0.01)),""),""),"")</f>
        <v/>
      </c>
      <c r="W1235" s="317" t="str" cm="1">
        <f t="array" aca="1" ref="W1235" ca="1">IFERROR(_xlfn.IFS(OR(F1235="",LEFT(Methode_Keuze,4)="Geen",Methode_Keuze=""),"",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17" t="str" cm="1">
        <f t="array" aca="1" ref="X1235" ca="1">IFERROR(_xlfn.IFS(OR(F1235="",LEFT(Methode_Keuze,4)="Geen",Methode_Keuze=""),"",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26"/>
      <c r="Z1235" s="319"/>
      <c r="AA1235" s="32" t="str" cm="1">
        <f t="array" ref="AA1235">IFERROR(IF(INDEX(SubsidieTabel!$AD$1:$AG$12,MATCH($F1235,SubsidieTabel!$AD$1:$AD$12,0),IFERROR(MATCH(Methode_Keuze,SubsidieTabel!$AD$1:$AG$1,0),2))&lt;&gt;1=TRUE,"ja",""),"")</f>
        <v/>
      </c>
    </row>
    <row r="1236" spans="1:27" x14ac:dyDescent="0.25">
      <c r="A1236" s="320"/>
      <c r="B1236" s="321" t="str">
        <f>IF(A1236&lt;&gt;"",_xlfn.MAXIFS($B$1:B1235,$A$1:A1235,A1236)+1,"")</f>
        <v/>
      </c>
      <c r="C1236" s="299"/>
      <c r="D1236" s="299"/>
      <c r="E1236" s="299"/>
      <c r="F1236" s="299"/>
      <c r="G1236" s="330"/>
      <c r="H1236" s="328"/>
      <c r="I1236" s="329"/>
      <c r="J1236" s="329"/>
      <c r="K1236" s="322"/>
      <c r="L1236" s="322"/>
      <c r="M1236" s="323" t="str">
        <f>IFERROR(VLOOKUP(H1236,Lijsten!$H$1:$I$100,2,0),"")</f>
        <v/>
      </c>
      <c r="N1236" s="323" t="str">
        <f ca="1">IFERROR(IF(VLOOKUP(F1236,Kostentypen!$A$3:$E$21,3,0)=0,"",IF(OR(F1236="Arbeidskosten",F1236="Vergoeding"),VLOOKUP(G1236,Tb_KostenTypen[],2,0),VLOOKUP(F1236,Kostentypen!$A$3:$E$20,3,0))),"")</f>
        <v/>
      </c>
      <c r="O1236" s="324"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4"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3"/>
      <c r="R1236" s="363"/>
      <c r="S1236" s="325"/>
      <c r="T1236" s="325"/>
      <c r="U1236" s="317" t="str" cm="1">
        <f t="array" aca="1" ref="U1236" ca="1">IFERROR(IF(AA1236&lt;&gt;"ja",_xlfn.IFNA(_xlfn.IFS(AND(O1236&lt;&gt;"",F1236&lt;&gt;"",RIGHT($N1236,6)="tarief",F1236="Vergoeding"),SUM(O1236)*FLOOR(SUM(Q1236),0.0001),AND(O1236&lt;&gt;"",F1236&lt;&gt;"",RIGHT($N1236,6)="tarief"),SUM(O1236)*FLOOR(SUM(Q1236),0.01),S1236&gt;0,IF(F1236&lt;&gt;"",FLOOR(SUM(S1236),0.01),"")),""),""),"")</f>
        <v/>
      </c>
      <c r="V1236" s="317" t="str" cm="1">
        <f t="array" aca="1" ref="V1236" ca="1">IFERROR(IF(AA1236&lt;&gt;"ja",_xlfn.IFNA(_xlfn.IFS(AND(P1236&lt;&gt;"",R1236&lt;&gt;"",RIGHT($N1236,6)="tarief",F1236="Vergoeding"),SUM(P1236)*FLOOR(SUM(R1236),0.0001),AND(P1236&lt;&gt;"",R1236&lt;&gt;"",RIGHT($N1236,6)="tarief"),P1236*FLOOR(R1236,0.01),T1236&gt;0,FLOOR(SUM(T1236),0.01)),""),""),"")</f>
        <v/>
      </c>
      <c r="W1236" s="317" t="str" cm="1">
        <f t="array" aca="1" ref="W1236" ca="1">IFERROR(_xlfn.IFS(OR(F1236="",LEFT(Methode_Keuze,4)="Geen",Methode_Keuze=""),"",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17" t="str" cm="1">
        <f t="array" aca="1" ref="X1236" ca="1">IFERROR(_xlfn.IFS(OR(F1236="",LEFT(Methode_Keuze,4)="Geen",Methode_Keuze=""),"",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26"/>
      <c r="Z1236" s="319"/>
      <c r="AA1236" s="32" t="str" cm="1">
        <f t="array" ref="AA1236">IFERROR(IF(INDEX(SubsidieTabel!$AD$1:$AG$12,MATCH($F1236,SubsidieTabel!$AD$1:$AD$12,0),IFERROR(MATCH(Methode_Keuze,SubsidieTabel!$AD$1:$AG$1,0),2))&lt;&gt;1=TRUE,"ja",""),"")</f>
        <v/>
      </c>
    </row>
    <row r="1237" spans="1:27" x14ac:dyDescent="0.25">
      <c r="A1237" s="320"/>
      <c r="B1237" s="321" t="str">
        <f>IF(A1237&lt;&gt;"",_xlfn.MAXIFS($B$1:B1236,$A$1:A1236,A1237)+1,"")</f>
        <v/>
      </c>
      <c r="C1237" s="299"/>
      <c r="D1237" s="299"/>
      <c r="E1237" s="299"/>
      <c r="F1237" s="299"/>
      <c r="G1237" s="330"/>
      <c r="H1237" s="328"/>
      <c r="I1237" s="329"/>
      <c r="J1237" s="329"/>
      <c r="K1237" s="322"/>
      <c r="L1237" s="322"/>
      <c r="M1237" s="323" t="str">
        <f>IFERROR(VLOOKUP(H1237,Lijsten!$H$1:$I$100,2,0),"")</f>
        <v/>
      </c>
      <c r="N1237" s="323" t="str">
        <f ca="1">IFERROR(IF(VLOOKUP(F1237,Kostentypen!$A$3:$E$21,3,0)=0,"",IF(OR(F1237="Arbeidskosten",F1237="Vergoeding"),VLOOKUP(G1237,Tb_KostenTypen[],2,0),VLOOKUP(F1237,Kostentypen!$A$3:$E$20,3,0))),"")</f>
        <v/>
      </c>
      <c r="O1237" s="324"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4"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3"/>
      <c r="R1237" s="363"/>
      <c r="S1237" s="325"/>
      <c r="T1237" s="325"/>
      <c r="U1237" s="317" t="str" cm="1">
        <f t="array" aca="1" ref="U1237" ca="1">IFERROR(IF(AA1237&lt;&gt;"ja",_xlfn.IFNA(_xlfn.IFS(AND(O1237&lt;&gt;"",F1237&lt;&gt;"",RIGHT($N1237,6)="tarief",F1237="Vergoeding"),SUM(O1237)*FLOOR(SUM(Q1237),0.0001),AND(O1237&lt;&gt;"",F1237&lt;&gt;"",RIGHT($N1237,6)="tarief"),SUM(O1237)*FLOOR(SUM(Q1237),0.01),S1237&gt;0,IF(F1237&lt;&gt;"",FLOOR(SUM(S1237),0.01),"")),""),""),"")</f>
        <v/>
      </c>
      <c r="V1237" s="317" t="str" cm="1">
        <f t="array" aca="1" ref="V1237" ca="1">IFERROR(IF(AA1237&lt;&gt;"ja",_xlfn.IFNA(_xlfn.IFS(AND(P1237&lt;&gt;"",R1237&lt;&gt;"",RIGHT($N1237,6)="tarief",F1237="Vergoeding"),SUM(P1237)*FLOOR(SUM(R1237),0.0001),AND(P1237&lt;&gt;"",R1237&lt;&gt;"",RIGHT($N1237,6)="tarief"),P1237*FLOOR(R1237,0.01),T1237&gt;0,FLOOR(SUM(T1237),0.01)),""),""),"")</f>
        <v/>
      </c>
      <c r="W1237" s="317" t="str" cm="1">
        <f t="array" aca="1" ref="W1237" ca="1">IFERROR(_xlfn.IFS(OR(F1237="",LEFT(Methode_Keuze,4)="Geen",Methode_Keuze=""),"",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17" t="str" cm="1">
        <f t="array" aca="1" ref="X1237" ca="1">IFERROR(_xlfn.IFS(OR(F1237="",LEFT(Methode_Keuze,4)="Geen",Methode_Keuze=""),"",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26"/>
      <c r="Z1237" s="319"/>
      <c r="AA1237" s="32" t="str" cm="1">
        <f t="array" ref="AA1237">IFERROR(IF(INDEX(SubsidieTabel!$AD$1:$AG$12,MATCH($F1237,SubsidieTabel!$AD$1:$AD$12,0),IFERROR(MATCH(Methode_Keuze,SubsidieTabel!$AD$1:$AG$1,0),2))&lt;&gt;1=TRUE,"ja",""),"")</f>
        <v/>
      </c>
    </row>
    <row r="1238" spans="1:27" x14ac:dyDescent="0.25">
      <c r="A1238" s="320"/>
      <c r="B1238" s="321" t="str">
        <f>IF(A1238&lt;&gt;"",_xlfn.MAXIFS($B$1:B1237,$A$1:A1237,A1238)+1,"")</f>
        <v/>
      </c>
      <c r="C1238" s="299"/>
      <c r="D1238" s="299"/>
      <c r="E1238" s="299"/>
      <c r="F1238" s="299"/>
      <c r="G1238" s="330"/>
      <c r="H1238" s="328"/>
      <c r="I1238" s="329"/>
      <c r="J1238" s="329"/>
      <c r="K1238" s="322"/>
      <c r="L1238" s="322"/>
      <c r="M1238" s="323" t="str">
        <f>IFERROR(VLOOKUP(H1238,Lijsten!$H$1:$I$100,2,0),"")</f>
        <v/>
      </c>
      <c r="N1238" s="323" t="str">
        <f ca="1">IFERROR(IF(VLOOKUP(F1238,Kostentypen!$A$3:$E$21,3,0)=0,"",IF(OR(F1238="Arbeidskosten",F1238="Vergoeding"),VLOOKUP(G1238,Tb_KostenTypen[],2,0),VLOOKUP(F1238,Kostentypen!$A$3:$E$20,3,0))),"")</f>
        <v/>
      </c>
      <c r="O1238" s="324"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4"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3"/>
      <c r="R1238" s="363"/>
      <c r="S1238" s="325"/>
      <c r="T1238" s="325"/>
      <c r="U1238" s="317" t="str" cm="1">
        <f t="array" aca="1" ref="U1238" ca="1">IFERROR(IF(AA1238&lt;&gt;"ja",_xlfn.IFNA(_xlfn.IFS(AND(O1238&lt;&gt;"",F1238&lt;&gt;"",RIGHT($N1238,6)="tarief",F1238="Vergoeding"),SUM(O1238)*FLOOR(SUM(Q1238),0.0001),AND(O1238&lt;&gt;"",F1238&lt;&gt;"",RIGHT($N1238,6)="tarief"),SUM(O1238)*FLOOR(SUM(Q1238),0.01),S1238&gt;0,IF(F1238&lt;&gt;"",FLOOR(SUM(S1238),0.01),"")),""),""),"")</f>
        <v/>
      </c>
      <c r="V1238" s="317" t="str" cm="1">
        <f t="array" aca="1" ref="V1238" ca="1">IFERROR(IF(AA1238&lt;&gt;"ja",_xlfn.IFNA(_xlfn.IFS(AND(P1238&lt;&gt;"",R1238&lt;&gt;"",RIGHT($N1238,6)="tarief",F1238="Vergoeding"),SUM(P1238)*FLOOR(SUM(R1238),0.0001),AND(P1238&lt;&gt;"",R1238&lt;&gt;"",RIGHT($N1238,6)="tarief"),P1238*FLOOR(R1238,0.01),T1238&gt;0,FLOOR(SUM(T1238),0.01)),""),""),"")</f>
        <v/>
      </c>
      <c r="W1238" s="317" t="str" cm="1">
        <f t="array" aca="1" ref="W1238" ca="1">IFERROR(_xlfn.IFS(OR(F1238="",LEFT(Methode_Keuze,4)="Geen",Methode_Keuze=""),"",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17" t="str" cm="1">
        <f t="array" aca="1" ref="X1238" ca="1">IFERROR(_xlfn.IFS(OR(F1238="",LEFT(Methode_Keuze,4)="Geen",Methode_Keuze=""),"",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26"/>
      <c r="Z1238" s="319"/>
      <c r="AA1238" s="32" t="str" cm="1">
        <f t="array" ref="AA1238">IFERROR(IF(INDEX(SubsidieTabel!$AD$1:$AG$12,MATCH($F1238,SubsidieTabel!$AD$1:$AD$12,0),IFERROR(MATCH(Methode_Keuze,SubsidieTabel!$AD$1:$AG$1,0),2))&lt;&gt;1=TRUE,"ja",""),"")</f>
        <v/>
      </c>
    </row>
    <row r="1239" spans="1:27" x14ac:dyDescent="0.25">
      <c r="A1239" s="320"/>
      <c r="B1239" s="321" t="str">
        <f>IF(A1239&lt;&gt;"",_xlfn.MAXIFS($B$1:B1238,$A$1:A1238,A1239)+1,"")</f>
        <v/>
      </c>
      <c r="C1239" s="299"/>
      <c r="D1239" s="299"/>
      <c r="E1239" s="299"/>
      <c r="F1239" s="299"/>
      <c r="G1239" s="330"/>
      <c r="H1239" s="328"/>
      <c r="I1239" s="329"/>
      <c r="J1239" s="329"/>
      <c r="K1239" s="322"/>
      <c r="L1239" s="322"/>
      <c r="M1239" s="323" t="str">
        <f>IFERROR(VLOOKUP(H1239,Lijsten!$H$1:$I$100,2,0),"")</f>
        <v/>
      </c>
      <c r="N1239" s="323" t="str">
        <f ca="1">IFERROR(IF(VLOOKUP(F1239,Kostentypen!$A$3:$E$21,3,0)=0,"",IF(OR(F1239="Arbeidskosten",F1239="Vergoeding"),VLOOKUP(G1239,Tb_KostenTypen[],2,0),VLOOKUP(F1239,Kostentypen!$A$3:$E$20,3,0))),"")</f>
        <v/>
      </c>
      <c r="O1239" s="324"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4"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3"/>
      <c r="R1239" s="363"/>
      <c r="S1239" s="325"/>
      <c r="T1239" s="325"/>
      <c r="U1239" s="317" t="str" cm="1">
        <f t="array" aca="1" ref="U1239" ca="1">IFERROR(IF(AA1239&lt;&gt;"ja",_xlfn.IFNA(_xlfn.IFS(AND(O1239&lt;&gt;"",F1239&lt;&gt;"",RIGHT($N1239,6)="tarief",F1239="Vergoeding"),SUM(O1239)*FLOOR(SUM(Q1239),0.0001),AND(O1239&lt;&gt;"",F1239&lt;&gt;"",RIGHT($N1239,6)="tarief"),SUM(O1239)*FLOOR(SUM(Q1239),0.01),S1239&gt;0,IF(F1239&lt;&gt;"",FLOOR(SUM(S1239),0.01),"")),""),""),"")</f>
        <v/>
      </c>
      <c r="V1239" s="317" t="str" cm="1">
        <f t="array" aca="1" ref="V1239" ca="1">IFERROR(IF(AA1239&lt;&gt;"ja",_xlfn.IFNA(_xlfn.IFS(AND(P1239&lt;&gt;"",R1239&lt;&gt;"",RIGHT($N1239,6)="tarief",F1239="Vergoeding"),SUM(P1239)*FLOOR(SUM(R1239),0.0001),AND(P1239&lt;&gt;"",R1239&lt;&gt;"",RIGHT($N1239,6)="tarief"),P1239*FLOOR(R1239,0.01),T1239&gt;0,FLOOR(SUM(T1239),0.01)),""),""),"")</f>
        <v/>
      </c>
      <c r="W1239" s="317" t="str" cm="1">
        <f t="array" aca="1" ref="W1239" ca="1">IFERROR(_xlfn.IFS(OR(F1239="",LEFT(Methode_Keuze,4)="Geen",Methode_Keuze=""),"",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17" t="str" cm="1">
        <f t="array" aca="1" ref="X1239" ca="1">IFERROR(_xlfn.IFS(OR(F1239="",LEFT(Methode_Keuze,4)="Geen",Methode_Keuze=""),"",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26"/>
      <c r="Z1239" s="319"/>
      <c r="AA1239" s="32" t="str" cm="1">
        <f t="array" ref="AA1239">IFERROR(IF(INDEX(SubsidieTabel!$AD$1:$AG$12,MATCH($F1239,SubsidieTabel!$AD$1:$AD$12,0),IFERROR(MATCH(Methode_Keuze,SubsidieTabel!$AD$1:$AG$1,0),2))&lt;&gt;1=TRUE,"ja",""),"")</f>
        <v/>
      </c>
    </row>
    <row r="1240" spans="1:27" x14ac:dyDescent="0.25">
      <c r="A1240" s="320"/>
      <c r="B1240" s="321" t="str">
        <f>IF(A1240&lt;&gt;"",_xlfn.MAXIFS($B$1:B1239,$A$1:A1239,A1240)+1,"")</f>
        <v/>
      </c>
      <c r="C1240" s="299"/>
      <c r="D1240" s="299"/>
      <c r="E1240" s="299"/>
      <c r="F1240" s="299"/>
      <c r="G1240" s="330"/>
      <c r="H1240" s="328"/>
      <c r="I1240" s="329"/>
      <c r="J1240" s="329"/>
      <c r="K1240" s="322"/>
      <c r="L1240" s="322"/>
      <c r="M1240" s="323" t="str">
        <f>IFERROR(VLOOKUP(H1240,Lijsten!$H$1:$I$100,2,0),"")</f>
        <v/>
      </c>
      <c r="N1240" s="323" t="str">
        <f ca="1">IFERROR(IF(VLOOKUP(F1240,Kostentypen!$A$3:$E$21,3,0)=0,"",IF(OR(F1240="Arbeidskosten",F1240="Vergoeding"),VLOOKUP(G1240,Tb_KostenTypen[],2,0),VLOOKUP(F1240,Kostentypen!$A$3:$E$20,3,0))),"")</f>
        <v/>
      </c>
      <c r="O1240" s="324"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4"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3"/>
      <c r="R1240" s="363"/>
      <c r="S1240" s="325"/>
      <c r="T1240" s="325"/>
      <c r="U1240" s="317" t="str" cm="1">
        <f t="array" aca="1" ref="U1240" ca="1">IFERROR(IF(AA1240&lt;&gt;"ja",_xlfn.IFNA(_xlfn.IFS(AND(O1240&lt;&gt;"",F1240&lt;&gt;"",RIGHT($N1240,6)="tarief",F1240="Vergoeding"),SUM(O1240)*FLOOR(SUM(Q1240),0.0001),AND(O1240&lt;&gt;"",F1240&lt;&gt;"",RIGHT($N1240,6)="tarief"),SUM(O1240)*FLOOR(SUM(Q1240),0.01),S1240&gt;0,IF(F1240&lt;&gt;"",FLOOR(SUM(S1240),0.01),"")),""),""),"")</f>
        <v/>
      </c>
      <c r="V1240" s="317" t="str" cm="1">
        <f t="array" aca="1" ref="V1240" ca="1">IFERROR(IF(AA1240&lt;&gt;"ja",_xlfn.IFNA(_xlfn.IFS(AND(P1240&lt;&gt;"",R1240&lt;&gt;"",RIGHT($N1240,6)="tarief",F1240="Vergoeding"),SUM(P1240)*FLOOR(SUM(R1240),0.0001),AND(P1240&lt;&gt;"",R1240&lt;&gt;"",RIGHT($N1240,6)="tarief"),P1240*FLOOR(R1240,0.01),T1240&gt;0,FLOOR(SUM(T1240),0.01)),""),""),"")</f>
        <v/>
      </c>
      <c r="W1240" s="317" t="str" cm="1">
        <f t="array" aca="1" ref="W1240" ca="1">IFERROR(_xlfn.IFS(OR(F1240="",LEFT(Methode_Keuze,4)="Geen",Methode_Keuze=""),"",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17" t="str" cm="1">
        <f t="array" aca="1" ref="X1240" ca="1">IFERROR(_xlfn.IFS(OR(F1240="",LEFT(Methode_Keuze,4)="Geen",Methode_Keuze=""),"",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26"/>
      <c r="Z1240" s="319"/>
      <c r="AA1240" s="32" t="str" cm="1">
        <f t="array" ref="AA1240">IFERROR(IF(INDEX(SubsidieTabel!$AD$1:$AG$12,MATCH($F1240,SubsidieTabel!$AD$1:$AD$12,0),IFERROR(MATCH(Methode_Keuze,SubsidieTabel!$AD$1:$AG$1,0),2))&lt;&gt;1=TRUE,"ja",""),"")</f>
        <v/>
      </c>
    </row>
    <row r="1241" spans="1:27" x14ac:dyDescent="0.25">
      <c r="A1241" s="320"/>
      <c r="B1241" s="321" t="str">
        <f>IF(A1241&lt;&gt;"",_xlfn.MAXIFS($B$1:B1240,$A$1:A1240,A1241)+1,"")</f>
        <v/>
      </c>
      <c r="C1241" s="299"/>
      <c r="D1241" s="299"/>
      <c r="E1241" s="299"/>
      <c r="F1241" s="299"/>
      <c r="G1241" s="330"/>
      <c r="H1241" s="328"/>
      <c r="I1241" s="329"/>
      <c r="J1241" s="329"/>
      <c r="K1241" s="322"/>
      <c r="L1241" s="322"/>
      <c r="M1241" s="323" t="str">
        <f>IFERROR(VLOOKUP(H1241,Lijsten!$H$1:$I$100,2,0),"")</f>
        <v/>
      </c>
      <c r="N1241" s="323" t="str">
        <f ca="1">IFERROR(IF(VLOOKUP(F1241,Kostentypen!$A$3:$E$21,3,0)=0,"",IF(OR(F1241="Arbeidskosten",F1241="Vergoeding"),VLOOKUP(G1241,Tb_KostenTypen[],2,0),VLOOKUP(F1241,Kostentypen!$A$3:$E$20,3,0))),"")</f>
        <v/>
      </c>
      <c r="O1241" s="324"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4"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3"/>
      <c r="R1241" s="363"/>
      <c r="S1241" s="325"/>
      <c r="T1241" s="325"/>
      <c r="U1241" s="317" t="str" cm="1">
        <f t="array" aca="1" ref="U1241" ca="1">IFERROR(IF(AA1241&lt;&gt;"ja",_xlfn.IFNA(_xlfn.IFS(AND(O1241&lt;&gt;"",F1241&lt;&gt;"",RIGHT($N1241,6)="tarief",F1241="Vergoeding"),SUM(O1241)*FLOOR(SUM(Q1241),0.0001),AND(O1241&lt;&gt;"",F1241&lt;&gt;"",RIGHT($N1241,6)="tarief"),SUM(O1241)*FLOOR(SUM(Q1241),0.01),S1241&gt;0,IF(F1241&lt;&gt;"",FLOOR(SUM(S1241),0.01),"")),""),""),"")</f>
        <v/>
      </c>
      <c r="V1241" s="317" t="str" cm="1">
        <f t="array" aca="1" ref="V1241" ca="1">IFERROR(IF(AA1241&lt;&gt;"ja",_xlfn.IFNA(_xlfn.IFS(AND(P1241&lt;&gt;"",R1241&lt;&gt;"",RIGHT($N1241,6)="tarief",F1241="Vergoeding"),SUM(P1241)*FLOOR(SUM(R1241),0.0001),AND(P1241&lt;&gt;"",R1241&lt;&gt;"",RIGHT($N1241,6)="tarief"),P1241*FLOOR(R1241,0.01),T1241&gt;0,FLOOR(SUM(T1241),0.01)),""),""),"")</f>
        <v/>
      </c>
      <c r="W1241" s="317" t="str" cm="1">
        <f t="array" aca="1" ref="W1241" ca="1">IFERROR(_xlfn.IFS(OR(F1241="",LEFT(Methode_Keuze,4)="Geen",Methode_Keuze=""),"",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17" t="str" cm="1">
        <f t="array" aca="1" ref="X1241" ca="1">IFERROR(_xlfn.IFS(OR(F1241="",LEFT(Methode_Keuze,4)="Geen",Methode_Keuze=""),"",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26"/>
      <c r="Z1241" s="319"/>
      <c r="AA1241" s="32" t="str" cm="1">
        <f t="array" ref="AA1241">IFERROR(IF(INDEX(SubsidieTabel!$AD$1:$AG$12,MATCH($F1241,SubsidieTabel!$AD$1:$AD$12,0),IFERROR(MATCH(Methode_Keuze,SubsidieTabel!$AD$1:$AG$1,0),2))&lt;&gt;1=TRUE,"ja",""),"")</f>
        <v/>
      </c>
    </row>
    <row r="1242" spans="1:27" x14ac:dyDescent="0.25">
      <c r="A1242" s="320"/>
      <c r="B1242" s="321" t="str">
        <f>IF(A1242&lt;&gt;"",_xlfn.MAXIFS($B$1:B1241,$A$1:A1241,A1242)+1,"")</f>
        <v/>
      </c>
      <c r="C1242" s="299"/>
      <c r="D1242" s="299"/>
      <c r="E1242" s="299"/>
      <c r="F1242" s="299"/>
      <c r="G1242" s="330"/>
      <c r="H1242" s="328"/>
      <c r="I1242" s="329"/>
      <c r="J1242" s="329"/>
      <c r="K1242" s="322"/>
      <c r="L1242" s="322"/>
      <c r="M1242" s="323" t="str">
        <f>IFERROR(VLOOKUP(H1242,Lijsten!$H$1:$I$100,2,0),"")</f>
        <v/>
      </c>
      <c r="N1242" s="323" t="str">
        <f ca="1">IFERROR(IF(VLOOKUP(F1242,Kostentypen!$A$3:$E$21,3,0)=0,"",IF(OR(F1242="Arbeidskosten",F1242="Vergoeding"),VLOOKUP(G1242,Tb_KostenTypen[],2,0),VLOOKUP(F1242,Kostentypen!$A$3:$E$20,3,0))),"")</f>
        <v/>
      </c>
      <c r="O1242" s="324"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4"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3"/>
      <c r="R1242" s="363"/>
      <c r="S1242" s="325"/>
      <c r="T1242" s="325"/>
      <c r="U1242" s="317" t="str" cm="1">
        <f t="array" aca="1" ref="U1242" ca="1">IFERROR(IF(AA1242&lt;&gt;"ja",_xlfn.IFNA(_xlfn.IFS(AND(O1242&lt;&gt;"",F1242&lt;&gt;"",RIGHT($N1242,6)="tarief",F1242="Vergoeding"),SUM(O1242)*FLOOR(SUM(Q1242),0.0001),AND(O1242&lt;&gt;"",F1242&lt;&gt;"",RIGHT($N1242,6)="tarief"),SUM(O1242)*FLOOR(SUM(Q1242),0.01),S1242&gt;0,IF(F1242&lt;&gt;"",FLOOR(SUM(S1242),0.01),"")),""),""),"")</f>
        <v/>
      </c>
      <c r="V1242" s="317" t="str" cm="1">
        <f t="array" aca="1" ref="V1242" ca="1">IFERROR(IF(AA1242&lt;&gt;"ja",_xlfn.IFNA(_xlfn.IFS(AND(P1242&lt;&gt;"",R1242&lt;&gt;"",RIGHT($N1242,6)="tarief",F1242="Vergoeding"),SUM(P1242)*FLOOR(SUM(R1242),0.0001),AND(P1242&lt;&gt;"",R1242&lt;&gt;"",RIGHT($N1242,6)="tarief"),P1242*FLOOR(R1242,0.01),T1242&gt;0,FLOOR(SUM(T1242),0.01)),""),""),"")</f>
        <v/>
      </c>
      <c r="W1242" s="317" t="str" cm="1">
        <f t="array" aca="1" ref="W1242" ca="1">IFERROR(_xlfn.IFS(OR(F1242="",LEFT(Methode_Keuze,4)="Geen",Methode_Keuze=""),"",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17" t="str" cm="1">
        <f t="array" aca="1" ref="X1242" ca="1">IFERROR(_xlfn.IFS(OR(F1242="",LEFT(Methode_Keuze,4)="Geen",Methode_Keuze=""),"",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26"/>
      <c r="Z1242" s="319"/>
      <c r="AA1242" s="32" t="str" cm="1">
        <f t="array" ref="AA1242">IFERROR(IF(INDEX(SubsidieTabel!$AD$1:$AG$12,MATCH($F1242,SubsidieTabel!$AD$1:$AD$12,0),IFERROR(MATCH(Methode_Keuze,SubsidieTabel!$AD$1:$AG$1,0),2))&lt;&gt;1=TRUE,"ja",""),"")</f>
        <v/>
      </c>
    </row>
    <row r="1243" spans="1:27" x14ac:dyDescent="0.25">
      <c r="A1243" s="320"/>
      <c r="B1243" s="321" t="str">
        <f>IF(A1243&lt;&gt;"",_xlfn.MAXIFS($B$1:B1242,$A$1:A1242,A1243)+1,"")</f>
        <v/>
      </c>
      <c r="C1243" s="299"/>
      <c r="D1243" s="299"/>
      <c r="E1243" s="299"/>
      <c r="F1243" s="299"/>
      <c r="G1243" s="330"/>
      <c r="H1243" s="328"/>
      <c r="I1243" s="329"/>
      <c r="J1243" s="329"/>
      <c r="K1243" s="322"/>
      <c r="L1243" s="322"/>
      <c r="M1243" s="323" t="str">
        <f>IFERROR(VLOOKUP(H1243,Lijsten!$H$1:$I$100,2,0),"")</f>
        <v/>
      </c>
      <c r="N1243" s="323" t="str">
        <f ca="1">IFERROR(IF(VLOOKUP(F1243,Kostentypen!$A$3:$E$21,3,0)=0,"",IF(OR(F1243="Arbeidskosten",F1243="Vergoeding"),VLOOKUP(G1243,Tb_KostenTypen[],2,0),VLOOKUP(F1243,Kostentypen!$A$3:$E$20,3,0))),"")</f>
        <v/>
      </c>
      <c r="O1243" s="324"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4"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3"/>
      <c r="R1243" s="363"/>
      <c r="S1243" s="325"/>
      <c r="T1243" s="325"/>
      <c r="U1243" s="317" t="str" cm="1">
        <f t="array" aca="1" ref="U1243" ca="1">IFERROR(IF(AA1243&lt;&gt;"ja",_xlfn.IFNA(_xlfn.IFS(AND(O1243&lt;&gt;"",F1243&lt;&gt;"",RIGHT($N1243,6)="tarief",F1243="Vergoeding"),SUM(O1243)*FLOOR(SUM(Q1243),0.0001),AND(O1243&lt;&gt;"",F1243&lt;&gt;"",RIGHT($N1243,6)="tarief"),SUM(O1243)*FLOOR(SUM(Q1243),0.01),S1243&gt;0,IF(F1243&lt;&gt;"",FLOOR(SUM(S1243),0.01),"")),""),""),"")</f>
        <v/>
      </c>
      <c r="V1243" s="317" t="str" cm="1">
        <f t="array" aca="1" ref="V1243" ca="1">IFERROR(IF(AA1243&lt;&gt;"ja",_xlfn.IFNA(_xlfn.IFS(AND(P1243&lt;&gt;"",R1243&lt;&gt;"",RIGHT($N1243,6)="tarief",F1243="Vergoeding"),SUM(P1243)*FLOOR(SUM(R1243),0.0001),AND(P1243&lt;&gt;"",R1243&lt;&gt;"",RIGHT($N1243,6)="tarief"),P1243*FLOOR(R1243,0.01),T1243&gt;0,FLOOR(SUM(T1243),0.01)),""),""),"")</f>
        <v/>
      </c>
      <c r="W1243" s="317" t="str" cm="1">
        <f t="array" aca="1" ref="W1243" ca="1">IFERROR(_xlfn.IFS(OR(F1243="",LEFT(Methode_Keuze,4)="Geen",Methode_Keuze=""),"",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17" t="str" cm="1">
        <f t="array" aca="1" ref="X1243" ca="1">IFERROR(_xlfn.IFS(OR(F1243="",LEFT(Methode_Keuze,4)="Geen",Methode_Keuze=""),"",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26"/>
      <c r="Z1243" s="319"/>
      <c r="AA1243" s="32" t="str" cm="1">
        <f t="array" ref="AA1243">IFERROR(IF(INDEX(SubsidieTabel!$AD$1:$AG$12,MATCH($F1243,SubsidieTabel!$AD$1:$AD$12,0),IFERROR(MATCH(Methode_Keuze,SubsidieTabel!$AD$1:$AG$1,0),2))&lt;&gt;1=TRUE,"ja",""),"")</f>
        <v/>
      </c>
    </row>
    <row r="1244" spans="1:27" x14ac:dyDescent="0.25">
      <c r="A1244" s="320"/>
      <c r="B1244" s="321" t="str">
        <f>IF(A1244&lt;&gt;"",_xlfn.MAXIFS($B$1:B1243,$A$1:A1243,A1244)+1,"")</f>
        <v/>
      </c>
      <c r="C1244" s="299"/>
      <c r="D1244" s="299"/>
      <c r="E1244" s="299"/>
      <c r="F1244" s="299"/>
      <c r="G1244" s="330"/>
      <c r="H1244" s="328"/>
      <c r="I1244" s="329"/>
      <c r="J1244" s="329"/>
      <c r="K1244" s="322"/>
      <c r="L1244" s="322"/>
      <c r="M1244" s="323" t="str">
        <f>IFERROR(VLOOKUP(H1244,Lijsten!$H$1:$I$100,2,0),"")</f>
        <v/>
      </c>
      <c r="N1244" s="323" t="str">
        <f ca="1">IFERROR(IF(VLOOKUP(F1244,Kostentypen!$A$3:$E$21,3,0)=0,"",IF(OR(F1244="Arbeidskosten",F1244="Vergoeding"),VLOOKUP(G1244,Tb_KostenTypen[],2,0),VLOOKUP(F1244,Kostentypen!$A$3:$E$20,3,0))),"")</f>
        <v/>
      </c>
      <c r="O1244" s="324"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4"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3"/>
      <c r="R1244" s="363"/>
      <c r="S1244" s="325"/>
      <c r="T1244" s="325"/>
      <c r="U1244" s="317" t="str" cm="1">
        <f t="array" aca="1" ref="U1244" ca="1">IFERROR(IF(AA1244&lt;&gt;"ja",_xlfn.IFNA(_xlfn.IFS(AND(O1244&lt;&gt;"",F1244&lt;&gt;"",RIGHT($N1244,6)="tarief",F1244="Vergoeding"),SUM(O1244)*FLOOR(SUM(Q1244),0.0001),AND(O1244&lt;&gt;"",F1244&lt;&gt;"",RIGHT($N1244,6)="tarief"),SUM(O1244)*FLOOR(SUM(Q1244),0.01),S1244&gt;0,IF(F1244&lt;&gt;"",FLOOR(SUM(S1244),0.01),"")),""),""),"")</f>
        <v/>
      </c>
      <c r="V1244" s="317" t="str" cm="1">
        <f t="array" aca="1" ref="V1244" ca="1">IFERROR(IF(AA1244&lt;&gt;"ja",_xlfn.IFNA(_xlfn.IFS(AND(P1244&lt;&gt;"",R1244&lt;&gt;"",RIGHT($N1244,6)="tarief",F1244="Vergoeding"),SUM(P1244)*FLOOR(SUM(R1244),0.0001),AND(P1244&lt;&gt;"",R1244&lt;&gt;"",RIGHT($N1244,6)="tarief"),P1244*FLOOR(R1244,0.01),T1244&gt;0,FLOOR(SUM(T1244),0.01)),""),""),"")</f>
        <v/>
      </c>
      <c r="W1244" s="317" t="str" cm="1">
        <f t="array" aca="1" ref="W1244" ca="1">IFERROR(_xlfn.IFS(OR(F1244="",LEFT(Methode_Keuze,4)="Geen",Methode_Keuze=""),"",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17" t="str" cm="1">
        <f t="array" aca="1" ref="X1244" ca="1">IFERROR(_xlfn.IFS(OR(F1244="",LEFT(Methode_Keuze,4)="Geen",Methode_Keuze=""),"",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26"/>
      <c r="Z1244" s="319"/>
      <c r="AA1244" s="32" t="str" cm="1">
        <f t="array" ref="AA1244">IFERROR(IF(INDEX(SubsidieTabel!$AD$1:$AG$12,MATCH($F1244,SubsidieTabel!$AD$1:$AD$12,0),IFERROR(MATCH(Methode_Keuze,SubsidieTabel!$AD$1:$AG$1,0),2))&lt;&gt;1=TRUE,"ja",""),"")</f>
        <v/>
      </c>
    </row>
    <row r="1245" spans="1:27" x14ac:dyDescent="0.25">
      <c r="A1245" s="320"/>
      <c r="B1245" s="321" t="str">
        <f>IF(A1245&lt;&gt;"",_xlfn.MAXIFS($B$1:B1244,$A$1:A1244,A1245)+1,"")</f>
        <v/>
      </c>
      <c r="C1245" s="299"/>
      <c r="D1245" s="299"/>
      <c r="E1245" s="299"/>
      <c r="F1245" s="299"/>
      <c r="G1245" s="330"/>
      <c r="H1245" s="328"/>
      <c r="I1245" s="329"/>
      <c r="J1245" s="329"/>
      <c r="K1245" s="322"/>
      <c r="L1245" s="322"/>
      <c r="M1245" s="323" t="str">
        <f>IFERROR(VLOOKUP(H1245,Lijsten!$H$1:$I$100,2,0),"")</f>
        <v/>
      </c>
      <c r="N1245" s="323" t="str">
        <f ca="1">IFERROR(IF(VLOOKUP(F1245,Kostentypen!$A$3:$E$21,3,0)=0,"",IF(OR(F1245="Arbeidskosten",F1245="Vergoeding"),VLOOKUP(G1245,Tb_KostenTypen[],2,0),VLOOKUP(F1245,Kostentypen!$A$3:$E$20,3,0))),"")</f>
        <v/>
      </c>
      <c r="O1245" s="324"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4"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3"/>
      <c r="R1245" s="363"/>
      <c r="S1245" s="325"/>
      <c r="T1245" s="325"/>
      <c r="U1245" s="317" t="str" cm="1">
        <f t="array" aca="1" ref="U1245" ca="1">IFERROR(IF(AA1245&lt;&gt;"ja",_xlfn.IFNA(_xlfn.IFS(AND(O1245&lt;&gt;"",F1245&lt;&gt;"",RIGHT($N1245,6)="tarief",F1245="Vergoeding"),SUM(O1245)*FLOOR(SUM(Q1245),0.0001),AND(O1245&lt;&gt;"",F1245&lt;&gt;"",RIGHT($N1245,6)="tarief"),SUM(O1245)*FLOOR(SUM(Q1245),0.01),S1245&gt;0,IF(F1245&lt;&gt;"",FLOOR(SUM(S1245),0.01),"")),""),""),"")</f>
        <v/>
      </c>
      <c r="V1245" s="317" t="str" cm="1">
        <f t="array" aca="1" ref="V1245" ca="1">IFERROR(IF(AA1245&lt;&gt;"ja",_xlfn.IFNA(_xlfn.IFS(AND(P1245&lt;&gt;"",R1245&lt;&gt;"",RIGHT($N1245,6)="tarief",F1245="Vergoeding"),SUM(P1245)*FLOOR(SUM(R1245),0.0001),AND(P1245&lt;&gt;"",R1245&lt;&gt;"",RIGHT($N1245,6)="tarief"),P1245*FLOOR(R1245,0.01),T1245&gt;0,FLOOR(SUM(T1245),0.01)),""),""),"")</f>
        <v/>
      </c>
      <c r="W1245" s="317" t="str" cm="1">
        <f t="array" aca="1" ref="W1245" ca="1">IFERROR(_xlfn.IFS(OR(F1245="",LEFT(Methode_Keuze,4)="Geen",Methode_Keuze=""),"",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17" t="str" cm="1">
        <f t="array" aca="1" ref="X1245" ca="1">IFERROR(_xlfn.IFS(OR(F1245="",LEFT(Methode_Keuze,4)="Geen",Methode_Keuze=""),"",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26"/>
      <c r="Z1245" s="319"/>
      <c r="AA1245" s="32" t="str" cm="1">
        <f t="array" ref="AA1245">IFERROR(IF(INDEX(SubsidieTabel!$AD$1:$AG$12,MATCH($F1245,SubsidieTabel!$AD$1:$AD$12,0),IFERROR(MATCH(Methode_Keuze,SubsidieTabel!$AD$1:$AG$1,0),2))&lt;&gt;1=TRUE,"ja",""),"")</f>
        <v/>
      </c>
    </row>
    <row r="1246" spans="1:27" x14ac:dyDescent="0.25">
      <c r="A1246" s="320"/>
      <c r="B1246" s="321" t="str">
        <f>IF(A1246&lt;&gt;"",_xlfn.MAXIFS($B$1:B1245,$A$1:A1245,A1246)+1,"")</f>
        <v/>
      </c>
      <c r="C1246" s="299"/>
      <c r="D1246" s="299"/>
      <c r="E1246" s="299"/>
      <c r="F1246" s="299"/>
      <c r="G1246" s="330"/>
      <c r="H1246" s="328"/>
      <c r="I1246" s="329"/>
      <c r="J1246" s="329"/>
      <c r="K1246" s="322"/>
      <c r="L1246" s="322"/>
      <c r="M1246" s="323" t="str">
        <f>IFERROR(VLOOKUP(H1246,Lijsten!$H$1:$I$100,2,0),"")</f>
        <v/>
      </c>
      <c r="N1246" s="323" t="str">
        <f ca="1">IFERROR(IF(VLOOKUP(F1246,Kostentypen!$A$3:$E$21,3,0)=0,"",IF(OR(F1246="Arbeidskosten",F1246="Vergoeding"),VLOOKUP(G1246,Tb_KostenTypen[],2,0),VLOOKUP(F1246,Kostentypen!$A$3:$E$20,3,0))),"")</f>
        <v/>
      </c>
      <c r="O1246" s="324"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4"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3"/>
      <c r="R1246" s="363"/>
      <c r="S1246" s="325"/>
      <c r="T1246" s="325"/>
      <c r="U1246" s="317" t="str" cm="1">
        <f t="array" aca="1" ref="U1246" ca="1">IFERROR(IF(AA1246&lt;&gt;"ja",_xlfn.IFNA(_xlfn.IFS(AND(O1246&lt;&gt;"",F1246&lt;&gt;"",RIGHT($N1246,6)="tarief",F1246="Vergoeding"),SUM(O1246)*FLOOR(SUM(Q1246),0.0001),AND(O1246&lt;&gt;"",F1246&lt;&gt;"",RIGHT($N1246,6)="tarief"),SUM(O1246)*FLOOR(SUM(Q1246),0.01),S1246&gt;0,IF(F1246&lt;&gt;"",FLOOR(SUM(S1246),0.01),"")),""),""),"")</f>
        <v/>
      </c>
      <c r="V1246" s="317" t="str" cm="1">
        <f t="array" aca="1" ref="V1246" ca="1">IFERROR(IF(AA1246&lt;&gt;"ja",_xlfn.IFNA(_xlfn.IFS(AND(P1246&lt;&gt;"",R1246&lt;&gt;"",RIGHT($N1246,6)="tarief",F1246="Vergoeding"),SUM(P1246)*FLOOR(SUM(R1246),0.0001),AND(P1246&lt;&gt;"",R1246&lt;&gt;"",RIGHT($N1246,6)="tarief"),P1246*FLOOR(R1246,0.01),T1246&gt;0,FLOOR(SUM(T1246),0.01)),""),""),"")</f>
        <v/>
      </c>
      <c r="W1246" s="317" t="str" cm="1">
        <f t="array" aca="1" ref="W1246" ca="1">IFERROR(_xlfn.IFS(OR(F1246="",LEFT(Methode_Keuze,4)="Geen",Methode_Keuze=""),"",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17" t="str" cm="1">
        <f t="array" aca="1" ref="X1246" ca="1">IFERROR(_xlfn.IFS(OR(F1246="",LEFT(Methode_Keuze,4)="Geen",Methode_Keuze=""),"",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26"/>
      <c r="Z1246" s="319"/>
      <c r="AA1246" s="32" t="str" cm="1">
        <f t="array" ref="AA1246">IFERROR(IF(INDEX(SubsidieTabel!$AD$1:$AG$12,MATCH($F1246,SubsidieTabel!$AD$1:$AD$12,0),IFERROR(MATCH(Methode_Keuze,SubsidieTabel!$AD$1:$AG$1,0),2))&lt;&gt;1=TRUE,"ja",""),"")</f>
        <v/>
      </c>
    </row>
    <row r="1247" spans="1:27" x14ac:dyDescent="0.25">
      <c r="A1247" s="320"/>
      <c r="B1247" s="321" t="str">
        <f>IF(A1247&lt;&gt;"",_xlfn.MAXIFS($B$1:B1246,$A$1:A1246,A1247)+1,"")</f>
        <v/>
      </c>
      <c r="C1247" s="299"/>
      <c r="D1247" s="299"/>
      <c r="E1247" s="299"/>
      <c r="F1247" s="299"/>
      <c r="G1247" s="330"/>
      <c r="H1247" s="328"/>
      <c r="I1247" s="329"/>
      <c r="J1247" s="329"/>
      <c r="K1247" s="322"/>
      <c r="L1247" s="322"/>
      <c r="M1247" s="323" t="str">
        <f>IFERROR(VLOOKUP(H1247,Lijsten!$H$1:$I$100,2,0),"")</f>
        <v/>
      </c>
      <c r="N1247" s="323" t="str">
        <f ca="1">IFERROR(IF(VLOOKUP(F1247,Kostentypen!$A$3:$E$21,3,0)=0,"",IF(OR(F1247="Arbeidskosten",F1247="Vergoeding"),VLOOKUP(G1247,Tb_KostenTypen[],2,0),VLOOKUP(F1247,Kostentypen!$A$3:$E$20,3,0))),"")</f>
        <v/>
      </c>
      <c r="O1247" s="324"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4"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3"/>
      <c r="R1247" s="363"/>
      <c r="S1247" s="325"/>
      <c r="T1247" s="325"/>
      <c r="U1247" s="317" t="str" cm="1">
        <f t="array" aca="1" ref="U1247" ca="1">IFERROR(IF(AA1247&lt;&gt;"ja",_xlfn.IFNA(_xlfn.IFS(AND(O1247&lt;&gt;"",F1247&lt;&gt;"",RIGHT($N1247,6)="tarief",F1247="Vergoeding"),SUM(O1247)*FLOOR(SUM(Q1247),0.0001),AND(O1247&lt;&gt;"",F1247&lt;&gt;"",RIGHT($N1247,6)="tarief"),SUM(O1247)*FLOOR(SUM(Q1247),0.01),S1247&gt;0,IF(F1247&lt;&gt;"",FLOOR(SUM(S1247),0.01),"")),""),""),"")</f>
        <v/>
      </c>
      <c r="V1247" s="317" t="str" cm="1">
        <f t="array" aca="1" ref="V1247" ca="1">IFERROR(IF(AA1247&lt;&gt;"ja",_xlfn.IFNA(_xlfn.IFS(AND(P1247&lt;&gt;"",R1247&lt;&gt;"",RIGHT($N1247,6)="tarief",F1247="Vergoeding"),SUM(P1247)*FLOOR(SUM(R1247),0.0001),AND(P1247&lt;&gt;"",R1247&lt;&gt;"",RIGHT($N1247,6)="tarief"),P1247*FLOOR(R1247,0.01),T1247&gt;0,FLOOR(SUM(T1247),0.01)),""),""),"")</f>
        <v/>
      </c>
      <c r="W1247" s="317" t="str" cm="1">
        <f t="array" aca="1" ref="W1247" ca="1">IFERROR(_xlfn.IFS(OR(F1247="",LEFT(Methode_Keuze,4)="Geen",Methode_Keuze=""),"",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17" t="str" cm="1">
        <f t="array" aca="1" ref="X1247" ca="1">IFERROR(_xlfn.IFS(OR(F1247="",LEFT(Methode_Keuze,4)="Geen",Methode_Keuze=""),"",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26"/>
      <c r="Z1247" s="319"/>
      <c r="AA1247" s="32" t="str" cm="1">
        <f t="array" ref="AA1247">IFERROR(IF(INDEX(SubsidieTabel!$AD$1:$AG$12,MATCH($F1247,SubsidieTabel!$AD$1:$AD$12,0),IFERROR(MATCH(Methode_Keuze,SubsidieTabel!$AD$1:$AG$1,0),2))&lt;&gt;1=TRUE,"ja",""),"")</f>
        <v/>
      </c>
    </row>
    <row r="1248" spans="1:27" x14ac:dyDescent="0.25">
      <c r="A1248" s="320"/>
      <c r="B1248" s="321" t="str">
        <f>IF(A1248&lt;&gt;"",_xlfn.MAXIFS($B$1:B1247,$A$1:A1247,A1248)+1,"")</f>
        <v/>
      </c>
      <c r="C1248" s="299"/>
      <c r="D1248" s="299"/>
      <c r="E1248" s="299"/>
      <c r="F1248" s="299"/>
      <c r="G1248" s="330"/>
      <c r="H1248" s="328"/>
      <c r="I1248" s="329"/>
      <c r="J1248" s="329"/>
      <c r="K1248" s="322"/>
      <c r="L1248" s="322"/>
      <c r="M1248" s="323" t="str">
        <f>IFERROR(VLOOKUP(H1248,Lijsten!$H$1:$I$100,2,0),"")</f>
        <v/>
      </c>
      <c r="N1248" s="323" t="str">
        <f ca="1">IFERROR(IF(VLOOKUP(F1248,Kostentypen!$A$3:$E$21,3,0)=0,"",IF(OR(F1248="Arbeidskosten",F1248="Vergoeding"),VLOOKUP(G1248,Tb_KostenTypen[],2,0),VLOOKUP(F1248,Kostentypen!$A$3:$E$20,3,0))),"")</f>
        <v/>
      </c>
      <c r="O1248" s="324"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4"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3"/>
      <c r="R1248" s="363"/>
      <c r="S1248" s="325"/>
      <c r="T1248" s="325"/>
      <c r="U1248" s="317" t="str" cm="1">
        <f t="array" aca="1" ref="U1248" ca="1">IFERROR(IF(AA1248&lt;&gt;"ja",_xlfn.IFNA(_xlfn.IFS(AND(O1248&lt;&gt;"",F1248&lt;&gt;"",RIGHT($N1248,6)="tarief",F1248="Vergoeding"),SUM(O1248)*FLOOR(SUM(Q1248),0.0001),AND(O1248&lt;&gt;"",F1248&lt;&gt;"",RIGHT($N1248,6)="tarief"),SUM(O1248)*FLOOR(SUM(Q1248),0.01),S1248&gt;0,IF(F1248&lt;&gt;"",FLOOR(SUM(S1248),0.01),"")),""),""),"")</f>
        <v/>
      </c>
      <c r="V1248" s="317" t="str" cm="1">
        <f t="array" aca="1" ref="V1248" ca="1">IFERROR(IF(AA1248&lt;&gt;"ja",_xlfn.IFNA(_xlfn.IFS(AND(P1248&lt;&gt;"",R1248&lt;&gt;"",RIGHT($N1248,6)="tarief",F1248="Vergoeding"),SUM(P1248)*FLOOR(SUM(R1248),0.0001),AND(P1248&lt;&gt;"",R1248&lt;&gt;"",RIGHT($N1248,6)="tarief"),P1248*FLOOR(R1248,0.01),T1248&gt;0,FLOOR(SUM(T1248),0.01)),""),""),"")</f>
        <v/>
      </c>
      <c r="W1248" s="317" t="str" cm="1">
        <f t="array" aca="1" ref="W1248" ca="1">IFERROR(_xlfn.IFS(OR(F1248="",LEFT(Methode_Keuze,4)="Geen",Methode_Keuze=""),"",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17" t="str" cm="1">
        <f t="array" aca="1" ref="X1248" ca="1">IFERROR(_xlfn.IFS(OR(F1248="",LEFT(Methode_Keuze,4)="Geen",Methode_Keuze=""),"",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26"/>
      <c r="Z1248" s="319"/>
      <c r="AA1248" s="32" t="str" cm="1">
        <f t="array" ref="AA1248">IFERROR(IF(INDEX(SubsidieTabel!$AD$1:$AG$12,MATCH($F1248,SubsidieTabel!$AD$1:$AD$12,0),IFERROR(MATCH(Methode_Keuze,SubsidieTabel!$AD$1:$AG$1,0),2))&lt;&gt;1=TRUE,"ja",""),"")</f>
        <v/>
      </c>
    </row>
    <row r="1249" spans="1:27" x14ac:dyDescent="0.25">
      <c r="A1249" s="320"/>
      <c r="B1249" s="321" t="str">
        <f>IF(A1249&lt;&gt;"",_xlfn.MAXIFS($B$1:B1248,$A$1:A1248,A1249)+1,"")</f>
        <v/>
      </c>
      <c r="C1249" s="299"/>
      <c r="D1249" s="299"/>
      <c r="E1249" s="299"/>
      <c r="F1249" s="299"/>
      <c r="G1249" s="330"/>
      <c r="H1249" s="328"/>
      <c r="I1249" s="329"/>
      <c r="J1249" s="329"/>
      <c r="K1249" s="322"/>
      <c r="L1249" s="322"/>
      <c r="M1249" s="323" t="str">
        <f>IFERROR(VLOOKUP(H1249,Lijsten!$H$1:$I$100,2,0),"")</f>
        <v/>
      </c>
      <c r="N1249" s="323" t="str">
        <f ca="1">IFERROR(IF(VLOOKUP(F1249,Kostentypen!$A$3:$E$21,3,0)=0,"",IF(OR(F1249="Arbeidskosten",F1249="Vergoeding"),VLOOKUP(G1249,Tb_KostenTypen[],2,0),VLOOKUP(F1249,Kostentypen!$A$3:$E$20,3,0))),"")</f>
        <v/>
      </c>
      <c r="O1249" s="324"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4"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3"/>
      <c r="R1249" s="363"/>
      <c r="S1249" s="325"/>
      <c r="T1249" s="325"/>
      <c r="U1249" s="317" t="str" cm="1">
        <f t="array" aca="1" ref="U1249" ca="1">IFERROR(IF(AA1249&lt;&gt;"ja",_xlfn.IFNA(_xlfn.IFS(AND(O1249&lt;&gt;"",F1249&lt;&gt;"",RIGHT($N1249,6)="tarief",F1249="Vergoeding"),SUM(O1249)*FLOOR(SUM(Q1249),0.0001),AND(O1249&lt;&gt;"",F1249&lt;&gt;"",RIGHT($N1249,6)="tarief"),SUM(O1249)*FLOOR(SUM(Q1249),0.01),S1249&gt;0,IF(F1249&lt;&gt;"",FLOOR(SUM(S1249),0.01),"")),""),""),"")</f>
        <v/>
      </c>
      <c r="V1249" s="317" t="str" cm="1">
        <f t="array" aca="1" ref="V1249" ca="1">IFERROR(IF(AA1249&lt;&gt;"ja",_xlfn.IFNA(_xlfn.IFS(AND(P1249&lt;&gt;"",R1249&lt;&gt;"",RIGHT($N1249,6)="tarief",F1249="Vergoeding"),SUM(P1249)*FLOOR(SUM(R1249),0.0001),AND(P1249&lt;&gt;"",R1249&lt;&gt;"",RIGHT($N1249,6)="tarief"),P1249*FLOOR(R1249,0.01),T1249&gt;0,FLOOR(SUM(T1249),0.01)),""),""),"")</f>
        <v/>
      </c>
      <c r="W1249" s="317" t="str" cm="1">
        <f t="array" aca="1" ref="W1249" ca="1">IFERROR(_xlfn.IFS(OR(F1249="",LEFT(Methode_Keuze,4)="Geen",Methode_Keuze=""),"",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17" t="str" cm="1">
        <f t="array" aca="1" ref="X1249" ca="1">IFERROR(_xlfn.IFS(OR(F1249="",LEFT(Methode_Keuze,4)="Geen",Methode_Keuze=""),"",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26"/>
      <c r="Z1249" s="319"/>
      <c r="AA1249" s="32" t="str" cm="1">
        <f t="array" ref="AA1249">IFERROR(IF(INDEX(SubsidieTabel!$AD$1:$AG$12,MATCH($F1249,SubsidieTabel!$AD$1:$AD$12,0),IFERROR(MATCH(Methode_Keuze,SubsidieTabel!$AD$1:$AG$1,0),2))&lt;&gt;1=TRUE,"ja",""),"")</f>
        <v/>
      </c>
    </row>
    <row r="1250" spans="1:27" x14ac:dyDescent="0.25">
      <c r="A1250" s="320"/>
      <c r="B1250" s="321" t="str">
        <f>IF(A1250&lt;&gt;"",_xlfn.MAXIFS($B$1:B1249,$A$1:A1249,A1250)+1,"")</f>
        <v/>
      </c>
      <c r="C1250" s="299"/>
      <c r="D1250" s="299"/>
      <c r="E1250" s="299"/>
      <c r="F1250" s="299"/>
      <c r="G1250" s="330"/>
      <c r="H1250" s="328"/>
      <c r="I1250" s="329"/>
      <c r="J1250" s="329"/>
      <c r="K1250" s="322"/>
      <c r="L1250" s="322"/>
      <c r="M1250" s="323" t="str">
        <f>IFERROR(VLOOKUP(H1250,Lijsten!$H$1:$I$100,2,0),"")</f>
        <v/>
      </c>
      <c r="N1250" s="323" t="str">
        <f ca="1">IFERROR(IF(VLOOKUP(F1250,Kostentypen!$A$3:$E$21,3,0)=0,"",IF(OR(F1250="Arbeidskosten",F1250="Vergoeding"),VLOOKUP(G1250,Tb_KostenTypen[],2,0),VLOOKUP(F1250,Kostentypen!$A$3:$E$20,3,0))),"")</f>
        <v/>
      </c>
      <c r="O1250" s="324"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4"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3"/>
      <c r="R1250" s="363"/>
      <c r="S1250" s="325"/>
      <c r="T1250" s="325"/>
      <c r="U1250" s="317" t="str" cm="1">
        <f t="array" aca="1" ref="U1250" ca="1">IFERROR(IF(AA1250&lt;&gt;"ja",_xlfn.IFNA(_xlfn.IFS(AND(O1250&lt;&gt;"",F1250&lt;&gt;"",RIGHT($N1250,6)="tarief",F1250="Vergoeding"),SUM(O1250)*FLOOR(SUM(Q1250),0.0001),AND(O1250&lt;&gt;"",F1250&lt;&gt;"",RIGHT($N1250,6)="tarief"),SUM(O1250)*FLOOR(SUM(Q1250),0.01),S1250&gt;0,IF(F1250&lt;&gt;"",FLOOR(SUM(S1250),0.01),"")),""),""),"")</f>
        <v/>
      </c>
      <c r="V1250" s="317" t="str" cm="1">
        <f t="array" aca="1" ref="V1250" ca="1">IFERROR(IF(AA1250&lt;&gt;"ja",_xlfn.IFNA(_xlfn.IFS(AND(P1250&lt;&gt;"",R1250&lt;&gt;"",RIGHT($N1250,6)="tarief",F1250="Vergoeding"),SUM(P1250)*FLOOR(SUM(R1250),0.0001),AND(P1250&lt;&gt;"",R1250&lt;&gt;"",RIGHT($N1250,6)="tarief"),P1250*FLOOR(R1250,0.01),T1250&gt;0,FLOOR(SUM(T1250),0.01)),""),""),"")</f>
        <v/>
      </c>
      <c r="W1250" s="317" t="str" cm="1">
        <f t="array" aca="1" ref="W1250" ca="1">IFERROR(_xlfn.IFS(OR(F1250="",LEFT(Methode_Keuze,4)="Geen",Methode_Keuze=""),"",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17" t="str" cm="1">
        <f t="array" aca="1" ref="X1250" ca="1">IFERROR(_xlfn.IFS(OR(F1250="",LEFT(Methode_Keuze,4)="Geen",Methode_Keuze=""),"",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26"/>
      <c r="Z1250" s="319"/>
      <c r="AA1250" s="32" t="str" cm="1">
        <f t="array" ref="AA1250">IFERROR(IF(INDEX(SubsidieTabel!$AD$1:$AG$12,MATCH($F1250,SubsidieTabel!$AD$1:$AD$12,0),IFERROR(MATCH(Methode_Keuze,SubsidieTabel!$AD$1:$AG$1,0),2))&lt;&gt;1=TRUE,"ja",""),"")</f>
        <v/>
      </c>
    </row>
    <row r="1251" spans="1:27" x14ac:dyDescent="0.25">
      <c r="A1251" s="320"/>
      <c r="B1251" s="321" t="str">
        <f>IF(A1251&lt;&gt;"",_xlfn.MAXIFS($B$1:B1250,$A$1:A1250,A1251)+1,"")</f>
        <v/>
      </c>
      <c r="C1251" s="299"/>
      <c r="D1251" s="299"/>
      <c r="E1251" s="299"/>
      <c r="F1251" s="299"/>
      <c r="G1251" s="330"/>
      <c r="H1251" s="328"/>
      <c r="I1251" s="329"/>
      <c r="J1251" s="329"/>
      <c r="K1251" s="322"/>
      <c r="L1251" s="322"/>
      <c r="M1251" s="323" t="str">
        <f>IFERROR(VLOOKUP(H1251,Lijsten!$H$1:$I$100,2,0),"")</f>
        <v/>
      </c>
      <c r="N1251" s="323" t="str">
        <f ca="1">IFERROR(IF(VLOOKUP(F1251,Kostentypen!$A$3:$E$21,3,0)=0,"",IF(OR(F1251="Arbeidskosten",F1251="Vergoeding"),VLOOKUP(G1251,Tb_KostenTypen[],2,0),VLOOKUP(F1251,Kostentypen!$A$3:$E$20,3,0))),"")</f>
        <v/>
      </c>
      <c r="O1251" s="324"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4"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3"/>
      <c r="R1251" s="363"/>
      <c r="S1251" s="325"/>
      <c r="T1251" s="325"/>
      <c r="U1251" s="317" t="str" cm="1">
        <f t="array" aca="1" ref="U1251" ca="1">IFERROR(IF(AA1251&lt;&gt;"ja",_xlfn.IFNA(_xlfn.IFS(AND(O1251&lt;&gt;"",F1251&lt;&gt;"",RIGHT($N1251,6)="tarief",F1251="Vergoeding"),SUM(O1251)*FLOOR(SUM(Q1251),0.0001),AND(O1251&lt;&gt;"",F1251&lt;&gt;"",RIGHT($N1251,6)="tarief"),SUM(O1251)*FLOOR(SUM(Q1251),0.01),S1251&gt;0,IF(F1251&lt;&gt;"",FLOOR(SUM(S1251),0.01),"")),""),""),"")</f>
        <v/>
      </c>
      <c r="V1251" s="317" t="str" cm="1">
        <f t="array" aca="1" ref="V1251" ca="1">IFERROR(IF(AA1251&lt;&gt;"ja",_xlfn.IFNA(_xlfn.IFS(AND(P1251&lt;&gt;"",R1251&lt;&gt;"",RIGHT($N1251,6)="tarief",F1251="Vergoeding"),SUM(P1251)*FLOOR(SUM(R1251),0.0001),AND(P1251&lt;&gt;"",R1251&lt;&gt;"",RIGHT($N1251,6)="tarief"),P1251*FLOOR(R1251,0.01),T1251&gt;0,FLOOR(SUM(T1251),0.01)),""),""),"")</f>
        <v/>
      </c>
      <c r="W1251" s="317" t="str" cm="1">
        <f t="array" aca="1" ref="W1251" ca="1">IFERROR(_xlfn.IFS(OR(F1251="",LEFT(Methode_Keuze,4)="Geen",Methode_Keuze=""),"",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17" t="str" cm="1">
        <f t="array" aca="1" ref="X1251" ca="1">IFERROR(_xlfn.IFS(OR(F1251="",LEFT(Methode_Keuze,4)="Geen",Methode_Keuze=""),"",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26"/>
      <c r="Z1251" s="319"/>
      <c r="AA1251" s="32" t="str" cm="1">
        <f t="array" ref="AA1251">IFERROR(IF(INDEX(SubsidieTabel!$AD$1:$AG$12,MATCH($F1251,SubsidieTabel!$AD$1:$AD$12,0),IFERROR(MATCH(Methode_Keuze,SubsidieTabel!$AD$1:$AG$1,0),2))&lt;&gt;1=TRUE,"ja",""),"")</f>
        <v/>
      </c>
    </row>
    <row r="1252" spans="1:27" x14ac:dyDescent="0.25">
      <c r="A1252" s="320"/>
      <c r="B1252" s="321" t="str">
        <f>IF(A1252&lt;&gt;"",_xlfn.MAXIFS($B$1:B1251,$A$1:A1251,A1252)+1,"")</f>
        <v/>
      </c>
      <c r="C1252" s="299"/>
      <c r="D1252" s="299"/>
      <c r="E1252" s="299"/>
      <c r="F1252" s="299"/>
      <c r="G1252" s="330"/>
      <c r="H1252" s="328"/>
      <c r="I1252" s="329"/>
      <c r="J1252" s="329"/>
      <c r="K1252" s="322"/>
      <c r="L1252" s="322"/>
      <c r="M1252" s="323" t="str">
        <f>IFERROR(VLOOKUP(H1252,Lijsten!$H$1:$I$100,2,0),"")</f>
        <v/>
      </c>
      <c r="N1252" s="323" t="str">
        <f ca="1">IFERROR(IF(VLOOKUP(F1252,Kostentypen!$A$3:$E$21,3,0)=0,"",IF(OR(F1252="Arbeidskosten",F1252="Vergoeding"),VLOOKUP(G1252,Tb_KostenTypen[],2,0),VLOOKUP(F1252,Kostentypen!$A$3:$E$20,3,0))),"")</f>
        <v/>
      </c>
      <c r="O1252" s="324"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4"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3"/>
      <c r="R1252" s="363"/>
      <c r="S1252" s="325"/>
      <c r="T1252" s="325"/>
      <c r="U1252" s="317" t="str" cm="1">
        <f t="array" aca="1" ref="U1252" ca="1">IFERROR(IF(AA1252&lt;&gt;"ja",_xlfn.IFNA(_xlfn.IFS(AND(O1252&lt;&gt;"",F1252&lt;&gt;"",RIGHT($N1252,6)="tarief",F1252="Vergoeding"),SUM(O1252)*FLOOR(SUM(Q1252),0.0001),AND(O1252&lt;&gt;"",F1252&lt;&gt;"",RIGHT($N1252,6)="tarief"),SUM(O1252)*FLOOR(SUM(Q1252),0.01),S1252&gt;0,IF(F1252&lt;&gt;"",FLOOR(SUM(S1252),0.01),"")),""),""),"")</f>
        <v/>
      </c>
      <c r="V1252" s="317" t="str" cm="1">
        <f t="array" aca="1" ref="V1252" ca="1">IFERROR(IF(AA1252&lt;&gt;"ja",_xlfn.IFNA(_xlfn.IFS(AND(P1252&lt;&gt;"",R1252&lt;&gt;"",RIGHT($N1252,6)="tarief",F1252="Vergoeding"),SUM(P1252)*FLOOR(SUM(R1252),0.0001),AND(P1252&lt;&gt;"",R1252&lt;&gt;"",RIGHT($N1252,6)="tarief"),P1252*FLOOR(R1252,0.01),T1252&gt;0,FLOOR(SUM(T1252),0.01)),""),""),"")</f>
        <v/>
      </c>
      <c r="W1252" s="317" t="str" cm="1">
        <f t="array" aca="1" ref="W1252" ca="1">IFERROR(_xlfn.IFS(OR(F1252="",LEFT(Methode_Keuze,4)="Geen",Methode_Keuze=""),"",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17" t="str" cm="1">
        <f t="array" aca="1" ref="X1252" ca="1">IFERROR(_xlfn.IFS(OR(F1252="",LEFT(Methode_Keuze,4)="Geen",Methode_Keuze=""),"",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26"/>
      <c r="Z1252" s="319"/>
      <c r="AA1252" s="32" t="str" cm="1">
        <f t="array" ref="AA1252">IFERROR(IF(INDEX(SubsidieTabel!$AD$1:$AG$12,MATCH($F1252,SubsidieTabel!$AD$1:$AD$12,0),IFERROR(MATCH(Methode_Keuze,SubsidieTabel!$AD$1:$AG$1,0),2))&lt;&gt;1=TRUE,"ja",""),"")</f>
        <v/>
      </c>
    </row>
    <row r="1253" spans="1:27" x14ac:dyDescent="0.25">
      <c r="A1253" s="320"/>
      <c r="B1253" s="321" t="str">
        <f>IF(A1253&lt;&gt;"",_xlfn.MAXIFS($B$1:B1252,$A$1:A1252,A1253)+1,"")</f>
        <v/>
      </c>
      <c r="C1253" s="299"/>
      <c r="D1253" s="299"/>
      <c r="E1253" s="299"/>
      <c r="F1253" s="299"/>
      <c r="G1253" s="330"/>
      <c r="H1253" s="328"/>
      <c r="I1253" s="329"/>
      <c r="J1253" s="329"/>
      <c r="K1253" s="322"/>
      <c r="L1253" s="322"/>
      <c r="M1253" s="323" t="str">
        <f>IFERROR(VLOOKUP(H1253,Lijsten!$H$1:$I$100,2,0),"")</f>
        <v/>
      </c>
      <c r="N1253" s="323" t="str">
        <f ca="1">IFERROR(IF(VLOOKUP(F1253,Kostentypen!$A$3:$E$21,3,0)=0,"",IF(OR(F1253="Arbeidskosten",F1253="Vergoeding"),VLOOKUP(G1253,Tb_KostenTypen[],2,0),VLOOKUP(F1253,Kostentypen!$A$3:$E$20,3,0))),"")</f>
        <v/>
      </c>
      <c r="O1253" s="324"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4"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3"/>
      <c r="R1253" s="363"/>
      <c r="S1253" s="325"/>
      <c r="T1253" s="325"/>
      <c r="U1253" s="317" t="str" cm="1">
        <f t="array" aca="1" ref="U1253" ca="1">IFERROR(IF(AA1253&lt;&gt;"ja",_xlfn.IFNA(_xlfn.IFS(AND(O1253&lt;&gt;"",F1253&lt;&gt;"",RIGHT($N1253,6)="tarief",F1253="Vergoeding"),SUM(O1253)*FLOOR(SUM(Q1253),0.0001),AND(O1253&lt;&gt;"",F1253&lt;&gt;"",RIGHT($N1253,6)="tarief"),SUM(O1253)*FLOOR(SUM(Q1253),0.01),S1253&gt;0,IF(F1253&lt;&gt;"",FLOOR(SUM(S1253),0.01),"")),""),""),"")</f>
        <v/>
      </c>
      <c r="V1253" s="317" t="str" cm="1">
        <f t="array" aca="1" ref="V1253" ca="1">IFERROR(IF(AA1253&lt;&gt;"ja",_xlfn.IFNA(_xlfn.IFS(AND(P1253&lt;&gt;"",R1253&lt;&gt;"",RIGHT($N1253,6)="tarief",F1253="Vergoeding"),SUM(P1253)*FLOOR(SUM(R1253),0.0001),AND(P1253&lt;&gt;"",R1253&lt;&gt;"",RIGHT($N1253,6)="tarief"),P1253*FLOOR(R1253,0.01),T1253&gt;0,FLOOR(SUM(T1253),0.01)),""),""),"")</f>
        <v/>
      </c>
      <c r="W1253" s="317" t="str" cm="1">
        <f t="array" aca="1" ref="W1253" ca="1">IFERROR(_xlfn.IFS(OR(F1253="",LEFT(Methode_Keuze,4)="Geen",Methode_Keuze=""),"",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17" t="str" cm="1">
        <f t="array" aca="1" ref="X1253" ca="1">IFERROR(_xlfn.IFS(OR(F1253="",LEFT(Methode_Keuze,4)="Geen",Methode_Keuze=""),"",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26"/>
      <c r="Z1253" s="319"/>
      <c r="AA1253" s="32" t="str" cm="1">
        <f t="array" ref="AA1253">IFERROR(IF(INDEX(SubsidieTabel!$AD$1:$AG$12,MATCH($F1253,SubsidieTabel!$AD$1:$AD$12,0),IFERROR(MATCH(Methode_Keuze,SubsidieTabel!$AD$1:$AG$1,0),2))&lt;&gt;1=TRUE,"ja",""),"")</f>
        <v/>
      </c>
    </row>
    <row r="1254" spans="1:27" x14ac:dyDescent="0.25">
      <c r="A1254" s="320"/>
      <c r="B1254" s="321" t="str">
        <f>IF(A1254&lt;&gt;"",_xlfn.MAXIFS($B$1:B1253,$A$1:A1253,A1254)+1,"")</f>
        <v/>
      </c>
      <c r="C1254" s="299"/>
      <c r="D1254" s="299"/>
      <c r="E1254" s="299"/>
      <c r="F1254" s="299"/>
      <c r="G1254" s="330"/>
      <c r="H1254" s="328"/>
      <c r="I1254" s="329"/>
      <c r="J1254" s="329"/>
      <c r="K1254" s="322"/>
      <c r="L1254" s="322"/>
      <c r="M1254" s="323" t="str">
        <f>IFERROR(VLOOKUP(H1254,Lijsten!$H$1:$I$100,2,0),"")</f>
        <v/>
      </c>
      <c r="N1254" s="323" t="str">
        <f ca="1">IFERROR(IF(VLOOKUP(F1254,Kostentypen!$A$3:$E$21,3,0)=0,"",IF(OR(F1254="Arbeidskosten",F1254="Vergoeding"),VLOOKUP(G1254,Tb_KostenTypen[],2,0),VLOOKUP(F1254,Kostentypen!$A$3:$E$20,3,0))),"")</f>
        <v/>
      </c>
      <c r="O1254" s="324"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4"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3"/>
      <c r="R1254" s="363"/>
      <c r="S1254" s="325"/>
      <c r="T1254" s="325"/>
      <c r="U1254" s="317" t="str" cm="1">
        <f t="array" aca="1" ref="U1254" ca="1">IFERROR(IF(AA1254&lt;&gt;"ja",_xlfn.IFNA(_xlfn.IFS(AND(O1254&lt;&gt;"",F1254&lt;&gt;"",RIGHT($N1254,6)="tarief",F1254="Vergoeding"),SUM(O1254)*FLOOR(SUM(Q1254),0.0001),AND(O1254&lt;&gt;"",F1254&lt;&gt;"",RIGHT($N1254,6)="tarief"),SUM(O1254)*FLOOR(SUM(Q1254),0.01),S1254&gt;0,IF(F1254&lt;&gt;"",FLOOR(SUM(S1254),0.01),"")),""),""),"")</f>
        <v/>
      </c>
      <c r="V1254" s="317" t="str" cm="1">
        <f t="array" aca="1" ref="V1254" ca="1">IFERROR(IF(AA1254&lt;&gt;"ja",_xlfn.IFNA(_xlfn.IFS(AND(P1254&lt;&gt;"",R1254&lt;&gt;"",RIGHT($N1254,6)="tarief",F1254="Vergoeding"),SUM(P1254)*FLOOR(SUM(R1254),0.0001),AND(P1254&lt;&gt;"",R1254&lt;&gt;"",RIGHT($N1254,6)="tarief"),P1254*FLOOR(R1254,0.01),T1254&gt;0,FLOOR(SUM(T1254),0.01)),""),""),"")</f>
        <v/>
      </c>
      <c r="W1254" s="317" t="str" cm="1">
        <f t="array" aca="1" ref="W1254" ca="1">IFERROR(_xlfn.IFS(OR(F1254="",LEFT(Methode_Keuze,4)="Geen",Methode_Keuze=""),"",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17" t="str" cm="1">
        <f t="array" aca="1" ref="X1254" ca="1">IFERROR(_xlfn.IFS(OR(F1254="",LEFT(Methode_Keuze,4)="Geen",Methode_Keuze=""),"",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26"/>
      <c r="Z1254" s="319"/>
      <c r="AA1254" s="32" t="str" cm="1">
        <f t="array" ref="AA1254">IFERROR(IF(INDEX(SubsidieTabel!$AD$1:$AG$12,MATCH($F1254,SubsidieTabel!$AD$1:$AD$12,0),IFERROR(MATCH(Methode_Keuze,SubsidieTabel!$AD$1:$AG$1,0),2))&lt;&gt;1=TRUE,"ja",""),"")</f>
        <v/>
      </c>
    </row>
    <row r="1255" spans="1:27" x14ac:dyDescent="0.25">
      <c r="A1255" s="320"/>
      <c r="B1255" s="321" t="str">
        <f>IF(A1255&lt;&gt;"",_xlfn.MAXIFS($B$1:B1254,$A$1:A1254,A1255)+1,"")</f>
        <v/>
      </c>
      <c r="C1255" s="299"/>
      <c r="D1255" s="299"/>
      <c r="E1255" s="299"/>
      <c r="F1255" s="299"/>
      <c r="G1255" s="330"/>
      <c r="H1255" s="328"/>
      <c r="I1255" s="329"/>
      <c r="J1255" s="329"/>
      <c r="K1255" s="322"/>
      <c r="L1255" s="322"/>
      <c r="M1255" s="323" t="str">
        <f>IFERROR(VLOOKUP(H1255,Lijsten!$H$1:$I$100,2,0),"")</f>
        <v/>
      </c>
      <c r="N1255" s="323" t="str">
        <f ca="1">IFERROR(IF(VLOOKUP(F1255,Kostentypen!$A$3:$E$21,3,0)=0,"",IF(OR(F1255="Arbeidskosten",F1255="Vergoeding"),VLOOKUP(G1255,Tb_KostenTypen[],2,0),VLOOKUP(F1255,Kostentypen!$A$3:$E$20,3,0))),"")</f>
        <v/>
      </c>
      <c r="O1255" s="324"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4"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3"/>
      <c r="R1255" s="363"/>
      <c r="S1255" s="325"/>
      <c r="T1255" s="325"/>
      <c r="U1255" s="317" t="str" cm="1">
        <f t="array" aca="1" ref="U1255" ca="1">IFERROR(IF(AA1255&lt;&gt;"ja",_xlfn.IFNA(_xlfn.IFS(AND(O1255&lt;&gt;"",F1255&lt;&gt;"",RIGHT($N1255,6)="tarief",F1255="Vergoeding"),SUM(O1255)*FLOOR(SUM(Q1255),0.0001),AND(O1255&lt;&gt;"",F1255&lt;&gt;"",RIGHT($N1255,6)="tarief"),SUM(O1255)*FLOOR(SUM(Q1255),0.01),S1255&gt;0,IF(F1255&lt;&gt;"",FLOOR(SUM(S1255),0.01),"")),""),""),"")</f>
        <v/>
      </c>
      <c r="V1255" s="317" t="str" cm="1">
        <f t="array" aca="1" ref="V1255" ca="1">IFERROR(IF(AA1255&lt;&gt;"ja",_xlfn.IFNA(_xlfn.IFS(AND(P1255&lt;&gt;"",R1255&lt;&gt;"",RIGHT($N1255,6)="tarief",F1255="Vergoeding"),SUM(P1255)*FLOOR(SUM(R1255),0.0001),AND(P1255&lt;&gt;"",R1255&lt;&gt;"",RIGHT($N1255,6)="tarief"),P1255*FLOOR(R1255,0.01),T1255&gt;0,FLOOR(SUM(T1255),0.01)),""),""),"")</f>
        <v/>
      </c>
      <c r="W1255" s="317" t="str" cm="1">
        <f t="array" aca="1" ref="W1255" ca="1">IFERROR(_xlfn.IFS(OR(F1255="",LEFT(Methode_Keuze,4)="Geen",Methode_Keuze=""),"",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17" t="str" cm="1">
        <f t="array" aca="1" ref="X1255" ca="1">IFERROR(_xlfn.IFS(OR(F1255="",LEFT(Methode_Keuze,4)="Geen",Methode_Keuze=""),"",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26"/>
      <c r="Z1255" s="319"/>
      <c r="AA1255" s="32" t="str" cm="1">
        <f t="array" ref="AA1255">IFERROR(IF(INDEX(SubsidieTabel!$AD$1:$AG$12,MATCH($F1255,SubsidieTabel!$AD$1:$AD$12,0),IFERROR(MATCH(Methode_Keuze,SubsidieTabel!$AD$1:$AG$1,0),2))&lt;&gt;1=TRUE,"ja",""),"")</f>
        <v/>
      </c>
    </row>
    <row r="1256" spans="1:27" x14ac:dyDescent="0.25">
      <c r="A1256" s="320"/>
      <c r="B1256" s="321" t="str">
        <f>IF(A1256&lt;&gt;"",_xlfn.MAXIFS($B$1:B1255,$A$1:A1255,A1256)+1,"")</f>
        <v/>
      </c>
      <c r="C1256" s="299"/>
      <c r="D1256" s="299"/>
      <c r="E1256" s="299"/>
      <c r="F1256" s="299"/>
      <c r="G1256" s="330"/>
      <c r="H1256" s="328"/>
      <c r="I1256" s="329"/>
      <c r="J1256" s="329"/>
      <c r="K1256" s="322"/>
      <c r="L1256" s="322"/>
      <c r="M1256" s="323" t="str">
        <f>IFERROR(VLOOKUP(H1256,Lijsten!$H$1:$I$100,2,0),"")</f>
        <v/>
      </c>
      <c r="N1256" s="323" t="str">
        <f ca="1">IFERROR(IF(VLOOKUP(F1256,Kostentypen!$A$3:$E$21,3,0)=0,"",IF(OR(F1256="Arbeidskosten",F1256="Vergoeding"),VLOOKUP(G1256,Tb_KostenTypen[],2,0),VLOOKUP(F1256,Kostentypen!$A$3:$E$20,3,0))),"")</f>
        <v/>
      </c>
      <c r="O1256" s="324"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4"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3"/>
      <c r="R1256" s="363"/>
      <c r="S1256" s="325"/>
      <c r="T1256" s="325"/>
      <c r="U1256" s="317" t="str" cm="1">
        <f t="array" aca="1" ref="U1256" ca="1">IFERROR(IF(AA1256&lt;&gt;"ja",_xlfn.IFNA(_xlfn.IFS(AND(O1256&lt;&gt;"",F1256&lt;&gt;"",RIGHT($N1256,6)="tarief",F1256="Vergoeding"),SUM(O1256)*FLOOR(SUM(Q1256),0.0001),AND(O1256&lt;&gt;"",F1256&lt;&gt;"",RIGHT($N1256,6)="tarief"),SUM(O1256)*FLOOR(SUM(Q1256),0.01),S1256&gt;0,IF(F1256&lt;&gt;"",FLOOR(SUM(S1256),0.01),"")),""),""),"")</f>
        <v/>
      </c>
      <c r="V1256" s="317" t="str" cm="1">
        <f t="array" aca="1" ref="V1256" ca="1">IFERROR(IF(AA1256&lt;&gt;"ja",_xlfn.IFNA(_xlfn.IFS(AND(P1256&lt;&gt;"",R1256&lt;&gt;"",RIGHT($N1256,6)="tarief",F1256="Vergoeding"),SUM(P1256)*FLOOR(SUM(R1256),0.0001),AND(P1256&lt;&gt;"",R1256&lt;&gt;"",RIGHT($N1256,6)="tarief"),P1256*FLOOR(R1256,0.01),T1256&gt;0,FLOOR(SUM(T1256),0.01)),""),""),"")</f>
        <v/>
      </c>
      <c r="W1256" s="317" t="str" cm="1">
        <f t="array" aca="1" ref="W1256" ca="1">IFERROR(_xlfn.IFS(OR(F1256="",LEFT(Methode_Keuze,4)="Geen",Methode_Keuze=""),"",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17" t="str" cm="1">
        <f t="array" aca="1" ref="X1256" ca="1">IFERROR(_xlfn.IFS(OR(F1256="",LEFT(Methode_Keuze,4)="Geen",Methode_Keuze=""),"",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26"/>
      <c r="Z1256" s="319"/>
      <c r="AA1256" s="32" t="str" cm="1">
        <f t="array" ref="AA1256">IFERROR(IF(INDEX(SubsidieTabel!$AD$1:$AG$12,MATCH($F1256,SubsidieTabel!$AD$1:$AD$12,0),IFERROR(MATCH(Methode_Keuze,SubsidieTabel!$AD$1:$AG$1,0),2))&lt;&gt;1=TRUE,"ja",""),"")</f>
        <v/>
      </c>
    </row>
    <row r="1257" spans="1:27" x14ac:dyDescent="0.25">
      <c r="A1257" s="320"/>
      <c r="B1257" s="321" t="str">
        <f>IF(A1257&lt;&gt;"",_xlfn.MAXIFS($B$1:B1256,$A$1:A1256,A1257)+1,"")</f>
        <v/>
      </c>
      <c r="C1257" s="299"/>
      <c r="D1257" s="299"/>
      <c r="E1257" s="299"/>
      <c r="F1257" s="299"/>
      <c r="G1257" s="330"/>
      <c r="H1257" s="328"/>
      <c r="I1257" s="329"/>
      <c r="J1257" s="329"/>
      <c r="K1257" s="322"/>
      <c r="L1257" s="322"/>
      <c r="M1257" s="323" t="str">
        <f>IFERROR(VLOOKUP(H1257,Lijsten!$H$1:$I$100,2,0),"")</f>
        <v/>
      </c>
      <c r="N1257" s="323" t="str">
        <f ca="1">IFERROR(IF(VLOOKUP(F1257,Kostentypen!$A$3:$E$21,3,0)=0,"",IF(OR(F1257="Arbeidskosten",F1257="Vergoeding"),VLOOKUP(G1257,Tb_KostenTypen[],2,0),VLOOKUP(F1257,Kostentypen!$A$3:$E$20,3,0))),"")</f>
        <v/>
      </c>
      <c r="O1257" s="324"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4"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3"/>
      <c r="R1257" s="363"/>
      <c r="S1257" s="325"/>
      <c r="T1257" s="325"/>
      <c r="U1257" s="317" t="str" cm="1">
        <f t="array" aca="1" ref="U1257" ca="1">IFERROR(IF(AA1257&lt;&gt;"ja",_xlfn.IFNA(_xlfn.IFS(AND(O1257&lt;&gt;"",F1257&lt;&gt;"",RIGHT($N1257,6)="tarief",F1257="Vergoeding"),SUM(O1257)*FLOOR(SUM(Q1257),0.0001),AND(O1257&lt;&gt;"",F1257&lt;&gt;"",RIGHT($N1257,6)="tarief"),SUM(O1257)*FLOOR(SUM(Q1257),0.01),S1257&gt;0,IF(F1257&lt;&gt;"",FLOOR(SUM(S1257),0.01),"")),""),""),"")</f>
        <v/>
      </c>
      <c r="V1257" s="317" t="str" cm="1">
        <f t="array" aca="1" ref="V1257" ca="1">IFERROR(IF(AA1257&lt;&gt;"ja",_xlfn.IFNA(_xlfn.IFS(AND(P1257&lt;&gt;"",R1257&lt;&gt;"",RIGHT($N1257,6)="tarief",F1257="Vergoeding"),SUM(P1257)*FLOOR(SUM(R1257),0.0001),AND(P1257&lt;&gt;"",R1257&lt;&gt;"",RIGHT($N1257,6)="tarief"),P1257*FLOOR(R1257,0.01),T1257&gt;0,FLOOR(SUM(T1257),0.01)),""),""),"")</f>
        <v/>
      </c>
      <c r="W1257" s="317" t="str" cm="1">
        <f t="array" aca="1" ref="W1257" ca="1">IFERROR(_xlfn.IFS(OR(F1257="",LEFT(Methode_Keuze,4)="Geen",Methode_Keuze=""),"",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17" t="str" cm="1">
        <f t="array" aca="1" ref="X1257" ca="1">IFERROR(_xlfn.IFS(OR(F1257="",LEFT(Methode_Keuze,4)="Geen",Methode_Keuze=""),"",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26"/>
      <c r="Z1257" s="319"/>
      <c r="AA1257" s="32" t="str" cm="1">
        <f t="array" ref="AA1257">IFERROR(IF(INDEX(SubsidieTabel!$AD$1:$AG$12,MATCH($F1257,SubsidieTabel!$AD$1:$AD$12,0),IFERROR(MATCH(Methode_Keuze,SubsidieTabel!$AD$1:$AG$1,0),2))&lt;&gt;1=TRUE,"ja",""),"")</f>
        <v/>
      </c>
    </row>
    <row r="1258" spans="1:27" x14ac:dyDescent="0.25">
      <c r="A1258" s="320"/>
      <c r="B1258" s="321" t="str">
        <f>IF(A1258&lt;&gt;"",_xlfn.MAXIFS($B$1:B1257,$A$1:A1257,A1258)+1,"")</f>
        <v/>
      </c>
      <c r="C1258" s="299"/>
      <c r="D1258" s="299"/>
      <c r="E1258" s="299"/>
      <c r="F1258" s="299"/>
      <c r="G1258" s="330"/>
      <c r="H1258" s="328"/>
      <c r="I1258" s="329"/>
      <c r="J1258" s="329"/>
      <c r="K1258" s="322"/>
      <c r="L1258" s="322"/>
      <c r="M1258" s="323" t="str">
        <f>IFERROR(VLOOKUP(H1258,Lijsten!$H$1:$I$100,2,0),"")</f>
        <v/>
      </c>
      <c r="N1258" s="323" t="str">
        <f ca="1">IFERROR(IF(VLOOKUP(F1258,Kostentypen!$A$3:$E$21,3,0)=0,"",IF(OR(F1258="Arbeidskosten",F1258="Vergoeding"),VLOOKUP(G1258,Tb_KostenTypen[],2,0),VLOOKUP(F1258,Kostentypen!$A$3:$E$20,3,0))),"")</f>
        <v/>
      </c>
      <c r="O1258" s="324"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4"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3"/>
      <c r="R1258" s="363"/>
      <c r="S1258" s="325"/>
      <c r="T1258" s="325"/>
      <c r="U1258" s="317" t="str" cm="1">
        <f t="array" aca="1" ref="U1258" ca="1">IFERROR(IF(AA1258&lt;&gt;"ja",_xlfn.IFNA(_xlfn.IFS(AND(O1258&lt;&gt;"",F1258&lt;&gt;"",RIGHT($N1258,6)="tarief",F1258="Vergoeding"),SUM(O1258)*FLOOR(SUM(Q1258),0.0001),AND(O1258&lt;&gt;"",F1258&lt;&gt;"",RIGHT($N1258,6)="tarief"),SUM(O1258)*FLOOR(SUM(Q1258),0.01),S1258&gt;0,IF(F1258&lt;&gt;"",FLOOR(SUM(S1258),0.01),"")),""),""),"")</f>
        <v/>
      </c>
      <c r="V1258" s="317" t="str" cm="1">
        <f t="array" aca="1" ref="V1258" ca="1">IFERROR(IF(AA1258&lt;&gt;"ja",_xlfn.IFNA(_xlfn.IFS(AND(P1258&lt;&gt;"",R1258&lt;&gt;"",RIGHT($N1258,6)="tarief",F1258="Vergoeding"),SUM(P1258)*FLOOR(SUM(R1258),0.0001),AND(P1258&lt;&gt;"",R1258&lt;&gt;"",RIGHT($N1258,6)="tarief"),P1258*FLOOR(R1258,0.01),T1258&gt;0,FLOOR(SUM(T1258),0.01)),""),""),"")</f>
        <v/>
      </c>
      <c r="W1258" s="317" t="str" cm="1">
        <f t="array" aca="1" ref="W1258" ca="1">IFERROR(_xlfn.IFS(OR(F1258="",LEFT(Methode_Keuze,4)="Geen",Methode_Keuze=""),"",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17" t="str" cm="1">
        <f t="array" aca="1" ref="X1258" ca="1">IFERROR(_xlfn.IFS(OR(F1258="",LEFT(Methode_Keuze,4)="Geen",Methode_Keuze=""),"",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26"/>
      <c r="Z1258" s="319"/>
      <c r="AA1258" s="32" t="str" cm="1">
        <f t="array" ref="AA1258">IFERROR(IF(INDEX(SubsidieTabel!$AD$1:$AG$12,MATCH($F1258,SubsidieTabel!$AD$1:$AD$12,0),IFERROR(MATCH(Methode_Keuze,SubsidieTabel!$AD$1:$AG$1,0),2))&lt;&gt;1=TRUE,"ja",""),"")</f>
        <v/>
      </c>
    </row>
    <row r="1259" spans="1:27" x14ac:dyDescent="0.25">
      <c r="A1259" s="320"/>
      <c r="B1259" s="321" t="str">
        <f>IF(A1259&lt;&gt;"",_xlfn.MAXIFS($B$1:B1258,$A$1:A1258,A1259)+1,"")</f>
        <v/>
      </c>
      <c r="C1259" s="299"/>
      <c r="D1259" s="299"/>
      <c r="E1259" s="299"/>
      <c r="F1259" s="299"/>
      <c r="G1259" s="330"/>
      <c r="H1259" s="328"/>
      <c r="I1259" s="329"/>
      <c r="J1259" s="329"/>
      <c r="K1259" s="322"/>
      <c r="L1259" s="322"/>
      <c r="M1259" s="323" t="str">
        <f>IFERROR(VLOOKUP(H1259,Lijsten!$H$1:$I$100,2,0),"")</f>
        <v/>
      </c>
      <c r="N1259" s="323" t="str">
        <f ca="1">IFERROR(IF(VLOOKUP(F1259,Kostentypen!$A$3:$E$21,3,0)=0,"",IF(OR(F1259="Arbeidskosten",F1259="Vergoeding"),VLOOKUP(G1259,Tb_KostenTypen[],2,0),VLOOKUP(F1259,Kostentypen!$A$3:$E$20,3,0))),"")</f>
        <v/>
      </c>
      <c r="O1259" s="324"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4"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3"/>
      <c r="R1259" s="363"/>
      <c r="S1259" s="325"/>
      <c r="T1259" s="325"/>
      <c r="U1259" s="317" t="str" cm="1">
        <f t="array" aca="1" ref="U1259" ca="1">IFERROR(IF(AA1259&lt;&gt;"ja",_xlfn.IFNA(_xlfn.IFS(AND(O1259&lt;&gt;"",F1259&lt;&gt;"",RIGHT($N1259,6)="tarief",F1259="Vergoeding"),SUM(O1259)*FLOOR(SUM(Q1259),0.0001),AND(O1259&lt;&gt;"",F1259&lt;&gt;"",RIGHT($N1259,6)="tarief"),SUM(O1259)*FLOOR(SUM(Q1259),0.01),S1259&gt;0,IF(F1259&lt;&gt;"",FLOOR(SUM(S1259),0.01),"")),""),""),"")</f>
        <v/>
      </c>
      <c r="V1259" s="317" t="str" cm="1">
        <f t="array" aca="1" ref="V1259" ca="1">IFERROR(IF(AA1259&lt;&gt;"ja",_xlfn.IFNA(_xlfn.IFS(AND(P1259&lt;&gt;"",R1259&lt;&gt;"",RIGHT($N1259,6)="tarief",F1259="Vergoeding"),SUM(P1259)*FLOOR(SUM(R1259),0.0001),AND(P1259&lt;&gt;"",R1259&lt;&gt;"",RIGHT($N1259,6)="tarief"),P1259*FLOOR(R1259,0.01),T1259&gt;0,FLOOR(SUM(T1259),0.01)),""),""),"")</f>
        <v/>
      </c>
      <c r="W1259" s="317" t="str" cm="1">
        <f t="array" aca="1" ref="W1259" ca="1">IFERROR(_xlfn.IFS(OR(F1259="",LEFT(Methode_Keuze,4)="Geen",Methode_Keuze=""),"",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17" t="str" cm="1">
        <f t="array" aca="1" ref="X1259" ca="1">IFERROR(_xlfn.IFS(OR(F1259="",LEFT(Methode_Keuze,4)="Geen",Methode_Keuze=""),"",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26"/>
      <c r="Z1259" s="319"/>
      <c r="AA1259" s="32" t="str" cm="1">
        <f t="array" ref="AA1259">IFERROR(IF(INDEX(SubsidieTabel!$AD$1:$AG$12,MATCH($F1259,SubsidieTabel!$AD$1:$AD$12,0),IFERROR(MATCH(Methode_Keuze,SubsidieTabel!$AD$1:$AG$1,0),2))&lt;&gt;1=TRUE,"ja",""),"")</f>
        <v/>
      </c>
    </row>
    <row r="1260" spans="1:27" x14ac:dyDescent="0.25">
      <c r="A1260" s="320"/>
      <c r="B1260" s="321" t="str">
        <f>IF(A1260&lt;&gt;"",_xlfn.MAXIFS($B$1:B1259,$A$1:A1259,A1260)+1,"")</f>
        <v/>
      </c>
      <c r="C1260" s="299"/>
      <c r="D1260" s="299"/>
      <c r="E1260" s="299"/>
      <c r="F1260" s="299"/>
      <c r="G1260" s="330"/>
      <c r="H1260" s="328"/>
      <c r="I1260" s="329"/>
      <c r="J1260" s="329"/>
      <c r="K1260" s="322"/>
      <c r="L1260" s="322"/>
      <c r="M1260" s="323" t="str">
        <f>IFERROR(VLOOKUP(H1260,Lijsten!$H$1:$I$100,2,0),"")</f>
        <v/>
      </c>
      <c r="N1260" s="323" t="str">
        <f ca="1">IFERROR(IF(VLOOKUP(F1260,Kostentypen!$A$3:$E$21,3,0)=0,"",IF(OR(F1260="Arbeidskosten",F1260="Vergoeding"),VLOOKUP(G1260,Tb_KostenTypen[],2,0),VLOOKUP(F1260,Kostentypen!$A$3:$E$20,3,0))),"")</f>
        <v/>
      </c>
      <c r="O1260" s="324"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4"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3"/>
      <c r="R1260" s="363"/>
      <c r="S1260" s="325"/>
      <c r="T1260" s="325"/>
      <c r="U1260" s="317" t="str" cm="1">
        <f t="array" aca="1" ref="U1260" ca="1">IFERROR(IF(AA1260&lt;&gt;"ja",_xlfn.IFNA(_xlfn.IFS(AND(O1260&lt;&gt;"",F1260&lt;&gt;"",RIGHT($N1260,6)="tarief",F1260="Vergoeding"),SUM(O1260)*FLOOR(SUM(Q1260),0.0001),AND(O1260&lt;&gt;"",F1260&lt;&gt;"",RIGHT($N1260,6)="tarief"),SUM(O1260)*FLOOR(SUM(Q1260),0.01),S1260&gt;0,IF(F1260&lt;&gt;"",FLOOR(SUM(S1260),0.01),"")),""),""),"")</f>
        <v/>
      </c>
      <c r="V1260" s="317" t="str" cm="1">
        <f t="array" aca="1" ref="V1260" ca="1">IFERROR(IF(AA1260&lt;&gt;"ja",_xlfn.IFNA(_xlfn.IFS(AND(P1260&lt;&gt;"",R1260&lt;&gt;"",RIGHT($N1260,6)="tarief",F1260="Vergoeding"),SUM(P1260)*FLOOR(SUM(R1260),0.0001),AND(P1260&lt;&gt;"",R1260&lt;&gt;"",RIGHT($N1260,6)="tarief"),P1260*FLOOR(R1260,0.01),T1260&gt;0,FLOOR(SUM(T1260),0.01)),""),""),"")</f>
        <v/>
      </c>
      <c r="W1260" s="317" t="str" cm="1">
        <f t="array" aca="1" ref="W1260" ca="1">IFERROR(_xlfn.IFS(OR(F1260="",LEFT(Methode_Keuze,4)="Geen",Methode_Keuze=""),"",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17" t="str" cm="1">
        <f t="array" aca="1" ref="X1260" ca="1">IFERROR(_xlfn.IFS(OR(F1260="",LEFT(Methode_Keuze,4)="Geen",Methode_Keuze=""),"",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26"/>
      <c r="Z1260" s="319"/>
      <c r="AA1260" s="32" t="str" cm="1">
        <f t="array" ref="AA1260">IFERROR(IF(INDEX(SubsidieTabel!$AD$1:$AG$12,MATCH($F1260,SubsidieTabel!$AD$1:$AD$12,0),IFERROR(MATCH(Methode_Keuze,SubsidieTabel!$AD$1:$AG$1,0),2))&lt;&gt;1=TRUE,"ja",""),"")</f>
        <v/>
      </c>
    </row>
    <row r="1261" spans="1:27" x14ac:dyDescent="0.25">
      <c r="A1261" s="320"/>
      <c r="B1261" s="321" t="str">
        <f>IF(A1261&lt;&gt;"",_xlfn.MAXIFS($B$1:B1260,$A$1:A1260,A1261)+1,"")</f>
        <v/>
      </c>
      <c r="C1261" s="299"/>
      <c r="D1261" s="299"/>
      <c r="E1261" s="299"/>
      <c r="F1261" s="299"/>
      <c r="G1261" s="330"/>
      <c r="H1261" s="328"/>
      <c r="I1261" s="329"/>
      <c r="J1261" s="329"/>
      <c r="K1261" s="322"/>
      <c r="L1261" s="322"/>
      <c r="M1261" s="323" t="str">
        <f>IFERROR(VLOOKUP(H1261,Lijsten!$H$1:$I$100,2,0),"")</f>
        <v/>
      </c>
      <c r="N1261" s="323" t="str">
        <f ca="1">IFERROR(IF(VLOOKUP(F1261,Kostentypen!$A$3:$E$21,3,0)=0,"",IF(OR(F1261="Arbeidskosten",F1261="Vergoeding"),VLOOKUP(G1261,Tb_KostenTypen[],2,0),VLOOKUP(F1261,Kostentypen!$A$3:$E$20,3,0))),"")</f>
        <v/>
      </c>
      <c r="O1261" s="324"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4"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3"/>
      <c r="R1261" s="363"/>
      <c r="S1261" s="325"/>
      <c r="T1261" s="325"/>
      <c r="U1261" s="317" t="str" cm="1">
        <f t="array" aca="1" ref="U1261" ca="1">IFERROR(IF(AA1261&lt;&gt;"ja",_xlfn.IFNA(_xlfn.IFS(AND(O1261&lt;&gt;"",F1261&lt;&gt;"",RIGHT($N1261,6)="tarief",F1261="Vergoeding"),SUM(O1261)*FLOOR(SUM(Q1261),0.0001),AND(O1261&lt;&gt;"",F1261&lt;&gt;"",RIGHT($N1261,6)="tarief"),SUM(O1261)*FLOOR(SUM(Q1261),0.01),S1261&gt;0,IF(F1261&lt;&gt;"",FLOOR(SUM(S1261),0.01),"")),""),""),"")</f>
        <v/>
      </c>
      <c r="V1261" s="317" t="str" cm="1">
        <f t="array" aca="1" ref="V1261" ca="1">IFERROR(IF(AA1261&lt;&gt;"ja",_xlfn.IFNA(_xlfn.IFS(AND(P1261&lt;&gt;"",R1261&lt;&gt;"",RIGHT($N1261,6)="tarief",F1261="Vergoeding"),SUM(P1261)*FLOOR(SUM(R1261),0.0001),AND(P1261&lt;&gt;"",R1261&lt;&gt;"",RIGHT($N1261,6)="tarief"),P1261*FLOOR(R1261,0.01),T1261&gt;0,FLOOR(SUM(T1261),0.01)),""),""),"")</f>
        <v/>
      </c>
      <c r="W1261" s="317" t="str" cm="1">
        <f t="array" aca="1" ref="W1261" ca="1">IFERROR(_xlfn.IFS(OR(F1261="",LEFT(Methode_Keuze,4)="Geen",Methode_Keuze=""),"",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17" t="str" cm="1">
        <f t="array" aca="1" ref="X1261" ca="1">IFERROR(_xlfn.IFS(OR(F1261="",LEFT(Methode_Keuze,4)="Geen",Methode_Keuze=""),"",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26"/>
      <c r="Z1261" s="319"/>
      <c r="AA1261" s="32" t="str" cm="1">
        <f t="array" ref="AA1261">IFERROR(IF(INDEX(SubsidieTabel!$AD$1:$AG$12,MATCH($F1261,SubsidieTabel!$AD$1:$AD$12,0),IFERROR(MATCH(Methode_Keuze,SubsidieTabel!$AD$1:$AG$1,0),2))&lt;&gt;1=TRUE,"ja",""),"")</f>
        <v/>
      </c>
    </row>
    <row r="1262" spans="1:27" x14ac:dyDescent="0.25">
      <c r="A1262" s="320"/>
      <c r="B1262" s="321" t="str">
        <f>IF(A1262&lt;&gt;"",_xlfn.MAXIFS($B$1:B1261,$A$1:A1261,A1262)+1,"")</f>
        <v/>
      </c>
      <c r="C1262" s="299"/>
      <c r="D1262" s="299"/>
      <c r="E1262" s="299"/>
      <c r="F1262" s="299"/>
      <c r="G1262" s="330"/>
      <c r="H1262" s="328"/>
      <c r="I1262" s="329"/>
      <c r="J1262" s="329"/>
      <c r="K1262" s="322"/>
      <c r="L1262" s="322"/>
      <c r="M1262" s="323" t="str">
        <f>IFERROR(VLOOKUP(H1262,Lijsten!$H$1:$I$100,2,0),"")</f>
        <v/>
      </c>
      <c r="N1262" s="323" t="str">
        <f ca="1">IFERROR(IF(VLOOKUP(F1262,Kostentypen!$A$3:$E$21,3,0)=0,"",IF(OR(F1262="Arbeidskosten",F1262="Vergoeding"),VLOOKUP(G1262,Tb_KostenTypen[],2,0),VLOOKUP(F1262,Kostentypen!$A$3:$E$20,3,0))),"")</f>
        <v/>
      </c>
      <c r="O1262" s="324"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4"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3"/>
      <c r="R1262" s="363"/>
      <c r="S1262" s="325"/>
      <c r="T1262" s="325"/>
      <c r="U1262" s="317" t="str" cm="1">
        <f t="array" aca="1" ref="U1262" ca="1">IFERROR(IF(AA1262&lt;&gt;"ja",_xlfn.IFNA(_xlfn.IFS(AND(O1262&lt;&gt;"",F1262&lt;&gt;"",RIGHT($N1262,6)="tarief",F1262="Vergoeding"),SUM(O1262)*FLOOR(SUM(Q1262),0.0001),AND(O1262&lt;&gt;"",F1262&lt;&gt;"",RIGHT($N1262,6)="tarief"),SUM(O1262)*FLOOR(SUM(Q1262),0.01),S1262&gt;0,IF(F1262&lt;&gt;"",FLOOR(SUM(S1262),0.01),"")),""),""),"")</f>
        <v/>
      </c>
      <c r="V1262" s="317" t="str" cm="1">
        <f t="array" aca="1" ref="V1262" ca="1">IFERROR(IF(AA1262&lt;&gt;"ja",_xlfn.IFNA(_xlfn.IFS(AND(P1262&lt;&gt;"",R1262&lt;&gt;"",RIGHT($N1262,6)="tarief",F1262="Vergoeding"),SUM(P1262)*FLOOR(SUM(R1262),0.0001),AND(P1262&lt;&gt;"",R1262&lt;&gt;"",RIGHT($N1262,6)="tarief"),P1262*FLOOR(R1262,0.01),T1262&gt;0,FLOOR(SUM(T1262),0.01)),""),""),"")</f>
        <v/>
      </c>
      <c r="W1262" s="317" t="str" cm="1">
        <f t="array" aca="1" ref="W1262" ca="1">IFERROR(_xlfn.IFS(OR(F1262="",LEFT(Methode_Keuze,4)="Geen",Methode_Keuze=""),"",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17" t="str" cm="1">
        <f t="array" aca="1" ref="X1262" ca="1">IFERROR(_xlfn.IFS(OR(F1262="",LEFT(Methode_Keuze,4)="Geen",Methode_Keuze=""),"",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26"/>
      <c r="Z1262" s="319"/>
      <c r="AA1262" s="32" t="str" cm="1">
        <f t="array" ref="AA1262">IFERROR(IF(INDEX(SubsidieTabel!$AD$1:$AG$12,MATCH($F1262,SubsidieTabel!$AD$1:$AD$12,0),IFERROR(MATCH(Methode_Keuze,SubsidieTabel!$AD$1:$AG$1,0),2))&lt;&gt;1=TRUE,"ja",""),"")</f>
        <v/>
      </c>
    </row>
    <row r="1263" spans="1:27" x14ac:dyDescent="0.25">
      <c r="A1263" s="320"/>
      <c r="B1263" s="321" t="str">
        <f>IF(A1263&lt;&gt;"",_xlfn.MAXIFS($B$1:B1262,$A$1:A1262,A1263)+1,"")</f>
        <v/>
      </c>
      <c r="C1263" s="299"/>
      <c r="D1263" s="299"/>
      <c r="E1263" s="299"/>
      <c r="F1263" s="299"/>
      <c r="G1263" s="330"/>
      <c r="H1263" s="328"/>
      <c r="I1263" s="329"/>
      <c r="J1263" s="329"/>
      <c r="K1263" s="322"/>
      <c r="L1263" s="322"/>
      <c r="M1263" s="323" t="str">
        <f>IFERROR(VLOOKUP(H1263,Lijsten!$H$1:$I$100,2,0),"")</f>
        <v/>
      </c>
      <c r="N1263" s="323" t="str">
        <f ca="1">IFERROR(IF(VLOOKUP(F1263,Kostentypen!$A$3:$E$21,3,0)=0,"",IF(OR(F1263="Arbeidskosten",F1263="Vergoeding"),VLOOKUP(G1263,Tb_KostenTypen[],2,0),VLOOKUP(F1263,Kostentypen!$A$3:$E$20,3,0))),"")</f>
        <v/>
      </c>
      <c r="O1263" s="324"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4"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3"/>
      <c r="R1263" s="363"/>
      <c r="S1263" s="325"/>
      <c r="T1263" s="325"/>
      <c r="U1263" s="317" t="str" cm="1">
        <f t="array" aca="1" ref="U1263" ca="1">IFERROR(IF(AA1263&lt;&gt;"ja",_xlfn.IFNA(_xlfn.IFS(AND(O1263&lt;&gt;"",F1263&lt;&gt;"",RIGHT($N1263,6)="tarief",F1263="Vergoeding"),SUM(O1263)*FLOOR(SUM(Q1263),0.0001),AND(O1263&lt;&gt;"",F1263&lt;&gt;"",RIGHT($N1263,6)="tarief"),SUM(O1263)*FLOOR(SUM(Q1263),0.01),S1263&gt;0,IF(F1263&lt;&gt;"",FLOOR(SUM(S1263),0.01),"")),""),""),"")</f>
        <v/>
      </c>
      <c r="V1263" s="317" t="str" cm="1">
        <f t="array" aca="1" ref="V1263" ca="1">IFERROR(IF(AA1263&lt;&gt;"ja",_xlfn.IFNA(_xlfn.IFS(AND(P1263&lt;&gt;"",R1263&lt;&gt;"",RIGHT($N1263,6)="tarief",F1263="Vergoeding"),SUM(P1263)*FLOOR(SUM(R1263),0.0001),AND(P1263&lt;&gt;"",R1263&lt;&gt;"",RIGHT($N1263,6)="tarief"),P1263*FLOOR(R1263,0.01),T1263&gt;0,FLOOR(SUM(T1263),0.01)),""),""),"")</f>
        <v/>
      </c>
      <c r="W1263" s="317" t="str" cm="1">
        <f t="array" aca="1" ref="W1263" ca="1">IFERROR(_xlfn.IFS(OR(F1263="",LEFT(Methode_Keuze,4)="Geen",Methode_Keuze=""),"",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17" t="str" cm="1">
        <f t="array" aca="1" ref="X1263" ca="1">IFERROR(_xlfn.IFS(OR(F1263="",LEFT(Methode_Keuze,4)="Geen",Methode_Keuze=""),"",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26"/>
      <c r="Z1263" s="319"/>
      <c r="AA1263" s="32" t="str" cm="1">
        <f t="array" ref="AA1263">IFERROR(IF(INDEX(SubsidieTabel!$AD$1:$AG$12,MATCH($F1263,SubsidieTabel!$AD$1:$AD$12,0),IFERROR(MATCH(Methode_Keuze,SubsidieTabel!$AD$1:$AG$1,0),2))&lt;&gt;1=TRUE,"ja",""),"")</f>
        <v/>
      </c>
    </row>
    <row r="1264" spans="1:27" x14ac:dyDescent="0.25">
      <c r="A1264" s="320"/>
      <c r="B1264" s="321" t="str">
        <f>IF(A1264&lt;&gt;"",_xlfn.MAXIFS($B$1:B1263,$A$1:A1263,A1264)+1,"")</f>
        <v/>
      </c>
      <c r="C1264" s="299"/>
      <c r="D1264" s="299"/>
      <c r="E1264" s="299"/>
      <c r="F1264" s="299"/>
      <c r="G1264" s="330"/>
      <c r="H1264" s="328"/>
      <c r="I1264" s="329"/>
      <c r="J1264" s="329"/>
      <c r="K1264" s="322"/>
      <c r="L1264" s="322"/>
      <c r="M1264" s="323" t="str">
        <f>IFERROR(VLOOKUP(H1264,Lijsten!$H$1:$I$100,2,0),"")</f>
        <v/>
      </c>
      <c r="N1264" s="323" t="str">
        <f ca="1">IFERROR(IF(VLOOKUP(F1264,Kostentypen!$A$3:$E$21,3,0)=0,"",IF(OR(F1264="Arbeidskosten",F1264="Vergoeding"),VLOOKUP(G1264,Tb_KostenTypen[],2,0),VLOOKUP(F1264,Kostentypen!$A$3:$E$20,3,0))),"")</f>
        <v/>
      </c>
      <c r="O1264" s="324"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4"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3"/>
      <c r="R1264" s="363"/>
      <c r="S1264" s="325"/>
      <c r="T1264" s="325"/>
      <c r="U1264" s="317" t="str" cm="1">
        <f t="array" aca="1" ref="U1264" ca="1">IFERROR(IF(AA1264&lt;&gt;"ja",_xlfn.IFNA(_xlfn.IFS(AND(O1264&lt;&gt;"",F1264&lt;&gt;"",RIGHT($N1264,6)="tarief",F1264="Vergoeding"),SUM(O1264)*FLOOR(SUM(Q1264),0.0001),AND(O1264&lt;&gt;"",F1264&lt;&gt;"",RIGHT($N1264,6)="tarief"),SUM(O1264)*FLOOR(SUM(Q1264),0.01),S1264&gt;0,IF(F1264&lt;&gt;"",FLOOR(SUM(S1264),0.01),"")),""),""),"")</f>
        <v/>
      </c>
      <c r="V1264" s="317" t="str" cm="1">
        <f t="array" aca="1" ref="V1264" ca="1">IFERROR(IF(AA1264&lt;&gt;"ja",_xlfn.IFNA(_xlfn.IFS(AND(P1264&lt;&gt;"",R1264&lt;&gt;"",RIGHT($N1264,6)="tarief",F1264="Vergoeding"),SUM(P1264)*FLOOR(SUM(R1264),0.0001),AND(P1264&lt;&gt;"",R1264&lt;&gt;"",RIGHT($N1264,6)="tarief"),P1264*FLOOR(R1264,0.01),T1264&gt;0,FLOOR(SUM(T1264),0.01)),""),""),"")</f>
        <v/>
      </c>
      <c r="W1264" s="317" t="str" cm="1">
        <f t="array" aca="1" ref="W1264" ca="1">IFERROR(_xlfn.IFS(OR(F1264="",LEFT(Methode_Keuze,4)="Geen",Methode_Keuze=""),"",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17" t="str" cm="1">
        <f t="array" aca="1" ref="X1264" ca="1">IFERROR(_xlfn.IFS(OR(F1264="",LEFT(Methode_Keuze,4)="Geen",Methode_Keuze=""),"",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26"/>
      <c r="Z1264" s="319"/>
      <c r="AA1264" s="32" t="str" cm="1">
        <f t="array" ref="AA1264">IFERROR(IF(INDEX(SubsidieTabel!$AD$1:$AG$12,MATCH($F1264,SubsidieTabel!$AD$1:$AD$12,0),IFERROR(MATCH(Methode_Keuze,SubsidieTabel!$AD$1:$AG$1,0),2))&lt;&gt;1=TRUE,"ja",""),"")</f>
        <v/>
      </c>
    </row>
    <row r="1265" spans="1:27" x14ac:dyDescent="0.25">
      <c r="A1265" s="320"/>
      <c r="B1265" s="321" t="str">
        <f>IF(A1265&lt;&gt;"",_xlfn.MAXIFS($B$1:B1264,$A$1:A1264,A1265)+1,"")</f>
        <v/>
      </c>
      <c r="C1265" s="299"/>
      <c r="D1265" s="299"/>
      <c r="E1265" s="299"/>
      <c r="F1265" s="299"/>
      <c r="G1265" s="330"/>
      <c r="H1265" s="328"/>
      <c r="I1265" s="329"/>
      <c r="J1265" s="329"/>
      <c r="K1265" s="322"/>
      <c r="L1265" s="322"/>
      <c r="M1265" s="323" t="str">
        <f>IFERROR(VLOOKUP(H1265,Lijsten!$H$1:$I$100,2,0),"")</f>
        <v/>
      </c>
      <c r="N1265" s="323" t="str">
        <f ca="1">IFERROR(IF(VLOOKUP(F1265,Kostentypen!$A$3:$E$21,3,0)=0,"",IF(OR(F1265="Arbeidskosten",F1265="Vergoeding"),VLOOKUP(G1265,Tb_KostenTypen[],2,0),VLOOKUP(F1265,Kostentypen!$A$3:$E$20,3,0))),"")</f>
        <v/>
      </c>
      <c r="O1265" s="324"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4"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3"/>
      <c r="R1265" s="363"/>
      <c r="S1265" s="325"/>
      <c r="T1265" s="325"/>
      <c r="U1265" s="317" t="str" cm="1">
        <f t="array" aca="1" ref="U1265" ca="1">IFERROR(IF(AA1265&lt;&gt;"ja",_xlfn.IFNA(_xlfn.IFS(AND(O1265&lt;&gt;"",F1265&lt;&gt;"",RIGHT($N1265,6)="tarief",F1265="Vergoeding"),SUM(O1265)*FLOOR(SUM(Q1265),0.0001),AND(O1265&lt;&gt;"",F1265&lt;&gt;"",RIGHT($N1265,6)="tarief"),SUM(O1265)*FLOOR(SUM(Q1265),0.01),S1265&gt;0,IF(F1265&lt;&gt;"",FLOOR(SUM(S1265),0.01),"")),""),""),"")</f>
        <v/>
      </c>
      <c r="V1265" s="317" t="str" cm="1">
        <f t="array" aca="1" ref="V1265" ca="1">IFERROR(IF(AA1265&lt;&gt;"ja",_xlfn.IFNA(_xlfn.IFS(AND(P1265&lt;&gt;"",R1265&lt;&gt;"",RIGHT($N1265,6)="tarief",F1265="Vergoeding"),SUM(P1265)*FLOOR(SUM(R1265),0.0001),AND(P1265&lt;&gt;"",R1265&lt;&gt;"",RIGHT($N1265,6)="tarief"),P1265*FLOOR(R1265,0.01),T1265&gt;0,FLOOR(SUM(T1265),0.01)),""),""),"")</f>
        <v/>
      </c>
      <c r="W1265" s="317" t="str" cm="1">
        <f t="array" aca="1" ref="W1265" ca="1">IFERROR(_xlfn.IFS(OR(F1265="",LEFT(Methode_Keuze,4)="Geen",Methode_Keuze=""),"",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17" t="str" cm="1">
        <f t="array" aca="1" ref="X1265" ca="1">IFERROR(_xlfn.IFS(OR(F1265="",LEFT(Methode_Keuze,4)="Geen",Methode_Keuze=""),"",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26"/>
      <c r="Z1265" s="319"/>
      <c r="AA1265" s="32" t="str" cm="1">
        <f t="array" ref="AA1265">IFERROR(IF(INDEX(SubsidieTabel!$AD$1:$AG$12,MATCH($F1265,SubsidieTabel!$AD$1:$AD$12,0),IFERROR(MATCH(Methode_Keuze,SubsidieTabel!$AD$1:$AG$1,0),2))&lt;&gt;1=TRUE,"ja",""),"")</f>
        <v/>
      </c>
    </row>
    <row r="1266" spans="1:27" x14ac:dyDescent="0.25">
      <c r="A1266" s="320"/>
      <c r="B1266" s="321" t="str">
        <f>IF(A1266&lt;&gt;"",_xlfn.MAXIFS($B$1:B1265,$A$1:A1265,A1266)+1,"")</f>
        <v/>
      </c>
      <c r="C1266" s="299"/>
      <c r="D1266" s="299"/>
      <c r="E1266" s="299"/>
      <c r="F1266" s="299"/>
      <c r="G1266" s="330"/>
      <c r="H1266" s="328"/>
      <c r="I1266" s="329"/>
      <c r="J1266" s="329"/>
      <c r="K1266" s="322"/>
      <c r="L1266" s="322"/>
      <c r="M1266" s="323" t="str">
        <f>IFERROR(VLOOKUP(H1266,Lijsten!$H$1:$I$100,2,0),"")</f>
        <v/>
      </c>
      <c r="N1266" s="323" t="str">
        <f ca="1">IFERROR(IF(VLOOKUP(F1266,Kostentypen!$A$3:$E$21,3,0)=0,"",IF(OR(F1266="Arbeidskosten",F1266="Vergoeding"),VLOOKUP(G1266,Tb_KostenTypen[],2,0),VLOOKUP(F1266,Kostentypen!$A$3:$E$20,3,0))),"")</f>
        <v/>
      </c>
      <c r="O1266" s="324"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4"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3"/>
      <c r="R1266" s="363"/>
      <c r="S1266" s="325"/>
      <c r="T1266" s="325"/>
      <c r="U1266" s="317" t="str" cm="1">
        <f t="array" aca="1" ref="U1266" ca="1">IFERROR(IF(AA1266&lt;&gt;"ja",_xlfn.IFNA(_xlfn.IFS(AND(O1266&lt;&gt;"",F1266&lt;&gt;"",RIGHT($N1266,6)="tarief",F1266="Vergoeding"),SUM(O1266)*FLOOR(SUM(Q1266),0.0001),AND(O1266&lt;&gt;"",F1266&lt;&gt;"",RIGHT($N1266,6)="tarief"),SUM(O1266)*FLOOR(SUM(Q1266),0.01),S1266&gt;0,IF(F1266&lt;&gt;"",FLOOR(SUM(S1266),0.01),"")),""),""),"")</f>
        <v/>
      </c>
      <c r="V1266" s="317" t="str" cm="1">
        <f t="array" aca="1" ref="V1266" ca="1">IFERROR(IF(AA1266&lt;&gt;"ja",_xlfn.IFNA(_xlfn.IFS(AND(P1266&lt;&gt;"",R1266&lt;&gt;"",RIGHT($N1266,6)="tarief",F1266="Vergoeding"),SUM(P1266)*FLOOR(SUM(R1266),0.0001),AND(P1266&lt;&gt;"",R1266&lt;&gt;"",RIGHT($N1266,6)="tarief"),P1266*FLOOR(R1266,0.01),T1266&gt;0,FLOOR(SUM(T1266),0.01)),""),""),"")</f>
        <v/>
      </c>
      <c r="W1266" s="317" t="str" cm="1">
        <f t="array" aca="1" ref="W1266" ca="1">IFERROR(_xlfn.IFS(OR(F1266="",LEFT(Methode_Keuze,4)="Geen",Methode_Keuze=""),"",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17" t="str" cm="1">
        <f t="array" aca="1" ref="X1266" ca="1">IFERROR(_xlfn.IFS(OR(F1266="",LEFT(Methode_Keuze,4)="Geen",Methode_Keuze=""),"",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26"/>
      <c r="Z1266" s="319"/>
      <c r="AA1266" s="32" t="str" cm="1">
        <f t="array" ref="AA1266">IFERROR(IF(INDEX(SubsidieTabel!$AD$1:$AG$12,MATCH($F1266,SubsidieTabel!$AD$1:$AD$12,0),IFERROR(MATCH(Methode_Keuze,SubsidieTabel!$AD$1:$AG$1,0),2))&lt;&gt;1=TRUE,"ja",""),"")</f>
        <v/>
      </c>
    </row>
    <row r="1267" spans="1:27" x14ac:dyDescent="0.25">
      <c r="A1267" s="320"/>
      <c r="B1267" s="321" t="str">
        <f>IF(A1267&lt;&gt;"",_xlfn.MAXIFS($B$1:B1266,$A$1:A1266,A1267)+1,"")</f>
        <v/>
      </c>
      <c r="C1267" s="299"/>
      <c r="D1267" s="299"/>
      <c r="E1267" s="299"/>
      <c r="F1267" s="299"/>
      <c r="G1267" s="330"/>
      <c r="H1267" s="328"/>
      <c r="I1267" s="329"/>
      <c r="J1267" s="329"/>
      <c r="K1267" s="322"/>
      <c r="L1267" s="322"/>
      <c r="M1267" s="323" t="str">
        <f>IFERROR(VLOOKUP(H1267,Lijsten!$H$1:$I$100,2,0),"")</f>
        <v/>
      </c>
      <c r="N1267" s="323" t="str">
        <f ca="1">IFERROR(IF(VLOOKUP(F1267,Kostentypen!$A$3:$E$21,3,0)=0,"",IF(OR(F1267="Arbeidskosten",F1267="Vergoeding"),VLOOKUP(G1267,Tb_KostenTypen[],2,0),VLOOKUP(F1267,Kostentypen!$A$3:$E$20,3,0))),"")</f>
        <v/>
      </c>
      <c r="O1267" s="324"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4"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3"/>
      <c r="R1267" s="363"/>
      <c r="S1267" s="325"/>
      <c r="T1267" s="325"/>
      <c r="U1267" s="317" t="str" cm="1">
        <f t="array" aca="1" ref="U1267" ca="1">IFERROR(IF(AA1267&lt;&gt;"ja",_xlfn.IFNA(_xlfn.IFS(AND(O1267&lt;&gt;"",F1267&lt;&gt;"",RIGHT($N1267,6)="tarief",F1267="Vergoeding"),SUM(O1267)*FLOOR(SUM(Q1267),0.0001),AND(O1267&lt;&gt;"",F1267&lt;&gt;"",RIGHT($N1267,6)="tarief"),SUM(O1267)*FLOOR(SUM(Q1267),0.01),S1267&gt;0,IF(F1267&lt;&gt;"",FLOOR(SUM(S1267),0.01),"")),""),""),"")</f>
        <v/>
      </c>
      <c r="V1267" s="317" t="str" cm="1">
        <f t="array" aca="1" ref="V1267" ca="1">IFERROR(IF(AA1267&lt;&gt;"ja",_xlfn.IFNA(_xlfn.IFS(AND(P1267&lt;&gt;"",R1267&lt;&gt;"",RIGHT($N1267,6)="tarief",F1267="Vergoeding"),SUM(P1267)*FLOOR(SUM(R1267),0.0001),AND(P1267&lt;&gt;"",R1267&lt;&gt;"",RIGHT($N1267,6)="tarief"),P1267*FLOOR(R1267,0.01),T1267&gt;0,FLOOR(SUM(T1267),0.01)),""),""),"")</f>
        <v/>
      </c>
      <c r="W1267" s="317" t="str" cm="1">
        <f t="array" aca="1" ref="W1267" ca="1">IFERROR(_xlfn.IFS(OR(F1267="",LEFT(Methode_Keuze,4)="Geen",Methode_Keuze=""),"",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17" t="str" cm="1">
        <f t="array" aca="1" ref="X1267" ca="1">IFERROR(_xlfn.IFS(OR(F1267="",LEFT(Methode_Keuze,4)="Geen",Methode_Keuze=""),"",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26"/>
      <c r="Z1267" s="319"/>
      <c r="AA1267" s="32" t="str" cm="1">
        <f t="array" ref="AA1267">IFERROR(IF(INDEX(SubsidieTabel!$AD$1:$AG$12,MATCH($F1267,SubsidieTabel!$AD$1:$AD$12,0),IFERROR(MATCH(Methode_Keuze,SubsidieTabel!$AD$1:$AG$1,0),2))&lt;&gt;1=TRUE,"ja",""),"")</f>
        <v/>
      </c>
    </row>
    <row r="1268" spans="1:27" x14ac:dyDescent="0.25">
      <c r="A1268" s="320"/>
      <c r="B1268" s="321" t="str">
        <f>IF(A1268&lt;&gt;"",_xlfn.MAXIFS($B$1:B1267,$A$1:A1267,A1268)+1,"")</f>
        <v/>
      </c>
      <c r="C1268" s="299"/>
      <c r="D1268" s="299"/>
      <c r="E1268" s="299"/>
      <c r="F1268" s="299"/>
      <c r="G1268" s="330"/>
      <c r="H1268" s="328"/>
      <c r="I1268" s="329"/>
      <c r="J1268" s="329"/>
      <c r="K1268" s="322"/>
      <c r="L1268" s="322"/>
      <c r="M1268" s="323" t="str">
        <f>IFERROR(VLOOKUP(H1268,Lijsten!$H$1:$I$100,2,0),"")</f>
        <v/>
      </c>
      <c r="N1268" s="323" t="str">
        <f ca="1">IFERROR(IF(VLOOKUP(F1268,Kostentypen!$A$3:$E$21,3,0)=0,"",IF(OR(F1268="Arbeidskosten",F1268="Vergoeding"),VLOOKUP(G1268,Tb_KostenTypen[],2,0),VLOOKUP(F1268,Kostentypen!$A$3:$E$20,3,0))),"")</f>
        <v/>
      </c>
      <c r="O1268" s="324"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4"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3"/>
      <c r="R1268" s="363"/>
      <c r="S1268" s="325"/>
      <c r="T1268" s="325"/>
      <c r="U1268" s="317" t="str" cm="1">
        <f t="array" aca="1" ref="U1268" ca="1">IFERROR(IF(AA1268&lt;&gt;"ja",_xlfn.IFNA(_xlfn.IFS(AND(O1268&lt;&gt;"",F1268&lt;&gt;"",RIGHT($N1268,6)="tarief",F1268="Vergoeding"),SUM(O1268)*FLOOR(SUM(Q1268),0.0001),AND(O1268&lt;&gt;"",F1268&lt;&gt;"",RIGHT($N1268,6)="tarief"),SUM(O1268)*FLOOR(SUM(Q1268),0.01),S1268&gt;0,IF(F1268&lt;&gt;"",FLOOR(SUM(S1268),0.01),"")),""),""),"")</f>
        <v/>
      </c>
      <c r="V1268" s="317" t="str" cm="1">
        <f t="array" aca="1" ref="V1268" ca="1">IFERROR(IF(AA1268&lt;&gt;"ja",_xlfn.IFNA(_xlfn.IFS(AND(P1268&lt;&gt;"",R1268&lt;&gt;"",RIGHT($N1268,6)="tarief",F1268="Vergoeding"),SUM(P1268)*FLOOR(SUM(R1268),0.0001),AND(P1268&lt;&gt;"",R1268&lt;&gt;"",RIGHT($N1268,6)="tarief"),P1268*FLOOR(R1268,0.01),T1268&gt;0,FLOOR(SUM(T1268),0.01)),""),""),"")</f>
        <v/>
      </c>
      <c r="W1268" s="317" t="str" cm="1">
        <f t="array" aca="1" ref="W1268" ca="1">IFERROR(_xlfn.IFS(OR(F1268="",LEFT(Methode_Keuze,4)="Geen",Methode_Keuze=""),"",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17" t="str" cm="1">
        <f t="array" aca="1" ref="X1268" ca="1">IFERROR(_xlfn.IFS(OR(F1268="",LEFT(Methode_Keuze,4)="Geen",Methode_Keuze=""),"",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26"/>
      <c r="Z1268" s="319"/>
      <c r="AA1268" s="32" t="str" cm="1">
        <f t="array" ref="AA1268">IFERROR(IF(INDEX(SubsidieTabel!$AD$1:$AG$12,MATCH($F1268,SubsidieTabel!$AD$1:$AD$12,0),IFERROR(MATCH(Methode_Keuze,SubsidieTabel!$AD$1:$AG$1,0),2))&lt;&gt;1=TRUE,"ja",""),"")</f>
        <v/>
      </c>
    </row>
    <row r="1269" spans="1:27" x14ac:dyDescent="0.25">
      <c r="A1269" s="320"/>
      <c r="B1269" s="321" t="str">
        <f>IF(A1269&lt;&gt;"",_xlfn.MAXIFS($B$1:B1268,$A$1:A1268,A1269)+1,"")</f>
        <v/>
      </c>
      <c r="C1269" s="299"/>
      <c r="D1269" s="299"/>
      <c r="E1269" s="299"/>
      <c r="F1269" s="299"/>
      <c r="G1269" s="330"/>
      <c r="H1269" s="328"/>
      <c r="I1269" s="329"/>
      <c r="J1269" s="329"/>
      <c r="K1269" s="322"/>
      <c r="L1269" s="322"/>
      <c r="M1269" s="323" t="str">
        <f>IFERROR(VLOOKUP(H1269,Lijsten!$H$1:$I$100,2,0),"")</f>
        <v/>
      </c>
      <c r="N1269" s="323" t="str">
        <f ca="1">IFERROR(IF(VLOOKUP(F1269,Kostentypen!$A$3:$E$21,3,0)=0,"",IF(OR(F1269="Arbeidskosten",F1269="Vergoeding"),VLOOKUP(G1269,Tb_KostenTypen[],2,0),VLOOKUP(F1269,Kostentypen!$A$3:$E$20,3,0))),"")</f>
        <v/>
      </c>
      <c r="O1269" s="324"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4"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3"/>
      <c r="R1269" s="363"/>
      <c r="S1269" s="325"/>
      <c r="T1269" s="325"/>
      <c r="U1269" s="317" t="str" cm="1">
        <f t="array" aca="1" ref="U1269" ca="1">IFERROR(IF(AA1269&lt;&gt;"ja",_xlfn.IFNA(_xlfn.IFS(AND(O1269&lt;&gt;"",F1269&lt;&gt;"",RIGHT($N1269,6)="tarief",F1269="Vergoeding"),SUM(O1269)*FLOOR(SUM(Q1269),0.0001),AND(O1269&lt;&gt;"",F1269&lt;&gt;"",RIGHT($N1269,6)="tarief"),SUM(O1269)*FLOOR(SUM(Q1269),0.01),S1269&gt;0,IF(F1269&lt;&gt;"",FLOOR(SUM(S1269),0.01),"")),""),""),"")</f>
        <v/>
      </c>
      <c r="V1269" s="317" t="str" cm="1">
        <f t="array" aca="1" ref="V1269" ca="1">IFERROR(IF(AA1269&lt;&gt;"ja",_xlfn.IFNA(_xlfn.IFS(AND(P1269&lt;&gt;"",R1269&lt;&gt;"",RIGHT($N1269,6)="tarief",F1269="Vergoeding"),SUM(P1269)*FLOOR(SUM(R1269),0.0001),AND(P1269&lt;&gt;"",R1269&lt;&gt;"",RIGHT($N1269,6)="tarief"),P1269*FLOOR(R1269,0.01),T1269&gt;0,FLOOR(SUM(T1269),0.01)),""),""),"")</f>
        <v/>
      </c>
      <c r="W1269" s="317" t="str" cm="1">
        <f t="array" aca="1" ref="W1269" ca="1">IFERROR(_xlfn.IFS(OR(F1269="",LEFT(Methode_Keuze,4)="Geen",Methode_Keuze=""),"",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17" t="str" cm="1">
        <f t="array" aca="1" ref="X1269" ca="1">IFERROR(_xlfn.IFS(OR(F1269="",LEFT(Methode_Keuze,4)="Geen",Methode_Keuze=""),"",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26"/>
      <c r="Z1269" s="319"/>
      <c r="AA1269" s="32" t="str" cm="1">
        <f t="array" ref="AA1269">IFERROR(IF(INDEX(SubsidieTabel!$AD$1:$AG$12,MATCH($F1269,SubsidieTabel!$AD$1:$AD$12,0),IFERROR(MATCH(Methode_Keuze,SubsidieTabel!$AD$1:$AG$1,0),2))&lt;&gt;1=TRUE,"ja",""),"")</f>
        <v/>
      </c>
    </row>
    <row r="1270" spans="1:27" x14ac:dyDescent="0.25">
      <c r="A1270" s="320"/>
      <c r="B1270" s="321" t="str">
        <f>IF(A1270&lt;&gt;"",_xlfn.MAXIFS($B$1:B1269,$A$1:A1269,A1270)+1,"")</f>
        <v/>
      </c>
      <c r="C1270" s="299"/>
      <c r="D1270" s="299"/>
      <c r="E1270" s="299"/>
      <c r="F1270" s="299"/>
      <c r="G1270" s="330"/>
      <c r="H1270" s="328"/>
      <c r="I1270" s="329"/>
      <c r="J1270" s="329"/>
      <c r="K1270" s="322"/>
      <c r="L1270" s="322"/>
      <c r="M1270" s="323" t="str">
        <f>IFERROR(VLOOKUP(H1270,Lijsten!$H$1:$I$100,2,0),"")</f>
        <v/>
      </c>
      <c r="N1270" s="323" t="str">
        <f ca="1">IFERROR(IF(VLOOKUP(F1270,Kostentypen!$A$3:$E$21,3,0)=0,"",IF(OR(F1270="Arbeidskosten",F1270="Vergoeding"),VLOOKUP(G1270,Tb_KostenTypen[],2,0),VLOOKUP(F1270,Kostentypen!$A$3:$E$20,3,0))),"")</f>
        <v/>
      </c>
      <c r="O1270" s="324"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4"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3"/>
      <c r="R1270" s="363"/>
      <c r="S1270" s="325"/>
      <c r="T1270" s="325"/>
      <c r="U1270" s="317" t="str" cm="1">
        <f t="array" aca="1" ref="U1270" ca="1">IFERROR(IF(AA1270&lt;&gt;"ja",_xlfn.IFNA(_xlfn.IFS(AND(O1270&lt;&gt;"",F1270&lt;&gt;"",RIGHT($N1270,6)="tarief",F1270="Vergoeding"),SUM(O1270)*FLOOR(SUM(Q1270),0.0001),AND(O1270&lt;&gt;"",F1270&lt;&gt;"",RIGHT($N1270,6)="tarief"),SUM(O1270)*FLOOR(SUM(Q1270),0.01),S1270&gt;0,IF(F1270&lt;&gt;"",FLOOR(SUM(S1270),0.01),"")),""),""),"")</f>
        <v/>
      </c>
      <c r="V1270" s="317" t="str" cm="1">
        <f t="array" aca="1" ref="V1270" ca="1">IFERROR(IF(AA1270&lt;&gt;"ja",_xlfn.IFNA(_xlfn.IFS(AND(P1270&lt;&gt;"",R1270&lt;&gt;"",RIGHT($N1270,6)="tarief",F1270="Vergoeding"),SUM(P1270)*FLOOR(SUM(R1270),0.0001),AND(P1270&lt;&gt;"",R1270&lt;&gt;"",RIGHT($N1270,6)="tarief"),P1270*FLOOR(R1270,0.01),T1270&gt;0,FLOOR(SUM(T1270),0.01)),""),""),"")</f>
        <v/>
      </c>
      <c r="W1270" s="317" t="str" cm="1">
        <f t="array" aca="1" ref="W1270" ca="1">IFERROR(_xlfn.IFS(OR(F1270="",LEFT(Methode_Keuze,4)="Geen",Methode_Keuze=""),"",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17" t="str" cm="1">
        <f t="array" aca="1" ref="X1270" ca="1">IFERROR(_xlfn.IFS(OR(F1270="",LEFT(Methode_Keuze,4)="Geen",Methode_Keuze=""),"",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26"/>
      <c r="Z1270" s="319"/>
      <c r="AA1270" s="32" t="str" cm="1">
        <f t="array" ref="AA1270">IFERROR(IF(INDEX(SubsidieTabel!$AD$1:$AG$12,MATCH($F1270,SubsidieTabel!$AD$1:$AD$12,0),IFERROR(MATCH(Methode_Keuze,SubsidieTabel!$AD$1:$AG$1,0),2))&lt;&gt;1=TRUE,"ja",""),"")</f>
        <v/>
      </c>
    </row>
    <row r="1271" spans="1:27" x14ac:dyDescent="0.25">
      <c r="A1271" s="320"/>
      <c r="B1271" s="321" t="str">
        <f>IF(A1271&lt;&gt;"",_xlfn.MAXIFS($B$1:B1270,$A$1:A1270,A1271)+1,"")</f>
        <v/>
      </c>
      <c r="C1271" s="299"/>
      <c r="D1271" s="299"/>
      <c r="E1271" s="299"/>
      <c r="F1271" s="299"/>
      <c r="G1271" s="330"/>
      <c r="H1271" s="328"/>
      <c r="I1271" s="329"/>
      <c r="J1271" s="329"/>
      <c r="K1271" s="322"/>
      <c r="L1271" s="322"/>
      <c r="M1271" s="323" t="str">
        <f>IFERROR(VLOOKUP(H1271,Lijsten!$H$1:$I$100,2,0),"")</f>
        <v/>
      </c>
      <c r="N1271" s="323" t="str">
        <f ca="1">IFERROR(IF(VLOOKUP(F1271,Kostentypen!$A$3:$E$21,3,0)=0,"",IF(OR(F1271="Arbeidskosten",F1271="Vergoeding"),VLOOKUP(G1271,Tb_KostenTypen[],2,0),VLOOKUP(F1271,Kostentypen!$A$3:$E$20,3,0))),"")</f>
        <v/>
      </c>
      <c r="O1271" s="324"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4"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3"/>
      <c r="R1271" s="363"/>
      <c r="S1271" s="325"/>
      <c r="T1271" s="325"/>
      <c r="U1271" s="317" t="str" cm="1">
        <f t="array" aca="1" ref="U1271" ca="1">IFERROR(IF(AA1271&lt;&gt;"ja",_xlfn.IFNA(_xlfn.IFS(AND(O1271&lt;&gt;"",F1271&lt;&gt;"",RIGHT($N1271,6)="tarief",F1271="Vergoeding"),SUM(O1271)*FLOOR(SUM(Q1271),0.0001),AND(O1271&lt;&gt;"",F1271&lt;&gt;"",RIGHT($N1271,6)="tarief"),SUM(O1271)*FLOOR(SUM(Q1271),0.01),S1271&gt;0,IF(F1271&lt;&gt;"",FLOOR(SUM(S1271),0.01),"")),""),""),"")</f>
        <v/>
      </c>
      <c r="V1271" s="317" t="str" cm="1">
        <f t="array" aca="1" ref="V1271" ca="1">IFERROR(IF(AA1271&lt;&gt;"ja",_xlfn.IFNA(_xlfn.IFS(AND(P1271&lt;&gt;"",R1271&lt;&gt;"",RIGHT($N1271,6)="tarief",F1271="Vergoeding"),SUM(P1271)*FLOOR(SUM(R1271),0.0001),AND(P1271&lt;&gt;"",R1271&lt;&gt;"",RIGHT($N1271,6)="tarief"),P1271*FLOOR(R1271,0.01),T1271&gt;0,FLOOR(SUM(T1271),0.01)),""),""),"")</f>
        <v/>
      </c>
      <c r="W1271" s="317" t="str" cm="1">
        <f t="array" aca="1" ref="W1271" ca="1">IFERROR(_xlfn.IFS(OR(F1271="",LEFT(Methode_Keuze,4)="Geen",Methode_Keuze=""),"",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17" t="str" cm="1">
        <f t="array" aca="1" ref="X1271" ca="1">IFERROR(_xlfn.IFS(OR(F1271="",LEFT(Methode_Keuze,4)="Geen",Methode_Keuze=""),"",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26"/>
      <c r="Z1271" s="319"/>
      <c r="AA1271" s="32" t="str" cm="1">
        <f t="array" ref="AA1271">IFERROR(IF(INDEX(SubsidieTabel!$AD$1:$AG$12,MATCH($F1271,SubsidieTabel!$AD$1:$AD$12,0),IFERROR(MATCH(Methode_Keuze,SubsidieTabel!$AD$1:$AG$1,0),2))&lt;&gt;1=TRUE,"ja",""),"")</f>
        <v/>
      </c>
    </row>
    <row r="1272" spans="1:27" x14ac:dyDescent="0.25">
      <c r="A1272" s="320"/>
      <c r="B1272" s="321" t="str">
        <f>IF(A1272&lt;&gt;"",_xlfn.MAXIFS($B$1:B1271,$A$1:A1271,A1272)+1,"")</f>
        <v/>
      </c>
      <c r="C1272" s="299"/>
      <c r="D1272" s="299"/>
      <c r="E1272" s="299"/>
      <c r="F1272" s="299"/>
      <c r="G1272" s="330"/>
      <c r="H1272" s="328"/>
      <c r="I1272" s="329"/>
      <c r="J1272" s="329"/>
      <c r="K1272" s="322"/>
      <c r="L1272" s="322"/>
      <c r="M1272" s="323" t="str">
        <f>IFERROR(VLOOKUP(H1272,Lijsten!$H$1:$I$100,2,0),"")</f>
        <v/>
      </c>
      <c r="N1272" s="323" t="str">
        <f ca="1">IFERROR(IF(VLOOKUP(F1272,Kostentypen!$A$3:$E$21,3,0)=0,"",IF(OR(F1272="Arbeidskosten",F1272="Vergoeding"),VLOOKUP(G1272,Tb_KostenTypen[],2,0),VLOOKUP(F1272,Kostentypen!$A$3:$E$20,3,0))),"")</f>
        <v/>
      </c>
      <c r="O1272" s="324"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4"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3"/>
      <c r="R1272" s="363"/>
      <c r="S1272" s="325"/>
      <c r="T1272" s="325"/>
      <c r="U1272" s="317" t="str" cm="1">
        <f t="array" aca="1" ref="U1272" ca="1">IFERROR(IF(AA1272&lt;&gt;"ja",_xlfn.IFNA(_xlfn.IFS(AND(O1272&lt;&gt;"",F1272&lt;&gt;"",RIGHT($N1272,6)="tarief",F1272="Vergoeding"),SUM(O1272)*FLOOR(SUM(Q1272),0.0001),AND(O1272&lt;&gt;"",F1272&lt;&gt;"",RIGHT($N1272,6)="tarief"),SUM(O1272)*FLOOR(SUM(Q1272),0.01),S1272&gt;0,IF(F1272&lt;&gt;"",FLOOR(SUM(S1272),0.01),"")),""),""),"")</f>
        <v/>
      </c>
      <c r="V1272" s="317" t="str" cm="1">
        <f t="array" aca="1" ref="V1272" ca="1">IFERROR(IF(AA1272&lt;&gt;"ja",_xlfn.IFNA(_xlfn.IFS(AND(P1272&lt;&gt;"",R1272&lt;&gt;"",RIGHT($N1272,6)="tarief",F1272="Vergoeding"),SUM(P1272)*FLOOR(SUM(R1272),0.0001),AND(P1272&lt;&gt;"",R1272&lt;&gt;"",RIGHT($N1272,6)="tarief"),P1272*FLOOR(R1272,0.01),T1272&gt;0,FLOOR(SUM(T1272),0.01)),""),""),"")</f>
        <v/>
      </c>
      <c r="W1272" s="317" t="str" cm="1">
        <f t="array" aca="1" ref="W1272" ca="1">IFERROR(_xlfn.IFS(OR(F1272="",LEFT(Methode_Keuze,4)="Geen",Methode_Keuze=""),"",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17" t="str" cm="1">
        <f t="array" aca="1" ref="X1272" ca="1">IFERROR(_xlfn.IFS(OR(F1272="",LEFT(Methode_Keuze,4)="Geen",Methode_Keuze=""),"",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26"/>
      <c r="Z1272" s="319"/>
      <c r="AA1272" s="32" t="str" cm="1">
        <f t="array" ref="AA1272">IFERROR(IF(INDEX(SubsidieTabel!$AD$1:$AG$12,MATCH($F1272,SubsidieTabel!$AD$1:$AD$12,0),IFERROR(MATCH(Methode_Keuze,SubsidieTabel!$AD$1:$AG$1,0),2))&lt;&gt;1=TRUE,"ja",""),"")</f>
        <v/>
      </c>
    </row>
    <row r="1273" spans="1:27" x14ac:dyDescent="0.25">
      <c r="A1273" s="320"/>
      <c r="B1273" s="321" t="str">
        <f>IF(A1273&lt;&gt;"",_xlfn.MAXIFS($B$1:B1272,$A$1:A1272,A1273)+1,"")</f>
        <v/>
      </c>
      <c r="C1273" s="299"/>
      <c r="D1273" s="299"/>
      <c r="E1273" s="299"/>
      <c r="F1273" s="299"/>
      <c r="G1273" s="330"/>
      <c r="H1273" s="328"/>
      <c r="I1273" s="329"/>
      <c r="J1273" s="329"/>
      <c r="K1273" s="322"/>
      <c r="L1273" s="322"/>
      <c r="M1273" s="323" t="str">
        <f>IFERROR(VLOOKUP(H1273,Lijsten!$H$1:$I$100,2,0),"")</f>
        <v/>
      </c>
      <c r="N1273" s="323" t="str">
        <f ca="1">IFERROR(IF(VLOOKUP(F1273,Kostentypen!$A$3:$E$21,3,0)=0,"",IF(OR(F1273="Arbeidskosten",F1273="Vergoeding"),VLOOKUP(G1273,Tb_KostenTypen[],2,0),VLOOKUP(F1273,Kostentypen!$A$3:$E$20,3,0))),"")</f>
        <v/>
      </c>
      <c r="O1273" s="324"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4"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3"/>
      <c r="R1273" s="363"/>
      <c r="S1273" s="325"/>
      <c r="T1273" s="325"/>
      <c r="U1273" s="317" t="str" cm="1">
        <f t="array" aca="1" ref="U1273" ca="1">IFERROR(IF(AA1273&lt;&gt;"ja",_xlfn.IFNA(_xlfn.IFS(AND(O1273&lt;&gt;"",F1273&lt;&gt;"",RIGHT($N1273,6)="tarief",F1273="Vergoeding"),SUM(O1273)*FLOOR(SUM(Q1273),0.0001),AND(O1273&lt;&gt;"",F1273&lt;&gt;"",RIGHT($N1273,6)="tarief"),SUM(O1273)*FLOOR(SUM(Q1273),0.01),S1273&gt;0,IF(F1273&lt;&gt;"",FLOOR(SUM(S1273),0.01),"")),""),""),"")</f>
        <v/>
      </c>
      <c r="V1273" s="317" t="str" cm="1">
        <f t="array" aca="1" ref="V1273" ca="1">IFERROR(IF(AA1273&lt;&gt;"ja",_xlfn.IFNA(_xlfn.IFS(AND(P1273&lt;&gt;"",R1273&lt;&gt;"",RIGHT($N1273,6)="tarief",F1273="Vergoeding"),SUM(P1273)*FLOOR(SUM(R1273),0.0001),AND(P1273&lt;&gt;"",R1273&lt;&gt;"",RIGHT($N1273,6)="tarief"),P1273*FLOOR(R1273,0.01),T1273&gt;0,FLOOR(SUM(T1273),0.01)),""),""),"")</f>
        <v/>
      </c>
      <c r="W1273" s="317" t="str" cm="1">
        <f t="array" aca="1" ref="W1273" ca="1">IFERROR(_xlfn.IFS(OR(F1273="",LEFT(Methode_Keuze,4)="Geen",Methode_Keuze=""),"",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17" t="str" cm="1">
        <f t="array" aca="1" ref="X1273" ca="1">IFERROR(_xlfn.IFS(OR(F1273="",LEFT(Methode_Keuze,4)="Geen",Methode_Keuze=""),"",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26"/>
      <c r="Z1273" s="319"/>
      <c r="AA1273" s="32" t="str" cm="1">
        <f t="array" ref="AA1273">IFERROR(IF(INDEX(SubsidieTabel!$AD$1:$AG$12,MATCH($F1273,SubsidieTabel!$AD$1:$AD$12,0),IFERROR(MATCH(Methode_Keuze,SubsidieTabel!$AD$1:$AG$1,0),2))&lt;&gt;1=TRUE,"ja",""),"")</f>
        <v/>
      </c>
    </row>
    <row r="1274" spans="1:27" x14ac:dyDescent="0.25">
      <c r="A1274" s="320"/>
      <c r="B1274" s="321" t="str">
        <f>IF(A1274&lt;&gt;"",_xlfn.MAXIFS($B$1:B1273,$A$1:A1273,A1274)+1,"")</f>
        <v/>
      </c>
      <c r="C1274" s="299"/>
      <c r="D1274" s="299"/>
      <c r="E1274" s="299"/>
      <c r="F1274" s="299"/>
      <c r="G1274" s="330"/>
      <c r="H1274" s="328"/>
      <c r="I1274" s="329"/>
      <c r="J1274" s="329"/>
      <c r="K1274" s="322"/>
      <c r="L1274" s="322"/>
      <c r="M1274" s="323" t="str">
        <f>IFERROR(VLOOKUP(H1274,Lijsten!$H$1:$I$100,2,0),"")</f>
        <v/>
      </c>
      <c r="N1274" s="323" t="str">
        <f ca="1">IFERROR(IF(VLOOKUP(F1274,Kostentypen!$A$3:$E$21,3,0)=0,"",IF(OR(F1274="Arbeidskosten",F1274="Vergoeding"),VLOOKUP(G1274,Tb_KostenTypen[],2,0),VLOOKUP(F1274,Kostentypen!$A$3:$E$20,3,0))),"")</f>
        <v/>
      </c>
      <c r="O1274" s="324"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4"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3"/>
      <c r="R1274" s="363"/>
      <c r="S1274" s="325"/>
      <c r="T1274" s="325"/>
      <c r="U1274" s="317" t="str" cm="1">
        <f t="array" aca="1" ref="U1274" ca="1">IFERROR(IF(AA1274&lt;&gt;"ja",_xlfn.IFNA(_xlfn.IFS(AND(O1274&lt;&gt;"",F1274&lt;&gt;"",RIGHT($N1274,6)="tarief",F1274="Vergoeding"),SUM(O1274)*FLOOR(SUM(Q1274),0.0001),AND(O1274&lt;&gt;"",F1274&lt;&gt;"",RIGHT($N1274,6)="tarief"),SUM(O1274)*FLOOR(SUM(Q1274),0.01),S1274&gt;0,IF(F1274&lt;&gt;"",FLOOR(SUM(S1274),0.01),"")),""),""),"")</f>
        <v/>
      </c>
      <c r="V1274" s="317" t="str" cm="1">
        <f t="array" aca="1" ref="V1274" ca="1">IFERROR(IF(AA1274&lt;&gt;"ja",_xlfn.IFNA(_xlfn.IFS(AND(P1274&lt;&gt;"",R1274&lt;&gt;"",RIGHT($N1274,6)="tarief",F1274="Vergoeding"),SUM(P1274)*FLOOR(SUM(R1274),0.0001),AND(P1274&lt;&gt;"",R1274&lt;&gt;"",RIGHT($N1274,6)="tarief"),P1274*FLOOR(R1274,0.01),T1274&gt;0,FLOOR(SUM(T1274),0.01)),""),""),"")</f>
        <v/>
      </c>
      <c r="W1274" s="317" t="str" cm="1">
        <f t="array" aca="1" ref="W1274" ca="1">IFERROR(_xlfn.IFS(OR(F1274="",LEFT(Methode_Keuze,4)="Geen",Methode_Keuze=""),"",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17" t="str" cm="1">
        <f t="array" aca="1" ref="X1274" ca="1">IFERROR(_xlfn.IFS(OR(F1274="",LEFT(Methode_Keuze,4)="Geen",Methode_Keuze=""),"",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26"/>
      <c r="Z1274" s="319"/>
      <c r="AA1274" s="32" t="str" cm="1">
        <f t="array" ref="AA1274">IFERROR(IF(INDEX(SubsidieTabel!$AD$1:$AG$12,MATCH($F1274,SubsidieTabel!$AD$1:$AD$12,0),IFERROR(MATCH(Methode_Keuze,SubsidieTabel!$AD$1:$AG$1,0),2))&lt;&gt;1=TRUE,"ja",""),"")</f>
        <v/>
      </c>
    </row>
    <row r="1275" spans="1:27" x14ac:dyDescent="0.25">
      <c r="A1275" s="320"/>
      <c r="B1275" s="321" t="str">
        <f>IF(A1275&lt;&gt;"",_xlfn.MAXIFS($B$1:B1274,$A$1:A1274,A1275)+1,"")</f>
        <v/>
      </c>
      <c r="C1275" s="299"/>
      <c r="D1275" s="299"/>
      <c r="E1275" s="299"/>
      <c r="F1275" s="299"/>
      <c r="G1275" s="330"/>
      <c r="H1275" s="328"/>
      <c r="I1275" s="329"/>
      <c r="J1275" s="329"/>
      <c r="K1275" s="322"/>
      <c r="L1275" s="322"/>
      <c r="M1275" s="323" t="str">
        <f>IFERROR(VLOOKUP(H1275,Lijsten!$H$1:$I$100,2,0),"")</f>
        <v/>
      </c>
      <c r="N1275" s="323" t="str">
        <f ca="1">IFERROR(IF(VLOOKUP(F1275,Kostentypen!$A$3:$E$21,3,0)=0,"",IF(OR(F1275="Arbeidskosten",F1275="Vergoeding"),VLOOKUP(G1275,Tb_KostenTypen[],2,0),VLOOKUP(F1275,Kostentypen!$A$3:$E$20,3,0))),"")</f>
        <v/>
      </c>
      <c r="O1275" s="324"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4"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3"/>
      <c r="R1275" s="363"/>
      <c r="S1275" s="325"/>
      <c r="T1275" s="325"/>
      <c r="U1275" s="317" t="str" cm="1">
        <f t="array" aca="1" ref="U1275" ca="1">IFERROR(IF(AA1275&lt;&gt;"ja",_xlfn.IFNA(_xlfn.IFS(AND(O1275&lt;&gt;"",F1275&lt;&gt;"",RIGHT($N1275,6)="tarief",F1275="Vergoeding"),SUM(O1275)*FLOOR(SUM(Q1275),0.0001),AND(O1275&lt;&gt;"",F1275&lt;&gt;"",RIGHT($N1275,6)="tarief"),SUM(O1275)*FLOOR(SUM(Q1275),0.01),S1275&gt;0,IF(F1275&lt;&gt;"",FLOOR(SUM(S1275),0.01),"")),""),""),"")</f>
        <v/>
      </c>
      <c r="V1275" s="317" t="str" cm="1">
        <f t="array" aca="1" ref="V1275" ca="1">IFERROR(IF(AA1275&lt;&gt;"ja",_xlfn.IFNA(_xlfn.IFS(AND(P1275&lt;&gt;"",R1275&lt;&gt;"",RIGHT($N1275,6)="tarief",F1275="Vergoeding"),SUM(P1275)*FLOOR(SUM(R1275),0.0001),AND(P1275&lt;&gt;"",R1275&lt;&gt;"",RIGHT($N1275,6)="tarief"),P1275*FLOOR(R1275,0.01),T1275&gt;0,FLOOR(SUM(T1275),0.01)),""),""),"")</f>
        <v/>
      </c>
      <c r="W1275" s="317" t="str" cm="1">
        <f t="array" aca="1" ref="W1275" ca="1">IFERROR(_xlfn.IFS(OR(F1275="",LEFT(Methode_Keuze,4)="Geen",Methode_Keuze=""),"",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17" t="str" cm="1">
        <f t="array" aca="1" ref="X1275" ca="1">IFERROR(_xlfn.IFS(OR(F1275="",LEFT(Methode_Keuze,4)="Geen",Methode_Keuze=""),"",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26"/>
      <c r="Z1275" s="319"/>
      <c r="AA1275" s="32" t="str" cm="1">
        <f t="array" ref="AA1275">IFERROR(IF(INDEX(SubsidieTabel!$AD$1:$AG$12,MATCH($F1275,SubsidieTabel!$AD$1:$AD$12,0),IFERROR(MATCH(Methode_Keuze,SubsidieTabel!$AD$1:$AG$1,0),2))&lt;&gt;1=TRUE,"ja",""),"")</f>
        <v/>
      </c>
    </row>
    <row r="1276" spans="1:27" x14ac:dyDescent="0.25">
      <c r="A1276" s="320"/>
      <c r="B1276" s="321" t="str">
        <f>IF(A1276&lt;&gt;"",_xlfn.MAXIFS($B$1:B1275,$A$1:A1275,A1276)+1,"")</f>
        <v/>
      </c>
      <c r="C1276" s="299"/>
      <c r="D1276" s="299"/>
      <c r="E1276" s="299"/>
      <c r="F1276" s="299"/>
      <c r="G1276" s="330"/>
      <c r="H1276" s="328"/>
      <c r="I1276" s="329"/>
      <c r="J1276" s="329"/>
      <c r="K1276" s="322"/>
      <c r="L1276" s="322"/>
      <c r="M1276" s="323" t="str">
        <f>IFERROR(VLOOKUP(H1276,Lijsten!$H$1:$I$100,2,0),"")</f>
        <v/>
      </c>
      <c r="N1276" s="323" t="str">
        <f ca="1">IFERROR(IF(VLOOKUP(F1276,Kostentypen!$A$3:$E$21,3,0)=0,"",IF(OR(F1276="Arbeidskosten",F1276="Vergoeding"),VLOOKUP(G1276,Tb_KostenTypen[],2,0),VLOOKUP(F1276,Kostentypen!$A$3:$E$20,3,0))),"")</f>
        <v/>
      </c>
      <c r="O1276" s="324"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4"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3"/>
      <c r="R1276" s="363"/>
      <c r="S1276" s="325"/>
      <c r="T1276" s="325"/>
      <c r="U1276" s="317" t="str" cm="1">
        <f t="array" aca="1" ref="U1276" ca="1">IFERROR(IF(AA1276&lt;&gt;"ja",_xlfn.IFNA(_xlfn.IFS(AND(O1276&lt;&gt;"",F1276&lt;&gt;"",RIGHT($N1276,6)="tarief",F1276="Vergoeding"),SUM(O1276)*FLOOR(SUM(Q1276),0.0001),AND(O1276&lt;&gt;"",F1276&lt;&gt;"",RIGHT($N1276,6)="tarief"),SUM(O1276)*FLOOR(SUM(Q1276),0.01),S1276&gt;0,IF(F1276&lt;&gt;"",FLOOR(SUM(S1276),0.01),"")),""),""),"")</f>
        <v/>
      </c>
      <c r="V1276" s="317" t="str" cm="1">
        <f t="array" aca="1" ref="V1276" ca="1">IFERROR(IF(AA1276&lt;&gt;"ja",_xlfn.IFNA(_xlfn.IFS(AND(P1276&lt;&gt;"",R1276&lt;&gt;"",RIGHT($N1276,6)="tarief",F1276="Vergoeding"),SUM(P1276)*FLOOR(SUM(R1276),0.0001),AND(P1276&lt;&gt;"",R1276&lt;&gt;"",RIGHT($N1276,6)="tarief"),P1276*FLOOR(R1276,0.01),T1276&gt;0,FLOOR(SUM(T1276),0.01)),""),""),"")</f>
        <v/>
      </c>
      <c r="W1276" s="317" t="str" cm="1">
        <f t="array" aca="1" ref="W1276" ca="1">IFERROR(_xlfn.IFS(OR(F1276="",LEFT(Methode_Keuze,4)="Geen",Methode_Keuze=""),"",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17" t="str" cm="1">
        <f t="array" aca="1" ref="X1276" ca="1">IFERROR(_xlfn.IFS(OR(F1276="",LEFT(Methode_Keuze,4)="Geen",Methode_Keuze=""),"",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26"/>
      <c r="Z1276" s="319"/>
      <c r="AA1276" s="32" t="str" cm="1">
        <f t="array" ref="AA1276">IFERROR(IF(INDEX(SubsidieTabel!$AD$1:$AG$12,MATCH($F1276,SubsidieTabel!$AD$1:$AD$12,0),IFERROR(MATCH(Methode_Keuze,SubsidieTabel!$AD$1:$AG$1,0),2))&lt;&gt;1=TRUE,"ja",""),"")</f>
        <v/>
      </c>
    </row>
    <row r="1277" spans="1:27" x14ac:dyDescent="0.25">
      <c r="A1277" s="320"/>
      <c r="B1277" s="321" t="str">
        <f>IF(A1277&lt;&gt;"",_xlfn.MAXIFS($B$1:B1276,$A$1:A1276,A1277)+1,"")</f>
        <v/>
      </c>
      <c r="C1277" s="299"/>
      <c r="D1277" s="299"/>
      <c r="E1277" s="299"/>
      <c r="F1277" s="299"/>
      <c r="G1277" s="330"/>
      <c r="H1277" s="328"/>
      <c r="I1277" s="329"/>
      <c r="J1277" s="329"/>
      <c r="K1277" s="322"/>
      <c r="L1277" s="322"/>
      <c r="M1277" s="323" t="str">
        <f>IFERROR(VLOOKUP(H1277,Lijsten!$H$1:$I$100,2,0),"")</f>
        <v/>
      </c>
      <c r="N1277" s="323" t="str">
        <f ca="1">IFERROR(IF(VLOOKUP(F1277,Kostentypen!$A$3:$E$21,3,0)=0,"",IF(OR(F1277="Arbeidskosten",F1277="Vergoeding"),VLOOKUP(G1277,Tb_KostenTypen[],2,0),VLOOKUP(F1277,Kostentypen!$A$3:$E$20,3,0))),"")</f>
        <v/>
      </c>
      <c r="O1277" s="324"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4"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3"/>
      <c r="R1277" s="363"/>
      <c r="S1277" s="325"/>
      <c r="T1277" s="325"/>
      <c r="U1277" s="317" t="str" cm="1">
        <f t="array" aca="1" ref="U1277" ca="1">IFERROR(IF(AA1277&lt;&gt;"ja",_xlfn.IFNA(_xlfn.IFS(AND(O1277&lt;&gt;"",F1277&lt;&gt;"",RIGHT($N1277,6)="tarief",F1277="Vergoeding"),SUM(O1277)*FLOOR(SUM(Q1277),0.0001),AND(O1277&lt;&gt;"",F1277&lt;&gt;"",RIGHT($N1277,6)="tarief"),SUM(O1277)*FLOOR(SUM(Q1277),0.01),S1277&gt;0,IF(F1277&lt;&gt;"",FLOOR(SUM(S1277),0.01),"")),""),""),"")</f>
        <v/>
      </c>
      <c r="V1277" s="317" t="str" cm="1">
        <f t="array" aca="1" ref="V1277" ca="1">IFERROR(IF(AA1277&lt;&gt;"ja",_xlfn.IFNA(_xlfn.IFS(AND(P1277&lt;&gt;"",R1277&lt;&gt;"",RIGHT($N1277,6)="tarief",F1277="Vergoeding"),SUM(P1277)*FLOOR(SUM(R1277),0.0001),AND(P1277&lt;&gt;"",R1277&lt;&gt;"",RIGHT($N1277,6)="tarief"),P1277*FLOOR(R1277,0.01),T1277&gt;0,FLOOR(SUM(T1277),0.01)),""),""),"")</f>
        <v/>
      </c>
      <c r="W1277" s="317" t="str" cm="1">
        <f t="array" aca="1" ref="W1277" ca="1">IFERROR(_xlfn.IFS(OR(F1277="",LEFT(Methode_Keuze,4)="Geen",Methode_Keuze=""),"",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17" t="str" cm="1">
        <f t="array" aca="1" ref="X1277" ca="1">IFERROR(_xlfn.IFS(OR(F1277="",LEFT(Methode_Keuze,4)="Geen",Methode_Keuze=""),"",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26"/>
      <c r="Z1277" s="319"/>
      <c r="AA1277" s="32" t="str" cm="1">
        <f t="array" ref="AA1277">IFERROR(IF(INDEX(SubsidieTabel!$AD$1:$AG$12,MATCH($F1277,SubsidieTabel!$AD$1:$AD$12,0),IFERROR(MATCH(Methode_Keuze,SubsidieTabel!$AD$1:$AG$1,0),2))&lt;&gt;1=TRUE,"ja",""),"")</f>
        <v/>
      </c>
    </row>
    <row r="1278" spans="1:27" x14ac:dyDescent="0.25">
      <c r="A1278" s="320"/>
      <c r="B1278" s="321" t="str">
        <f>IF(A1278&lt;&gt;"",_xlfn.MAXIFS($B$1:B1277,$A$1:A1277,A1278)+1,"")</f>
        <v/>
      </c>
      <c r="C1278" s="299"/>
      <c r="D1278" s="299"/>
      <c r="E1278" s="299"/>
      <c r="F1278" s="299"/>
      <c r="G1278" s="330"/>
      <c r="H1278" s="328"/>
      <c r="I1278" s="329"/>
      <c r="J1278" s="329"/>
      <c r="K1278" s="322"/>
      <c r="L1278" s="322"/>
      <c r="M1278" s="323" t="str">
        <f>IFERROR(VLOOKUP(H1278,Lijsten!$H$1:$I$100,2,0),"")</f>
        <v/>
      </c>
      <c r="N1278" s="323" t="str">
        <f ca="1">IFERROR(IF(VLOOKUP(F1278,Kostentypen!$A$3:$E$21,3,0)=0,"",IF(OR(F1278="Arbeidskosten",F1278="Vergoeding"),VLOOKUP(G1278,Tb_KostenTypen[],2,0),VLOOKUP(F1278,Kostentypen!$A$3:$E$20,3,0))),"")</f>
        <v/>
      </c>
      <c r="O1278" s="324"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4"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3"/>
      <c r="R1278" s="363"/>
      <c r="S1278" s="325"/>
      <c r="T1278" s="325"/>
      <c r="U1278" s="317" t="str" cm="1">
        <f t="array" aca="1" ref="U1278" ca="1">IFERROR(IF(AA1278&lt;&gt;"ja",_xlfn.IFNA(_xlfn.IFS(AND(O1278&lt;&gt;"",F1278&lt;&gt;"",RIGHT($N1278,6)="tarief",F1278="Vergoeding"),SUM(O1278)*FLOOR(SUM(Q1278),0.0001),AND(O1278&lt;&gt;"",F1278&lt;&gt;"",RIGHT($N1278,6)="tarief"),SUM(O1278)*FLOOR(SUM(Q1278),0.01),S1278&gt;0,IF(F1278&lt;&gt;"",FLOOR(SUM(S1278),0.01),"")),""),""),"")</f>
        <v/>
      </c>
      <c r="V1278" s="317" t="str" cm="1">
        <f t="array" aca="1" ref="V1278" ca="1">IFERROR(IF(AA1278&lt;&gt;"ja",_xlfn.IFNA(_xlfn.IFS(AND(P1278&lt;&gt;"",R1278&lt;&gt;"",RIGHT($N1278,6)="tarief",F1278="Vergoeding"),SUM(P1278)*FLOOR(SUM(R1278),0.0001),AND(P1278&lt;&gt;"",R1278&lt;&gt;"",RIGHT($N1278,6)="tarief"),P1278*FLOOR(R1278,0.01),T1278&gt;0,FLOOR(SUM(T1278),0.01)),""),""),"")</f>
        <v/>
      </c>
      <c r="W1278" s="317" t="str" cm="1">
        <f t="array" aca="1" ref="W1278" ca="1">IFERROR(_xlfn.IFS(OR(F1278="",LEFT(Methode_Keuze,4)="Geen",Methode_Keuze=""),"",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17" t="str" cm="1">
        <f t="array" aca="1" ref="X1278" ca="1">IFERROR(_xlfn.IFS(OR(F1278="",LEFT(Methode_Keuze,4)="Geen",Methode_Keuze=""),"",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26"/>
      <c r="Z1278" s="319"/>
      <c r="AA1278" s="32" t="str" cm="1">
        <f t="array" ref="AA1278">IFERROR(IF(INDEX(SubsidieTabel!$AD$1:$AG$12,MATCH($F1278,SubsidieTabel!$AD$1:$AD$12,0),IFERROR(MATCH(Methode_Keuze,SubsidieTabel!$AD$1:$AG$1,0),2))&lt;&gt;1=TRUE,"ja",""),"")</f>
        <v/>
      </c>
    </row>
    <row r="1279" spans="1:27" x14ac:dyDescent="0.25">
      <c r="A1279" s="320"/>
      <c r="B1279" s="321" t="str">
        <f>IF(A1279&lt;&gt;"",_xlfn.MAXIFS($B$1:B1278,$A$1:A1278,A1279)+1,"")</f>
        <v/>
      </c>
      <c r="C1279" s="299"/>
      <c r="D1279" s="299"/>
      <c r="E1279" s="299"/>
      <c r="F1279" s="299"/>
      <c r="G1279" s="330"/>
      <c r="H1279" s="328"/>
      <c r="I1279" s="329"/>
      <c r="J1279" s="329"/>
      <c r="K1279" s="322"/>
      <c r="L1279" s="322"/>
      <c r="M1279" s="323" t="str">
        <f>IFERROR(VLOOKUP(H1279,Lijsten!$H$1:$I$100,2,0),"")</f>
        <v/>
      </c>
      <c r="N1279" s="323" t="str">
        <f ca="1">IFERROR(IF(VLOOKUP(F1279,Kostentypen!$A$3:$E$21,3,0)=0,"",IF(OR(F1279="Arbeidskosten",F1279="Vergoeding"),VLOOKUP(G1279,Tb_KostenTypen[],2,0),VLOOKUP(F1279,Kostentypen!$A$3:$E$20,3,0))),"")</f>
        <v/>
      </c>
      <c r="O1279" s="324"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4"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3"/>
      <c r="R1279" s="363"/>
      <c r="S1279" s="325"/>
      <c r="T1279" s="325"/>
      <c r="U1279" s="317" t="str" cm="1">
        <f t="array" aca="1" ref="U1279" ca="1">IFERROR(IF(AA1279&lt;&gt;"ja",_xlfn.IFNA(_xlfn.IFS(AND(O1279&lt;&gt;"",F1279&lt;&gt;"",RIGHT($N1279,6)="tarief",F1279="Vergoeding"),SUM(O1279)*FLOOR(SUM(Q1279),0.0001),AND(O1279&lt;&gt;"",F1279&lt;&gt;"",RIGHT($N1279,6)="tarief"),SUM(O1279)*FLOOR(SUM(Q1279),0.01),S1279&gt;0,IF(F1279&lt;&gt;"",FLOOR(SUM(S1279),0.01),"")),""),""),"")</f>
        <v/>
      </c>
      <c r="V1279" s="317" t="str" cm="1">
        <f t="array" aca="1" ref="V1279" ca="1">IFERROR(IF(AA1279&lt;&gt;"ja",_xlfn.IFNA(_xlfn.IFS(AND(P1279&lt;&gt;"",R1279&lt;&gt;"",RIGHT($N1279,6)="tarief",F1279="Vergoeding"),SUM(P1279)*FLOOR(SUM(R1279),0.0001),AND(P1279&lt;&gt;"",R1279&lt;&gt;"",RIGHT($N1279,6)="tarief"),P1279*FLOOR(R1279,0.01),T1279&gt;0,FLOOR(SUM(T1279),0.01)),""),""),"")</f>
        <v/>
      </c>
      <c r="W1279" s="317" t="str" cm="1">
        <f t="array" aca="1" ref="W1279" ca="1">IFERROR(_xlfn.IFS(OR(F1279="",LEFT(Methode_Keuze,4)="Geen",Methode_Keuze=""),"",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17" t="str" cm="1">
        <f t="array" aca="1" ref="X1279" ca="1">IFERROR(_xlfn.IFS(OR(F1279="",LEFT(Methode_Keuze,4)="Geen",Methode_Keuze=""),"",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26"/>
      <c r="Z1279" s="319"/>
      <c r="AA1279" s="32" t="str" cm="1">
        <f t="array" ref="AA1279">IFERROR(IF(INDEX(SubsidieTabel!$AD$1:$AG$12,MATCH($F1279,SubsidieTabel!$AD$1:$AD$12,0),IFERROR(MATCH(Methode_Keuze,SubsidieTabel!$AD$1:$AG$1,0),2))&lt;&gt;1=TRUE,"ja",""),"")</f>
        <v/>
      </c>
    </row>
    <row r="1280" spans="1:27" x14ac:dyDescent="0.25">
      <c r="A1280" s="320"/>
      <c r="B1280" s="321" t="str">
        <f>IF(A1280&lt;&gt;"",_xlfn.MAXIFS($B$1:B1279,$A$1:A1279,A1280)+1,"")</f>
        <v/>
      </c>
      <c r="C1280" s="299"/>
      <c r="D1280" s="299"/>
      <c r="E1280" s="299"/>
      <c r="F1280" s="299"/>
      <c r="G1280" s="330"/>
      <c r="H1280" s="328"/>
      <c r="I1280" s="329"/>
      <c r="J1280" s="329"/>
      <c r="K1280" s="322"/>
      <c r="L1280" s="322"/>
      <c r="M1280" s="323" t="str">
        <f>IFERROR(VLOOKUP(H1280,Lijsten!$H$1:$I$100,2,0),"")</f>
        <v/>
      </c>
      <c r="N1280" s="323" t="str">
        <f ca="1">IFERROR(IF(VLOOKUP(F1280,Kostentypen!$A$3:$E$21,3,0)=0,"",IF(OR(F1280="Arbeidskosten",F1280="Vergoeding"),VLOOKUP(G1280,Tb_KostenTypen[],2,0),VLOOKUP(F1280,Kostentypen!$A$3:$E$20,3,0))),"")</f>
        <v/>
      </c>
      <c r="O1280" s="324"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4"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3"/>
      <c r="R1280" s="363"/>
      <c r="S1280" s="325"/>
      <c r="T1280" s="325"/>
      <c r="U1280" s="317" t="str" cm="1">
        <f t="array" aca="1" ref="U1280" ca="1">IFERROR(IF(AA1280&lt;&gt;"ja",_xlfn.IFNA(_xlfn.IFS(AND(O1280&lt;&gt;"",F1280&lt;&gt;"",RIGHT($N1280,6)="tarief",F1280="Vergoeding"),SUM(O1280)*FLOOR(SUM(Q1280),0.0001),AND(O1280&lt;&gt;"",F1280&lt;&gt;"",RIGHT($N1280,6)="tarief"),SUM(O1280)*FLOOR(SUM(Q1280),0.01),S1280&gt;0,IF(F1280&lt;&gt;"",FLOOR(SUM(S1280),0.01),"")),""),""),"")</f>
        <v/>
      </c>
      <c r="V1280" s="317" t="str" cm="1">
        <f t="array" aca="1" ref="V1280" ca="1">IFERROR(IF(AA1280&lt;&gt;"ja",_xlfn.IFNA(_xlfn.IFS(AND(P1280&lt;&gt;"",R1280&lt;&gt;"",RIGHT($N1280,6)="tarief",F1280="Vergoeding"),SUM(P1280)*FLOOR(SUM(R1280),0.0001),AND(P1280&lt;&gt;"",R1280&lt;&gt;"",RIGHT($N1280,6)="tarief"),P1280*FLOOR(R1280,0.01),T1280&gt;0,FLOOR(SUM(T1280),0.01)),""),""),"")</f>
        <v/>
      </c>
      <c r="W1280" s="317" t="str" cm="1">
        <f t="array" aca="1" ref="W1280" ca="1">IFERROR(_xlfn.IFS(OR(F1280="",LEFT(Methode_Keuze,4)="Geen",Methode_Keuze=""),"",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17" t="str" cm="1">
        <f t="array" aca="1" ref="X1280" ca="1">IFERROR(_xlfn.IFS(OR(F1280="",LEFT(Methode_Keuze,4)="Geen",Methode_Keuze=""),"",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26"/>
      <c r="Z1280" s="319"/>
      <c r="AA1280" s="32" t="str" cm="1">
        <f t="array" ref="AA1280">IFERROR(IF(INDEX(SubsidieTabel!$AD$1:$AG$12,MATCH($F1280,SubsidieTabel!$AD$1:$AD$12,0),IFERROR(MATCH(Methode_Keuze,SubsidieTabel!$AD$1:$AG$1,0),2))&lt;&gt;1=TRUE,"ja",""),"")</f>
        <v/>
      </c>
    </row>
    <row r="1281" spans="1:27" x14ac:dyDescent="0.25">
      <c r="A1281" s="320"/>
      <c r="B1281" s="321" t="str">
        <f>IF(A1281&lt;&gt;"",_xlfn.MAXIFS($B$1:B1280,$A$1:A1280,A1281)+1,"")</f>
        <v/>
      </c>
      <c r="C1281" s="299"/>
      <c r="D1281" s="299"/>
      <c r="E1281" s="299"/>
      <c r="F1281" s="299"/>
      <c r="G1281" s="330"/>
      <c r="H1281" s="328"/>
      <c r="I1281" s="329"/>
      <c r="J1281" s="329"/>
      <c r="K1281" s="322"/>
      <c r="L1281" s="322"/>
      <c r="M1281" s="323" t="str">
        <f>IFERROR(VLOOKUP(H1281,Lijsten!$H$1:$I$100,2,0),"")</f>
        <v/>
      </c>
      <c r="N1281" s="323" t="str">
        <f ca="1">IFERROR(IF(VLOOKUP(F1281,Kostentypen!$A$3:$E$21,3,0)=0,"",IF(OR(F1281="Arbeidskosten",F1281="Vergoeding"),VLOOKUP(G1281,Tb_KostenTypen[],2,0),VLOOKUP(F1281,Kostentypen!$A$3:$E$20,3,0))),"")</f>
        <v/>
      </c>
      <c r="O1281" s="324"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4"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3"/>
      <c r="R1281" s="363"/>
      <c r="S1281" s="325"/>
      <c r="T1281" s="325"/>
      <c r="U1281" s="317" t="str" cm="1">
        <f t="array" aca="1" ref="U1281" ca="1">IFERROR(IF(AA1281&lt;&gt;"ja",_xlfn.IFNA(_xlfn.IFS(AND(O1281&lt;&gt;"",F1281&lt;&gt;"",RIGHT($N1281,6)="tarief",F1281="Vergoeding"),SUM(O1281)*FLOOR(SUM(Q1281),0.0001),AND(O1281&lt;&gt;"",F1281&lt;&gt;"",RIGHT($N1281,6)="tarief"),SUM(O1281)*FLOOR(SUM(Q1281),0.01),S1281&gt;0,IF(F1281&lt;&gt;"",FLOOR(SUM(S1281),0.01),"")),""),""),"")</f>
        <v/>
      </c>
      <c r="V1281" s="317" t="str" cm="1">
        <f t="array" aca="1" ref="V1281" ca="1">IFERROR(IF(AA1281&lt;&gt;"ja",_xlfn.IFNA(_xlfn.IFS(AND(P1281&lt;&gt;"",R1281&lt;&gt;"",RIGHT($N1281,6)="tarief",F1281="Vergoeding"),SUM(P1281)*FLOOR(SUM(R1281),0.0001),AND(P1281&lt;&gt;"",R1281&lt;&gt;"",RIGHT($N1281,6)="tarief"),P1281*FLOOR(R1281,0.01),T1281&gt;0,FLOOR(SUM(T1281),0.01)),""),""),"")</f>
        <v/>
      </c>
      <c r="W1281" s="317" t="str" cm="1">
        <f t="array" aca="1" ref="W1281" ca="1">IFERROR(_xlfn.IFS(OR(F1281="",LEFT(Methode_Keuze,4)="Geen",Methode_Keuze=""),"",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17" t="str" cm="1">
        <f t="array" aca="1" ref="X1281" ca="1">IFERROR(_xlfn.IFS(OR(F1281="",LEFT(Methode_Keuze,4)="Geen",Methode_Keuze=""),"",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26"/>
      <c r="Z1281" s="319"/>
      <c r="AA1281" s="32" t="str" cm="1">
        <f t="array" ref="AA1281">IFERROR(IF(INDEX(SubsidieTabel!$AD$1:$AG$12,MATCH($F1281,SubsidieTabel!$AD$1:$AD$12,0),IFERROR(MATCH(Methode_Keuze,SubsidieTabel!$AD$1:$AG$1,0),2))&lt;&gt;1=TRUE,"ja",""),"")</f>
        <v/>
      </c>
    </row>
    <row r="1282" spans="1:27" x14ac:dyDescent="0.25">
      <c r="A1282" s="320"/>
      <c r="B1282" s="321" t="str">
        <f>IF(A1282&lt;&gt;"",_xlfn.MAXIFS($B$1:B1281,$A$1:A1281,A1282)+1,"")</f>
        <v/>
      </c>
      <c r="C1282" s="299"/>
      <c r="D1282" s="299"/>
      <c r="E1282" s="299"/>
      <c r="F1282" s="299"/>
      <c r="G1282" s="330"/>
      <c r="H1282" s="328"/>
      <c r="I1282" s="329"/>
      <c r="J1282" s="329"/>
      <c r="K1282" s="322"/>
      <c r="L1282" s="322"/>
      <c r="M1282" s="323" t="str">
        <f>IFERROR(VLOOKUP(H1282,Lijsten!$H$1:$I$100,2,0),"")</f>
        <v/>
      </c>
      <c r="N1282" s="323" t="str">
        <f ca="1">IFERROR(IF(VLOOKUP(F1282,Kostentypen!$A$3:$E$21,3,0)=0,"",IF(OR(F1282="Arbeidskosten",F1282="Vergoeding"),VLOOKUP(G1282,Tb_KostenTypen[],2,0),VLOOKUP(F1282,Kostentypen!$A$3:$E$20,3,0))),"")</f>
        <v/>
      </c>
      <c r="O1282" s="324"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4"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3"/>
      <c r="R1282" s="363"/>
      <c r="S1282" s="325"/>
      <c r="T1282" s="325"/>
      <c r="U1282" s="317" t="str" cm="1">
        <f t="array" aca="1" ref="U1282" ca="1">IFERROR(IF(AA1282&lt;&gt;"ja",_xlfn.IFNA(_xlfn.IFS(AND(O1282&lt;&gt;"",F1282&lt;&gt;"",RIGHT($N1282,6)="tarief",F1282="Vergoeding"),SUM(O1282)*FLOOR(SUM(Q1282),0.0001),AND(O1282&lt;&gt;"",F1282&lt;&gt;"",RIGHT($N1282,6)="tarief"),SUM(O1282)*FLOOR(SUM(Q1282),0.01),S1282&gt;0,IF(F1282&lt;&gt;"",FLOOR(SUM(S1282),0.01),"")),""),""),"")</f>
        <v/>
      </c>
      <c r="V1282" s="317" t="str" cm="1">
        <f t="array" aca="1" ref="V1282" ca="1">IFERROR(IF(AA1282&lt;&gt;"ja",_xlfn.IFNA(_xlfn.IFS(AND(P1282&lt;&gt;"",R1282&lt;&gt;"",RIGHT($N1282,6)="tarief",F1282="Vergoeding"),SUM(P1282)*FLOOR(SUM(R1282),0.0001),AND(P1282&lt;&gt;"",R1282&lt;&gt;"",RIGHT($N1282,6)="tarief"),P1282*FLOOR(R1282,0.01),T1282&gt;0,FLOOR(SUM(T1282),0.01)),""),""),"")</f>
        <v/>
      </c>
      <c r="W1282" s="317" t="str" cm="1">
        <f t="array" aca="1" ref="W1282" ca="1">IFERROR(_xlfn.IFS(OR(F1282="",LEFT(Methode_Keuze,4)="Geen",Methode_Keuze=""),"",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17" t="str" cm="1">
        <f t="array" aca="1" ref="X1282" ca="1">IFERROR(_xlfn.IFS(OR(F1282="",LEFT(Methode_Keuze,4)="Geen",Methode_Keuze=""),"",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26"/>
      <c r="Z1282" s="319"/>
      <c r="AA1282" s="32" t="str" cm="1">
        <f t="array" ref="AA1282">IFERROR(IF(INDEX(SubsidieTabel!$AD$1:$AG$12,MATCH($F1282,SubsidieTabel!$AD$1:$AD$12,0),IFERROR(MATCH(Methode_Keuze,SubsidieTabel!$AD$1:$AG$1,0),2))&lt;&gt;1=TRUE,"ja",""),"")</f>
        <v/>
      </c>
    </row>
    <row r="1283" spans="1:27" x14ac:dyDescent="0.25">
      <c r="A1283" s="320"/>
      <c r="B1283" s="321" t="str">
        <f>IF(A1283&lt;&gt;"",_xlfn.MAXIFS($B$1:B1282,$A$1:A1282,A1283)+1,"")</f>
        <v/>
      </c>
      <c r="C1283" s="299"/>
      <c r="D1283" s="299"/>
      <c r="E1283" s="299"/>
      <c r="F1283" s="299"/>
      <c r="G1283" s="330"/>
      <c r="H1283" s="328"/>
      <c r="I1283" s="329"/>
      <c r="J1283" s="329"/>
      <c r="K1283" s="322"/>
      <c r="L1283" s="322"/>
      <c r="M1283" s="323" t="str">
        <f>IFERROR(VLOOKUP(H1283,Lijsten!$H$1:$I$100,2,0),"")</f>
        <v/>
      </c>
      <c r="N1283" s="323" t="str">
        <f ca="1">IFERROR(IF(VLOOKUP(F1283,Kostentypen!$A$3:$E$21,3,0)=0,"",IF(OR(F1283="Arbeidskosten",F1283="Vergoeding"),VLOOKUP(G1283,Tb_KostenTypen[],2,0),VLOOKUP(F1283,Kostentypen!$A$3:$E$20,3,0))),"")</f>
        <v/>
      </c>
      <c r="O1283" s="324"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4"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3"/>
      <c r="R1283" s="363"/>
      <c r="S1283" s="325"/>
      <c r="T1283" s="325"/>
      <c r="U1283" s="317" t="str" cm="1">
        <f t="array" aca="1" ref="U1283" ca="1">IFERROR(IF(AA1283&lt;&gt;"ja",_xlfn.IFNA(_xlfn.IFS(AND(O1283&lt;&gt;"",F1283&lt;&gt;"",RIGHT($N1283,6)="tarief",F1283="Vergoeding"),SUM(O1283)*FLOOR(SUM(Q1283),0.0001),AND(O1283&lt;&gt;"",F1283&lt;&gt;"",RIGHT($N1283,6)="tarief"),SUM(O1283)*FLOOR(SUM(Q1283),0.01),S1283&gt;0,IF(F1283&lt;&gt;"",FLOOR(SUM(S1283),0.01),"")),""),""),"")</f>
        <v/>
      </c>
      <c r="V1283" s="317" t="str" cm="1">
        <f t="array" aca="1" ref="V1283" ca="1">IFERROR(IF(AA1283&lt;&gt;"ja",_xlfn.IFNA(_xlfn.IFS(AND(P1283&lt;&gt;"",R1283&lt;&gt;"",RIGHT($N1283,6)="tarief",F1283="Vergoeding"),SUM(P1283)*FLOOR(SUM(R1283),0.0001),AND(P1283&lt;&gt;"",R1283&lt;&gt;"",RIGHT($N1283,6)="tarief"),P1283*FLOOR(R1283,0.01),T1283&gt;0,FLOOR(SUM(T1283),0.01)),""),""),"")</f>
        <v/>
      </c>
      <c r="W1283" s="317" t="str" cm="1">
        <f t="array" aca="1" ref="W1283" ca="1">IFERROR(_xlfn.IFS(OR(F1283="",LEFT(Methode_Keuze,4)="Geen",Methode_Keuze=""),"",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17" t="str" cm="1">
        <f t="array" aca="1" ref="X1283" ca="1">IFERROR(_xlfn.IFS(OR(F1283="",LEFT(Methode_Keuze,4)="Geen",Methode_Keuze=""),"",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26"/>
      <c r="Z1283" s="319"/>
      <c r="AA1283" s="32" t="str" cm="1">
        <f t="array" ref="AA1283">IFERROR(IF(INDEX(SubsidieTabel!$AD$1:$AG$12,MATCH($F1283,SubsidieTabel!$AD$1:$AD$12,0),IFERROR(MATCH(Methode_Keuze,SubsidieTabel!$AD$1:$AG$1,0),2))&lt;&gt;1=TRUE,"ja",""),"")</f>
        <v/>
      </c>
    </row>
    <row r="1284" spans="1:27" x14ac:dyDescent="0.25">
      <c r="A1284" s="320"/>
      <c r="B1284" s="321" t="str">
        <f>IF(A1284&lt;&gt;"",_xlfn.MAXIFS($B$1:B1283,$A$1:A1283,A1284)+1,"")</f>
        <v/>
      </c>
      <c r="C1284" s="299"/>
      <c r="D1284" s="299"/>
      <c r="E1284" s="299"/>
      <c r="F1284" s="299"/>
      <c r="G1284" s="330"/>
      <c r="H1284" s="328"/>
      <c r="I1284" s="329"/>
      <c r="J1284" s="329"/>
      <c r="K1284" s="322"/>
      <c r="L1284" s="322"/>
      <c r="M1284" s="323" t="str">
        <f>IFERROR(VLOOKUP(H1284,Lijsten!$H$1:$I$100,2,0),"")</f>
        <v/>
      </c>
      <c r="N1284" s="323" t="str">
        <f ca="1">IFERROR(IF(VLOOKUP(F1284,Kostentypen!$A$3:$E$21,3,0)=0,"",IF(OR(F1284="Arbeidskosten",F1284="Vergoeding"),VLOOKUP(G1284,Tb_KostenTypen[],2,0),VLOOKUP(F1284,Kostentypen!$A$3:$E$20,3,0))),"")</f>
        <v/>
      </c>
      <c r="O1284" s="324"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4"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3"/>
      <c r="R1284" s="363"/>
      <c r="S1284" s="325"/>
      <c r="T1284" s="325"/>
      <c r="U1284" s="317" t="str" cm="1">
        <f t="array" aca="1" ref="U1284" ca="1">IFERROR(IF(AA1284&lt;&gt;"ja",_xlfn.IFNA(_xlfn.IFS(AND(O1284&lt;&gt;"",F1284&lt;&gt;"",RIGHT($N1284,6)="tarief",F1284="Vergoeding"),SUM(O1284)*FLOOR(SUM(Q1284),0.0001),AND(O1284&lt;&gt;"",F1284&lt;&gt;"",RIGHT($N1284,6)="tarief"),SUM(O1284)*FLOOR(SUM(Q1284),0.01),S1284&gt;0,IF(F1284&lt;&gt;"",FLOOR(SUM(S1284),0.01),"")),""),""),"")</f>
        <v/>
      </c>
      <c r="V1284" s="317" t="str" cm="1">
        <f t="array" aca="1" ref="V1284" ca="1">IFERROR(IF(AA1284&lt;&gt;"ja",_xlfn.IFNA(_xlfn.IFS(AND(P1284&lt;&gt;"",R1284&lt;&gt;"",RIGHT($N1284,6)="tarief",F1284="Vergoeding"),SUM(P1284)*FLOOR(SUM(R1284),0.0001),AND(P1284&lt;&gt;"",R1284&lt;&gt;"",RIGHT($N1284,6)="tarief"),P1284*FLOOR(R1284,0.01),T1284&gt;0,FLOOR(SUM(T1284),0.01)),""),""),"")</f>
        <v/>
      </c>
      <c r="W1284" s="317" t="str" cm="1">
        <f t="array" aca="1" ref="W1284" ca="1">IFERROR(_xlfn.IFS(OR(F1284="",LEFT(Methode_Keuze,4)="Geen",Methode_Keuze=""),"",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17" t="str" cm="1">
        <f t="array" aca="1" ref="X1284" ca="1">IFERROR(_xlfn.IFS(OR(F1284="",LEFT(Methode_Keuze,4)="Geen",Methode_Keuze=""),"",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26"/>
      <c r="Z1284" s="319"/>
      <c r="AA1284" s="32" t="str" cm="1">
        <f t="array" ref="AA1284">IFERROR(IF(INDEX(SubsidieTabel!$AD$1:$AG$12,MATCH($F1284,SubsidieTabel!$AD$1:$AD$12,0),IFERROR(MATCH(Methode_Keuze,SubsidieTabel!$AD$1:$AG$1,0),2))&lt;&gt;1=TRUE,"ja",""),"")</f>
        <v/>
      </c>
    </row>
    <row r="1285" spans="1:27" x14ac:dyDescent="0.25">
      <c r="A1285" s="320"/>
      <c r="B1285" s="321" t="str">
        <f>IF(A1285&lt;&gt;"",_xlfn.MAXIFS($B$1:B1284,$A$1:A1284,A1285)+1,"")</f>
        <v/>
      </c>
      <c r="C1285" s="299"/>
      <c r="D1285" s="299"/>
      <c r="E1285" s="299"/>
      <c r="F1285" s="299"/>
      <c r="G1285" s="330"/>
      <c r="H1285" s="328"/>
      <c r="I1285" s="329"/>
      <c r="J1285" s="329"/>
      <c r="K1285" s="322"/>
      <c r="L1285" s="322"/>
      <c r="M1285" s="323" t="str">
        <f>IFERROR(VLOOKUP(H1285,Lijsten!$H$1:$I$100,2,0),"")</f>
        <v/>
      </c>
      <c r="N1285" s="323" t="str">
        <f ca="1">IFERROR(IF(VLOOKUP(F1285,Kostentypen!$A$3:$E$21,3,0)=0,"",IF(OR(F1285="Arbeidskosten",F1285="Vergoeding"),VLOOKUP(G1285,Tb_KostenTypen[],2,0),VLOOKUP(F1285,Kostentypen!$A$3:$E$20,3,0))),"")</f>
        <v/>
      </c>
      <c r="O1285" s="324"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4"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3"/>
      <c r="R1285" s="363"/>
      <c r="S1285" s="325"/>
      <c r="T1285" s="325"/>
      <c r="U1285" s="317" t="str" cm="1">
        <f t="array" aca="1" ref="U1285" ca="1">IFERROR(IF(AA1285&lt;&gt;"ja",_xlfn.IFNA(_xlfn.IFS(AND(O1285&lt;&gt;"",F1285&lt;&gt;"",RIGHT($N1285,6)="tarief",F1285="Vergoeding"),SUM(O1285)*FLOOR(SUM(Q1285),0.0001),AND(O1285&lt;&gt;"",F1285&lt;&gt;"",RIGHT($N1285,6)="tarief"),SUM(O1285)*FLOOR(SUM(Q1285),0.01),S1285&gt;0,IF(F1285&lt;&gt;"",FLOOR(SUM(S1285),0.01),"")),""),""),"")</f>
        <v/>
      </c>
      <c r="V1285" s="317" t="str" cm="1">
        <f t="array" aca="1" ref="V1285" ca="1">IFERROR(IF(AA1285&lt;&gt;"ja",_xlfn.IFNA(_xlfn.IFS(AND(P1285&lt;&gt;"",R1285&lt;&gt;"",RIGHT($N1285,6)="tarief",F1285="Vergoeding"),SUM(P1285)*FLOOR(SUM(R1285),0.0001),AND(P1285&lt;&gt;"",R1285&lt;&gt;"",RIGHT($N1285,6)="tarief"),P1285*FLOOR(R1285,0.01),T1285&gt;0,FLOOR(SUM(T1285),0.01)),""),""),"")</f>
        <v/>
      </c>
      <c r="W1285" s="317" t="str" cm="1">
        <f t="array" aca="1" ref="W1285" ca="1">IFERROR(_xlfn.IFS(OR(F1285="",LEFT(Methode_Keuze,4)="Geen",Methode_Keuze=""),"",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17" t="str" cm="1">
        <f t="array" aca="1" ref="X1285" ca="1">IFERROR(_xlfn.IFS(OR(F1285="",LEFT(Methode_Keuze,4)="Geen",Methode_Keuze=""),"",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26"/>
      <c r="Z1285" s="319"/>
      <c r="AA1285" s="32" t="str" cm="1">
        <f t="array" ref="AA1285">IFERROR(IF(INDEX(SubsidieTabel!$AD$1:$AG$12,MATCH($F1285,SubsidieTabel!$AD$1:$AD$12,0),IFERROR(MATCH(Methode_Keuze,SubsidieTabel!$AD$1:$AG$1,0),2))&lt;&gt;1=TRUE,"ja",""),"")</f>
        <v/>
      </c>
    </row>
    <row r="1286" spans="1:27" x14ac:dyDescent="0.25">
      <c r="A1286" s="320"/>
      <c r="B1286" s="321" t="str">
        <f>IF(A1286&lt;&gt;"",_xlfn.MAXIFS($B$1:B1285,$A$1:A1285,A1286)+1,"")</f>
        <v/>
      </c>
      <c r="C1286" s="299"/>
      <c r="D1286" s="299"/>
      <c r="E1286" s="299"/>
      <c r="F1286" s="299"/>
      <c r="G1286" s="330"/>
      <c r="H1286" s="328"/>
      <c r="I1286" s="329"/>
      <c r="J1286" s="329"/>
      <c r="K1286" s="322"/>
      <c r="L1286" s="322"/>
      <c r="M1286" s="323" t="str">
        <f>IFERROR(VLOOKUP(H1286,Lijsten!$H$1:$I$100,2,0),"")</f>
        <v/>
      </c>
      <c r="N1286" s="323" t="str">
        <f ca="1">IFERROR(IF(VLOOKUP(F1286,Kostentypen!$A$3:$E$21,3,0)=0,"",IF(OR(F1286="Arbeidskosten",F1286="Vergoeding"),VLOOKUP(G1286,Tb_KostenTypen[],2,0),VLOOKUP(F1286,Kostentypen!$A$3:$E$20,3,0))),"")</f>
        <v/>
      </c>
      <c r="O1286" s="324"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4"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3"/>
      <c r="R1286" s="363"/>
      <c r="S1286" s="325"/>
      <c r="T1286" s="325"/>
      <c r="U1286" s="317" t="str" cm="1">
        <f t="array" aca="1" ref="U1286" ca="1">IFERROR(IF(AA1286&lt;&gt;"ja",_xlfn.IFNA(_xlfn.IFS(AND(O1286&lt;&gt;"",F1286&lt;&gt;"",RIGHT($N1286,6)="tarief",F1286="Vergoeding"),SUM(O1286)*FLOOR(SUM(Q1286),0.0001),AND(O1286&lt;&gt;"",F1286&lt;&gt;"",RIGHT($N1286,6)="tarief"),SUM(O1286)*FLOOR(SUM(Q1286),0.01),S1286&gt;0,IF(F1286&lt;&gt;"",FLOOR(SUM(S1286),0.01),"")),""),""),"")</f>
        <v/>
      </c>
      <c r="V1286" s="317" t="str" cm="1">
        <f t="array" aca="1" ref="V1286" ca="1">IFERROR(IF(AA1286&lt;&gt;"ja",_xlfn.IFNA(_xlfn.IFS(AND(P1286&lt;&gt;"",R1286&lt;&gt;"",RIGHT($N1286,6)="tarief",F1286="Vergoeding"),SUM(P1286)*FLOOR(SUM(R1286),0.0001),AND(P1286&lt;&gt;"",R1286&lt;&gt;"",RIGHT($N1286,6)="tarief"),P1286*FLOOR(R1286,0.01),T1286&gt;0,FLOOR(SUM(T1286),0.01)),""),""),"")</f>
        <v/>
      </c>
      <c r="W1286" s="317" t="str" cm="1">
        <f t="array" aca="1" ref="W1286" ca="1">IFERROR(_xlfn.IFS(OR(F1286="",LEFT(Methode_Keuze,4)="Geen",Methode_Keuze=""),"",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17" t="str" cm="1">
        <f t="array" aca="1" ref="X1286" ca="1">IFERROR(_xlfn.IFS(OR(F1286="",LEFT(Methode_Keuze,4)="Geen",Methode_Keuze=""),"",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26"/>
      <c r="Z1286" s="319"/>
      <c r="AA1286" s="32" t="str" cm="1">
        <f t="array" ref="AA1286">IFERROR(IF(INDEX(SubsidieTabel!$AD$1:$AG$12,MATCH($F1286,SubsidieTabel!$AD$1:$AD$12,0),IFERROR(MATCH(Methode_Keuze,SubsidieTabel!$AD$1:$AG$1,0),2))&lt;&gt;1=TRUE,"ja",""),"")</f>
        <v/>
      </c>
    </row>
    <row r="1287" spans="1:27" x14ac:dyDescent="0.25">
      <c r="A1287" s="320"/>
      <c r="B1287" s="321" t="str">
        <f>IF(A1287&lt;&gt;"",_xlfn.MAXIFS($B$1:B1286,$A$1:A1286,A1287)+1,"")</f>
        <v/>
      </c>
      <c r="C1287" s="299"/>
      <c r="D1287" s="299"/>
      <c r="E1287" s="299"/>
      <c r="F1287" s="299"/>
      <c r="G1287" s="330"/>
      <c r="H1287" s="328"/>
      <c r="I1287" s="329"/>
      <c r="J1287" s="329"/>
      <c r="K1287" s="322"/>
      <c r="L1287" s="322"/>
      <c r="M1287" s="323" t="str">
        <f>IFERROR(VLOOKUP(H1287,Lijsten!$H$1:$I$100,2,0),"")</f>
        <v/>
      </c>
      <c r="N1287" s="323" t="str">
        <f ca="1">IFERROR(IF(VLOOKUP(F1287,Kostentypen!$A$3:$E$21,3,0)=0,"",IF(OR(F1287="Arbeidskosten",F1287="Vergoeding"),VLOOKUP(G1287,Tb_KostenTypen[],2,0),VLOOKUP(F1287,Kostentypen!$A$3:$E$20,3,0))),"")</f>
        <v/>
      </c>
      <c r="O1287" s="324"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4"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3"/>
      <c r="R1287" s="363"/>
      <c r="S1287" s="325"/>
      <c r="T1287" s="325"/>
      <c r="U1287" s="317" t="str" cm="1">
        <f t="array" aca="1" ref="U1287" ca="1">IFERROR(IF(AA1287&lt;&gt;"ja",_xlfn.IFNA(_xlfn.IFS(AND(O1287&lt;&gt;"",F1287&lt;&gt;"",RIGHT($N1287,6)="tarief",F1287="Vergoeding"),SUM(O1287)*FLOOR(SUM(Q1287),0.0001),AND(O1287&lt;&gt;"",F1287&lt;&gt;"",RIGHT($N1287,6)="tarief"),SUM(O1287)*FLOOR(SUM(Q1287),0.01),S1287&gt;0,IF(F1287&lt;&gt;"",FLOOR(SUM(S1287),0.01),"")),""),""),"")</f>
        <v/>
      </c>
      <c r="V1287" s="317" t="str" cm="1">
        <f t="array" aca="1" ref="V1287" ca="1">IFERROR(IF(AA1287&lt;&gt;"ja",_xlfn.IFNA(_xlfn.IFS(AND(P1287&lt;&gt;"",R1287&lt;&gt;"",RIGHT($N1287,6)="tarief",F1287="Vergoeding"),SUM(P1287)*FLOOR(SUM(R1287),0.0001),AND(P1287&lt;&gt;"",R1287&lt;&gt;"",RIGHT($N1287,6)="tarief"),P1287*FLOOR(R1287,0.01),T1287&gt;0,FLOOR(SUM(T1287),0.01)),""),""),"")</f>
        <v/>
      </c>
      <c r="W1287" s="317" t="str" cm="1">
        <f t="array" aca="1" ref="W1287" ca="1">IFERROR(_xlfn.IFS(OR(F1287="",LEFT(Methode_Keuze,4)="Geen",Methode_Keuze=""),"",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17" t="str" cm="1">
        <f t="array" aca="1" ref="X1287" ca="1">IFERROR(_xlfn.IFS(OR(F1287="",LEFT(Methode_Keuze,4)="Geen",Methode_Keuze=""),"",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26"/>
      <c r="Z1287" s="319"/>
      <c r="AA1287" s="32" t="str" cm="1">
        <f t="array" ref="AA1287">IFERROR(IF(INDEX(SubsidieTabel!$AD$1:$AG$12,MATCH($F1287,SubsidieTabel!$AD$1:$AD$12,0),IFERROR(MATCH(Methode_Keuze,SubsidieTabel!$AD$1:$AG$1,0),2))&lt;&gt;1=TRUE,"ja",""),"")</f>
        <v/>
      </c>
    </row>
    <row r="1288" spans="1:27" x14ac:dyDescent="0.25">
      <c r="A1288" s="320"/>
      <c r="B1288" s="321" t="str">
        <f>IF(A1288&lt;&gt;"",_xlfn.MAXIFS($B$1:B1287,$A$1:A1287,A1288)+1,"")</f>
        <v/>
      </c>
      <c r="C1288" s="299"/>
      <c r="D1288" s="299"/>
      <c r="E1288" s="299"/>
      <c r="F1288" s="299"/>
      <c r="G1288" s="330"/>
      <c r="H1288" s="328"/>
      <c r="I1288" s="329"/>
      <c r="J1288" s="329"/>
      <c r="K1288" s="322"/>
      <c r="L1288" s="322"/>
      <c r="M1288" s="323" t="str">
        <f>IFERROR(VLOOKUP(H1288,Lijsten!$H$1:$I$100,2,0),"")</f>
        <v/>
      </c>
      <c r="N1288" s="323" t="str">
        <f ca="1">IFERROR(IF(VLOOKUP(F1288,Kostentypen!$A$3:$E$21,3,0)=0,"",IF(OR(F1288="Arbeidskosten",F1288="Vergoeding"),VLOOKUP(G1288,Tb_KostenTypen[],2,0),VLOOKUP(F1288,Kostentypen!$A$3:$E$20,3,0))),"")</f>
        <v/>
      </c>
      <c r="O1288" s="324"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4"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3"/>
      <c r="R1288" s="363"/>
      <c r="S1288" s="325"/>
      <c r="T1288" s="325"/>
      <c r="U1288" s="317" t="str" cm="1">
        <f t="array" aca="1" ref="U1288" ca="1">IFERROR(IF(AA1288&lt;&gt;"ja",_xlfn.IFNA(_xlfn.IFS(AND(O1288&lt;&gt;"",F1288&lt;&gt;"",RIGHT($N1288,6)="tarief",F1288="Vergoeding"),SUM(O1288)*FLOOR(SUM(Q1288),0.0001),AND(O1288&lt;&gt;"",F1288&lt;&gt;"",RIGHT($N1288,6)="tarief"),SUM(O1288)*FLOOR(SUM(Q1288),0.01),S1288&gt;0,IF(F1288&lt;&gt;"",FLOOR(SUM(S1288),0.01),"")),""),""),"")</f>
        <v/>
      </c>
      <c r="V1288" s="317" t="str" cm="1">
        <f t="array" aca="1" ref="V1288" ca="1">IFERROR(IF(AA1288&lt;&gt;"ja",_xlfn.IFNA(_xlfn.IFS(AND(P1288&lt;&gt;"",R1288&lt;&gt;"",RIGHT($N1288,6)="tarief",F1288="Vergoeding"),SUM(P1288)*FLOOR(SUM(R1288),0.0001),AND(P1288&lt;&gt;"",R1288&lt;&gt;"",RIGHT($N1288,6)="tarief"),P1288*FLOOR(R1288,0.01),T1288&gt;0,FLOOR(SUM(T1288),0.01)),""),""),"")</f>
        <v/>
      </c>
      <c r="W1288" s="317" t="str" cm="1">
        <f t="array" aca="1" ref="W1288" ca="1">IFERROR(_xlfn.IFS(OR(F1288="",LEFT(Methode_Keuze,4)="Geen",Methode_Keuze=""),"",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17" t="str" cm="1">
        <f t="array" aca="1" ref="X1288" ca="1">IFERROR(_xlfn.IFS(OR(F1288="",LEFT(Methode_Keuze,4)="Geen",Methode_Keuze=""),"",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26"/>
      <c r="Z1288" s="319"/>
      <c r="AA1288" s="32" t="str" cm="1">
        <f t="array" ref="AA1288">IFERROR(IF(INDEX(SubsidieTabel!$AD$1:$AG$12,MATCH($F1288,SubsidieTabel!$AD$1:$AD$12,0),IFERROR(MATCH(Methode_Keuze,SubsidieTabel!$AD$1:$AG$1,0),2))&lt;&gt;1=TRUE,"ja",""),"")</f>
        <v/>
      </c>
    </row>
    <row r="1289" spans="1:27" x14ac:dyDescent="0.25">
      <c r="A1289" s="320"/>
      <c r="B1289" s="321" t="str">
        <f>IF(A1289&lt;&gt;"",_xlfn.MAXIFS($B$1:B1288,$A$1:A1288,A1289)+1,"")</f>
        <v/>
      </c>
      <c r="C1289" s="299"/>
      <c r="D1289" s="299"/>
      <c r="E1289" s="299"/>
      <c r="F1289" s="299"/>
      <c r="G1289" s="330"/>
      <c r="H1289" s="328"/>
      <c r="I1289" s="329"/>
      <c r="J1289" s="329"/>
      <c r="K1289" s="322"/>
      <c r="L1289" s="322"/>
      <c r="M1289" s="323" t="str">
        <f>IFERROR(VLOOKUP(H1289,Lijsten!$H$1:$I$100,2,0),"")</f>
        <v/>
      </c>
      <c r="N1289" s="323" t="str">
        <f ca="1">IFERROR(IF(VLOOKUP(F1289,Kostentypen!$A$3:$E$21,3,0)=0,"",IF(OR(F1289="Arbeidskosten",F1289="Vergoeding"),VLOOKUP(G1289,Tb_KostenTypen[],2,0),VLOOKUP(F1289,Kostentypen!$A$3:$E$20,3,0))),"")</f>
        <v/>
      </c>
      <c r="O1289" s="324"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4"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3"/>
      <c r="R1289" s="363"/>
      <c r="S1289" s="325"/>
      <c r="T1289" s="325"/>
      <c r="U1289" s="317" t="str" cm="1">
        <f t="array" aca="1" ref="U1289" ca="1">IFERROR(IF(AA1289&lt;&gt;"ja",_xlfn.IFNA(_xlfn.IFS(AND(O1289&lt;&gt;"",F1289&lt;&gt;"",RIGHT($N1289,6)="tarief",F1289="Vergoeding"),SUM(O1289)*FLOOR(SUM(Q1289),0.0001),AND(O1289&lt;&gt;"",F1289&lt;&gt;"",RIGHT($N1289,6)="tarief"),SUM(O1289)*FLOOR(SUM(Q1289),0.01),S1289&gt;0,IF(F1289&lt;&gt;"",FLOOR(SUM(S1289),0.01),"")),""),""),"")</f>
        <v/>
      </c>
      <c r="V1289" s="317" t="str" cm="1">
        <f t="array" aca="1" ref="V1289" ca="1">IFERROR(IF(AA1289&lt;&gt;"ja",_xlfn.IFNA(_xlfn.IFS(AND(P1289&lt;&gt;"",R1289&lt;&gt;"",RIGHT($N1289,6)="tarief",F1289="Vergoeding"),SUM(P1289)*FLOOR(SUM(R1289),0.0001),AND(P1289&lt;&gt;"",R1289&lt;&gt;"",RIGHT($N1289,6)="tarief"),P1289*FLOOR(R1289,0.01),T1289&gt;0,FLOOR(SUM(T1289),0.01)),""),""),"")</f>
        <v/>
      </c>
      <c r="W1289" s="317" t="str" cm="1">
        <f t="array" aca="1" ref="W1289" ca="1">IFERROR(_xlfn.IFS(OR(F1289="",LEFT(Methode_Keuze,4)="Geen",Methode_Keuze=""),"",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17" t="str" cm="1">
        <f t="array" aca="1" ref="X1289" ca="1">IFERROR(_xlfn.IFS(OR(F1289="",LEFT(Methode_Keuze,4)="Geen",Methode_Keuze=""),"",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26"/>
      <c r="Z1289" s="319"/>
      <c r="AA1289" s="32" t="str" cm="1">
        <f t="array" ref="AA1289">IFERROR(IF(INDEX(SubsidieTabel!$AD$1:$AG$12,MATCH($F1289,SubsidieTabel!$AD$1:$AD$12,0),IFERROR(MATCH(Methode_Keuze,SubsidieTabel!$AD$1:$AG$1,0),2))&lt;&gt;1=TRUE,"ja",""),"")</f>
        <v/>
      </c>
    </row>
    <row r="1290" spans="1:27" x14ac:dyDescent="0.25">
      <c r="A1290" s="320"/>
      <c r="B1290" s="321" t="str">
        <f>IF(A1290&lt;&gt;"",_xlfn.MAXIFS($B$1:B1289,$A$1:A1289,A1290)+1,"")</f>
        <v/>
      </c>
      <c r="C1290" s="299"/>
      <c r="D1290" s="299"/>
      <c r="E1290" s="299"/>
      <c r="F1290" s="299"/>
      <c r="G1290" s="330"/>
      <c r="H1290" s="328"/>
      <c r="I1290" s="329"/>
      <c r="J1290" s="329"/>
      <c r="K1290" s="322"/>
      <c r="L1290" s="322"/>
      <c r="M1290" s="323" t="str">
        <f>IFERROR(VLOOKUP(H1290,Lijsten!$H$1:$I$100,2,0),"")</f>
        <v/>
      </c>
      <c r="N1290" s="323" t="str">
        <f ca="1">IFERROR(IF(VLOOKUP(F1290,Kostentypen!$A$3:$E$21,3,0)=0,"",IF(OR(F1290="Arbeidskosten",F1290="Vergoeding"),VLOOKUP(G1290,Tb_KostenTypen[],2,0),VLOOKUP(F1290,Kostentypen!$A$3:$E$20,3,0))),"")</f>
        <v/>
      </c>
      <c r="O1290" s="324"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4"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3"/>
      <c r="R1290" s="363"/>
      <c r="S1290" s="325"/>
      <c r="T1290" s="325"/>
      <c r="U1290" s="317" t="str" cm="1">
        <f t="array" aca="1" ref="U1290" ca="1">IFERROR(IF(AA1290&lt;&gt;"ja",_xlfn.IFNA(_xlfn.IFS(AND(O1290&lt;&gt;"",F1290&lt;&gt;"",RIGHT($N1290,6)="tarief",F1290="Vergoeding"),SUM(O1290)*FLOOR(SUM(Q1290),0.0001),AND(O1290&lt;&gt;"",F1290&lt;&gt;"",RIGHT($N1290,6)="tarief"),SUM(O1290)*FLOOR(SUM(Q1290),0.01),S1290&gt;0,IF(F1290&lt;&gt;"",FLOOR(SUM(S1290),0.01),"")),""),""),"")</f>
        <v/>
      </c>
      <c r="V1290" s="317" t="str" cm="1">
        <f t="array" aca="1" ref="V1290" ca="1">IFERROR(IF(AA1290&lt;&gt;"ja",_xlfn.IFNA(_xlfn.IFS(AND(P1290&lt;&gt;"",R1290&lt;&gt;"",RIGHT($N1290,6)="tarief",F1290="Vergoeding"),SUM(P1290)*FLOOR(SUM(R1290),0.0001),AND(P1290&lt;&gt;"",R1290&lt;&gt;"",RIGHT($N1290,6)="tarief"),P1290*FLOOR(R1290,0.01),T1290&gt;0,FLOOR(SUM(T1290),0.01)),""),""),"")</f>
        <v/>
      </c>
      <c r="W1290" s="317" t="str" cm="1">
        <f t="array" aca="1" ref="W1290" ca="1">IFERROR(_xlfn.IFS(OR(F1290="",LEFT(Methode_Keuze,4)="Geen",Methode_Keuze=""),"",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17" t="str" cm="1">
        <f t="array" aca="1" ref="X1290" ca="1">IFERROR(_xlfn.IFS(OR(F1290="",LEFT(Methode_Keuze,4)="Geen",Methode_Keuze=""),"",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26"/>
      <c r="Z1290" s="319"/>
      <c r="AA1290" s="32" t="str" cm="1">
        <f t="array" ref="AA1290">IFERROR(IF(INDEX(SubsidieTabel!$AD$1:$AG$12,MATCH($F1290,SubsidieTabel!$AD$1:$AD$12,0),IFERROR(MATCH(Methode_Keuze,SubsidieTabel!$AD$1:$AG$1,0),2))&lt;&gt;1=TRUE,"ja",""),"")</f>
        <v/>
      </c>
    </row>
    <row r="1291" spans="1:27" x14ac:dyDescent="0.25">
      <c r="A1291" s="320"/>
      <c r="B1291" s="321" t="str">
        <f>IF(A1291&lt;&gt;"",_xlfn.MAXIFS($B$1:B1290,$A$1:A1290,A1291)+1,"")</f>
        <v/>
      </c>
      <c r="C1291" s="299"/>
      <c r="D1291" s="299"/>
      <c r="E1291" s="299"/>
      <c r="F1291" s="299"/>
      <c r="G1291" s="330"/>
      <c r="H1291" s="328"/>
      <c r="I1291" s="329"/>
      <c r="J1291" s="329"/>
      <c r="K1291" s="322"/>
      <c r="L1291" s="322"/>
      <c r="M1291" s="323" t="str">
        <f>IFERROR(VLOOKUP(H1291,Lijsten!$H$1:$I$100,2,0),"")</f>
        <v/>
      </c>
      <c r="N1291" s="323" t="str">
        <f ca="1">IFERROR(IF(VLOOKUP(F1291,Kostentypen!$A$3:$E$21,3,0)=0,"",IF(OR(F1291="Arbeidskosten",F1291="Vergoeding"),VLOOKUP(G1291,Tb_KostenTypen[],2,0),VLOOKUP(F1291,Kostentypen!$A$3:$E$20,3,0))),"")</f>
        <v/>
      </c>
      <c r="O1291" s="324"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4"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3"/>
      <c r="R1291" s="363"/>
      <c r="S1291" s="325"/>
      <c r="T1291" s="325"/>
      <c r="U1291" s="317" t="str" cm="1">
        <f t="array" aca="1" ref="U1291" ca="1">IFERROR(IF(AA1291&lt;&gt;"ja",_xlfn.IFNA(_xlfn.IFS(AND(O1291&lt;&gt;"",F1291&lt;&gt;"",RIGHT($N1291,6)="tarief",F1291="Vergoeding"),SUM(O1291)*FLOOR(SUM(Q1291),0.0001),AND(O1291&lt;&gt;"",F1291&lt;&gt;"",RIGHT($N1291,6)="tarief"),SUM(O1291)*FLOOR(SUM(Q1291),0.01),S1291&gt;0,IF(F1291&lt;&gt;"",FLOOR(SUM(S1291),0.01),"")),""),""),"")</f>
        <v/>
      </c>
      <c r="V1291" s="317" t="str" cm="1">
        <f t="array" aca="1" ref="V1291" ca="1">IFERROR(IF(AA1291&lt;&gt;"ja",_xlfn.IFNA(_xlfn.IFS(AND(P1291&lt;&gt;"",R1291&lt;&gt;"",RIGHT($N1291,6)="tarief",F1291="Vergoeding"),SUM(P1291)*FLOOR(SUM(R1291),0.0001),AND(P1291&lt;&gt;"",R1291&lt;&gt;"",RIGHT($N1291,6)="tarief"),P1291*FLOOR(R1291,0.01),T1291&gt;0,FLOOR(SUM(T1291),0.01)),""),""),"")</f>
        <v/>
      </c>
      <c r="W1291" s="317" t="str" cm="1">
        <f t="array" aca="1" ref="W1291" ca="1">IFERROR(_xlfn.IFS(OR(F1291="",LEFT(Methode_Keuze,4)="Geen",Methode_Keuze=""),"",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17" t="str" cm="1">
        <f t="array" aca="1" ref="X1291" ca="1">IFERROR(_xlfn.IFS(OR(F1291="",LEFT(Methode_Keuze,4)="Geen",Methode_Keuze=""),"",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26"/>
      <c r="Z1291" s="319"/>
      <c r="AA1291" s="32" t="str" cm="1">
        <f t="array" ref="AA1291">IFERROR(IF(INDEX(SubsidieTabel!$AD$1:$AG$12,MATCH($F1291,SubsidieTabel!$AD$1:$AD$12,0),IFERROR(MATCH(Methode_Keuze,SubsidieTabel!$AD$1:$AG$1,0),2))&lt;&gt;1=TRUE,"ja",""),"")</f>
        <v/>
      </c>
    </row>
    <row r="1292" spans="1:27" x14ac:dyDescent="0.25">
      <c r="A1292" s="320"/>
      <c r="B1292" s="321" t="str">
        <f>IF(A1292&lt;&gt;"",_xlfn.MAXIFS($B$1:B1291,$A$1:A1291,A1292)+1,"")</f>
        <v/>
      </c>
      <c r="C1292" s="299"/>
      <c r="D1292" s="299"/>
      <c r="E1292" s="299"/>
      <c r="F1292" s="299"/>
      <c r="G1292" s="330"/>
      <c r="H1292" s="328"/>
      <c r="I1292" s="329"/>
      <c r="J1292" s="329"/>
      <c r="K1292" s="322"/>
      <c r="L1292" s="322"/>
      <c r="M1292" s="323" t="str">
        <f>IFERROR(VLOOKUP(H1292,Lijsten!$H$1:$I$100,2,0),"")</f>
        <v/>
      </c>
      <c r="N1292" s="323" t="str">
        <f ca="1">IFERROR(IF(VLOOKUP(F1292,Kostentypen!$A$3:$E$21,3,0)=0,"",IF(OR(F1292="Arbeidskosten",F1292="Vergoeding"),VLOOKUP(G1292,Tb_KostenTypen[],2,0),VLOOKUP(F1292,Kostentypen!$A$3:$E$20,3,0))),"")</f>
        <v/>
      </c>
      <c r="O1292" s="324"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4"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3"/>
      <c r="R1292" s="363"/>
      <c r="S1292" s="325"/>
      <c r="T1292" s="325"/>
      <c r="U1292" s="317" t="str" cm="1">
        <f t="array" aca="1" ref="U1292" ca="1">IFERROR(IF(AA1292&lt;&gt;"ja",_xlfn.IFNA(_xlfn.IFS(AND(O1292&lt;&gt;"",F1292&lt;&gt;"",RIGHT($N1292,6)="tarief",F1292="Vergoeding"),SUM(O1292)*FLOOR(SUM(Q1292),0.0001),AND(O1292&lt;&gt;"",F1292&lt;&gt;"",RIGHT($N1292,6)="tarief"),SUM(O1292)*FLOOR(SUM(Q1292),0.01),S1292&gt;0,IF(F1292&lt;&gt;"",FLOOR(SUM(S1292),0.01),"")),""),""),"")</f>
        <v/>
      </c>
      <c r="V1292" s="317" t="str" cm="1">
        <f t="array" aca="1" ref="V1292" ca="1">IFERROR(IF(AA1292&lt;&gt;"ja",_xlfn.IFNA(_xlfn.IFS(AND(P1292&lt;&gt;"",R1292&lt;&gt;"",RIGHT($N1292,6)="tarief",F1292="Vergoeding"),SUM(P1292)*FLOOR(SUM(R1292),0.0001),AND(P1292&lt;&gt;"",R1292&lt;&gt;"",RIGHT($N1292,6)="tarief"),P1292*FLOOR(R1292,0.01),T1292&gt;0,FLOOR(SUM(T1292),0.01)),""),""),"")</f>
        <v/>
      </c>
      <c r="W1292" s="317" t="str" cm="1">
        <f t="array" aca="1" ref="W1292" ca="1">IFERROR(_xlfn.IFS(OR(F1292="",LEFT(Methode_Keuze,4)="Geen",Methode_Keuze=""),"",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17" t="str" cm="1">
        <f t="array" aca="1" ref="X1292" ca="1">IFERROR(_xlfn.IFS(OR(F1292="",LEFT(Methode_Keuze,4)="Geen",Methode_Keuze=""),"",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26"/>
      <c r="Z1292" s="319"/>
      <c r="AA1292" s="32" t="str" cm="1">
        <f t="array" ref="AA1292">IFERROR(IF(INDEX(SubsidieTabel!$AD$1:$AG$12,MATCH($F1292,SubsidieTabel!$AD$1:$AD$12,0),IFERROR(MATCH(Methode_Keuze,SubsidieTabel!$AD$1:$AG$1,0),2))&lt;&gt;1=TRUE,"ja",""),"")</f>
        <v/>
      </c>
    </row>
    <row r="1293" spans="1:27" x14ac:dyDescent="0.25">
      <c r="A1293" s="320"/>
      <c r="B1293" s="321" t="str">
        <f>IF(A1293&lt;&gt;"",_xlfn.MAXIFS($B$1:B1292,$A$1:A1292,A1293)+1,"")</f>
        <v/>
      </c>
      <c r="C1293" s="299"/>
      <c r="D1293" s="299"/>
      <c r="E1293" s="299"/>
      <c r="F1293" s="299"/>
      <c r="G1293" s="330"/>
      <c r="H1293" s="328"/>
      <c r="I1293" s="329"/>
      <c r="J1293" s="329"/>
      <c r="K1293" s="322"/>
      <c r="L1293" s="322"/>
      <c r="M1293" s="323" t="str">
        <f>IFERROR(VLOOKUP(H1293,Lijsten!$H$1:$I$100,2,0),"")</f>
        <v/>
      </c>
      <c r="N1293" s="323" t="str">
        <f ca="1">IFERROR(IF(VLOOKUP(F1293,Kostentypen!$A$3:$E$21,3,0)=0,"",IF(OR(F1293="Arbeidskosten",F1293="Vergoeding"),VLOOKUP(G1293,Tb_KostenTypen[],2,0),VLOOKUP(F1293,Kostentypen!$A$3:$E$20,3,0))),"")</f>
        <v/>
      </c>
      <c r="O1293" s="324"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4"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3"/>
      <c r="R1293" s="363"/>
      <c r="S1293" s="325"/>
      <c r="T1293" s="325"/>
      <c r="U1293" s="317" t="str" cm="1">
        <f t="array" aca="1" ref="U1293" ca="1">IFERROR(IF(AA1293&lt;&gt;"ja",_xlfn.IFNA(_xlfn.IFS(AND(O1293&lt;&gt;"",F1293&lt;&gt;"",RIGHT($N1293,6)="tarief",F1293="Vergoeding"),SUM(O1293)*FLOOR(SUM(Q1293),0.0001),AND(O1293&lt;&gt;"",F1293&lt;&gt;"",RIGHT($N1293,6)="tarief"),SUM(O1293)*FLOOR(SUM(Q1293),0.01),S1293&gt;0,IF(F1293&lt;&gt;"",FLOOR(SUM(S1293),0.01),"")),""),""),"")</f>
        <v/>
      </c>
      <c r="V1293" s="317" t="str" cm="1">
        <f t="array" aca="1" ref="V1293" ca="1">IFERROR(IF(AA1293&lt;&gt;"ja",_xlfn.IFNA(_xlfn.IFS(AND(P1293&lt;&gt;"",R1293&lt;&gt;"",RIGHT($N1293,6)="tarief",F1293="Vergoeding"),SUM(P1293)*FLOOR(SUM(R1293),0.0001),AND(P1293&lt;&gt;"",R1293&lt;&gt;"",RIGHT($N1293,6)="tarief"),P1293*FLOOR(R1293,0.01),T1293&gt;0,FLOOR(SUM(T1293),0.01)),""),""),"")</f>
        <v/>
      </c>
      <c r="W1293" s="317" t="str" cm="1">
        <f t="array" aca="1" ref="W1293" ca="1">IFERROR(_xlfn.IFS(OR(F1293="",LEFT(Methode_Keuze,4)="Geen",Methode_Keuze=""),"",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17" t="str" cm="1">
        <f t="array" aca="1" ref="X1293" ca="1">IFERROR(_xlfn.IFS(OR(F1293="",LEFT(Methode_Keuze,4)="Geen",Methode_Keuze=""),"",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26"/>
      <c r="Z1293" s="319"/>
      <c r="AA1293" s="32" t="str" cm="1">
        <f t="array" ref="AA1293">IFERROR(IF(INDEX(SubsidieTabel!$AD$1:$AG$12,MATCH($F1293,SubsidieTabel!$AD$1:$AD$12,0),IFERROR(MATCH(Methode_Keuze,SubsidieTabel!$AD$1:$AG$1,0),2))&lt;&gt;1=TRUE,"ja",""),"")</f>
        <v/>
      </c>
    </row>
    <row r="1294" spans="1:27" x14ac:dyDescent="0.25">
      <c r="A1294" s="320"/>
      <c r="B1294" s="321" t="str">
        <f>IF(A1294&lt;&gt;"",_xlfn.MAXIFS($B$1:B1293,$A$1:A1293,A1294)+1,"")</f>
        <v/>
      </c>
      <c r="C1294" s="299"/>
      <c r="D1294" s="299"/>
      <c r="E1294" s="299"/>
      <c r="F1294" s="299"/>
      <c r="G1294" s="330"/>
      <c r="H1294" s="328"/>
      <c r="I1294" s="329"/>
      <c r="J1294" s="329"/>
      <c r="K1294" s="322"/>
      <c r="L1294" s="322"/>
      <c r="M1294" s="323" t="str">
        <f>IFERROR(VLOOKUP(H1294,Lijsten!$H$1:$I$100,2,0),"")</f>
        <v/>
      </c>
      <c r="N1294" s="323" t="str">
        <f ca="1">IFERROR(IF(VLOOKUP(F1294,Kostentypen!$A$3:$E$21,3,0)=0,"",IF(OR(F1294="Arbeidskosten",F1294="Vergoeding"),VLOOKUP(G1294,Tb_KostenTypen[],2,0),VLOOKUP(F1294,Kostentypen!$A$3:$E$20,3,0))),"")</f>
        <v/>
      </c>
      <c r="O1294" s="324"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4"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3"/>
      <c r="R1294" s="363"/>
      <c r="S1294" s="325"/>
      <c r="T1294" s="325"/>
      <c r="U1294" s="317" t="str" cm="1">
        <f t="array" aca="1" ref="U1294" ca="1">IFERROR(IF(AA1294&lt;&gt;"ja",_xlfn.IFNA(_xlfn.IFS(AND(O1294&lt;&gt;"",F1294&lt;&gt;"",RIGHT($N1294,6)="tarief",F1294="Vergoeding"),SUM(O1294)*FLOOR(SUM(Q1294),0.0001),AND(O1294&lt;&gt;"",F1294&lt;&gt;"",RIGHT($N1294,6)="tarief"),SUM(O1294)*FLOOR(SUM(Q1294),0.01),S1294&gt;0,IF(F1294&lt;&gt;"",FLOOR(SUM(S1294),0.01),"")),""),""),"")</f>
        <v/>
      </c>
      <c r="V1294" s="317" t="str" cm="1">
        <f t="array" aca="1" ref="V1294" ca="1">IFERROR(IF(AA1294&lt;&gt;"ja",_xlfn.IFNA(_xlfn.IFS(AND(P1294&lt;&gt;"",R1294&lt;&gt;"",RIGHT($N1294,6)="tarief",F1294="Vergoeding"),SUM(P1294)*FLOOR(SUM(R1294),0.0001),AND(P1294&lt;&gt;"",R1294&lt;&gt;"",RIGHT($N1294,6)="tarief"),P1294*FLOOR(R1294,0.01),T1294&gt;0,FLOOR(SUM(T1294),0.01)),""),""),"")</f>
        <v/>
      </c>
      <c r="W1294" s="317" t="str" cm="1">
        <f t="array" aca="1" ref="W1294" ca="1">IFERROR(_xlfn.IFS(OR(F1294="",LEFT(Methode_Keuze,4)="Geen",Methode_Keuze=""),"",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17" t="str" cm="1">
        <f t="array" aca="1" ref="X1294" ca="1">IFERROR(_xlfn.IFS(OR(F1294="",LEFT(Methode_Keuze,4)="Geen",Methode_Keuze=""),"",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26"/>
      <c r="Z1294" s="319"/>
      <c r="AA1294" s="32" t="str" cm="1">
        <f t="array" ref="AA1294">IFERROR(IF(INDEX(SubsidieTabel!$AD$1:$AG$12,MATCH($F1294,SubsidieTabel!$AD$1:$AD$12,0),IFERROR(MATCH(Methode_Keuze,SubsidieTabel!$AD$1:$AG$1,0),2))&lt;&gt;1=TRUE,"ja",""),"")</f>
        <v/>
      </c>
    </row>
    <row r="1295" spans="1:27" x14ac:dyDescent="0.25">
      <c r="A1295" s="320"/>
      <c r="B1295" s="321" t="str">
        <f>IF(A1295&lt;&gt;"",_xlfn.MAXIFS($B$1:B1294,$A$1:A1294,A1295)+1,"")</f>
        <v/>
      </c>
      <c r="C1295" s="299"/>
      <c r="D1295" s="299"/>
      <c r="E1295" s="299"/>
      <c r="F1295" s="299"/>
      <c r="G1295" s="330"/>
      <c r="H1295" s="328"/>
      <c r="I1295" s="329"/>
      <c r="J1295" s="329"/>
      <c r="K1295" s="322"/>
      <c r="L1295" s="322"/>
      <c r="M1295" s="323" t="str">
        <f>IFERROR(VLOOKUP(H1295,Lijsten!$H$1:$I$100,2,0),"")</f>
        <v/>
      </c>
      <c r="N1295" s="323" t="str">
        <f ca="1">IFERROR(IF(VLOOKUP(F1295,Kostentypen!$A$3:$E$21,3,0)=0,"",IF(OR(F1295="Arbeidskosten",F1295="Vergoeding"),VLOOKUP(G1295,Tb_KostenTypen[],2,0),VLOOKUP(F1295,Kostentypen!$A$3:$E$20,3,0))),"")</f>
        <v/>
      </c>
      <c r="O1295" s="324"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4"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3"/>
      <c r="R1295" s="363"/>
      <c r="S1295" s="325"/>
      <c r="T1295" s="325"/>
      <c r="U1295" s="317" t="str" cm="1">
        <f t="array" aca="1" ref="U1295" ca="1">IFERROR(IF(AA1295&lt;&gt;"ja",_xlfn.IFNA(_xlfn.IFS(AND(O1295&lt;&gt;"",F1295&lt;&gt;"",RIGHT($N1295,6)="tarief",F1295="Vergoeding"),SUM(O1295)*FLOOR(SUM(Q1295),0.0001),AND(O1295&lt;&gt;"",F1295&lt;&gt;"",RIGHT($N1295,6)="tarief"),SUM(O1295)*FLOOR(SUM(Q1295),0.01),S1295&gt;0,IF(F1295&lt;&gt;"",FLOOR(SUM(S1295),0.01),"")),""),""),"")</f>
        <v/>
      </c>
      <c r="V1295" s="317" t="str" cm="1">
        <f t="array" aca="1" ref="V1295" ca="1">IFERROR(IF(AA1295&lt;&gt;"ja",_xlfn.IFNA(_xlfn.IFS(AND(P1295&lt;&gt;"",R1295&lt;&gt;"",RIGHT($N1295,6)="tarief",F1295="Vergoeding"),SUM(P1295)*FLOOR(SUM(R1295),0.0001),AND(P1295&lt;&gt;"",R1295&lt;&gt;"",RIGHT($N1295,6)="tarief"),P1295*FLOOR(R1295,0.01),T1295&gt;0,FLOOR(SUM(T1295),0.01)),""),""),"")</f>
        <v/>
      </c>
      <c r="W1295" s="317" t="str" cm="1">
        <f t="array" aca="1" ref="W1295" ca="1">IFERROR(_xlfn.IFS(OR(F1295="",LEFT(Methode_Keuze,4)="Geen",Methode_Keuze=""),"",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17" t="str" cm="1">
        <f t="array" aca="1" ref="X1295" ca="1">IFERROR(_xlfn.IFS(OR(F1295="",LEFT(Methode_Keuze,4)="Geen",Methode_Keuze=""),"",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26"/>
      <c r="Z1295" s="319"/>
      <c r="AA1295" s="32" t="str" cm="1">
        <f t="array" ref="AA1295">IFERROR(IF(INDEX(SubsidieTabel!$AD$1:$AG$12,MATCH($F1295,SubsidieTabel!$AD$1:$AD$12,0),IFERROR(MATCH(Methode_Keuze,SubsidieTabel!$AD$1:$AG$1,0),2))&lt;&gt;1=TRUE,"ja",""),"")</f>
        <v/>
      </c>
    </row>
    <row r="1296" spans="1:27" x14ac:dyDescent="0.25">
      <c r="A1296" s="320"/>
      <c r="B1296" s="321" t="str">
        <f>IF(A1296&lt;&gt;"",_xlfn.MAXIFS($B$1:B1295,$A$1:A1295,A1296)+1,"")</f>
        <v/>
      </c>
      <c r="C1296" s="299"/>
      <c r="D1296" s="299"/>
      <c r="E1296" s="299"/>
      <c r="F1296" s="299"/>
      <c r="G1296" s="330"/>
      <c r="H1296" s="328"/>
      <c r="I1296" s="329"/>
      <c r="J1296" s="329"/>
      <c r="K1296" s="322"/>
      <c r="L1296" s="322"/>
      <c r="M1296" s="323" t="str">
        <f>IFERROR(VLOOKUP(H1296,Lijsten!$H$1:$I$100,2,0),"")</f>
        <v/>
      </c>
      <c r="N1296" s="323" t="str">
        <f ca="1">IFERROR(IF(VLOOKUP(F1296,Kostentypen!$A$3:$E$21,3,0)=0,"",IF(OR(F1296="Arbeidskosten",F1296="Vergoeding"),VLOOKUP(G1296,Tb_KostenTypen[],2,0),VLOOKUP(F1296,Kostentypen!$A$3:$E$20,3,0))),"")</f>
        <v/>
      </c>
      <c r="O1296" s="324"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4"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3"/>
      <c r="R1296" s="363"/>
      <c r="S1296" s="325"/>
      <c r="T1296" s="325"/>
      <c r="U1296" s="317" t="str" cm="1">
        <f t="array" aca="1" ref="U1296" ca="1">IFERROR(IF(AA1296&lt;&gt;"ja",_xlfn.IFNA(_xlfn.IFS(AND(O1296&lt;&gt;"",F1296&lt;&gt;"",RIGHT($N1296,6)="tarief",F1296="Vergoeding"),SUM(O1296)*FLOOR(SUM(Q1296),0.0001),AND(O1296&lt;&gt;"",F1296&lt;&gt;"",RIGHT($N1296,6)="tarief"),SUM(O1296)*FLOOR(SUM(Q1296),0.01),S1296&gt;0,IF(F1296&lt;&gt;"",FLOOR(SUM(S1296),0.01),"")),""),""),"")</f>
        <v/>
      </c>
      <c r="V1296" s="317" t="str" cm="1">
        <f t="array" aca="1" ref="V1296" ca="1">IFERROR(IF(AA1296&lt;&gt;"ja",_xlfn.IFNA(_xlfn.IFS(AND(P1296&lt;&gt;"",R1296&lt;&gt;"",RIGHT($N1296,6)="tarief",F1296="Vergoeding"),SUM(P1296)*FLOOR(SUM(R1296),0.0001),AND(P1296&lt;&gt;"",R1296&lt;&gt;"",RIGHT($N1296,6)="tarief"),P1296*FLOOR(R1296,0.01),T1296&gt;0,FLOOR(SUM(T1296),0.01)),""),""),"")</f>
        <v/>
      </c>
      <c r="W1296" s="317" t="str" cm="1">
        <f t="array" aca="1" ref="W1296" ca="1">IFERROR(_xlfn.IFS(OR(F1296="",LEFT(Methode_Keuze,4)="Geen",Methode_Keuze=""),"",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17" t="str" cm="1">
        <f t="array" aca="1" ref="X1296" ca="1">IFERROR(_xlfn.IFS(OR(F1296="",LEFT(Methode_Keuze,4)="Geen",Methode_Keuze=""),"",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26"/>
      <c r="Z1296" s="319"/>
      <c r="AA1296" s="32" t="str" cm="1">
        <f t="array" ref="AA1296">IFERROR(IF(INDEX(SubsidieTabel!$AD$1:$AG$12,MATCH($F1296,SubsidieTabel!$AD$1:$AD$12,0),IFERROR(MATCH(Methode_Keuze,SubsidieTabel!$AD$1:$AG$1,0),2))&lt;&gt;1=TRUE,"ja",""),"")</f>
        <v/>
      </c>
    </row>
    <row r="1297" spans="1:27" x14ac:dyDescent="0.25">
      <c r="A1297" s="320"/>
      <c r="B1297" s="321" t="str">
        <f>IF(A1297&lt;&gt;"",_xlfn.MAXIFS($B$1:B1296,$A$1:A1296,A1297)+1,"")</f>
        <v/>
      </c>
      <c r="C1297" s="299"/>
      <c r="D1297" s="299"/>
      <c r="E1297" s="299"/>
      <c r="F1297" s="299"/>
      <c r="G1297" s="330"/>
      <c r="H1297" s="328"/>
      <c r="I1297" s="329"/>
      <c r="J1297" s="329"/>
      <c r="K1297" s="322"/>
      <c r="L1297" s="322"/>
      <c r="M1297" s="323" t="str">
        <f>IFERROR(VLOOKUP(H1297,Lijsten!$H$1:$I$100,2,0),"")</f>
        <v/>
      </c>
      <c r="N1297" s="323" t="str">
        <f ca="1">IFERROR(IF(VLOOKUP(F1297,Kostentypen!$A$3:$E$21,3,0)=0,"",IF(OR(F1297="Arbeidskosten",F1297="Vergoeding"),VLOOKUP(G1297,Tb_KostenTypen[],2,0),VLOOKUP(F1297,Kostentypen!$A$3:$E$20,3,0))),"")</f>
        <v/>
      </c>
      <c r="O1297" s="324"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4"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3"/>
      <c r="R1297" s="363"/>
      <c r="S1297" s="325"/>
      <c r="T1297" s="325"/>
      <c r="U1297" s="317" t="str" cm="1">
        <f t="array" aca="1" ref="U1297" ca="1">IFERROR(IF(AA1297&lt;&gt;"ja",_xlfn.IFNA(_xlfn.IFS(AND(O1297&lt;&gt;"",F1297&lt;&gt;"",RIGHT($N1297,6)="tarief",F1297="Vergoeding"),SUM(O1297)*FLOOR(SUM(Q1297),0.0001),AND(O1297&lt;&gt;"",F1297&lt;&gt;"",RIGHT($N1297,6)="tarief"),SUM(O1297)*FLOOR(SUM(Q1297),0.01),S1297&gt;0,IF(F1297&lt;&gt;"",FLOOR(SUM(S1297),0.01),"")),""),""),"")</f>
        <v/>
      </c>
      <c r="V1297" s="317" t="str" cm="1">
        <f t="array" aca="1" ref="V1297" ca="1">IFERROR(IF(AA1297&lt;&gt;"ja",_xlfn.IFNA(_xlfn.IFS(AND(P1297&lt;&gt;"",R1297&lt;&gt;"",RIGHT($N1297,6)="tarief",F1297="Vergoeding"),SUM(P1297)*FLOOR(SUM(R1297),0.0001),AND(P1297&lt;&gt;"",R1297&lt;&gt;"",RIGHT($N1297,6)="tarief"),P1297*FLOOR(R1297,0.01),T1297&gt;0,FLOOR(SUM(T1297),0.01)),""),""),"")</f>
        <v/>
      </c>
      <c r="W1297" s="317" t="str" cm="1">
        <f t="array" aca="1" ref="W1297" ca="1">IFERROR(_xlfn.IFS(OR(F1297="",LEFT(Methode_Keuze,4)="Geen",Methode_Keuze=""),"",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17" t="str" cm="1">
        <f t="array" aca="1" ref="X1297" ca="1">IFERROR(_xlfn.IFS(OR(F1297="",LEFT(Methode_Keuze,4)="Geen",Methode_Keuze=""),"",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26"/>
      <c r="Z1297" s="319"/>
      <c r="AA1297" s="32" t="str" cm="1">
        <f t="array" ref="AA1297">IFERROR(IF(INDEX(SubsidieTabel!$AD$1:$AG$12,MATCH($F1297,SubsidieTabel!$AD$1:$AD$12,0),IFERROR(MATCH(Methode_Keuze,SubsidieTabel!$AD$1:$AG$1,0),2))&lt;&gt;1=TRUE,"ja",""),"")</f>
        <v/>
      </c>
    </row>
    <row r="1298" spans="1:27" x14ac:dyDescent="0.25">
      <c r="A1298" s="320"/>
      <c r="B1298" s="321" t="str">
        <f>IF(A1298&lt;&gt;"",_xlfn.MAXIFS($B$1:B1297,$A$1:A1297,A1298)+1,"")</f>
        <v/>
      </c>
      <c r="C1298" s="299"/>
      <c r="D1298" s="299"/>
      <c r="E1298" s="299"/>
      <c r="F1298" s="299"/>
      <c r="G1298" s="330"/>
      <c r="H1298" s="328"/>
      <c r="I1298" s="329"/>
      <c r="J1298" s="329"/>
      <c r="K1298" s="322"/>
      <c r="L1298" s="322"/>
      <c r="M1298" s="323" t="str">
        <f>IFERROR(VLOOKUP(H1298,Lijsten!$H$1:$I$100,2,0),"")</f>
        <v/>
      </c>
      <c r="N1298" s="323" t="str">
        <f ca="1">IFERROR(IF(VLOOKUP(F1298,Kostentypen!$A$3:$E$21,3,0)=0,"",IF(OR(F1298="Arbeidskosten",F1298="Vergoeding"),VLOOKUP(G1298,Tb_KostenTypen[],2,0),VLOOKUP(F1298,Kostentypen!$A$3:$E$20,3,0))),"")</f>
        <v/>
      </c>
      <c r="O1298" s="324"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4"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3"/>
      <c r="R1298" s="363"/>
      <c r="S1298" s="325"/>
      <c r="T1298" s="325"/>
      <c r="U1298" s="317" t="str" cm="1">
        <f t="array" aca="1" ref="U1298" ca="1">IFERROR(IF(AA1298&lt;&gt;"ja",_xlfn.IFNA(_xlfn.IFS(AND(O1298&lt;&gt;"",F1298&lt;&gt;"",RIGHT($N1298,6)="tarief",F1298="Vergoeding"),SUM(O1298)*FLOOR(SUM(Q1298),0.0001),AND(O1298&lt;&gt;"",F1298&lt;&gt;"",RIGHT($N1298,6)="tarief"),SUM(O1298)*FLOOR(SUM(Q1298),0.01),S1298&gt;0,IF(F1298&lt;&gt;"",FLOOR(SUM(S1298),0.01),"")),""),""),"")</f>
        <v/>
      </c>
      <c r="V1298" s="317" t="str" cm="1">
        <f t="array" aca="1" ref="V1298" ca="1">IFERROR(IF(AA1298&lt;&gt;"ja",_xlfn.IFNA(_xlfn.IFS(AND(P1298&lt;&gt;"",R1298&lt;&gt;"",RIGHT($N1298,6)="tarief",F1298="Vergoeding"),SUM(P1298)*FLOOR(SUM(R1298),0.0001),AND(P1298&lt;&gt;"",R1298&lt;&gt;"",RIGHT($N1298,6)="tarief"),P1298*FLOOR(R1298,0.01),T1298&gt;0,FLOOR(SUM(T1298),0.01)),""),""),"")</f>
        <v/>
      </c>
      <c r="W1298" s="317" t="str" cm="1">
        <f t="array" aca="1" ref="W1298" ca="1">IFERROR(_xlfn.IFS(OR(F1298="",LEFT(Methode_Keuze,4)="Geen",Methode_Keuze=""),"",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17" t="str" cm="1">
        <f t="array" aca="1" ref="X1298" ca="1">IFERROR(_xlfn.IFS(OR(F1298="",LEFT(Methode_Keuze,4)="Geen",Methode_Keuze=""),"",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26"/>
      <c r="Z1298" s="319"/>
      <c r="AA1298" s="32" t="str" cm="1">
        <f t="array" ref="AA1298">IFERROR(IF(INDEX(SubsidieTabel!$AD$1:$AG$12,MATCH($F1298,SubsidieTabel!$AD$1:$AD$12,0),IFERROR(MATCH(Methode_Keuze,SubsidieTabel!$AD$1:$AG$1,0),2))&lt;&gt;1=TRUE,"ja",""),"")</f>
        <v/>
      </c>
    </row>
    <row r="1299" spans="1:27" x14ac:dyDescent="0.25">
      <c r="A1299" s="320"/>
      <c r="B1299" s="321" t="str">
        <f>IF(A1299&lt;&gt;"",_xlfn.MAXIFS($B$1:B1298,$A$1:A1298,A1299)+1,"")</f>
        <v/>
      </c>
      <c r="C1299" s="299"/>
      <c r="D1299" s="299"/>
      <c r="E1299" s="299"/>
      <c r="F1299" s="299"/>
      <c r="G1299" s="330"/>
      <c r="H1299" s="328"/>
      <c r="I1299" s="329"/>
      <c r="J1299" s="329"/>
      <c r="K1299" s="322"/>
      <c r="L1299" s="322"/>
      <c r="M1299" s="323" t="str">
        <f>IFERROR(VLOOKUP(H1299,Lijsten!$H$1:$I$100,2,0),"")</f>
        <v/>
      </c>
      <c r="N1299" s="323" t="str">
        <f ca="1">IFERROR(IF(VLOOKUP(F1299,Kostentypen!$A$3:$E$21,3,0)=0,"",IF(OR(F1299="Arbeidskosten",F1299="Vergoeding"),VLOOKUP(G1299,Tb_KostenTypen[],2,0),VLOOKUP(F1299,Kostentypen!$A$3:$E$20,3,0))),"")</f>
        <v/>
      </c>
      <c r="O1299" s="324"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4"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3"/>
      <c r="R1299" s="363"/>
      <c r="S1299" s="325"/>
      <c r="T1299" s="325"/>
      <c r="U1299" s="317" t="str" cm="1">
        <f t="array" aca="1" ref="U1299" ca="1">IFERROR(IF(AA1299&lt;&gt;"ja",_xlfn.IFNA(_xlfn.IFS(AND(O1299&lt;&gt;"",F1299&lt;&gt;"",RIGHT($N1299,6)="tarief",F1299="Vergoeding"),SUM(O1299)*FLOOR(SUM(Q1299),0.0001),AND(O1299&lt;&gt;"",F1299&lt;&gt;"",RIGHT($N1299,6)="tarief"),SUM(O1299)*FLOOR(SUM(Q1299),0.01),S1299&gt;0,IF(F1299&lt;&gt;"",FLOOR(SUM(S1299),0.01),"")),""),""),"")</f>
        <v/>
      </c>
      <c r="V1299" s="317" t="str" cm="1">
        <f t="array" aca="1" ref="V1299" ca="1">IFERROR(IF(AA1299&lt;&gt;"ja",_xlfn.IFNA(_xlfn.IFS(AND(P1299&lt;&gt;"",R1299&lt;&gt;"",RIGHT($N1299,6)="tarief",F1299="Vergoeding"),SUM(P1299)*FLOOR(SUM(R1299),0.0001),AND(P1299&lt;&gt;"",R1299&lt;&gt;"",RIGHT($N1299,6)="tarief"),P1299*FLOOR(R1299,0.01),T1299&gt;0,FLOOR(SUM(T1299),0.01)),""),""),"")</f>
        <v/>
      </c>
      <c r="W1299" s="317" t="str" cm="1">
        <f t="array" aca="1" ref="W1299" ca="1">IFERROR(_xlfn.IFS(OR(F1299="",LEFT(Methode_Keuze,4)="Geen",Methode_Keuze=""),"",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17" t="str" cm="1">
        <f t="array" aca="1" ref="X1299" ca="1">IFERROR(_xlfn.IFS(OR(F1299="",LEFT(Methode_Keuze,4)="Geen",Methode_Keuze=""),"",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26"/>
      <c r="Z1299" s="319"/>
      <c r="AA1299" s="32" t="str" cm="1">
        <f t="array" ref="AA1299">IFERROR(IF(INDEX(SubsidieTabel!$AD$1:$AG$12,MATCH($F1299,SubsidieTabel!$AD$1:$AD$12,0),IFERROR(MATCH(Methode_Keuze,SubsidieTabel!$AD$1:$AG$1,0),2))&lt;&gt;1=TRUE,"ja",""),"")</f>
        <v/>
      </c>
    </row>
    <row r="1300" spans="1:27" x14ac:dyDescent="0.25">
      <c r="A1300" s="320"/>
      <c r="B1300" s="321" t="str">
        <f>IF(A1300&lt;&gt;"",_xlfn.MAXIFS($B$1:B1299,$A$1:A1299,A1300)+1,"")</f>
        <v/>
      </c>
      <c r="C1300" s="299"/>
      <c r="D1300" s="299"/>
      <c r="E1300" s="299"/>
      <c r="F1300" s="299"/>
      <c r="G1300" s="330"/>
      <c r="H1300" s="328"/>
      <c r="I1300" s="329"/>
      <c r="J1300" s="329"/>
      <c r="K1300" s="322"/>
      <c r="L1300" s="322"/>
      <c r="M1300" s="323" t="str">
        <f>IFERROR(VLOOKUP(H1300,Lijsten!$H$1:$I$100,2,0),"")</f>
        <v/>
      </c>
      <c r="N1300" s="323" t="str">
        <f ca="1">IFERROR(IF(VLOOKUP(F1300,Kostentypen!$A$3:$E$21,3,0)=0,"",IF(OR(F1300="Arbeidskosten",F1300="Vergoeding"),VLOOKUP(G1300,Tb_KostenTypen[],2,0),VLOOKUP(F1300,Kostentypen!$A$3:$E$20,3,0))),"")</f>
        <v/>
      </c>
      <c r="O1300" s="324"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4"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3"/>
      <c r="R1300" s="363"/>
      <c r="S1300" s="325"/>
      <c r="T1300" s="325"/>
      <c r="U1300" s="317" t="str" cm="1">
        <f t="array" aca="1" ref="U1300" ca="1">IFERROR(IF(AA1300&lt;&gt;"ja",_xlfn.IFNA(_xlfn.IFS(AND(O1300&lt;&gt;"",F1300&lt;&gt;"",RIGHT($N1300,6)="tarief",F1300="Vergoeding"),SUM(O1300)*FLOOR(SUM(Q1300),0.0001),AND(O1300&lt;&gt;"",F1300&lt;&gt;"",RIGHT($N1300,6)="tarief"),SUM(O1300)*FLOOR(SUM(Q1300),0.01),S1300&gt;0,IF(F1300&lt;&gt;"",FLOOR(SUM(S1300),0.01),"")),""),""),"")</f>
        <v/>
      </c>
      <c r="V1300" s="317" t="str" cm="1">
        <f t="array" aca="1" ref="V1300" ca="1">IFERROR(IF(AA1300&lt;&gt;"ja",_xlfn.IFNA(_xlfn.IFS(AND(P1300&lt;&gt;"",R1300&lt;&gt;"",RIGHT($N1300,6)="tarief",F1300="Vergoeding"),SUM(P1300)*FLOOR(SUM(R1300),0.0001),AND(P1300&lt;&gt;"",R1300&lt;&gt;"",RIGHT($N1300,6)="tarief"),P1300*FLOOR(R1300,0.01),T1300&gt;0,FLOOR(SUM(T1300),0.01)),""),""),"")</f>
        <v/>
      </c>
      <c r="W1300" s="317" t="str" cm="1">
        <f t="array" aca="1" ref="W1300" ca="1">IFERROR(_xlfn.IFS(OR(F1300="",LEFT(Methode_Keuze,4)="Geen",Methode_Keuze=""),"",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17" t="str" cm="1">
        <f t="array" aca="1" ref="X1300" ca="1">IFERROR(_xlfn.IFS(OR(F1300="",LEFT(Methode_Keuze,4)="Geen",Methode_Keuze=""),"",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26"/>
      <c r="Z1300" s="319"/>
      <c r="AA1300" s="32" t="str" cm="1">
        <f t="array" ref="AA1300">IFERROR(IF(INDEX(SubsidieTabel!$AD$1:$AG$12,MATCH($F1300,SubsidieTabel!$AD$1:$AD$12,0),IFERROR(MATCH(Methode_Keuze,SubsidieTabel!$AD$1:$AG$1,0),2))&lt;&gt;1=TRUE,"ja",""),"")</f>
        <v/>
      </c>
    </row>
    <row r="1301" spans="1:27" x14ac:dyDescent="0.25">
      <c r="A1301" s="320"/>
      <c r="B1301" s="321" t="str">
        <f>IF(A1301&lt;&gt;"",_xlfn.MAXIFS($B$1:B1300,$A$1:A1300,A1301)+1,"")</f>
        <v/>
      </c>
      <c r="C1301" s="299"/>
      <c r="D1301" s="299"/>
      <c r="E1301" s="299"/>
      <c r="F1301" s="299"/>
      <c r="G1301" s="330"/>
      <c r="H1301" s="328"/>
      <c r="I1301" s="329"/>
      <c r="J1301" s="329"/>
      <c r="K1301" s="322"/>
      <c r="L1301" s="322"/>
      <c r="M1301" s="323" t="str">
        <f>IFERROR(VLOOKUP(H1301,Lijsten!$H$1:$I$100,2,0),"")</f>
        <v/>
      </c>
      <c r="N1301" s="323" t="str">
        <f ca="1">IFERROR(IF(VLOOKUP(F1301,Kostentypen!$A$3:$E$21,3,0)=0,"",IF(OR(F1301="Arbeidskosten",F1301="Vergoeding"),VLOOKUP(G1301,Tb_KostenTypen[],2,0),VLOOKUP(F1301,Kostentypen!$A$3:$E$20,3,0))),"")</f>
        <v/>
      </c>
      <c r="O1301" s="324"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4"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3"/>
      <c r="R1301" s="363"/>
      <c r="S1301" s="325"/>
      <c r="T1301" s="325"/>
      <c r="U1301" s="317" t="str" cm="1">
        <f t="array" aca="1" ref="U1301" ca="1">IFERROR(IF(AA1301&lt;&gt;"ja",_xlfn.IFNA(_xlfn.IFS(AND(O1301&lt;&gt;"",F1301&lt;&gt;"",RIGHT($N1301,6)="tarief",F1301="Vergoeding"),SUM(O1301)*FLOOR(SUM(Q1301),0.0001),AND(O1301&lt;&gt;"",F1301&lt;&gt;"",RIGHT($N1301,6)="tarief"),SUM(O1301)*FLOOR(SUM(Q1301),0.01),S1301&gt;0,IF(F1301&lt;&gt;"",FLOOR(SUM(S1301),0.01),"")),""),""),"")</f>
        <v/>
      </c>
      <c r="V1301" s="317" t="str" cm="1">
        <f t="array" aca="1" ref="V1301" ca="1">IFERROR(IF(AA1301&lt;&gt;"ja",_xlfn.IFNA(_xlfn.IFS(AND(P1301&lt;&gt;"",R1301&lt;&gt;"",RIGHT($N1301,6)="tarief",F1301="Vergoeding"),SUM(P1301)*FLOOR(SUM(R1301),0.0001),AND(P1301&lt;&gt;"",R1301&lt;&gt;"",RIGHT($N1301,6)="tarief"),P1301*FLOOR(R1301,0.01),T1301&gt;0,FLOOR(SUM(T1301),0.01)),""),""),"")</f>
        <v/>
      </c>
      <c r="W1301" s="317" t="str" cm="1">
        <f t="array" aca="1" ref="W1301" ca="1">IFERROR(_xlfn.IFS(OR(F1301="",LEFT(Methode_Keuze,4)="Geen",Methode_Keuze=""),"",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17" t="str" cm="1">
        <f t="array" aca="1" ref="X1301" ca="1">IFERROR(_xlfn.IFS(OR(F1301="",LEFT(Methode_Keuze,4)="Geen",Methode_Keuze=""),"",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26"/>
      <c r="Z1301" s="319"/>
      <c r="AA1301" s="32" t="str" cm="1">
        <f t="array" ref="AA1301">IFERROR(IF(INDEX(SubsidieTabel!$AD$1:$AG$12,MATCH($F1301,SubsidieTabel!$AD$1:$AD$12,0),IFERROR(MATCH(Methode_Keuze,SubsidieTabel!$AD$1:$AG$1,0),2))&lt;&gt;1=TRUE,"ja",""),"")</f>
        <v/>
      </c>
    </row>
    <row r="1302" spans="1:27" x14ac:dyDescent="0.25">
      <c r="A1302" s="320"/>
      <c r="B1302" s="321" t="str">
        <f>IF(A1302&lt;&gt;"",_xlfn.MAXIFS($B$1:B1301,$A$1:A1301,A1302)+1,"")</f>
        <v/>
      </c>
      <c r="C1302" s="299"/>
      <c r="D1302" s="299"/>
      <c r="E1302" s="299"/>
      <c r="F1302" s="299"/>
      <c r="G1302" s="330"/>
      <c r="H1302" s="328"/>
      <c r="I1302" s="329"/>
      <c r="J1302" s="329"/>
      <c r="K1302" s="322"/>
      <c r="L1302" s="322"/>
      <c r="M1302" s="323" t="str">
        <f>IFERROR(VLOOKUP(H1302,Lijsten!$H$1:$I$100,2,0),"")</f>
        <v/>
      </c>
      <c r="N1302" s="323" t="str">
        <f ca="1">IFERROR(IF(VLOOKUP(F1302,Kostentypen!$A$3:$E$21,3,0)=0,"",IF(OR(F1302="Arbeidskosten",F1302="Vergoeding"),VLOOKUP(G1302,Tb_KostenTypen[],2,0),VLOOKUP(F1302,Kostentypen!$A$3:$E$20,3,0))),"")</f>
        <v/>
      </c>
      <c r="O1302" s="324"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4"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3"/>
      <c r="R1302" s="363"/>
      <c r="S1302" s="325"/>
      <c r="T1302" s="325"/>
      <c r="U1302" s="317" t="str" cm="1">
        <f t="array" aca="1" ref="U1302" ca="1">IFERROR(IF(AA1302&lt;&gt;"ja",_xlfn.IFNA(_xlfn.IFS(AND(O1302&lt;&gt;"",F1302&lt;&gt;"",RIGHT($N1302,6)="tarief",F1302="Vergoeding"),SUM(O1302)*FLOOR(SUM(Q1302),0.0001),AND(O1302&lt;&gt;"",F1302&lt;&gt;"",RIGHT($N1302,6)="tarief"),SUM(O1302)*FLOOR(SUM(Q1302),0.01),S1302&gt;0,IF(F1302&lt;&gt;"",FLOOR(SUM(S1302),0.01),"")),""),""),"")</f>
        <v/>
      </c>
      <c r="V1302" s="317" t="str" cm="1">
        <f t="array" aca="1" ref="V1302" ca="1">IFERROR(IF(AA1302&lt;&gt;"ja",_xlfn.IFNA(_xlfn.IFS(AND(P1302&lt;&gt;"",R1302&lt;&gt;"",RIGHT($N1302,6)="tarief",F1302="Vergoeding"),SUM(P1302)*FLOOR(SUM(R1302),0.0001),AND(P1302&lt;&gt;"",R1302&lt;&gt;"",RIGHT($N1302,6)="tarief"),P1302*FLOOR(R1302,0.01),T1302&gt;0,FLOOR(SUM(T1302),0.01)),""),""),"")</f>
        <v/>
      </c>
      <c r="W1302" s="317" t="str" cm="1">
        <f t="array" aca="1" ref="W1302" ca="1">IFERROR(_xlfn.IFS(OR(F1302="",LEFT(Methode_Keuze,4)="Geen",Methode_Keuze=""),"",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17" t="str" cm="1">
        <f t="array" aca="1" ref="X1302" ca="1">IFERROR(_xlfn.IFS(OR(F1302="",LEFT(Methode_Keuze,4)="Geen",Methode_Keuze=""),"",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26"/>
      <c r="Z1302" s="319"/>
      <c r="AA1302" s="32" t="str" cm="1">
        <f t="array" ref="AA1302">IFERROR(IF(INDEX(SubsidieTabel!$AD$1:$AG$12,MATCH($F1302,SubsidieTabel!$AD$1:$AD$12,0),IFERROR(MATCH(Methode_Keuze,SubsidieTabel!$AD$1:$AG$1,0),2))&lt;&gt;1=TRUE,"ja",""),"")</f>
        <v/>
      </c>
    </row>
    <row r="1303" spans="1:27" x14ac:dyDescent="0.25">
      <c r="A1303" s="320"/>
      <c r="B1303" s="321" t="str">
        <f>IF(A1303&lt;&gt;"",_xlfn.MAXIFS($B$1:B1302,$A$1:A1302,A1303)+1,"")</f>
        <v/>
      </c>
      <c r="C1303" s="299"/>
      <c r="D1303" s="299"/>
      <c r="E1303" s="299"/>
      <c r="F1303" s="299"/>
      <c r="G1303" s="330"/>
      <c r="H1303" s="328"/>
      <c r="I1303" s="329"/>
      <c r="J1303" s="329"/>
      <c r="K1303" s="322"/>
      <c r="L1303" s="322"/>
      <c r="M1303" s="323" t="str">
        <f>IFERROR(VLOOKUP(H1303,Lijsten!$H$1:$I$100,2,0),"")</f>
        <v/>
      </c>
      <c r="N1303" s="323" t="str">
        <f ca="1">IFERROR(IF(VLOOKUP(F1303,Kostentypen!$A$3:$E$21,3,0)=0,"",IF(OR(F1303="Arbeidskosten",F1303="Vergoeding"),VLOOKUP(G1303,Tb_KostenTypen[],2,0),VLOOKUP(F1303,Kostentypen!$A$3:$E$20,3,0))),"")</f>
        <v/>
      </c>
      <c r="O1303" s="324"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4"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3"/>
      <c r="R1303" s="363"/>
      <c r="S1303" s="325"/>
      <c r="T1303" s="325"/>
      <c r="U1303" s="317" t="str" cm="1">
        <f t="array" aca="1" ref="U1303" ca="1">IFERROR(IF(AA1303&lt;&gt;"ja",_xlfn.IFNA(_xlfn.IFS(AND(O1303&lt;&gt;"",F1303&lt;&gt;"",RIGHT($N1303,6)="tarief",F1303="Vergoeding"),SUM(O1303)*FLOOR(SUM(Q1303),0.0001),AND(O1303&lt;&gt;"",F1303&lt;&gt;"",RIGHT($N1303,6)="tarief"),SUM(O1303)*FLOOR(SUM(Q1303),0.01),S1303&gt;0,IF(F1303&lt;&gt;"",FLOOR(SUM(S1303),0.01),"")),""),""),"")</f>
        <v/>
      </c>
      <c r="V1303" s="317" t="str" cm="1">
        <f t="array" aca="1" ref="V1303" ca="1">IFERROR(IF(AA1303&lt;&gt;"ja",_xlfn.IFNA(_xlfn.IFS(AND(P1303&lt;&gt;"",R1303&lt;&gt;"",RIGHT($N1303,6)="tarief",F1303="Vergoeding"),SUM(P1303)*FLOOR(SUM(R1303),0.0001),AND(P1303&lt;&gt;"",R1303&lt;&gt;"",RIGHT($N1303,6)="tarief"),P1303*FLOOR(R1303,0.01),T1303&gt;0,FLOOR(SUM(T1303),0.01)),""),""),"")</f>
        <v/>
      </c>
      <c r="W1303" s="317" t="str" cm="1">
        <f t="array" aca="1" ref="W1303" ca="1">IFERROR(_xlfn.IFS(OR(F1303="",LEFT(Methode_Keuze,4)="Geen",Methode_Keuze=""),"",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17" t="str" cm="1">
        <f t="array" aca="1" ref="X1303" ca="1">IFERROR(_xlfn.IFS(OR(F1303="",LEFT(Methode_Keuze,4)="Geen",Methode_Keuze=""),"",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26"/>
      <c r="Z1303" s="319"/>
      <c r="AA1303" s="32" t="str" cm="1">
        <f t="array" ref="AA1303">IFERROR(IF(INDEX(SubsidieTabel!$AD$1:$AG$12,MATCH($F1303,SubsidieTabel!$AD$1:$AD$12,0),IFERROR(MATCH(Methode_Keuze,SubsidieTabel!$AD$1:$AG$1,0),2))&lt;&gt;1=TRUE,"ja",""),"")</f>
        <v/>
      </c>
    </row>
    <row r="1304" spans="1:27" x14ac:dyDescent="0.25">
      <c r="A1304" s="320"/>
      <c r="B1304" s="321" t="str">
        <f>IF(A1304&lt;&gt;"",_xlfn.MAXIFS($B$1:B1303,$A$1:A1303,A1304)+1,"")</f>
        <v/>
      </c>
      <c r="C1304" s="299"/>
      <c r="D1304" s="299"/>
      <c r="E1304" s="299"/>
      <c r="F1304" s="299"/>
      <c r="G1304" s="330"/>
      <c r="H1304" s="328"/>
      <c r="I1304" s="329"/>
      <c r="J1304" s="329"/>
      <c r="K1304" s="322"/>
      <c r="L1304" s="322"/>
      <c r="M1304" s="323" t="str">
        <f>IFERROR(VLOOKUP(H1304,Lijsten!$H$1:$I$100,2,0),"")</f>
        <v/>
      </c>
      <c r="N1304" s="323" t="str">
        <f ca="1">IFERROR(IF(VLOOKUP(F1304,Kostentypen!$A$3:$E$21,3,0)=0,"",IF(OR(F1304="Arbeidskosten",F1304="Vergoeding"),VLOOKUP(G1304,Tb_KostenTypen[],2,0),VLOOKUP(F1304,Kostentypen!$A$3:$E$20,3,0))),"")</f>
        <v/>
      </c>
      <c r="O1304" s="324"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4"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3"/>
      <c r="R1304" s="363"/>
      <c r="S1304" s="325"/>
      <c r="T1304" s="325"/>
      <c r="U1304" s="317" t="str" cm="1">
        <f t="array" aca="1" ref="U1304" ca="1">IFERROR(IF(AA1304&lt;&gt;"ja",_xlfn.IFNA(_xlfn.IFS(AND(O1304&lt;&gt;"",F1304&lt;&gt;"",RIGHT($N1304,6)="tarief",F1304="Vergoeding"),SUM(O1304)*FLOOR(SUM(Q1304),0.0001),AND(O1304&lt;&gt;"",F1304&lt;&gt;"",RIGHT($N1304,6)="tarief"),SUM(O1304)*FLOOR(SUM(Q1304),0.01),S1304&gt;0,IF(F1304&lt;&gt;"",FLOOR(SUM(S1304),0.01),"")),""),""),"")</f>
        <v/>
      </c>
      <c r="V1304" s="317" t="str" cm="1">
        <f t="array" aca="1" ref="V1304" ca="1">IFERROR(IF(AA1304&lt;&gt;"ja",_xlfn.IFNA(_xlfn.IFS(AND(P1304&lt;&gt;"",R1304&lt;&gt;"",RIGHT($N1304,6)="tarief",F1304="Vergoeding"),SUM(P1304)*FLOOR(SUM(R1304),0.0001),AND(P1304&lt;&gt;"",R1304&lt;&gt;"",RIGHT($N1304,6)="tarief"),P1304*FLOOR(R1304,0.01),T1304&gt;0,FLOOR(SUM(T1304),0.01)),""),""),"")</f>
        <v/>
      </c>
      <c r="W1304" s="317" t="str" cm="1">
        <f t="array" aca="1" ref="W1304" ca="1">IFERROR(_xlfn.IFS(OR(F1304="",LEFT(Methode_Keuze,4)="Geen",Methode_Keuze=""),"",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17" t="str" cm="1">
        <f t="array" aca="1" ref="X1304" ca="1">IFERROR(_xlfn.IFS(OR(F1304="",LEFT(Methode_Keuze,4)="Geen",Methode_Keuze=""),"",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26"/>
      <c r="Z1304" s="319"/>
      <c r="AA1304" s="32" t="str" cm="1">
        <f t="array" ref="AA1304">IFERROR(IF(INDEX(SubsidieTabel!$AD$1:$AG$12,MATCH($F1304,SubsidieTabel!$AD$1:$AD$12,0),IFERROR(MATCH(Methode_Keuze,SubsidieTabel!$AD$1:$AG$1,0),2))&lt;&gt;1=TRUE,"ja",""),"")</f>
        <v/>
      </c>
    </row>
    <row r="1305" spans="1:27" x14ac:dyDescent="0.25">
      <c r="A1305" s="320"/>
      <c r="B1305" s="321" t="str">
        <f>IF(A1305&lt;&gt;"",_xlfn.MAXIFS($B$1:B1304,$A$1:A1304,A1305)+1,"")</f>
        <v/>
      </c>
      <c r="C1305" s="299"/>
      <c r="D1305" s="299"/>
      <c r="E1305" s="299"/>
      <c r="F1305" s="299"/>
      <c r="G1305" s="330"/>
      <c r="H1305" s="328"/>
      <c r="I1305" s="329"/>
      <c r="J1305" s="329"/>
      <c r="K1305" s="322"/>
      <c r="L1305" s="322"/>
      <c r="M1305" s="323" t="str">
        <f>IFERROR(VLOOKUP(H1305,Lijsten!$H$1:$I$100,2,0),"")</f>
        <v/>
      </c>
      <c r="N1305" s="323" t="str">
        <f ca="1">IFERROR(IF(VLOOKUP(F1305,Kostentypen!$A$3:$E$21,3,0)=0,"",IF(OR(F1305="Arbeidskosten",F1305="Vergoeding"),VLOOKUP(G1305,Tb_KostenTypen[],2,0),VLOOKUP(F1305,Kostentypen!$A$3:$E$20,3,0))),"")</f>
        <v/>
      </c>
      <c r="O1305" s="324"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4"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3"/>
      <c r="R1305" s="363"/>
      <c r="S1305" s="325"/>
      <c r="T1305" s="325"/>
      <c r="U1305" s="317" t="str" cm="1">
        <f t="array" aca="1" ref="U1305" ca="1">IFERROR(IF(AA1305&lt;&gt;"ja",_xlfn.IFNA(_xlfn.IFS(AND(O1305&lt;&gt;"",F1305&lt;&gt;"",RIGHT($N1305,6)="tarief",F1305="Vergoeding"),SUM(O1305)*FLOOR(SUM(Q1305),0.0001),AND(O1305&lt;&gt;"",F1305&lt;&gt;"",RIGHT($N1305,6)="tarief"),SUM(O1305)*FLOOR(SUM(Q1305),0.01),S1305&gt;0,IF(F1305&lt;&gt;"",FLOOR(SUM(S1305),0.01),"")),""),""),"")</f>
        <v/>
      </c>
      <c r="V1305" s="317" t="str" cm="1">
        <f t="array" aca="1" ref="V1305" ca="1">IFERROR(IF(AA1305&lt;&gt;"ja",_xlfn.IFNA(_xlfn.IFS(AND(P1305&lt;&gt;"",R1305&lt;&gt;"",RIGHT($N1305,6)="tarief",F1305="Vergoeding"),SUM(P1305)*FLOOR(SUM(R1305),0.0001),AND(P1305&lt;&gt;"",R1305&lt;&gt;"",RIGHT($N1305,6)="tarief"),P1305*FLOOR(R1305,0.01),T1305&gt;0,FLOOR(SUM(T1305),0.01)),""),""),"")</f>
        <v/>
      </c>
      <c r="W1305" s="317" t="str" cm="1">
        <f t="array" aca="1" ref="W1305" ca="1">IFERROR(_xlfn.IFS(OR(F1305="",LEFT(Methode_Keuze,4)="Geen",Methode_Keuze=""),"",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17" t="str" cm="1">
        <f t="array" aca="1" ref="X1305" ca="1">IFERROR(_xlfn.IFS(OR(F1305="",LEFT(Methode_Keuze,4)="Geen",Methode_Keuze=""),"",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26"/>
      <c r="Z1305" s="319"/>
      <c r="AA1305" s="32" t="str" cm="1">
        <f t="array" ref="AA1305">IFERROR(IF(INDEX(SubsidieTabel!$AD$1:$AG$12,MATCH($F1305,SubsidieTabel!$AD$1:$AD$12,0),IFERROR(MATCH(Methode_Keuze,SubsidieTabel!$AD$1:$AG$1,0),2))&lt;&gt;1=TRUE,"ja",""),"")</f>
        <v/>
      </c>
    </row>
    <row r="1306" spans="1:27" x14ac:dyDescent="0.25">
      <c r="A1306" s="320"/>
      <c r="B1306" s="321" t="str">
        <f>IF(A1306&lt;&gt;"",_xlfn.MAXIFS($B$1:B1305,$A$1:A1305,A1306)+1,"")</f>
        <v/>
      </c>
      <c r="C1306" s="299"/>
      <c r="D1306" s="299"/>
      <c r="E1306" s="299"/>
      <c r="F1306" s="299"/>
      <c r="G1306" s="330"/>
      <c r="H1306" s="328"/>
      <c r="I1306" s="329"/>
      <c r="J1306" s="329"/>
      <c r="K1306" s="322"/>
      <c r="L1306" s="322"/>
      <c r="M1306" s="323" t="str">
        <f>IFERROR(VLOOKUP(H1306,Lijsten!$H$1:$I$100,2,0),"")</f>
        <v/>
      </c>
      <c r="N1306" s="323" t="str">
        <f ca="1">IFERROR(IF(VLOOKUP(F1306,Kostentypen!$A$3:$E$21,3,0)=0,"",IF(OR(F1306="Arbeidskosten",F1306="Vergoeding"),VLOOKUP(G1306,Tb_KostenTypen[],2,0),VLOOKUP(F1306,Kostentypen!$A$3:$E$20,3,0))),"")</f>
        <v/>
      </c>
      <c r="O1306" s="324"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4"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3"/>
      <c r="R1306" s="363"/>
      <c r="S1306" s="325"/>
      <c r="T1306" s="325"/>
      <c r="U1306" s="317" t="str" cm="1">
        <f t="array" aca="1" ref="U1306" ca="1">IFERROR(IF(AA1306&lt;&gt;"ja",_xlfn.IFNA(_xlfn.IFS(AND(O1306&lt;&gt;"",F1306&lt;&gt;"",RIGHT($N1306,6)="tarief",F1306="Vergoeding"),SUM(O1306)*FLOOR(SUM(Q1306),0.0001),AND(O1306&lt;&gt;"",F1306&lt;&gt;"",RIGHT($N1306,6)="tarief"),SUM(O1306)*FLOOR(SUM(Q1306),0.01),S1306&gt;0,IF(F1306&lt;&gt;"",FLOOR(SUM(S1306),0.01),"")),""),""),"")</f>
        <v/>
      </c>
      <c r="V1306" s="317" t="str" cm="1">
        <f t="array" aca="1" ref="V1306" ca="1">IFERROR(IF(AA1306&lt;&gt;"ja",_xlfn.IFNA(_xlfn.IFS(AND(P1306&lt;&gt;"",R1306&lt;&gt;"",RIGHT($N1306,6)="tarief",F1306="Vergoeding"),SUM(P1306)*FLOOR(SUM(R1306),0.0001),AND(P1306&lt;&gt;"",R1306&lt;&gt;"",RIGHT($N1306,6)="tarief"),P1306*FLOOR(R1306,0.01),T1306&gt;0,FLOOR(SUM(T1306),0.01)),""),""),"")</f>
        <v/>
      </c>
      <c r="W1306" s="317" t="str" cm="1">
        <f t="array" aca="1" ref="W1306" ca="1">IFERROR(_xlfn.IFS(OR(F1306="",LEFT(Methode_Keuze,4)="Geen",Methode_Keuze=""),"",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17" t="str" cm="1">
        <f t="array" aca="1" ref="X1306" ca="1">IFERROR(_xlfn.IFS(OR(F1306="",LEFT(Methode_Keuze,4)="Geen",Methode_Keuze=""),"",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26"/>
      <c r="Z1306" s="319"/>
      <c r="AA1306" s="32" t="str" cm="1">
        <f t="array" ref="AA1306">IFERROR(IF(INDEX(SubsidieTabel!$AD$1:$AG$12,MATCH($F1306,SubsidieTabel!$AD$1:$AD$12,0),IFERROR(MATCH(Methode_Keuze,SubsidieTabel!$AD$1:$AG$1,0),2))&lt;&gt;1=TRUE,"ja",""),"")</f>
        <v/>
      </c>
    </row>
    <row r="1307" spans="1:27" x14ac:dyDescent="0.25">
      <c r="A1307" s="320"/>
      <c r="B1307" s="321" t="str">
        <f>IF(A1307&lt;&gt;"",_xlfn.MAXIFS($B$1:B1306,$A$1:A1306,A1307)+1,"")</f>
        <v/>
      </c>
      <c r="C1307" s="299"/>
      <c r="D1307" s="299"/>
      <c r="E1307" s="299"/>
      <c r="F1307" s="299"/>
      <c r="G1307" s="330"/>
      <c r="H1307" s="328"/>
      <c r="I1307" s="329"/>
      <c r="J1307" s="329"/>
      <c r="K1307" s="322"/>
      <c r="L1307" s="322"/>
      <c r="M1307" s="323" t="str">
        <f>IFERROR(VLOOKUP(H1307,Lijsten!$H$1:$I$100,2,0),"")</f>
        <v/>
      </c>
      <c r="N1307" s="323" t="str">
        <f ca="1">IFERROR(IF(VLOOKUP(F1307,Kostentypen!$A$3:$E$21,3,0)=0,"",IF(OR(F1307="Arbeidskosten",F1307="Vergoeding"),VLOOKUP(G1307,Tb_KostenTypen[],2,0),VLOOKUP(F1307,Kostentypen!$A$3:$E$20,3,0))),"")</f>
        <v/>
      </c>
      <c r="O1307" s="324"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4"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3"/>
      <c r="R1307" s="363"/>
      <c r="S1307" s="325"/>
      <c r="T1307" s="325"/>
      <c r="U1307" s="317" t="str" cm="1">
        <f t="array" aca="1" ref="U1307" ca="1">IFERROR(IF(AA1307&lt;&gt;"ja",_xlfn.IFNA(_xlfn.IFS(AND(O1307&lt;&gt;"",F1307&lt;&gt;"",RIGHT($N1307,6)="tarief",F1307="Vergoeding"),SUM(O1307)*FLOOR(SUM(Q1307),0.0001),AND(O1307&lt;&gt;"",F1307&lt;&gt;"",RIGHT($N1307,6)="tarief"),SUM(O1307)*FLOOR(SUM(Q1307),0.01),S1307&gt;0,IF(F1307&lt;&gt;"",FLOOR(SUM(S1307),0.01),"")),""),""),"")</f>
        <v/>
      </c>
      <c r="V1307" s="317" t="str" cm="1">
        <f t="array" aca="1" ref="V1307" ca="1">IFERROR(IF(AA1307&lt;&gt;"ja",_xlfn.IFNA(_xlfn.IFS(AND(P1307&lt;&gt;"",R1307&lt;&gt;"",RIGHT($N1307,6)="tarief",F1307="Vergoeding"),SUM(P1307)*FLOOR(SUM(R1307),0.0001),AND(P1307&lt;&gt;"",R1307&lt;&gt;"",RIGHT($N1307,6)="tarief"),P1307*FLOOR(R1307,0.01),T1307&gt;0,FLOOR(SUM(T1307),0.01)),""),""),"")</f>
        <v/>
      </c>
      <c r="W1307" s="317" t="str" cm="1">
        <f t="array" aca="1" ref="W1307" ca="1">IFERROR(_xlfn.IFS(OR(F1307="",LEFT(Methode_Keuze,4)="Geen",Methode_Keuze=""),"",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17" t="str" cm="1">
        <f t="array" aca="1" ref="X1307" ca="1">IFERROR(_xlfn.IFS(OR(F1307="",LEFT(Methode_Keuze,4)="Geen",Methode_Keuze=""),"",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26"/>
      <c r="Z1307" s="319"/>
      <c r="AA1307" s="32" t="str" cm="1">
        <f t="array" ref="AA1307">IFERROR(IF(INDEX(SubsidieTabel!$AD$1:$AG$12,MATCH($F1307,SubsidieTabel!$AD$1:$AD$12,0),IFERROR(MATCH(Methode_Keuze,SubsidieTabel!$AD$1:$AG$1,0),2))&lt;&gt;1=TRUE,"ja",""),"")</f>
        <v/>
      </c>
    </row>
    <row r="1308" spans="1:27" x14ac:dyDescent="0.25">
      <c r="A1308" s="320"/>
      <c r="B1308" s="321" t="str">
        <f>IF(A1308&lt;&gt;"",_xlfn.MAXIFS($B$1:B1307,$A$1:A1307,A1308)+1,"")</f>
        <v/>
      </c>
      <c r="C1308" s="299"/>
      <c r="D1308" s="299"/>
      <c r="E1308" s="299"/>
      <c r="F1308" s="299"/>
      <c r="G1308" s="330"/>
      <c r="H1308" s="328"/>
      <c r="I1308" s="329"/>
      <c r="J1308" s="329"/>
      <c r="K1308" s="322"/>
      <c r="L1308" s="322"/>
      <c r="M1308" s="323" t="str">
        <f>IFERROR(VLOOKUP(H1308,Lijsten!$H$1:$I$100,2,0),"")</f>
        <v/>
      </c>
      <c r="N1308" s="323" t="str">
        <f ca="1">IFERROR(IF(VLOOKUP(F1308,Kostentypen!$A$3:$E$21,3,0)=0,"",IF(OR(F1308="Arbeidskosten",F1308="Vergoeding"),VLOOKUP(G1308,Tb_KostenTypen[],2,0),VLOOKUP(F1308,Kostentypen!$A$3:$E$20,3,0))),"")</f>
        <v/>
      </c>
      <c r="O1308" s="324"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4"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3"/>
      <c r="R1308" s="363"/>
      <c r="S1308" s="325"/>
      <c r="T1308" s="325"/>
      <c r="U1308" s="317" t="str" cm="1">
        <f t="array" aca="1" ref="U1308" ca="1">IFERROR(IF(AA1308&lt;&gt;"ja",_xlfn.IFNA(_xlfn.IFS(AND(O1308&lt;&gt;"",F1308&lt;&gt;"",RIGHT($N1308,6)="tarief",F1308="Vergoeding"),SUM(O1308)*FLOOR(SUM(Q1308),0.0001),AND(O1308&lt;&gt;"",F1308&lt;&gt;"",RIGHT($N1308,6)="tarief"),SUM(O1308)*FLOOR(SUM(Q1308),0.01),S1308&gt;0,IF(F1308&lt;&gt;"",FLOOR(SUM(S1308),0.01),"")),""),""),"")</f>
        <v/>
      </c>
      <c r="V1308" s="317" t="str" cm="1">
        <f t="array" aca="1" ref="V1308" ca="1">IFERROR(IF(AA1308&lt;&gt;"ja",_xlfn.IFNA(_xlfn.IFS(AND(P1308&lt;&gt;"",R1308&lt;&gt;"",RIGHT($N1308,6)="tarief",F1308="Vergoeding"),SUM(P1308)*FLOOR(SUM(R1308),0.0001),AND(P1308&lt;&gt;"",R1308&lt;&gt;"",RIGHT($N1308,6)="tarief"),P1308*FLOOR(R1308,0.01),T1308&gt;0,FLOOR(SUM(T1308),0.01)),""),""),"")</f>
        <v/>
      </c>
      <c r="W1308" s="317" t="str" cm="1">
        <f t="array" aca="1" ref="W1308" ca="1">IFERROR(_xlfn.IFS(OR(F1308="",LEFT(Methode_Keuze,4)="Geen",Methode_Keuze=""),"",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17" t="str" cm="1">
        <f t="array" aca="1" ref="X1308" ca="1">IFERROR(_xlfn.IFS(OR(F1308="",LEFT(Methode_Keuze,4)="Geen",Methode_Keuze=""),"",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26"/>
      <c r="Z1308" s="319"/>
      <c r="AA1308" s="32" t="str" cm="1">
        <f t="array" ref="AA1308">IFERROR(IF(INDEX(SubsidieTabel!$AD$1:$AG$12,MATCH($F1308,SubsidieTabel!$AD$1:$AD$12,0),IFERROR(MATCH(Methode_Keuze,SubsidieTabel!$AD$1:$AG$1,0),2))&lt;&gt;1=TRUE,"ja",""),"")</f>
        <v/>
      </c>
    </row>
    <row r="1309" spans="1:27" x14ac:dyDescent="0.25">
      <c r="A1309" s="320"/>
      <c r="B1309" s="321" t="str">
        <f>IF(A1309&lt;&gt;"",_xlfn.MAXIFS($B$1:B1308,$A$1:A1308,A1309)+1,"")</f>
        <v/>
      </c>
      <c r="C1309" s="299"/>
      <c r="D1309" s="299"/>
      <c r="E1309" s="299"/>
      <c r="F1309" s="299"/>
      <c r="G1309" s="330"/>
      <c r="H1309" s="328"/>
      <c r="I1309" s="329"/>
      <c r="J1309" s="329"/>
      <c r="K1309" s="322"/>
      <c r="L1309" s="322"/>
      <c r="M1309" s="323" t="str">
        <f>IFERROR(VLOOKUP(H1309,Lijsten!$H$1:$I$100,2,0),"")</f>
        <v/>
      </c>
      <c r="N1309" s="323" t="str">
        <f ca="1">IFERROR(IF(VLOOKUP(F1309,Kostentypen!$A$3:$E$21,3,0)=0,"",IF(OR(F1309="Arbeidskosten",F1309="Vergoeding"),VLOOKUP(G1309,Tb_KostenTypen[],2,0),VLOOKUP(F1309,Kostentypen!$A$3:$E$20,3,0))),"")</f>
        <v/>
      </c>
      <c r="O1309" s="324"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4"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3"/>
      <c r="R1309" s="363"/>
      <c r="S1309" s="325"/>
      <c r="T1309" s="325"/>
      <c r="U1309" s="317" t="str" cm="1">
        <f t="array" aca="1" ref="U1309" ca="1">IFERROR(IF(AA1309&lt;&gt;"ja",_xlfn.IFNA(_xlfn.IFS(AND(O1309&lt;&gt;"",F1309&lt;&gt;"",RIGHT($N1309,6)="tarief",F1309="Vergoeding"),SUM(O1309)*FLOOR(SUM(Q1309),0.0001),AND(O1309&lt;&gt;"",F1309&lt;&gt;"",RIGHT($N1309,6)="tarief"),SUM(O1309)*FLOOR(SUM(Q1309),0.01),S1309&gt;0,IF(F1309&lt;&gt;"",FLOOR(SUM(S1309),0.01),"")),""),""),"")</f>
        <v/>
      </c>
      <c r="V1309" s="317" t="str" cm="1">
        <f t="array" aca="1" ref="V1309" ca="1">IFERROR(IF(AA1309&lt;&gt;"ja",_xlfn.IFNA(_xlfn.IFS(AND(P1309&lt;&gt;"",R1309&lt;&gt;"",RIGHT($N1309,6)="tarief",F1309="Vergoeding"),SUM(P1309)*FLOOR(SUM(R1309),0.0001),AND(P1309&lt;&gt;"",R1309&lt;&gt;"",RIGHT($N1309,6)="tarief"),P1309*FLOOR(R1309,0.01),T1309&gt;0,FLOOR(SUM(T1309),0.01)),""),""),"")</f>
        <v/>
      </c>
      <c r="W1309" s="317" t="str" cm="1">
        <f t="array" aca="1" ref="W1309" ca="1">IFERROR(_xlfn.IFS(OR(F1309="",LEFT(Methode_Keuze,4)="Geen",Methode_Keuze=""),"",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17" t="str" cm="1">
        <f t="array" aca="1" ref="X1309" ca="1">IFERROR(_xlfn.IFS(OR(F1309="",LEFT(Methode_Keuze,4)="Geen",Methode_Keuze=""),"",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26"/>
      <c r="Z1309" s="319"/>
      <c r="AA1309" s="32" t="str" cm="1">
        <f t="array" ref="AA1309">IFERROR(IF(INDEX(SubsidieTabel!$AD$1:$AG$12,MATCH($F1309,SubsidieTabel!$AD$1:$AD$12,0),IFERROR(MATCH(Methode_Keuze,SubsidieTabel!$AD$1:$AG$1,0),2))&lt;&gt;1=TRUE,"ja",""),"")</f>
        <v/>
      </c>
    </row>
    <row r="1310" spans="1:27" x14ac:dyDescent="0.25">
      <c r="A1310" s="320"/>
      <c r="B1310" s="321" t="str">
        <f>IF(A1310&lt;&gt;"",_xlfn.MAXIFS($B$1:B1309,$A$1:A1309,A1310)+1,"")</f>
        <v/>
      </c>
      <c r="C1310" s="299"/>
      <c r="D1310" s="299"/>
      <c r="E1310" s="299"/>
      <c r="F1310" s="299"/>
      <c r="G1310" s="330"/>
      <c r="H1310" s="328"/>
      <c r="I1310" s="329"/>
      <c r="J1310" s="329"/>
      <c r="K1310" s="322"/>
      <c r="L1310" s="322"/>
      <c r="M1310" s="323" t="str">
        <f>IFERROR(VLOOKUP(H1310,Lijsten!$H$1:$I$100,2,0),"")</f>
        <v/>
      </c>
      <c r="N1310" s="323" t="str">
        <f ca="1">IFERROR(IF(VLOOKUP(F1310,Kostentypen!$A$3:$E$21,3,0)=0,"",IF(OR(F1310="Arbeidskosten",F1310="Vergoeding"),VLOOKUP(G1310,Tb_KostenTypen[],2,0),VLOOKUP(F1310,Kostentypen!$A$3:$E$20,3,0))),"")</f>
        <v/>
      </c>
      <c r="O1310" s="324"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4"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3"/>
      <c r="R1310" s="363"/>
      <c r="S1310" s="325"/>
      <c r="T1310" s="325"/>
      <c r="U1310" s="317" t="str" cm="1">
        <f t="array" aca="1" ref="U1310" ca="1">IFERROR(IF(AA1310&lt;&gt;"ja",_xlfn.IFNA(_xlfn.IFS(AND(O1310&lt;&gt;"",F1310&lt;&gt;"",RIGHT($N1310,6)="tarief",F1310="Vergoeding"),SUM(O1310)*FLOOR(SUM(Q1310),0.0001),AND(O1310&lt;&gt;"",F1310&lt;&gt;"",RIGHT($N1310,6)="tarief"),SUM(O1310)*FLOOR(SUM(Q1310),0.01),S1310&gt;0,IF(F1310&lt;&gt;"",FLOOR(SUM(S1310),0.01),"")),""),""),"")</f>
        <v/>
      </c>
      <c r="V1310" s="317" t="str" cm="1">
        <f t="array" aca="1" ref="V1310" ca="1">IFERROR(IF(AA1310&lt;&gt;"ja",_xlfn.IFNA(_xlfn.IFS(AND(P1310&lt;&gt;"",R1310&lt;&gt;"",RIGHT($N1310,6)="tarief",F1310="Vergoeding"),SUM(P1310)*FLOOR(SUM(R1310),0.0001),AND(P1310&lt;&gt;"",R1310&lt;&gt;"",RIGHT($N1310,6)="tarief"),P1310*FLOOR(R1310,0.01),T1310&gt;0,FLOOR(SUM(T1310),0.01)),""),""),"")</f>
        <v/>
      </c>
      <c r="W1310" s="317" t="str" cm="1">
        <f t="array" aca="1" ref="W1310" ca="1">IFERROR(_xlfn.IFS(OR(F1310="",LEFT(Methode_Keuze,4)="Geen",Methode_Keuze=""),"",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17" t="str" cm="1">
        <f t="array" aca="1" ref="X1310" ca="1">IFERROR(_xlfn.IFS(OR(F1310="",LEFT(Methode_Keuze,4)="Geen",Methode_Keuze=""),"",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26"/>
      <c r="Z1310" s="319"/>
      <c r="AA1310" s="32" t="str" cm="1">
        <f t="array" ref="AA1310">IFERROR(IF(INDEX(SubsidieTabel!$AD$1:$AG$12,MATCH($F1310,SubsidieTabel!$AD$1:$AD$12,0),IFERROR(MATCH(Methode_Keuze,SubsidieTabel!$AD$1:$AG$1,0),2))&lt;&gt;1=TRUE,"ja",""),"")</f>
        <v/>
      </c>
    </row>
    <row r="1311" spans="1:27" x14ac:dyDescent="0.25">
      <c r="A1311" s="320"/>
      <c r="B1311" s="321" t="str">
        <f>IF(A1311&lt;&gt;"",_xlfn.MAXIFS($B$1:B1310,$A$1:A1310,A1311)+1,"")</f>
        <v/>
      </c>
      <c r="C1311" s="299"/>
      <c r="D1311" s="299"/>
      <c r="E1311" s="299"/>
      <c r="F1311" s="299"/>
      <c r="G1311" s="330"/>
      <c r="H1311" s="328"/>
      <c r="I1311" s="329"/>
      <c r="J1311" s="329"/>
      <c r="K1311" s="322"/>
      <c r="L1311" s="322"/>
      <c r="M1311" s="323" t="str">
        <f>IFERROR(VLOOKUP(H1311,Lijsten!$H$1:$I$100,2,0),"")</f>
        <v/>
      </c>
      <c r="N1311" s="323" t="str">
        <f ca="1">IFERROR(IF(VLOOKUP(F1311,Kostentypen!$A$3:$E$21,3,0)=0,"",IF(OR(F1311="Arbeidskosten",F1311="Vergoeding"),VLOOKUP(G1311,Tb_KostenTypen[],2,0),VLOOKUP(F1311,Kostentypen!$A$3:$E$20,3,0))),"")</f>
        <v/>
      </c>
      <c r="O1311" s="324"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4"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3"/>
      <c r="R1311" s="363"/>
      <c r="S1311" s="325"/>
      <c r="T1311" s="325"/>
      <c r="U1311" s="317" t="str" cm="1">
        <f t="array" aca="1" ref="U1311" ca="1">IFERROR(IF(AA1311&lt;&gt;"ja",_xlfn.IFNA(_xlfn.IFS(AND(O1311&lt;&gt;"",F1311&lt;&gt;"",RIGHT($N1311,6)="tarief",F1311="Vergoeding"),SUM(O1311)*FLOOR(SUM(Q1311),0.0001),AND(O1311&lt;&gt;"",F1311&lt;&gt;"",RIGHT($N1311,6)="tarief"),SUM(O1311)*FLOOR(SUM(Q1311),0.01),S1311&gt;0,IF(F1311&lt;&gt;"",FLOOR(SUM(S1311),0.01),"")),""),""),"")</f>
        <v/>
      </c>
      <c r="V1311" s="317" t="str" cm="1">
        <f t="array" aca="1" ref="V1311" ca="1">IFERROR(IF(AA1311&lt;&gt;"ja",_xlfn.IFNA(_xlfn.IFS(AND(P1311&lt;&gt;"",R1311&lt;&gt;"",RIGHT($N1311,6)="tarief",F1311="Vergoeding"),SUM(P1311)*FLOOR(SUM(R1311),0.0001),AND(P1311&lt;&gt;"",R1311&lt;&gt;"",RIGHT($N1311,6)="tarief"),P1311*FLOOR(R1311,0.01),T1311&gt;0,FLOOR(SUM(T1311),0.01)),""),""),"")</f>
        <v/>
      </c>
      <c r="W1311" s="317" t="str" cm="1">
        <f t="array" aca="1" ref="W1311" ca="1">IFERROR(_xlfn.IFS(OR(F1311="",LEFT(Methode_Keuze,4)="Geen",Methode_Keuze=""),"",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17" t="str" cm="1">
        <f t="array" aca="1" ref="X1311" ca="1">IFERROR(_xlfn.IFS(OR(F1311="",LEFT(Methode_Keuze,4)="Geen",Methode_Keuze=""),"",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26"/>
      <c r="Z1311" s="319"/>
      <c r="AA1311" s="32" t="str" cm="1">
        <f t="array" ref="AA1311">IFERROR(IF(INDEX(SubsidieTabel!$AD$1:$AG$12,MATCH($F1311,SubsidieTabel!$AD$1:$AD$12,0),IFERROR(MATCH(Methode_Keuze,SubsidieTabel!$AD$1:$AG$1,0),2))&lt;&gt;1=TRUE,"ja",""),"")</f>
        <v/>
      </c>
    </row>
    <row r="1312" spans="1:27" x14ac:dyDescent="0.25">
      <c r="A1312" s="320"/>
      <c r="B1312" s="321" t="str">
        <f>IF(A1312&lt;&gt;"",_xlfn.MAXIFS($B$1:B1311,$A$1:A1311,A1312)+1,"")</f>
        <v/>
      </c>
      <c r="C1312" s="299"/>
      <c r="D1312" s="299"/>
      <c r="E1312" s="299"/>
      <c r="F1312" s="299"/>
      <c r="G1312" s="330"/>
      <c r="H1312" s="328"/>
      <c r="I1312" s="329"/>
      <c r="J1312" s="329"/>
      <c r="K1312" s="322"/>
      <c r="L1312" s="322"/>
      <c r="M1312" s="323" t="str">
        <f>IFERROR(VLOOKUP(H1312,Lijsten!$H$1:$I$100,2,0),"")</f>
        <v/>
      </c>
      <c r="N1312" s="323" t="str">
        <f ca="1">IFERROR(IF(VLOOKUP(F1312,Kostentypen!$A$3:$E$21,3,0)=0,"",IF(OR(F1312="Arbeidskosten",F1312="Vergoeding"),VLOOKUP(G1312,Tb_KostenTypen[],2,0),VLOOKUP(F1312,Kostentypen!$A$3:$E$20,3,0))),"")</f>
        <v/>
      </c>
      <c r="O1312" s="324"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4"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3"/>
      <c r="R1312" s="363"/>
      <c r="S1312" s="325"/>
      <c r="T1312" s="325"/>
      <c r="U1312" s="317" t="str" cm="1">
        <f t="array" aca="1" ref="U1312" ca="1">IFERROR(IF(AA1312&lt;&gt;"ja",_xlfn.IFNA(_xlfn.IFS(AND(O1312&lt;&gt;"",F1312&lt;&gt;"",RIGHT($N1312,6)="tarief",F1312="Vergoeding"),SUM(O1312)*FLOOR(SUM(Q1312),0.0001),AND(O1312&lt;&gt;"",F1312&lt;&gt;"",RIGHT($N1312,6)="tarief"),SUM(O1312)*FLOOR(SUM(Q1312),0.01),S1312&gt;0,IF(F1312&lt;&gt;"",FLOOR(SUM(S1312),0.01),"")),""),""),"")</f>
        <v/>
      </c>
      <c r="V1312" s="317" t="str" cm="1">
        <f t="array" aca="1" ref="V1312" ca="1">IFERROR(IF(AA1312&lt;&gt;"ja",_xlfn.IFNA(_xlfn.IFS(AND(P1312&lt;&gt;"",R1312&lt;&gt;"",RIGHT($N1312,6)="tarief",F1312="Vergoeding"),SUM(P1312)*FLOOR(SUM(R1312),0.0001),AND(P1312&lt;&gt;"",R1312&lt;&gt;"",RIGHT($N1312,6)="tarief"),P1312*FLOOR(R1312,0.01),T1312&gt;0,FLOOR(SUM(T1312),0.01)),""),""),"")</f>
        <v/>
      </c>
      <c r="W1312" s="317" t="str" cm="1">
        <f t="array" aca="1" ref="W1312" ca="1">IFERROR(_xlfn.IFS(OR(F1312="",LEFT(Methode_Keuze,4)="Geen",Methode_Keuze=""),"",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17" t="str" cm="1">
        <f t="array" aca="1" ref="X1312" ca="1">IFERROR(_xlfn.IFS(OR(F1312="",LEFT(Methode_Keuze,4)="Geen",Methode_Keuze=""),"",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26"/>
      <c r="Z1312" s="319"/>
      <c r="AA1312" s="32" t="str" cm="1">
        <f t="array" ref="AA1312">IFERROR(IF(INDEX(SubsidieTabel!$AD$1:$AG$12,MATCH($F1312,SubsidieTabel!$AD$1:$AD$12,0),IFERROR(MATCH(Methode_Keuze,SubsidieTabel!$AD$1:$AG$1,0),2))&lt;&gt;1=TRUE,"ja",""),"")</f>
        <v/>
      </c>
    </row>
    <row r="1313" spans="1:27" x14ac:dyDescent="0.25">
      <c r="A1313" s="320"/>
      <c r="B1313" s="321" t="str">
        <f>IF(A1313&lt;&gt;"",_xlfn.MAXIFS($B$1:B1312,$A$1:A1312,A1313)+1,"")</f>
        <v/>
      </c>
      <c r="C1313" s="299"/>
      <c r="D1313" s="299"/>
      <c r="E1313" s="299"/>
      <c r="F1313" s="299"/>
      <c r="G1313" s="330"/>
      <c r="H1313" s="328"/>
      <c r="I1313" s="329"/>
      <c r="J1313" s="329"/>
      <c r="K1313" s="322"/>
      <c r="L1313" s="322"/>
      <c r="M1313" s="323" t="str">
        <f>IFERROR(VLOOKUP(H1313,Lijsten!$H$1:$I$100,2,0),"")</f>
        <v/>
      </c>
      <c r="N1313" s="323" t="str">
        <f ca="1">IFERROR(IF(VLOOKUP(F1313,Kostentypen!$A$3:$E$21,3,0)=0,"",IF(OR(F1313="Arbeidskosten",F1313="Vergoeding"),VLOOKUP(G1313,Tb_KostenTypen[],2,0),VLOOKUP(F1313,Kostentypen!$A$3:$E$20,3,0))),"")</f>
        <v/>
      </c>
      <c r="O1313" s="324"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4"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3"/>
      <c r="R1313" s="363"/>
      <c r="S1313" s="325"/>
      <c r="T1313" s="325"/>
      <c r="U1313" s="317" t="str" cm="1">
        <f t="array" aca="1" ref="U1313" ca="1">IFERROR(IF(AA1313&lt;&gt;"ja",_xlfn.IFNA(_xlfn.IFS(AND(O1313&lt;&gt;"",F1313&lt;&gt;"",RIGHT($N1313,6)="tarief",F1313="Vergoeding"),SUM(O1313)*FLOOR(SUM(Q1313),0.0001),AND(O1313&lt;&gt;"",F1313&lt;&gt;"",RIGHT($N1313,6)="tarief"),SUM(O1313)*FLOOR(SUM(Q1313),0.01),S1313&gt;0,IF(F1313&lt;&gt;"",FLOOR(SUM(S1313),0.01),"")),""),""),"")</f>
        <v/>
      </c>
      <c r="V1313" s="317" t="str" cm="1">
        <f t="array" aca="1" ref="V1313" ca="1">IFERROR(IF(AA1313&lt;&gt;"ja",_xlfn.IFNA(_xlfn.IFS(AND(P1313&lt;&gt;"",R1313&lt;&gt;"",RIGHT($N1313,6)="tarief",F1313="Vergoeding"),SUM(P1313)*FLOOR(SUM(R1313),0.0001),AND(P1313&lt;&gt;"",R1313&lt;&gt;"",RIGHT($N1313,6)="tarief"),P1313*FLOOR(R1313,0.01),T1313&gt;0,FLOOR(SUM(T1313),0.01)),""),""),"")</f>
        <v/>
      </c>
      <c r="W1313" s="317" t="str" cm="1">
        <f t="array" aca="1" ref="W1313" ca="1">IFERROR(_xlfn.IFS(OR(F1313="",LEFT(Methode_Keuze,4)="Geen",Methode_Keuze=""),"",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17" t="str" cm="1">
        <f t="array" aca="1" ref="X1313" ca="1">IFERROR(_xlfn.IFS(OR(F1313="",LEFT(Methode_Keuze,4)="Geen",Methode_Keuze=""),"",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26"/>
      <c r="Z1313" s="319"/>
      <c r="AA1313" s="32" t="str" cm="1">
        <f t="array" ref="AA1313">IFERROR(IF(INDEX(SubsidieTabel!$AD$1:$AG$12,MATCH($F1313,SubsidieTabel!$AD$1:$AD$12,0),IFERROR(MATCH(Methode_Keuze,SubsidieTabel!$AD$1:$AG$1,0),2))&lt;&gt;1=TRUE,"ja",""),"")</f>
        <v/>
      </c>
    </row>
    <row r="1314" spans="1:27" x14ac:dyDescent="0.25">
      <c r="A1314" s="320"/>
      <c r="B1314" s="321" t="str">
        <f>IF(A1314&lt;&gt;"",_xlfn.MAXIFS($B$1:B1313,$A$1:A1313,A1314)+1,"")</f>
        <v/>
      </c>
      <c r="C1314" s="299"/>
      <c r="D1314" s="299"/>
      <c r="E1314" s="299"/>
      <c r="F1314" s="299"/>
      <c r="G1314" s="330"/>
      <c r="H1314" s="328"/>
      <c r="I1314" s="329"/>
      <c r="J1314" s="329"/>
      <c r="K1314" s="322"/>
      <c r="L1314" s="322"/>
      <c r="M1314" s="323" t="str">
        <f>IFERROR(VLOOKUP(H1314,Lijsten!$H$1:$I$100,2,0),"")</f>
        <v/>
      </c>
      <c r="N1314" s="323" t="str">
        <f ca="1">IFERROR(IF(VLOOKUP(F1314,Kostentypen!$A$3:$E$21,3,0)=0,"",IF(OR(F1314="Arbeidskosten",F1314="Vergoeding"),VLOOKUP(G1314,Tb_KostenTypen[],2,0),VLOOKUP(F1314,Kostentypen!$A$3:$E$20,3,0))),"")</f>
        <v/>
      </c>
      <c r="O1314" s="324"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4"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3"/>
      <c r="R1314" s="363"/>
      <c r="S1314" s="325"/>
      <c r="T1314" s="325"/>
      <c r="U1314" s="317" t="str" cm="1">
        <f t="array" aca="1" ref="U1314" ca="1">IFERROR(IF(AA1314&lt;&gt;"ja",_xlfn.IFNA(_xlfn.IFS(AND(O1314&lt;&gt;"",F1314&lt;&gt;"",RIGHT($N1314,6)="tarief",F1314="Vergoeding"),SUM(O1314)*FLOOR(SUM(Q1314),0.0001),AND(O1314&lt;&gt;"",F1314&lt;&gt;"",RIGHT($N1314,6)="tarief"),SUM(O1314)*FLOOR(SUM(Q1314),0.01),S1314&gt;0,IF(F1314&lt;&gt;"",FLOOR(SUM(S1314),0.01),"")),""),""),"")</f>
        <v/>
      </c>
      <c r="V1314" s="317" t="str" cm="1">
        <f t="array" aca="1" ref="V1314" ca="1">IFERROR(IF(AA1314&lt;&gt;"ja",_xlfn.IFNA(_xlfn.IFS(AND(P1314&lt;&gt;"",R1314&lt;&gt;"",RIGHT($N1314,6)="tarief",F1314="Vergoeding"),SUM(P1314)*FLOOR(SUM(R1314),0.0001),AND(P1314&lt;&gt;"",R1314&lt;&gt;"",RIGHT($N1314,6)="tarief"),P1314*FLOOR(R1314,0.01),T1314&gt;0,FLOOR(SUM(T1314),0.01)),""),""),"")</f>
        <v/>
      </c>
      <c r="W1314" s="317" t="str" cm="1">
        <f t="array" aca="1" ref="W1314" ca="1">IFERROR(_xlfn.IFS(OR(F1314="",LEFT(Methode_Keuze,4)="Geen",Methode_Keuze=""),"",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17" t="str" cm="1">
        <f t="array" aca="1" ref="X1314" ca="1">IFERROR(_xlfn.IFS(OR(F1314="",LEFT(Methode_Keuze,4)="Geen",Methode_Keuze=""),"",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26"/>
      <c r="Z1314" s="319"/>
      <c r="AA1314" s="32" t="str" cm="1">
        <f t="array" ref="AA1314">IFERROR(IF(INDEX(SubsidieTabel!$AD$1:$AG$12,MATCH($F1314,SubsidieTabel!$AD$1:$AD$12,0),IFERROR(MATCH(Methode_Keuze,SubsidieTabel!$AD$1:$AG$1,0),2))&lt;&gt;1=TRUE,"ja",""),"")</f>
        <v/>
      </c>
    </row>
    <row r="1315" spans="1:27" x14ac:dyDescent="0.25">
      <c r="A1315" s="320"/>
      <c r="B1315" s="321" t="str">
        <f>IF(A1315&lt;&gt;"",_xlfn.MAXIFS($B$1:B1314,$A$1:A1314,A1315)+1,"")</f>
        <v/>
      </c>
      <c r="C1315" s="299"/>
      <c r="D1315" s="299"/>
      <c r="E1315" s="299"/>
      <c r="F1315" s="299"/>
      <c r="G1315" s="330"/>
      <c r="H1315" s="328"/>
      <c r="I1315" s="329"/>
      <c r="J1315" s="329"/>
      <c r="K1315" s="322"/>
      <c r="L1315" s="322"/>
      <c r="M1315" s="323" t="str">
        <f>IFERROR(VLOOKUP(H1315,Lijsten!$H$1:$I$100,2,0),"")</f>
        <v/>
      </c>
      <c r="N1315" s="323" t="str">
        <f ca="1">IFERROR(IF(VLOOKUP(F1315,Kostentypen!$A$3:$E$21,3,0)=0,"",IF(OR(F1315="Arbeidskosten",F1315="Vergoeding"),VLOOKUP(G1315,Tb_KostenTypen[],2,0),VLOOKUP(F1315,Kostentypen!$A$3:$E$20,3,0))),"")</f>
        <v/>
      </c>
      <c r="O1315" s="324"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4"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3"/>
      <c r="R1315" s="363"/>
      <c r="S1315" s="325"/>
      <c r="T1315" s="325"/>
      <c r="U1315" s="317" t="str" cm="1">
        <f t="array" aca="1" ref="U1315" ca="1">IFERROR(IF(AA1315&lt;&gt;"ja",_xlfn.IFNA(_xlfn.IFS(AND(O1315&lt;&gt;"",F1315&lt;&gt;"",RIGHT($N1315,6)="tarief",F1315="Vergoeding"),SUM(O1315)*FLOOR(SUM(Q1315),0.0001),AND(O1315&lt;&gt;"",F1315&lt;&gt;"",RIGHT($N1315,6)="tarief"),SUM(O1315)*FLOOR(SUM(Q1315),0.01),S1315&gt;0,IF(F1315&lt;&gt;"",FLOOR(SUM(S1315),0.01),"")),""),""),"")</f>
        <v/>
      </c>
      <c r="V1315" s="317" t="str" cm="1">
        <f t="array" aca="1" ref="V1315" ca="1">IFERROR(IF(AA1315&lt;&gt;"ja",_xlfn.IFNA(_xlfn.IFS(AND(P1315&lt;&gt;"",R1315&lt;&gt;"",RIGHT($N1315,6)="tarief",F1315="Vergoeding"),SUM(P1315)*FLOOR(SUM(R1315),0.0001),AND(P1315&lt;&gt;"",R1315&lt;&gt;"",RIGHT($N1315,6)="tarief"),P1315*FLOOR(R1315,0.01),T1315&gt;0,FLOOR(SUM(T1315),0.01)),""),""),"")</f>
        <v/>
      </c>
      <c r="W1315" s="317" t="str" cm="1">
        <f t="array" aca="1" ref="W1315" ca="1">IFERROR(_xlfn.IFS(OR(F1315="",LEFT(Methode_Keuze,4)="Geen",Methode_Keuze=""),"",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17" t="str" cm="1">
        <f t="array" aca="1" ref="X1315" ca="1">IFERROR(_xlfn.IFS(OR(F1315="",LEFT(Methode_Keuze,4)="Geen",Methode_Keuze=""),"",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26"/>
      <c r="Z1315" s="319"/>
      <c r="AA1315" s="32" t="str" cm="1">
        <f t="array" ref="AA1315">IFERROR(IF(INDEX(SubsidieTabel!$AD$1:$AG$12,MATCH($F1315,SubsidieTabel!$AD$1:$AD$12,0),IFERROR(MATCH(Methode_Keuze,SubsidieTabel!$AD$1:$AG$1,0),2))&lt;&gt;1=TRUE,"ja",""),"")</f>
        <v/>
      </c>
    </row>
    <row r="1316" spans="1:27" x14ac:dyDescent="0.25">
      <c r="A1316" s="320"/>
      <c r="B1316" s="321" t="str">
        <f>IF(A1316&lt;&gt;"",_xlfn.MAXIFS($B$1:B1315,$A$1:A1315,A1316)+1,"")</f>
        <v/>
      </c>
      <c r="C1316" s="299"/>
      <c r="D1316" s="299"/>
      <c r="E1316" s="299"/>
      <c r="F1316" s="299"/>
      <c r="G1316" s="330"/>
      <c r="H1316" s="328"/>
      <c r="I1316" s="329"/>
      <c r="J1316" s="329"/>
      <c r="K1316" s="322"/>
      <c r="L1316" s="322"/>
      <c r="M1316" s="323" t="str">
        <f>IFERROR(VLOOKUP(H1316,Lijsten!$H$1:$I$100,2,0),"")</f>
        <v/>
      </c>
      <c r="N1316" s="323" t="str">
        <f ca="1">IFERROR(IF(VLOOKUP(F1316,Kostentypen!$A$3:$E$21,3,0)=0,"",IF(OR(F1316="Arbeidskosten",F1316="Vergoeding"),VLOOKUP(G1316,Tb_KostenTypen[],2,0),VLOOKUP(F1316,Kostentypen!$A$3:$E$20,3,0))),"")</f>
        <v/>
      </c>
      <c r="O1316" s="324"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4"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3"/>
      <c r="R1316" s="363"/>
      <c r="S1316" s="325"/>
      <c r="T1316" s="325"/>
      <c r="U1316" s="317" t="str" cm="1">
        <f t="array" aca="1" ref="U1316" ca="1">IFERROR(IF(AA1316&lt;&gt;"ja",_xlfn.IFNA(_xlfn.IFS(AND(O1316&lt;&gt;"",F1316&lt;&gt;"",RIGHT($N1316,6)="tarief",F1316="Vergoeding"),SUM(O1316)*FLOOR(SUM(Q1316),0.0001),AND(O1316&lt;&gt;"",F1316&lt;&gt;"",RIGHT($N1316,6)="tarief"),SUM(O1316)*FLOOR(SUM(Q1316),0.01),S1316&gt;0,IF(F1316&lt;&gt;"",FLOOR(SUM(S1316),0.01),"")),""),""),"")</f>
        <v/>
      </c>
      <c r="V1316" s="317" t="str" cm="1">
        <f t="array" aca="1" ref="V1316" ca="1">IFERROR(IF(AA1316&lt;&gt;"ja",_xlfn.IFNA(_xlfn.IFS(AND(P1316&lt;&gt;"",R1316&lt;&gt;"",RIGHT($N1316,6)="tarief",F1316="Vergoeding"),SUM(P1316)*FLOOR(SUM(R1316),0.0001),AND(P1316&lt;&gt;"",R1316&lt;&gt;"",RIGHT($N1316,6)="tarief"),P1316*FLOOR(R1316,0.01),T1316&gt;0,FLOOR(SUM(T1316),0.01)),""),""),"")</f>
        <v/>
      </c>
      <c r="W1316" s="317" t="str" cm="1">
        <f t="array" aca="1" ref="W1316" ca="1">IFERROR(_xlfn.IFS(OR(F1316="",LEFT(Methode_Keuze,4)="Geen",Methode_Keuze=""),"",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17" t="str" cm="1">
        <f t="array" aca="1" ref="X1316" ca="1">IFERROR(_xlfn.IFS(OR(F1316="",LEFT(Methode_Keuze,4)="Geen",Methode_Keuze=""),"",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26"/>
      <c r="Z1316" s="319"/>
      <c r="AA1316" s="32" t="str" cm="1">
        <f t="array" ref="AA1316">IFERROR(IF(INDEX(SubsidieTabel!$AD$1:$AG$12,MATCH($F1316,SubsidieTabel!$AD$1:$AD$12,0),IFERROR(MATCH(Methode_Keuze,SubsidieTabel!$AD$1:$AG$1,0),2))&lt;&gt;1=TRUE,"ja",""),"")</f>
        <v/>
      </c>
    </row>
    <row r="1317" spans="1:27" x14ac:dyDescent="0.25">
      <c r="A1317" s="320"/>
      <c r="B1317" s="321" t="str">
        <f>IF(A1317&lt;&gt;"",_xlfn.MAXIFS($B$1:B1316,$A$1:A1316,A1317)+1,"")</f>
        <v/>
      </c>
      <c r="C1317" s="299"/>
      <c r="D1317" s="299"/>
      <c r="E1317" s="299"/>
      <c r="F1317" s="299"/>
      <c r="G1317" s="330"/>
      <c r="H1317" s="328"/>
      <c r="I1317" s="329"/>
      <c r="J1317" s="329"/>
      <c r="K1317" s="322"/>
      <c r="L1317" s="322"/>
      <c r="M1317" s="323" t="str">
        <f>IFERROR(VLOOKUP(H1317,Lijsten!$H$1:$I$100,2,0),"")</f>
        <v/>
      </c>
      <c r="N1317" s="323" t="str">
        <f ca="1">IFERROR(IF(VLOOKUP(F1317,Kostentypen!$A$3:$E$21,3,0)=0,"",IF(OR(F1317="Arbeidskosten",F1317="Vergoeding"),VLOOKUP(G1317,Tb_KostenTypen[],2,0),VLOOKUP(F1317,Kostentypen!$A$3:$E$20,3,0))),"")</f>
        <v/>
      </c>
      <c r="O1317" s="324"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4"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3"/>
      <c r="R1317" s="363"/>
      <c r="S1317" s="325"/>
      <c r="T1317" s="325"/>
      <c r="U1317" s="317" t="str" cm="1">
        <f t="array" aca="1" ref="U1317" ca="1">IFERROR(IF(AA1317&lt;&gt;"ja",_xlfn.IFNA(_xlfn.IFS(AND(O1317&lt;&gt;"",F1317&lt;&gt;"",RIGHT($N1317,6)="tarief",F1317="Vergoeding"),SUM(O1317)*FLOOR(SUM(Q1317),0.0001),AND(O1317&lt;&gt;"",F1317&lt;&gt;"",RIGHT($N1317,6)="tarief"),SUM(O1317)*FLOOR(SUM(Q1317),0.01),S1317&gt;0,IF(F1317&lt;&gt;"",FLOOR(SUM(S1317),0.01),"")),""),""),"")</f>
        <v/>
      </c>
      <c r="V1317" s="317" t="str" cm="1">
        <f t="array" aca="1" ref="V1317" ca="1">IFERROR(IF(AA1317&lt;&gt;"ja",_xlfn.IFNA(_xlfn.IFS(AND(P1317&lt;&gt;"",R1317&lt;&gt;"",RIGHT($N1317,6)="tarief",F1317="Vergoeding"),SUM(P1317)*FLOOR(SUM(R1317),0.0001),AND(P1317&lt;&gt;"",R1317&lt;&gt;"",RIGHT($N1317,6)="tarief"),P1317*FLOOR(R1317,0.01),T1317&gt;0,FLOOR(SUM(T1317),0.01)),""),""),"")</f>
        <v/>
      </c>
      <c r="W1317" s="317" t="str" cm="1">
        <f t="array" aca="1" ref="W1317" ca="1">IFERROR(_xlfn.IFS(OR(F1317="",LEFT(Methode_Keuze,4)="Geen",Methode_Keuze=""),"",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17" t="str" cm="1">
        <f t="array" aca="1" ref="X1317" ca="1">IFERROR(_xlfn.IFS(OR(F1317="",LEFT(Methode_Keuze,4)="Geen",Methode_Keuze=""),"",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26"/>
      <c r="Z1317" s="319"/>
      <c r="AA1317" s="32" t="str" cm="1">
        <f t="array" ref="AA1317">IFERROR(IF(INDEX(SubsidieTabel!$AD$1:$AG$12,MATCH($F1317,SubsidieTabel!$AD$1:$AD$12,0),IFERROR(MATCH(Methode_Keuze,SubsidieTabel!$AD$1:$AG$1,0),2))&lt;&gt;1=TRUE,"ja",""),"")</f>
        <v/>
      </c>
    </row>
    <row r="1318" spans="1:27" x14ac:dyDescent="0.25">
      <c r="A1318" s="320"/>
      <c r="B1318" s="321" t="str">
        <f>IF(A1318&lt;&gt;"",_xlfn.MAXIFS($B$1:B1317,$A$1:A1317,A1318)+1,"")</f>
        <v/>
      </c>
      <c r="C1318" s="299"/>
      <c r="D1318" s="299"/>
      <c r="E1318" s="299"/>
      <c r="F1318" s="299"/>
      <c r="G1318" s="330"/>
      <c r="H1318" s="328"/>
      <c r="I1318" s="329"/>
      <c r="J1318" s="329"/>
      <c r="K1318" s="322"/>
      <c r="L1318" s="322"/>
      <c r="M1318" s="323" t="str">
        <f>IFERROR(VLOOKUP(H1318,Lijsten!$H$1:$I$100,2,0),"")</f>
        <v/>
      </c>
      <c r="N1318" s="323" t="str">
        <f ca="1">IFERROR(IF(VLOOKUP(F1318,Kostentypen!$A$3:$E$21,3,0)=0,"",IF(OR(F1318="Arbeidskosten",F1318="Vergoeding"),VLOOKUP(G1318,Tb_KostenTypen[],2,0),VLOOKUP(F1318,Kostentypen!$A$3:$E$20,3,0))),"")</f>
        <v/>
      </c>
      <c r="O1318" s="324"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4"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3"/>
      <c r="R1318" s="363"/>
      <c r="S1318" s="325"/>
      <c r="T1318" s="325"/>
      <c r="U1318" s="317" t="str" cm="1">
        <f t="array" aca="1" ref="U1318" ca="1">IFERROR(IF(AA1318&lt;&gt;"ja",_xlfn.IFNA(_xlfn.IFS(AND(O1318&lt;&gt;"",F1318&lt;&gt;"",RIGHT($N1318,6)="tarief",F1318="Vergoeding"),SUM(O1318)*FLOOR(SUM(Q1318),0.0001),AND(O1318&lt;&gt;"",F1318&lt;&gt;"",RIGHT($N1318,6)="tarief"),SUM(O1318)*FLOOR(SUM(Q1318),0.01),S1318&gt;0,IF(F1318&lt;&gt;"",FLOOR(SUM(S1318),0.01),"")),""),""),"")</f>
        <v/>
      </c>
      <c r="V1318" s="317" t="str" cm="1">
        <f t="array" aca="1" ref="V1318" ca="1">IFERROR(IF(AA1318&lt;&gt;"ja",_xlfn.IFNA(_xlfn.IFS(AND(P1318&lt;&gt;"",R1318&lt;&gt;"",RIGHT($N1318,6)="tarief",F1318="Vergoeding"),SUM(P1318)*FLOOR(SUM(R1318),0.0001),AND(P1318&lt;&gt;"",R1318&lt;&gt;"",RIGHT($N1318,6)="tarief"),P1318*FLOOR(R1318,0.01),T1318&gt;0,FLOOR(SUM(T1318),0.01)),""),""),"")</f>
        <v/>
      </c>
      <c r="W1318" s="317" t="str" cm="1">
        <f t="array" aca="1" ref="W1318" ca="1">IFERROR(_xlfn.IFS(OR(F1318="",LEFT(Methode_Keuze,4)="Geen",Methode_Keuze=""),"",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17" t="str" cm="1">
        <f t="array" aca="1" ref="X1318" ca="1">IFERROR(_xlfn.IFS(OR(F1318="",LEFT(Methode_Keuze,4)="Geen",Methode_Keuze=""),"",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26"/>
      <c r="Z1318" s="319"/>
      <c r="AA1318" s="32" t="str" cm="1">
        <f t="array" ref="AA1318">IFERROR(IF(INDEX(SubsidieTabel!$AD$1:$AG$12,MATCH($F1318,SubsidieTabel!$AD$1:$AD$12,0),IFERROR(MATCH(Methode_Keuze,SubsidieTabel!$AD$1:$AG$1,0),2))&lt;&gt;1=TRUE,"ja",""),"")</f>
        <v/>
      </c>
    </row>
    <row r="1319" spans="1:27" x14ac:dyDescent="0.25">
      <c r="A1319" s="320"/>
      <c r="B1319" s="321" t="str">
        <f>IF(A1319&lt;&gt;"",_xlfn.MAXIFS($B$1:B1318,$A$1:A1318,A1319)+1,"")</f>
        <v/>
      </c>
      <c r="C1319" s="299"/>
      <c r="D1319" s="299"/>
      <c r="E1319" s="299"/>
      <c r="F1319" s="299"/>
      <c r="G1319" s="330"/>
      <c r="H1319" s="328"/>
      <c r="I1319" s="329"/>
      <c r="J1319" s="329"/>
      <c r="K1319" s="322"/>
      <c r="L1319" s="322"/>
      <c r="M1319" s="323" t="str">
        <f>IFERROR(VLOOKUP(H1319,Lijsten!$H$1:$I$100,2,0),"")</f>
        <v/>
      </c>
      <c r="N1319" s="323" t="str">
        <f ca="1">IFERROR(IF(VLOOKUP(F1319,Kostentypen!$A$3:$E$21,3,0)=0,"",IF(OR(F1319="Arbeidskosten",F1319="Vergoeding"),VLOOKUP(G1319,Tb_KostenTypen[],2,0),VLOOKUP(F1319,Kostentypen!$A$3:$E$20,3,0))),"")</f>
        <v/>
      </c>
      <c r="O1319" s="324"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4"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3"/>
      <c r="R1319" s="363"/>
      <c r="S1319" s="325"/>
      <c r="T1319" s="325"/>
      <c r="U1319" s="317" t="str" cm="1">
        <f t="array" aca="1" ref="U1319" ca="1">IFERROR(IF(AA1319&lt;&gt;"ja",_xlfn.IFNA(_xlfn.IFS(AND(O1319&lt;&gt;"",F1319&lt;&gt;"",RIGHT($N1319,6)="tarief",F1319="Vergoeding"),SUM(O1319)*FLOOR(SUM(Q1319),0.0001),AND(O1319&lt;&gt;"",F1319&lt;&gt;"",RIGHT($N1319,6)="tarief"),SUM(O1319)*FLOOR(SUM(Q1319),0.01),S1319&gt;0,IF(F1319&lt;&gt;"",FLOOR(SUM(S1319),0.01),"")),""),""),"")</f>
        <v/>
      </c>
      <c r="V1319" s="317" t="str" cm="1">
        <f t="array" aca="1" ref="V1319" ca="1">IFERROR(IF(AA1319&lt;&gt;"ja",_xlfn.IFNA(_xlfn.IFS(AND(P1319&lt;&gt;"",R1319&lt;&gt;"",RIGHT($N1319,6)="tarief",F1319="Vergoeding"),SUM(P1319)*FLOOR(SUM(R1319),0.0001),AND(P1319&lt;&gt;"",R1319&lt;&gt;"",RIGHT($N1319,6)="tarief"),P1319*FLOOR(R1319,0.01),T1319&gt;0,FLOOR(SUM(T1319),0.01)),""),""),"")</f>
        <v/>
      </c>
      <c r="W1319" s="317" t="str" cm="1">
        <f t="array" aca="1" ref="W1319" ca="1">IFERROR(_xlfn.IFS(OR(F1319="",LEFT(Methode_Keuze,4)="Geen",Methode_Keuze=""),"",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17" t="str" cm="1">
        <f t="array" aca="1" ref="X1319" ca="1">IFERROR(_xlfn.IFS(OR(F1319="",LEFT(Methode_Keuze,4)="Geen",Methode_Keuze=""),"",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26"/>
      <c r="Z1319" s="319"/>
      <c r="AA1319" s="32" t="str" cm="1">
        <f t="array" ref="AA1319">IFERROR(IF(INDEX(SubsidieTabel!$AD$1:$AG$12,MATCH($F1319,SubsidieTabel!$AD$1:$AD$12,0),IFERROR(MATCH(Methode_Keuze,SubsidieTabel!$AD$1:$AG$1,0),2))&lt;&gt;1=TRUE,"ja",""),"")</f>
        <v/>
      </c>
    </row>
    <row r="1320" spans="1:27" x14ac:dyDescent="0.25">
      <c r="A1320" s="320"/>
      <c r="B1320" s="321" t="str">
        <f>IF(A1320&lt;&gt;"",_xlfn.MAXIFS($B$1:B1319,$A$1:A1319,A1320)+1,"")</f>
        <v/>
      </c>
      <c r="C1320" s="299"/>
      <c r="D1320" s="299"/>
      <c r="E1320" s="299"/>
      <c r="F1320" s="299"/>
      <c r="G1320" s="330"/>
      <c r="H1320" s="328"/>
      <c r="I1320" s="329"/>
      <c r="J1320" s="329"/>
      <c r="K1320" s="322"/>
      <c r="L1320" s="322"/>
      <c r="M1320" s="323" t="str">
        <f>IFERROR(VLOOKUP(H1320,Lijsten!$H$1:$I$100,2,0),"")</f>
        <v/>
      </c>
      <c r="N1320" s="323" t="str">
        <f ca="1">IFERROR(IF(VLOOKUP(F1320,Kostentypen!$A$3:$E$21,3,0)=0,"",IF(OR(F1320="Arbeidskosten",F1320="Vergoeding"),VLOOKUP(G1320,Tb_KostenTypen[],2,0),VLOOKUP(F1320,Kostentypen!$A$3:$E$20,3,0))),"")</f>
        <v/>
      </c>
      <c r="O1320" s="324"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4"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3"/>
      <c r="R1320" s="363"/>
      <c r="S1320" s="325"/>
      <c r="T1320" s="325"/>
      <c r="U1320" s="317" t="str" cm="1">
        <f t="array" aca="1" ref="U1320" ca="1">IFERROR(IF(AA1320&lt;&gt;"ja",_xlfn.IFNA(_xlfn.IFS(AND(O1320&lt;&gt;"",F1320&lt;&gt;"",RIGHT($N1320,6)="tarief",F1320="Vergoeding"),SUM(O1320)*FLOOR(SUM(Q1320),0.0001),AND(O1320&lt;&gt;"",F1320&lt;&gt;"",RIGHT($N1320,6)="tarief"),SUM(O1320)*FLOOR(SUM(Q1320),0.01),S1320&gt;0,IF(F1320&lt;&gt;"",FLOOR(SUM(S1320),0.01),"")),""),""),"")</f>
        <v/>
      </c>
      <c r="V1320" s="317" t="str" cm="1">
        <f t="array" aca="1" ref="V1320" ca="1">IFERROR(IF(AA1320&lt;&gt;"ja",_xlfn.IFNA(_xlfn.IFS(AND(P1320&lt;&gt;"",R1320&lt;&gt;"",RIGHT($N1320,6)="tarief",F1320="Vergoeding"),SUM(P1320)*FLOOR(SUM(R1320),0.0001),AND(P1320&lt;&gt;"",R1320&lt;&gt;"",RIGHT($N1320,6)="tarief"),P1320*FLOOR(R1320,0.01),T1320&gt;0,FLOOR(SUM(T1320),0.01)),""),""),"")</f>
        <v/>
      </c>
      <c r="W1320" s="317" t="str" cm="1">
        <f t="array" aca="1" ref="W1320" ca="1">IFERROR(_xlfn.IFS(OR(F1320="",LEFT(Methode_Keuze,4)="Geen",Methode_Keuze=""),"",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17" t="str" cm="1">
        <f t="array" aca="1" ref="X1320" ca="1">IFERROR(_xlfn.IFS(OR(F1320="",LEFT(Methode_Keuze,4)="Geen",Methode_Keuze=""),"",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26"/>
      <c r="Z1320" s="319"/>
      <c r="AA1320" s="32" t="str" cm="1">
        <f t="array" ref="AA1320">IFERROR(IF(INDEX(SubsidieTabel!$AD$1:$AG$12,MATCH($F1320,SubsidieTabel!$AD$1:$AD$12,0),IFERROR(MATCH(Methode_Keuze,SubsidieTabel!$AD$1:$AG$1,0),2))&lt;&gt;1=TRUE,"ja",""),"")</f>
        <v/>
      </c>
    </row>
    <row r="1321" spans="1:27" x14ac:dyDescent="0.25">
      <c r="A1321" s="320"/>
      <c r="B1321" s="321" t="str">
        <f>IF(A1321&lt;&gt;"",_xlfn.MAXIFS($B$1:B1320,$A$1:A1320,A1321)+1,"")</f>
        <v/>
      </c>
      <c r="C1321" s="299"/>
      <c r="D1321" s="299"/>
      <c r="E1321" s="299"/>
      <c r="F1321" s="299"/>
      <c r="G1321" s="330"/>
      <c r="H1321" s="328"/>
      <c r="I1321" s="329"/>
      <c r="J1321" s="329"/>
      <c r="K1321" s="322"/>
      <c r="L1321" s="322"/>
      <c r="M1321" s="323" t="str">
        <f>IFERROR(VLOOKUP(H1321,Lijsten!$H$1:$I$100,2,0),"")</f>
        <v/>
      </c>
      <c r="N1321" s="323" t="str">
        <f ca="1">IFERROR(IF(VLOOKUP(F1321,Kostentypen!$A$3:$E$21,3,0)=0,"",IF(OR(F1321="Arbeidskosten",F1321="Vergoeding"),VLOOKUP(G1321,Tb_KostenTypen[],2,0),VLOOKUP(F1321,Kostentypen!$A$3:$E$20,3,0))),"")</f>
        <v/>
      </c>
      <c r="O1321" s="324"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4"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3"/>
      <c r="R1321" s="363"/>
      <c r="S1321" s="325"/>
      <c r="T1321" s="325"/>
      <c r="U1321" s="317" t="str" cm="1">
        <f t="array" aca="1" ref="U1321" ca="1">IFERROR(IF(AA1321&lt;&gt;"ja",_xlfn.IFNA(_xlfn.IFS(AND(O1321&lt;&gt;"",F1321&lt;&gt;"",RIGHT($N1321,6)="tarief",F1321="Vergoeding"),SUM(O1321)*FLOOR(SUM(Q1321),0.0001),AND(O1321&lt;&gt;"",F1321&lt;&gt;"",RIGHT($N1321,6)="tarief"),SUM(O1321)*FLOOR(SUM(Q1321),0.01),S1321&gt;0,IF(F1321&lt;&gt;"",FLOOR(SUM(S1321),0.01),"")),""),""),"")</f>
        <v/>
      </c>
      <c r="V1321" s="317" t="str" cm="1">
        <f t="array" aca="1" ref="V1321" ca="1">IFERROR(IF(AA1321&lt;&gt;"ja",_xlfn.IFNA(_xlfn.IFS(AND(P1321&lt;&gt;"",R1321&lt;&gt;"",RIGHT($N1321,6)="tarief",F1321="Vergoeding"),SUM(P1321)*FLOOR(SUM(R1321),0.0001),AND(P1321&lt;&gt;"",R1321&lt;&gt;"",RIGHT($N1321,6)="tarief"),P1321*FLOOR(R1321,0.01),T1321&gt;0,FLOOR(SUM(T1321),0.01)),""),""),"")</f>
        <v/>
      </c>
      <c r="W1321" s="317" t="str" cm="1">
        <f t="array" aca="1" ref="W1321" ca="1">IFERROR(_xlfn.IFS(OR(F1321="",LEFT(Methode_Keuze,4)="Geen",Methode_Keuze=""),"",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17" t="str" cm="1">
        <f t="array" aca="1" ref="X1321" ca="1">IFERROR(_xlfn.IFS(OR(F1321="",LEFT(Methode_Keuze,4)="Geen",Methode_Keuze=""),"",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26"/>
      <c r="Z1321" s="319"/>
      <c r="AA1321" s="32" t="str" cm="1">
        <f t="array" ref="AA1321">IFERROR(IF(INDEX(SubsidieTabel!$AD$1:$AG$12,MATCH($F1321,SubsidieTabel!$AD$1:$AD$12,0),IFERROR(MATCH(Methode_Keuze,SubsidieTabel!$AD$1:$AG$1,0),2))&lt;&gt;1=TRUE,"ja",""),"")</f>
        <v/>
      </c>
    </row>
    <row r="1322" spans="1:27" x14ac:dyDescent="0.25">
      <c r="A1322" s="320"/>
      <c r="B1322" s="321" t="str">
        <f>IF(A1322&lt;&gt;"",_xlfn.MAXIFS($B$1:B1321,$A$1:A1321,A1322)+1,"")</f>
        <v/>
      </c>
      <c r="C1322" s="299"/>
      <c r="D1322" s="299"/>
      <c r="E1322" s="299"/>
      <c r="F1322" s="299"/>
      <c r="G1322" s="330"/>
      <c r="H1322" s="328"/>
      <c r="I1322" s="329"/>
      <c r="J1322" s="329"/>
      <c r="K1322" s="322"/>
      <c r="L1322" s="322"/>
      <c r="M1322" s="323" t="str">
        <f>IFERROR(VLOOKUP(H1322,Lijsten!$H$1:$I$100,2,0),"")</f>
        <v/>
      </c>
      <c r="N1322" s="323" t="str">
        <f ca="1">IFERROR(IF(VLOOKUP(F1322,Kostentypen!$A$3:$E$21,3,0)=0,"",IF(OR(F1322="Arbeidskosten",F1322="Vergoeding"),VLOOKUP(G1322,Tb_KostenTypen[],2,0),VLOOKUP(F1322,Kostentypen!$A$3:$E$20,3,0))),"")</f>
        <v/>
      </c>
      <c r="O1322" s="324"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4"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3"/>
      <c r="R1322" s="363"/>
      <c r="S1322" s="325"/>
      <c r="T1322" s="325"/>
      <c r="U1322" s="317" t="str" cm="1">
        <f t="array" aca="1" ref="U1322" ca="1">IFERROR(IF(AA1322&lt;&gt;"ja",_xlfn.IFNA(_xlfn.IFS(AND(O1322&lt;&gt;"",F1322&lt;&gt;"",RIGHT($N1322,6)="tarief",F1322="Vergoeding"),SUM(O1322)*FLOOR(SUM(Q1322),0.0001),AND(O1322&lt;&gt;"",F1322&lt;&gt;"",RIGHT($N1322,6)="tarief"),SUM(O1322)*FLOOR(SUM(Q1322),0.01),S1322&gt;0,IF(F1322&lt;&gt;"",FLOOR(SUM(S1322),0.01),"")),""),""),"")</f>
        <v/>
      </c>
      <c r="V1322" s="317" t="str" cm="1">
        <f t="array" aca="1" ref="V1322" ca="1">IFERROR(IF(AA1322&lt;&gt;"ja",_xlfn.IFNA(_xlfn.IFS(AND(P1322&lt;&gt;"",R1322&lt;&gt;"",RIGHT($N1322,6)="tarief",F1322="Vergoeding"),SUM(P1322)*FLOOR(SUM(R1322),0.0001),AND(P1322&lt;&gt;"",R1322&lt;&gt;"",RIGHT($N1322,6)="tarief"),P1322*FLOOR(R1322,0.01),T1322&gt;0,FLOOR(SUM(T1322),0.01)),""),""),"")</f>
        <v/>
      </c>
      <c r="W1322" s="317" t="str" cm="1">
        <f t="array" aca="1" ref="W1322" ca="1">IFERROR(_xlfn.IFS(OR(F1322="",LEFT(Methode_Keuze,4)="Geen",Methode_Keuze=""),"",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17" t="str" cm="1">
        <f t="array" aca="1" ref="X1322" ca="1">IFERROR(_xlfn.IFS(OR(F1322="",LEFT(Methode_Keuze,4)="Geen",Methode_Keuze=""),"",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26"/>
      <c r="Z1322" s="319"/>
      <c r="AA1322" s="32" t="str" cm="1">
        <f t="array" ref="AA1322">IFERROR(IF(INDEX(SubsidieTabel!$AD$1:$AG$12,MATCH($F1322,SubsidieTabel!$AD$1:$AD$12,0),IFERROR(MATCH(Methode_Keuze,SubsidieTabel!$AD$1:$AG$1,0),2))&lt;&gt;1=TRUE,"ja",""),"")</f>
        <v/>
      </c>
    </row>
    <row r="1323" spans="1:27" x14ac:dyDescent="0.25">
      <c r="A1323" s="320"/>
      <c r="B1323" s="321" t="str">
        <f>IF(A1323&lt;&gt;"",_xlfn.MAXIFS($B$1:B1322,$A$1:A1322,A1323)+1,"")</f>
        <v/>
      </c>
      <c r="C1323" s="299"/>
      <c r="D1323" s="299"/>
      <c r="E1323" s="299"/>
      <c r="F1323" s="299"/>
      <c r="G1323" s="330"/>
      <c r="H1323" s="328"/>
      <c r="I1323" s="329"/>
      <c r="J1323" s="329"/>
      <c r="K1323" s="322"/>
      <c r="L1323" s="322"/>
      <c r="M1323" s="323" t="str">
        <f>IFERROR(VLOOKUP(H1323,Lijsten!$H$1:$I$100,2,0),"")</f>
        <v/>
      </c>
      <c r="N1323" s="323" t="str">
        <f ca="1">IFERROR(IF(VLOOKUP(F1323,Kostentypen!$A$3:$E$21,3,0)=0,"",IF(OR(F1323="Arbeidskosten",F1323="Vergoeding"),VLOOKUP(G1323,Tb_KostenTypen[],2,0),VLOOKUP(F1323,Kostentypen!$A$3:$E$20,3,0))),"")</f>
        <v/>
      </c>
      <c r="O1323" s="324"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4"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3"/>
      <c r="R1323" s="363"/>
      <c r="S1323" s="325"/>
      <c r="T1323" s="325"/>
      <c r="U1323" s="317" t="str" cm="1">
        <f t="array" aca="1" ref="U1323" ca="1">IFERROR(IF(AA1323&lt;&gt;"ja",_xlfn.IFNA(_xlfn.IFS(AND(O1323&lt;&gt;"",F1323&lt;&gt;"",RIGHT($N1323,6)="tarief",F1323="Vergoeding"),SUM(O1323)*FLOOR(SUM(Q1323),0.0001),AND(O1323&lt;&gt;"",F1323&lt;&gt;"",RIGHT($N1323,6)="tarief"),SUM(O1323)*FLOOR(SUM(Q1323),0.01),S1323&gt;0,IF(F1323&lt;&gt;"",FLOOR(SUM(S1323),0.01),"")),""),""),"")</f>
        <v/>
      </c>
      <c r="V1323" s="317" t="str" cm="1">
        <f t="array" aca="1" ref="V1323" ca="1">IFERROR(IF(AA1323&lt;&gt;"ja",_xlfn.IFNA(_xlfn.IFS(AND(P1323&lt;&gt;"",R1323&lt;&gt;"",RIGHT($N1323,6)="tarief",F1323="Vergoeding"),SUM(P1323)*FLOOR(SUM(R1323),0.0001),AND(P1323&lt;&gt;"",R1323&lt;&gt;"",RIGHT($N1323,6)="tarief"),P1323*FLOOR(R1323,0.01),T1323&gt;0,FLOOR(SUM(T1323),0.01)),""),""),"")</f>
        <v/>
      </c>
      <c r="W1323" s="317" t="str" cm="1">
        <f t="array" aca="1" ref="W1323" ca="1">IFERROR(_xlfn.IFS(OR(F1323="",LEFT(Methode_Keuze,4)="Geen",Methode_Keuze=""),"",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17" t="str" cm="1">
        <f t="array" aca="1" ref="X1323" ca="1">IFERROR(_xlfn.IFS(OR(F1323="",LEFT(Methode_Keuze,4)="Geen",Methode_Keuze=""),"",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26"/>
      <c r="Z1323" s="319"/>
      <c r="AA1323" s="32" t="str" cm="1">
        <f t="array" ref="AA1323">IFERROR(IF(INDEX(SubsidieTabel!$AD$1:$AG$12,MATCH($F1323,SubsidieTabel!$AD$1:$AD$12,0),IFERROR(MATCH(Methode_Keuze,SubsidieTabel!$AD$1:$AG$1,0),2))&lt;&gt;1=TRUE,"ja",""),"")</f>
        <v/>
      </c>
    </row>
    <row r="1324" spans="1:27" x14ac:dyDescent="0.25">
      <c r="A1324" s="320"/>
      <c r="B1324" s="321" t="str">
        <f>IF(A1324&lt;&gt;"",_xlfn.MAXIFS($B$1:B1323,$A$1:A1323,A1324)+1,"")</f>
        <v/>
      </c>
      <c r="C1324" s="299"/>
      <c r="D1324" s="299"/>
      <c r="E1324" s="299"/>
      <c r="F1324" s="299"/>
      <c r="G1324" s="330"/>
      <c r="H1324" s="328"/>
      <c r="I1324" s="329"/>
      <c r="J1324" s="329"/>
      <c r="K1324" s="322"/>
      <c r="L1324" s="322"/>
      <c r="M1324" s="323" t="str">
        <f>IFERROR(VLOOKUP(H1324,Lijsten!$H$1:$I$100,2,0),"")</f>
        <v/>
      </c>
      <c r="N1324" s="323" t="str">
        <f ca="1">IFERROR(IF(VLOOKUP(F1324,Kostentypen!$A$3:$E$21,3,0)=0,"",IF(OR(F1324="Arbeidskosten",F1324="Vergoeding"),VLOOKUP(G1324,Tb_KostenTypen[],2,0),VLOOKUP(F1324,Kostentypen!$A$3:$E$20,3,0))),"")</f>
        <v/>
      </c>
      <c r="O1324" s="324"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4"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3"/>
      <c r="R1324" s="363"/>
      <c r="S1324" s="325"/>
      <c r="T1324" s="325"/>
      <c r="U1324" s="317" t="str" cm="1">
        <f t="array" aca="1" ref="U1324" ca="1">IFERROR(IF(AA1324&lt;&gt;"ja",_xlfn.IFNA(_xlfn.IFS(AND(O1324&lt;&gt;"",F1324&lt;&gt;"",RIGHT($N1324,6)="tarief",F1324="Vergoeding"),SUM(O1324)*FLOOR(SUM(Q1324),0.0001),AND(O1324&lt;&gt;"",F1324&lt;&gt;"",RIGHT($N1324,6)="tarief"),SUM(O1324)*FLOOR(SUM(Q1324),0.01),S1324&gt;0,IF(F1324&lt;&gt;"",FLOOR(SUM(S1324),0.01),"")),""),""),"")</f>
        <v/>
      </c>
      <c r="V1324" s="317" t="str" cm="1">
        <f t="array" aca="1" ref="V1324" ca="1">IFERROR(IF(AA1324&lt;&gt;"ja",_xlfn.IFNA(_xlfn.IFS(AND(P1324&lt;&gt;"",R1324&lt;&gt;"",RIGHT($N1324,6)="tarief",F1324="Vergoeding"),SUM(P1324)*FLOOR(SUM(R1324),0.0001),AND(P1324&lt;&gt;"",R1324&lt;&gt;"",RIGHT($N1324,6)="tarief"),P1324*FLOOR(R1324,0.01),T1324&gt;0,FLOOR(SUM(T1324),0.01)),""),""),"")</f>
        <v/>
      </c>
      <c r="W1324" s="317" t="str" cm="1">
        <f t="array" aca="1" ref="W1324" ca="1">IFERROR(_xlfn.IFS(OR(F1324="",LEFT(Methode_Keuze,4)="Geen",Methode_Keuze=""),"",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17" t="str" cm="1">
        <f t="array" aca="1" ref="X1324" ca="1">IFERROR(_xlfn.IFS(OR(F1324="",LEFT(Methode_Keuze,4)="Geen",Methode_Keuze=""),"",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26"/>
      <c r="Z1324" s="319"/>
      <c r="AA1324" s="32" t="str" cm="1">
        <f t="array" ref="AA1324">IFERROR(IF(INDEX(SubsidieTabel!$AD$1:$AG$12,MATCH($F1324,SubsidieTabel!$AD$1:$AD$12,0),IFERROR(MATCH(Methode_Keuze,SubsidieTabel!$AD$1:$AG$1,0),2))&lt;&gt;1=TRUE,"ja",""),"")</f>
        <v/>
      </c>
    </row>
    <row r="1325" spans="1:27" x14ac:dyDescent="0.25">
      <c r="A1325" s="320"/>
      <c r="B1325" s="321" t="str">
        <f>IF(A1325&lt;&gt;"",_xlfn.MAXIFS($B$1:B1324,$A$1:A1324,A1325)+1,"")</f>
        <v/>
      </c>
      <c r="C1325" s="299"/>
      <c r="D1325" s="299"/>
      <c r="E1325" s="299"/>
      <c r="F1325" s="299"/>
      <c r="G1325" s="330"/>
      <c r="H1325" s="328"/>
      <c r="I1325" s="329"/>
      <c r="J1325" s="329"/>
      <c r="K1325" s="322"/>
      <c r="L1325" s="322"/>
      <c r="M1325" s="323" t="str">
        <f>IFERROR(VLOOKUP(H1325,Lijsten!$H$1:$I$100,2,0),"")</f>
        <v/>
      </c>
      <c r="N1325" s="323" t="str">
        <f ca="1">IFERROR(IF(VLOOKUP(F1325,Kostentypen!$A$3:$E$21,3,0)=0,"",IF(OR(F1325="Arbeidskosten",F1325="Vergoeding"),VLOOKUP(G1325,Tb_KostenTypen[],2,0),VLOOKUP(F1325,Kostentypen!$A$3:$E$20,3,0))),"")</f>
        <v/>
      </c>
      <c r="O1325" s="324"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4"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3"/>
      <c r="R1325" s="363"/>
      <c r="S1325" s="325"/>
      <c r="T1325" s="325"/>
      <c r="U1325" s="317" t="str" cm="1">
        <f t="array" aca="1" ref="U1325" ca="1">IFERROR(IF(AA1325&lt;&gt;"ja",_xlfn.IFNA(_xlfn.IFS(AND(O1325&lt;&gt;"",F1325&lt;&gt;"",RIGHT($N1325,6)="tarief",F1325="Vergoeding"),SUM(O1325)*FLOOR(SUM(Q1325),0.0001),AND(O1325&lt;&gt;"",F1325&lt;&gt;"",RIGHT($N1325,6)="tarief"),SUM(O1325)*FLOOR(SUM(Q1325),0.01),S1325&gt;0,IF(F1325&lt;&gt;"",FLOOR(SUM(S1325),0.01),"")),""),""),"")</f>
        <v/>
      </c>
      <c r="V1325" s="317" t="str" cm="1">
        <f t="array" aca="1" ref="V1325" ca="1">IFERROR(IF(AA1325&lt;&gt;"ja",_xlfn.IFNA(_xlfn.IFS(AND(P1325&lt;&gt;"",R1325&lt;&gt;"",RIGHT($N1325,6)="tarief",F1325="Vergoeding"),SUM(P1325)*FLOOR(SUM(R1325),0.0001),AND(P1325&lt;&gt;"",R1325&lt;&gt;"",RIGHT($N1325,6)="tarief"),P1325*FLOOR(R1325,0.01),T1325&gt;0,FLOOR(SUM(T1325),0.01)),""),""),"")</f>
        <v/>
      </c>
      <c r="W1325" s="317" t="str" cm="1">
        <f t="array" aca="1" ref="W1325" ca="1">IFERROR(_xlfn.IFS(OR(F1325="",LEFT(Methode_Keuze,4)="Geen",Methode_Keuze=""),"",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17" t="str" cm="1">
        <f t="array" aca="1" ref="X1325" ca="1">IFERROR(_xlfn.IFS(OR(F1325="",LEFT(Methode_Keuze,4)="Geen",Methode_Keuze=""),"",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26"/>
      <c r="Z1325" s="319"/>
      <c r="AA1325" s="32" t="str" cm="1">
        <f t="array" ref="AA1325">IFERROR(IF(INDEX(SubsidieTabel!$AD$1:$AG$12,MATCH($F1325,SubsidieTabel!$AD$1:$AD$12,0),IFERROR(MATCH(Methode_Keuze,SubsidieTabel!$AD$1:$AG$1,0),2))&lt;&gt;1=TRUE,"ja",""),"")</f>
        <v/>
      </c>
    </row>
    <row r="1326" spans="1:27" x14ac:dyDescent="0.25">
      <c r="A1326" s="320"/>
      <c r="B1326" s="321" t="str">
        <f>IF(A1326&lt;&gt;"",_xlfn.MAXIFS($B$1:B1325,$A$1:A1325,A1326)+1,"")</f>
        <v/>
      </c>
      <c r="C1326" s="299"/>
      <c r="D1326" s="299"/>
      <c r="E1326" s="299"/>
      <c r="F1326" s="299"/>
      <c r="G1326" s="330"/>
      <c r="H1326" s="328"/>
      <c r="I1326" s="329"/>
      <c r="J1326" s="329"/>
      <c r="K1326" s="322"/>
      <c r="L1326" s="322"/>
      <c r="M1326" s="323" t="str">
        <f>IFERROR(VLOOKUP(H1326,Lijsten!$H$1:$I$100,2,0),"")</f>
        <v/>
      </c>
      <c r="N1326" s="323" t="str">
        <f ca="1">IFERROR(IF(VLOOKUP(F1326,Kostentypen!$A$3:$E$21,3,0)=0,"",IF(OR(F1326="Arbeidskosten",F1326="Vergoeding"),VLOOKUP(G1326,Tb_KostenTypen[],2,0),VLOOKUP(F1326,Kostentypen!$A$3:$E$20,3,0))),"")</f>
        <v/>
      </c>
      <c r="O1326" s="324"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4"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3"/>
      <c r="R1326" s="363"/>
      <c r="S1326" s="325"/>
      <c r="T1326" s="325"/>
      <c r="U1326" s="317" t="str" cm="1">
        <f t="array" aca="1" ref="U1326" ca="1">IFERROR(IF(AA1326&lt;&gt;"ja",_xlfn.IFNA(_xlfn.IFS(AND(O1326&lt;&gt;"",F1326&lt;&gt;"",RIGHT($N1326,6)="tarief",F1326="Vergoeding"),SUM(O1326)*FLOOR(SUM(Q1326),0.0001),AND(O1326&lt;&gt;"",F1326&lt;&gt;"",RIGHT($N1326,6)="tarief"),SUM(O1326)*FLOOR(SUM(Q1326),0.01),S1326&gt;0,IF(F1326&lt;&gt;"",FLOOR(SUM(S1326),0.01),"")),""),""),"")</f>
        <v/>
      </c>
      <c r="V1326" s="317" t="str" cm="1">
        <f t="array" aca="1" ref="V1326" ca="1">IFERROR(IF(AA1326&lt;&gt;"ja",_xlfn.IFNA(_xlfn.IFS(AND(P1326&lt;&gt;"",R1326&lt;&gt;"",RIGHT($N1326,6)="tarief",F1326="Vergoeding"),SUM(P1326)*FLOOR(SUM(R1326),0.0001),AND(P1326&lt;&gt;"",R1326&lt;&gt;"",RIGHT($N1326,6)="tarief"),P1326*FLOOR(R1326,0.01),T1326&gt;0,FLOOR(SUM(T1326),0.01)),""),""),"")</f>
        <v/>
      </c>
      <c r="W1326" s="317" t="str" cm="1">
        <f t="array" aca="1" ref="W1326" ca="1">IFERROR(_xlfn.IFS(OR(F1326="",LEFT(Methode_Keuze,4)="Geen",Methode_Keuze=""),"",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17" t="str" cm="1">
        <f t="array" aca="1" ref="X1326" ca="1">IFERROR(_xlfn.IFS(OR(F1326="",LEFT(Methode_Keuze,4)="Geen",Methode_Keuze=""),"",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26"/>
      <c r="Z1326" s="319"/>
      <c r="AA1326" s="32" t="str" cm="1">
        <f t="array" ref="AA1326">IFERROR(IF(INDEX(SubsidieTabel!$AD$1:$AG$12,MATCH($F1326,SubsidieTabel!$AD$1:$AD$12,0),IFERROR(MATCH(Methode_Keuze,SubsidieTabel!$AD$1:$AG$1,0),2))&lt;&gt;1=TRUE,"ja",""),"")</f>
        <v/>
      </c>
    </row>
    <row r="1327" spans="1:27" x14ac:dyDescent="0.25">
      <c r="A1327" s="320"/>
      <c r="B1327" s="321" t="str">
        <f>IF(A1327&lt;&gt;"",_xlfn.MAXIFS($B$1:B1326,$A$1:A1326,A1327)+1,"")</f>
        <v/>
      </c>
      <c r="C1327" s="299"/>
      <c r="D1327" s="299"/>
      <c r="E1327" s="299"/>
      <c r="F1327" s="299"/>
      <c r="G1327" s="330"/>
      <c r="H1327" s="328"/>
      <c r="I1327" s="329"/>
      <c r="J1327" s="329"/>
      <c r="K1327" s="322"/>
      <c r="L1327" s="322"/>
      <c r="M1327" s="323" t="str">
        <f>IFERROR(VLOOKUP(H1327,Lijsten!$H$1:$I$100,2,0),"")</f>
        <v/>
      </c>
      <c r="N1327" s="323" t="str">
        <f ca="1">IFERROR(IF(VLOOKUP(F1327,Kostentypen!$A$3:$E$21,3,0)=0,"",IF(OR(F1327="Arbeidskosten",F1327="Vergoeding"),VLOOKUP(G1327,Tb_KostenTypen[],2,0),VLOOKUP(F1327,Kostentypen!$A$3:$E$20,3,0))),"")</f>
        <v/>
      </c>
      <c r="O1327" s="324"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4"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3"/>
      <c r="R1327" s="363"/>
      <c r="S1327" s="325"/>
      <c r="T1327" s="325"/>
      <c r="U1327" s="317" t="str" cm="1">
        <f t="array" aca="1" ref="U1327" ca="1">IFERROR(IF(AA1327&lt;&gt;"ja",_xlfn.IFNA(_xlfn.IFS(AND(O1327&lt;&gt;"",F1327&lt;&gt;"",RIGHT($N1327,6)="tarief",F1327="Vergoeding"),SUM(O1327)*FLOOR(SUM(Q1327),0.0001),AND(O1327&lt;&gt;"",F1327&lt;&gt;"",RIGHT($N1327,6)="tarief"),SUM(O1327)*FLOOR(SUM(Q1327),0.01),S1327&gt;0,IF(F1327&lt;&gt;"",FLOOR(SUM(S1327),0.01),"")),""),""),"")</f>
        <v/>
      </c>
      <c r="V1327" s="317" t="str" cm="1">
        <f t="array" aca="1" ref="V1327" ca="1">IFERROR(IF(AA1327&lt;&gt;"ja",_xlfn.IFNA(_xlfn.IFS(AND(P1327&lt;&gt;"",R1327&lt;&gt;"",RIGHT($N1327,6)="tarief",F1327="Vergoeding"),SUM(P1327)*FLOOR(SUM(R1327),0.0001),AND(P1327&lt;&gt;"",R1327&lt;&gt;"",RIGHT($N1327,6)="tarief"),P1327*FLOOR(R1327,0.01),T1327&gt;0,FLOOR(SUM(T1327),0.01)),""),""),"")</f>
        <v/>
      </c>
      <c r="W1327" s="317" t="str" cm="1">
        <f t="array" aca="1" ref="W1327" ca="1">IFERROR(_xlfn.IFS(OR(F1327="",LEFT(Methode_Keuze,4)="Geen",Methode_Keuze=""),"",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17" t="str" cm="1">
        <f t="array" aca="1" ref="X1327" ca="1">IFERROR(_xlfn.IFS(OR(F1327="",LEFT(Methode_Keuze,4)="Geen",Methode_Keuze=""),"",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26"/>
      <c r="Z1327" s="319"/>
      <c r="AA1327" s="32" t="str" cm="1">
        <f t="array" ref="AA1327">IFERROR(IF(INDEX(SubsidieTabel!$AD$1:$AG$12,MATCH($F1327,SubsidieTabel!$AD$1:$AD$12,0),IFERROR(MATCH(Methode_Keuze,SubsidieTabel!$AD$1:$AG$1,0),2))&lt;&gt;1=TRUE,"ja",""),"")</f>
        <v/>
      </c>
    </row>
    <row r="1328" spans="1:27" x14ac:dyDescent="0.25">
      <c r="A1328" s="320"/>
      <c r="B1328" s="321" t="str">
        <f>IF(A1328&lt;&gt;"",_xlfn.MAXIFS($B$1:B1327,$A$1:A1327,A1328)+1,"")</f>
        <v/>
      </c>
      <c r="C1328" s="299"/>
      <c r="D1328" s="299"/>
      <c r="E1328" s="299"/>
      <c r="F1328" s="299"/>
      <c r="G1328" s="330"/>
      <c r="H1328" s="328"/>
      <c r="I1328" s="329"/>
      <c r="J1328" s="329"/>
      <c r="K1328" s="322"/>
      <c r="L1328" s="322"/>
      <c r="M1328" s="323" t="str">
        <f>IFERROR(VLOOKUP(H1328,Lijsten!$H$1:$I$100,2,0),"")</f>
        <v/>
      </c>
      <c r="N1328" s="323" t="str">
        <f ca="1">IFERROR(IF(VLOOKUP(F1328,Kostentypen!$A$3:$E$21,3,0)=0,"",IF(OR(F1328="Arbeidskosten",F1328="Vergoeding"),VLOOKUP(G1328,Tb_KostenTypen[],2,0),VLOOKUP(F1328,Kostentypen!$A$3:$E$20,3,0))),"")</f>
        <v/>
      </c>
      <c r="O1328" s="324"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4"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3"/>
      <c r="R1328" s="363"/>
      <c r="S1328" s="325"/>
      <c r="T1328" s="325"/>
      <c r="U1328" s="317" t="str" cm="1">
        <f t="array" aca="1" ref="U1328" ca="1">IFERROR(IF(AA1328&lt;&gt;"ja",_xlfn.IFNA(_xlfn.IFS(AND(O1328&lt;&gt;"",F1328&lt;&gt;"",RIGHT($N1328,6)="tarief",F1328="Vergoeding"),SUM(O1328)*FLOOR(SUM(Q1328),0.0001),AND(O1328&lt;&gt;"",F1328&lt;&gt;"",RIGHT($N1328,6)="tarief"),SUM(O1328)*FLOOR(SUM(Q1328),0.01),S1328&gt;0,IF(F1328&lt;&gt;"",FLOOR(SUM(S1328),0.01),"")),""),""),"")</f>
        <v/>
      </c>
      <c r="V1328" s="317" t="str" cm="1">
        <f t="array" aca="1" ref="V1328" ca="1">IFERROR(IF(AA1328&lt;&gt;"ja",_xlfn.IFNA(_xlfn.IFS(AND(P1328&lt;&gt;"",R1328&lt;&gt;"",RIGHT($N1328,6)="tarief",F1328="Vergoeding"),SUM(P1328)*FLOOR(SUM(R1328),0.0001),AND(P1328&lt;&gt;"",R1328&lt;&gt;"",RIGHT($N1328,6)="tarief"),P1328*FLOOR(R1328,0.01),T1328&gt;0,FLOOR(SUM(T1328),0.01)),""),""),"")</f>
        <v/>
      </c>
      <c r="W1328" s="317" t="str" cm="1">
        <f t="array" aca="1" ref="W1328" ca="1">IFERROR(_xlfn.IFS(OR(F1328="",LEFT(Methode_Keuze,4)="Geen",Methode_Keuze=""),"",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17" t="str" cm="1">
        <f t="array" aca="1" ref="X1328" ca="1">IFERROR(_xlfn.IFS(OR(F1328="",LEFT(Methode_Keuze,4)="Geen",Methode_Keuze=""),"",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26"/>
      <c r="Z1328" s="319"/>
      <c r="AA1328" s="32" t="str" cm="1">
        <f t="array" ref="AA1328">IFERROR(IF(INDEX(SubsidieTabel!$AD$1:$AG$12,MATCH($F1328,SubsidieTabel!$AD$1:$AD$12,0),IFERROR(MATCH(Methode_Keuze,SubsidieTabel!$AD$1:$AG$1,0),2))&lt;&gt;1=TRUE,"ja",""),"")</f>
        <v/>
      </c>
    </row>
    <row r="1329" spans="1:27" x14ac:dyDescent="0.25">
      <c r="A1329" s="320"/>
      <c r="B1329" s="321" t="str">
        <f>IF(A1329&lt;&gt;"",_xlfn.MAXIFS($B$1:B1328,$A$1:A1328,A1329)+1,"")</f>
        <v/>
      </c>
      <c r="C1329" s="299"/>
      <c r="D1329" s="299"/>
      <c r="E1329" s="299"/>
      <c r="F1329" s="299"/>
      <c r="G1329" s="330"/>
      <c r="H1329" s="328"/>
      <c r="I1329" s="329"/>
      <c r="J1329" s="329"/>
      <c r="K1329" s="322"/>
      <c r="L1329" s="322"/>
      <c r="M1329" s="323" t="str">
        <f>IFERROR(VLOOKUP(H1329,Lijsten!$H$1:$I$100,2,0),"")</f>
        <v/>
      </c>
      <c r="N1329" s="323" t="str">
        <f ca="1">IFERROR(IF(VLOOKUP(F1329,Kostentypen!$A$3:$E$21,3,0)=0,"",IF(OR(F1329="Arbeidskosten",F1329="Vergoeding"),VLOOKUP(G1329,Tb_KostenTypen[],2,0),VLOOKUP(F1329,Kostentypen!$A$3:$E$20,3,0))),"")</f>
        <v/>
      </c>
      <c r="O1329" s="324"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4"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3"/>
      <c r="R1329" s="363"/>
      <c r="S1329" s="325"/>
      <c r="T1329" s="325"/>
      <c r="U1329" s="317" t="str" cm="1">
        <f t="array" aca="1" ref="U1329" ca="1">IFERROR(IF(AA1329&lt;&gt;"ja",_xlfn.IFNA(_xlfn.IFS(AND(O1329&lt;&gt;"",F1329&lt;&gt;"",RIGHT($N1329,6)="tarief",F1329="Vergoeding"),SUM(O1329)*FLOOR(SUM(Q1329),0.0001),AND(O1329&lt;&gt;"",F1329&lt;&gt;"",RIGHT($N1329,6)="tarief"),SUM(O1329)*FLOOR(SUM(Q1329),0.01),S1329&gt;0,IF(F1329&lt;&gt;"",FLOOR(SUM(S1329),0.01),"")),""),""),"")</f>
        <v/>
      </c>
      <c r="V1329" s="317" t="str" cm="1">
        <f t="array" aca="1" ref="V1329" ca="1">IFERROR(IF(AA1329&lt;&gt;"ja",_xlfn.IFNA(_xlfn.IFS(AND(P1329&lt;&gt;"",R1329&lt;&gt;"",RIGHT($N1329,6)="tarief",F1329="Vergoeding"),SUM(P1329)*FLOOR(SUM(R1329),0.0001),AND(P1329&lt;&gt;"",R1329&lt;&gt;"",RIGHT($N1329,6)="tarief"),P1329*FLOOR(R1329,0.01),T1329&gt;0,FLOOR(SUM(T1329),0.01)),""),""),"")</f>
        <v/>
      </c>
      <c r="W1329" s="317" t="str" cm="1">
        <f t="array" aca="1" ref="W1329" ca="1">IFERROR(_xlfn.IFS(OR(F1329="",LEFT(Methode_Keuze,4)="Geen",Methode_Keuze=""),"",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17" t="str" cm="1">
        <f t="array" aca="1" ref="X1329" ca="1">IFERROR(_xlfn.IFS(OR(F1329="",LEFT(Methode_Keuze,4)="Geen",Methode_Keuze=""),"",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26"/>
      <c r="Z1329" s="319"/>
      <c r="AA1329" s="32" t="str" cm="1">
        <f t="array" ref="AA1329">IFERROR(IF(INDEX(SubsidieTabel!$AD$1:$AG$12,MATCH($F1329,SubsidieTabel!$AD$1:$AD$12,0),IFERROR(MATCH(Methode_Keuze,SubsidieTabel!$AD$1:$AG$1,0),2))&lt;&gt;1=TRUE,"ja",""),"")</f>
        <v/>
      </c>
    </row>
    <row r="1330" spans="1:27" x14ac:dyDescent="0.25">
      <c r="A1330" s="320"/>
      <c r="B1330" s="321" t="str">
        <f>IF(A1330&lt;&gt;"",_xlfn.MAXIFS($B$1:B1329,$A$1:A1329,A1330)+1,"")</f>
        <v/>
      </c>
      <c r="C1330" s="299"/>
      <c r="D1330" s="299"/>
      <c r="E1330" s="299"/>
      <c r="F1330" s="299"/>
      <c r="G1330" s="330"/>
      <c r="H1330" s="328"/>
      <c r="I1330" s="329"/>
      <c r="J1330" s="329"/>
      <c r="K1330" s="322"/>
      <c r="L1330" s="322"/>
      <c r="M1330" s="323" t="str">
        <f>IFERROR(VLOOKUP(H1330,Lijsten!$H$1:$I$100,2,0),"")</f>
        <v/>
      </c>
      <c r="N1330" s="323" t="str">
        <f ca="1">IFERROR(IF(VLOOKUP(F1330,Kostentypen!$A$3:$E$21,3,0)=0,"",IF(OR(F1330="Arbeidskosten",F1330="Vergoeding"),VLOOKUP(G1330,Tb_KostenTypen[],2,0),VLOOKUP(F1330,Kostentypen!$A$3:$E$20,3,0))),"")</f>
        <v/>
      </c>
      <c r="O1330" s="324"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4"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3"/>
      <c r="R1330" s="363"/>
      <c r="S1330" s="325"/>
      <c r="T1330" s="325"/>
      <c r="U1330" s="317" t="str" cm="1">
        <f t="array" aca="1" ref="U1330" ca="1">IFERROR(IF(AA1330&lt;&gt;"ja",_xlfn.IFNA(_xlfn.IFS(AND(O1330&lt;&gt;"",F1330&lt;&gt;"",RIGHT($N1330,6)="tarief",F1330="Vergoeding"),SUM(O1330)*FLOOR(SUM(Q1330),0.0001),AND(O1330&lt;&gt;"",F1330&lt;&gt;"",RIGHT($N1330,6)="tarief"),SUM(O1330)*FLOOR(SUM(Q1330),0.01),S1330&gt;0,IF(F1330&lt;&gt;"",FLOOR(SUM(S1330),0.01),"")),""),""),"")</f>
        <v/>
      </c>
      <c r="V1330" s="317" t="str" cm="1">
        <f t="array" aca="1" ref="V1330" ca="1">IFERROR(IF(AA1330&lt;&gt;"ja",_xlfn.IFNA(_xlfn.IFS(AND(P1330&lt;&gt;"",R1330&lt;&gt;"",RIGHT($N1330,6)="tarief",F1330="Vergoeding"),SUM(P1330)*FLOOR(SUM(R1330),0.0001),AND(P1330&lt;&gt;"",R1330&lt;&gt;"",RIGHT($N1330,6)="tarief"),P1330*FLOOR(R1330,0.01),T1330&gt;0,FLOOR(SUM(T1330),0.01)),""),""),"")</f>
        <v/>
      </c>
      <c r="W1330" s="317" t="str" cm="1">
        <f t="array" aca="1" ref="W1330" ca="1">IFERROR(_xlfn.IFS(OR(F1330="",LEFT(Methode_Keuze,4)="Geen",Methode_Keuze=""),"",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17" t="str" cm="1">
        <f t="array" aca="1" ref="X1330" ca="1">IFERROR(_xlfn.IFS(OR(F1330="",LEFT(Methode_Keuze,4)="Geen",Methode_Keuze=""),"",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26"/>
      <c r="Z1330" s="319"/>
      <c r="AA1330" s="32" t="str" cm="1">
        <f t="array" ref="AA1330">IFERROR(IF(INDEX(SubsidieTabel!$AD$1:$AG$12,MATCH($F1330,SubsidieTabel!$AD$1:$AD$12,0),IFERROR(MATCH(Methode_Keuze,SubsidieTabel!$AD$1:$AG$1,0),2))&lt;&gt;1=TRUE,"ja",""),"")</f>
        <v/>
      </c>
    </row>
    <row r="1331" spans="1:27" x14ac:dyDescent="0.25">
      <c r="A1331" s="320"/>
      <c r="B1331" s="321" t="str">
        <f>IF(A1331&lt;&gt;"",_xlfn.MAXIFS($B$1:B1330,$A$1:A1330,A1331)+1,"")</f>
        <v/>
      </c>
      <c r="C1331" s="299"/>
      <c r="D1331" s="299"/>
      <c r="E1331" s="299"/>
      <c r="F1331" s="299"/>
      <c r="G1331" s="330"/>
      <c r="H1331" s="328"/>
      <c r="I1331" s="329"/>
      <c r="J1331" s="329"/>
      <c r="K1331" s="322"/>
      <c r="L1331" s="322"/>
      <c r="M1331" s="323" t="str">
        <f>IFERROR(VLOOKUP(H1331,Lijsten!$H$1:$I$100,2,0),"")</f>
        <v/>
      </c>
      <c r="N1331" s="323" t="str">
        <f ca="1">IFERROR(IF(VLOOKUP(F1331,Kostentypen!$A$3:$E$21,3,0)=0,"",IF(OR(F1331="Arbeidskosten",F1331="Vergoeding"),VLOOKUP(G1331,Tb_KostenTypen[],2,0),VLOOKUP(F1331,Kostentypen!$A$3:$E$20,3,0))),"")</f>
        <v/>
      </c>
      <c r="O1331" s="324"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4"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3"/>
      <c r="R1331" s="363"/>
      <c r="S1331" s="325"/>
      <c r="T1331" s="325"/>
      <c r="U1331" s="317" t="str" cm="1">
        <f t="array" aca="1" ref="U1331" ca="1">IFERROR(IF(AA1331&lt;&gt;"ja",_xlfn.IFNA(_xlfn.IFS(AND(O1331&lt;&gt;"",F1331&lt;&gt;"",RIGHT($N1331,6)="tarief",F1331="Vergoeding"),SUM(O1331)*FLOOR(SUM(Q1331),0.0001),AND(O1331&lt;&gt;"",F1331&lt;&gt;"",RIGHT($N1331,6)="tarief"),SUM(O1331)*FLOOR(SUM(Q1331),0.01),S1331&gt;0,IF(F1331&lt;&gt;"",FLOOR(SUM(S1331),0.01),"")),""),""),"")</f>
        <v/>
      </c>
      <c r="V1331" s="317" t="str" cm="1">
        <f t="array" aca="1" ref="V1331" ca="1">IFERROR(IF(AA1331&lt;&gt;"ja",_xlfn.IFNA(_xlfn.IFS(AND(P1331&lt;&gt;"",R1331&lt;&gt;"",RIGHT($N1331,6)="tarief",F1331="Vergoeding"),SUM(P1331)*FLOOR(SUM(R1331),0.0001),AND(P1331&lt;&gt;"",R1331&lt;&gt;"",RIGHT($N1331,6)="tarief"),P1331*FLOOR(R1331,0.01),T1331&gt;0,FLOOR(SUM(T1331),0.01)),""),""),"")</f>
        <v/>
      </c>
      <c r="W1331" s="317" t="str" cm="1">
        <f t="array" aca="1" ref="W1331" ca="1">IFERROR(_xlfn.IFS(OR(F1331="",LEFT(Methode_Keuze,4)="Geen",Methode_Keuze=""),"",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17" t="str" cm="1">
        <f t="array" aca="1" ref="X1331" ca="1">IFERROR(_xlfn.IFS(OR(F1331="",LEFT(Methode_Keuze,4)="Geen",Methode_Keuze=""),"",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26"/>
      <c r="Z1331" s="319"/>
      <c r="AA1331" s="32" t="str" cm="1">
        <f t="array" ref="AA1331">IFERROR(IF(INDEX(SubsidieTabel!$AD$1:$AG$12,MATCH($F1331,SubsidieTabel!$AD$1:$AD$12,0),IFERROR(MATCH(Methode_Keuze,SubsidieTabel!$AD$1:$AG$1,0),2))&lt;&gt;1=TRUE,"ja",""),"")</f>
        <v/>
      </c>
    </row>
    <row r="1332" spans="1:27" x14ac:dyDescent="0.25">
      <c r="A1332" s="320"/>
      <c r="B1332" s="321" t="str">
        <f>IF(A1332&lt;&gt;"",_xlfn.MAXIFS($B$1:B1331,$A$1:A1331,A1332)+1,"")</f>
        <v/>
      </c>
      <c r="C1332" s="299"/>
      <c r="D1332" s="299"/>
      <c r="E1332" s="299"/>
      <c r="F1332" s="299"/>
      <c r="G1332" s="330"/>
      <c r="H1332" s="328"/>
      <c r="I1332" s="329"/>
      <c r="J1332" s="329"/>
      <c r="K1332" s="322"/>
      <c r="L1332" s="322"/>
      <c r="M1332" s="323" t="str">
        <f>IFERROR(VLOOKUP(H1332,Lijsten!$H$1:$I$100,2,0),"")</f>
        <v/>
      </c>
      <c r="N1332" s="323" t="str">
        <f ca="1">IFERROR(IF(VLOOKUP(F1332,Kostentypen!$A$3:$E$21,3,0)=0,"",IF(OR(F1332="Arbeidskosten",F1332="Vergoeding"),VLOOKUP(G1332,Tb_KostenTypen[],2,0),VLOOKUP(F1332,Kostentypen!$A$3:$E$20,3,0))),"")</f>
        <v/>
      </c>
      <c r="O1332" s="324"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4"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3"/>
      <c r="R1332" s="363"/>
      <c r="S1332" s="325"/>
      <c r="T1332" s="325"/>
      <c r="U1332" s="317" t="str" cm="1">
        <f t="array" aca="1" ref="U1332" ca="1">IFERROR(IF(AA1332&lt;&gt;"ja",_xlfn.IFNA(_xlfn.IFS(AND(O1332&lt;&gt;"",F1332&lt;&gt;"",RIGHT($N1332,6)="tarief",F1332="Vergoeding"),SUM(O1332)*FLOOR(SUM(Q1332),0.0001),AND(O1332&lt;&gt;"",F1332&lt;&gt;"",RIGHT($N1332,6)="tarief"),SUM(O1332)*FLOOR(SUM(Q1332),0.01),S1332&gt;0,IF(F1332&lt;&gt;"",FLOOR(SUM(S1332),0.01),"")),""),""),"")</f>
        <v/>
      </c>
      <c r="V1332" s="317" t="str" cm="1">
        <f t="array" aca="1" ref="V1332" ca="1">IFERROR(IF(AA1332&lt;&gt;"ja",_xlfn.IFNA(_xlfn.IFS(AND(P1332&lt;&gt;"",R1332&lt;&gt;"",RIGHT($N1332,6)="tarief",F1332="Vergoeding"),SUM(P1332)*FLOOR(SUM(R1332),0.0001),AND(P1332&lt;&gt;"",R1332&lt;&gt;"",RIGHT($N1332,6)="tarief"),P1332*FLOOR(R1332,0.01),T1332&gt;0,FLOOR(SUM(T1332),0.01)),""),""),"")</f>
        <v/>
      </c>
      <c r="W1332" s="317" t="str" cm="1">
        <f t="array" aca="1" ref="W1332" ca="1">IFERROR(_xlfn.IFS(OR(F1332="",LEFT(Methode_Keuze,4)="Geen",Methode_Keuze=""),"",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17" t="str" cm="1">
        <f t="array" aca="1" ref="X1332" ca="1">IFERROR(_xlfn.IFS(OR(F1332="",LEFT(Methode_Keuze,4)="Geen",Methode_Keuze=""),"",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26"/>
      <c r="Z1332" s="319"/>
      <c r="AA1332" s="32" t="str" cm="1">
        <f t="array" ref="AA1332">IFERROR(IF(INDEX(SubsidieTabel!$AD$1:$AG$12,MATCH($F1332,SubsidieTabel!$AD$1:$AD$12,0),IFERROR(MATCH(Methode_Keuze,SubsidieTabel!$AD$1:$AG$1,0),2))&lt;&gt;1=TRUE,"ja",""),"")</f>
        <v/>
      </c>
    </row>
    <row r="1333" spans="1:27" x14ac:dyDescent="0.25">
      <c r="A1333" s="320"/>
      <c r="B1333" s="321" t="str">
        <f>IF(A1333&lt;&gt;"",_xlfn.MAXIFS($B$1:B1332,$A$1:A1332,A1333)+1,"")</f>
        <v/>
      </c>
      <c r="C1333" s="299"/>
      <c r="D1333" s="299"/>
      <c r="E1333" s="299"/>
      <c r="F1333" s="299"/>
      <c r="G1333" s="330"/>
      <c r="H1333" s="328"/>
      <c r="I1333" s="329"/>
      <c r="J1333" s="329"/>
      <c r="K1333" s="322"/>
      <c r="L1333" s="322"/>
      <c r="M1333" s="323" t="str">
        <f>IFERROR(VLOOKUP(H1333,Lijsten!$H$1:$I$100,2,0),"")</f>
        <v/>
      </c>
      <c r="N1333" s="323" t="str">
        <f ca="1">IFERROR(IF(VLOOKUP(F1333,Kostentypen!$A$3:$E$21,3,0)=0,"",IF(OR(F1333="Arbeidskosten",F1333="Vergoeding"),VLOOKUP(G1333,Tb_KostenTypen[],2,0),VLOOKUP(F1333,Kostentypen!$A$3:$E$20,3,0))),"")</f>
        <v/>
      </c>
      <c r="O1333" s="324"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4"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3"/>
      <c r="R1333" s="363"/>
      <c r="S1333" s="325"/>
      <c r="T1333" s="325"/>
      <c r="U1333" s="317" t="str" cm="1">
        <f t="array" aca="1" ref="U1333" ca="1">IFERROR(IF(AA1333&lt;&gt;"ja",_xlfn.IFNA(_xlfn.IFS(AND(O1333&lt;&gt;"",F1333&lt;&gt;"",RIGHT($N1333,6)="tarief",F1333="Vergoeding"),SUM(O1333)*FLOOR(SUM(Q1333),0.0001),AND(O1333&lt;&gt;"",F1333&lt;&gt;"",RIGHT($N1333,6)="tarief"),SUM(O1333)*FLOOR(SUM(Q1333),0.01),S1333&gt;0,IF(F1333&lt;&gt;"",FLOOR(SUM(S1333),0.01),"")),""),""),"")</f>
        <v/>
      </c>
      <c r="V1333" s="317" t="str" cm="1">
        <f t="array" aca="1" ref="V1333" ca="1">IFERROR(IF(AA1333&lt;&gt;"ja",_xlfn.IFNA(_xlfn.IFS(AND(P1333&lt;&gt;"",R1333&lt;&gt;"",RIGHT($N1333,6)="tarief",F1333="Vergoeding"),SUM(P1333)*FLOOR(SUM(R1333),0.0001),AND(P1333&lt;&gt;"",R1333&lt;&gt;"",RIGHT($N1333,6)="tarief"),P1333*FLOOR(R1333,0.01),T1333&gt;0,FLOOR(SUM(T1333),0.01)),""),""),"")</f>
        <v/>
      </c>
      <c r="W1333" s="317" t="str" cm="1">
        <f t="array" aca="1" ref="W1333" ca="1">IFERROR(_xlfn.IFS(OR(F1333="",LEFT(Methode_Keuze,4)="Geen",Methode_Keuze=""),"",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17" t="str" cm="1">
        <f t="array" aca="1" ref="X1333" ca="1">IFERROR(_xlfn.IFS(OR(F1333="",LEFT(Methode_Keuze,4)="Geen",Methode_Keuze=""),"",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26"/>
      <c r="Z1333" s="319"/>
      <c r="AA1333" s="32" t="str" cm="1">
        <f t="array" ref="AA1333">IFERROR(IF(INDEX(SubsidieTabel!$AD$1:$AG$12,MATCH($F1333,SubsidieTabel!$AD$1:$AD$12,0),IFERROR(MATCH(Methode_Keuze,SubsidieTabel!$AD$1:$AG$1,0),2))&lt;&gt;1=TRUE,"ja",""),"")</f>
        <v/>
      </c>
    </row>
    <row r="1334" spans="1:27" x14ac:dyDescent="0.25">
      <c r="A1334" s="320"/>
      <c r="B1334" s="321" t="str">
        <f>IF(A1334&lt;&gt;"",_xlfn.MAXIFS($B$1:B1333,$A$1:A1333,A1334)+1,"")</f>
        <v/>
      </c>
      <c r="C1334" s="299"/>
      <c r="D1334" s="299"/>
      <c r="E1334" s="299"/>
      <c r="F1334" s="299"/>
      <c r="G1334" s="330"/>
      <c r="H1334" s="328"/>
      <c r="I1334" s="329"/>
      <c r="J1334" s="329"/>
      <c r="K1334" s="322"/>
      <c r="L1334" s="322"/>
      <c r="M1334" s="323" t="str">
        <f>IFERROR(VLOOKUP(H1334,Lijsten!$H$1:$I$100,2,0),"")</f>
        <v/>
      </c>
      <c r="N1334" s="323" t="str">
        <f ca="1">IFERROR(IF(VLOOKUP(F1334,Kostentypen!$A$3:$E$21,3,0)=0,"",IF(OR(F1334="Arbeidskosten",F1334="Vergoeding"),VLOOKUP(G1334,Tb_KostenTypen[],2,0),VLOOKUP(F1334,Kostentypen!$A$3:$E$20,3,0))),"")</f>
        <v/>
      </c>
      <c r="O1334" s="324"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4"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3"/>
      <c r="R1334" s="363"/>
      <c r="S1334" s="325"/>
      <c r="T1334" s="325"/>
      <c r="U1334" s="317" t="str" cm="1">
        <f t="array" aca="1" ref="U1334" ca="1">IFERROR(IF(AA1334&lt;&gt;"ja",_xlfn.IFNA(_xlfn.IFS(AND(O1334&lt;&gt;"",F1334&lt;&gt;"",RIGHT($N1334,6)="tarief",F1334="Vergoeding"),SUM(O1334)*FLOOR(SUM(Q1334),0.0001),AND(O1334&lt;&gt;"",F1334&lt;&gt;"",RIGHT($N1334,6)="tarief"),SUM(O1334)*FLOOR(SUM(Q1334),0.01),S1334&gt;0,IF(F1334&lt;&gt;"",FLOOR(SUM(S1334),0.01),"")),""),""),"")</f>
        <v/>
      </c>
      <c r="V1334" s="317" t="str" cm="1">
        <f t="array" aca="1" ref="V1334" ca="1">IFERROR(IF(AA1334&lt;&gt;"ja",_xlfn.IFNA(_xlfn.IFS(AND(P1334&lt;&gt;"",R1334&lt;&gt;"",RIGHT($N1334,6)="tarief",F1334="Vergoeding"),SUM(P1334)*FLOOR(SUM(R1334),0.0001),AND(P1334&lt;&gt;"",R1334&lt;&gt;"",RIGHT($N1334,6)="tarief"),P1334*FLOOR(R1334,0.01),T1334&gt;0,FLOOR(SUM(T1334),0.01)),""),""),"")</f>
        <v/>
      </c>
      <c r="W1334" s="317" t="str" cm="1">
        <f t="array" aca="1" ref="W1334" ca="1">IFERROR(_xlfn.IFS(OR(F1334="",LEFT(Methode_Keuze,4)="Geen",Methode_Keuze=""),"",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17" t="str" cm="1">
        <f t="array" aca="1" ref="X1334" ca="1">IFERROR(_xlfn.IFS(OR(F1334="",LEFT(Methode_Keuze,4)="Geen",Methode_Keuze=""),"",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26"/>
      <c r="Z1334" s="319"/>
      <c r="AA1334" s="32" t="str" cm="1">
        <f t="array" ref="AA1334">IFERROR(IF(INDEX(SubsidieTabel!$AD$1:$AG$12,MATCH($F1334,SubsidieTabel!$AD$1:$AD$12,0),IFERROR(MATCH(Methode_Keuze,SubsidieTabel!$AD$1:$AG$1,0),2))&lt;&gt;1=TRUE,"ja",""),"")</f>
        <v/>
      </c>
    </row>
    <row r="1335" spans="1:27" x14ac:dyDescent="0.25">
      <c r="A1335" s="320"/>
      <c r="B1335" s="321" t="str">
        <f>IF(A1335&lt;&gt;"",_xlfn.MAXIFS($B$1:B1334,$A$1:A1334,A1335)+1,"")</f>
        <v/>
      </c>
      <c r="C1335" s="299"/>
      <c r="D1335" s="299"/>
      <c r="E1335" s="299"/>
      <c r="F1335" s="299"/>
      <c r="G1335" s="330"/>
      <c r="H1335" s="328"/>
      <c r="I1335" s="329"/>
      <c r="J1335" s="329"/>
      <c r="K1335" s="322"/>
      <c r="L1335" s="322"/>
      <c r="M1335" s="323" t="str">
        <f>IFERROR(VLOOKUP(H1335,Lijsten!$H$1:$I$100,2,0),"")</f>
        <v/>
      </c>
      <c r="N1335" s="323" t="str">
        <f ca="1">IFERROR(IF(VLOOKUP(F1335,Kostentypen!$A$3:$E$21,3,0)=0,"",IF(OR(F1335="Arbeidskosten",F1335="Vergoeding"),VLOOKUP(G1335,Tb_KostenTypen[],2,0),VLOOKUP(F1335,Kostentypen!$A$3:$E$20,3,0))),"")</f>
        <v/>
      </c>
      <c r="O1335" s="324"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4"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3"/>
      <c r="R1335" s="363"/>
      <c r="S1335" s="325"/>
      <c r="T1335" s="325"/>
      <c r="U1335" s="317" t="str" cm="1">
        <f t="array" aca="1" ref="U1335" ca="1">IFERROR(IF(AA1335&lt;&gt;"ja",_xlfn.IFNA(_xlfn.IFS(AND(O1335&lt;&gt;"",F1335&lt;&gt;"",RIGHT($N1335,6)="tarief",F1335="Vergoeding"),SUM(O1335)*FLOOR(SUM(Q1335),0.0001),AND(O1335&lt;&gt;"",F1335&lt;&gt;"",RIGHT($N1335,6)="tarief"),SUM(O1335)*FLOOR(SUM(Q1335),0.01),S1335&gt;0,IF(F1335&lt;&gt;"",FLOOR(SUM(S1335),0.01),"")),""),""),"")</f>
        <v/>
      </c>
      <c r="V1335" s="317" t="str" cm="1">
        <f t="array" aca="1" ref="V1335" ca="1">IFERROR(IF(AA1335&lt;&gt;"ja",_xlfn.IFNA(_xlfn.IFS(AND(P1335&lt;&gt;"",R1335&lt;&gt;"",RIGHT($N1335,6)="tarief",F1335="Vergoeding"),SUM(P1335)*FLOOR(SUM(R1335),0.0001),AND(P1335&lt;&gt;"",R1335&lt;&gt;"",RIGHT($N1335,6)="tarief"),P1335*FLOOR(R1335,0.01),T1335&gt;0,FLOOR(SUM(T1335),0.01)),""),""),"")</f>
        <v/>
      </c>
      <c r="W1335" s="317" t="str" cm="1">
        <f t="array" aca="1" ref="W1335" ca="1">IFERROR(_xlfn.IFS(OR(F1335="",LEFT(Methode_Keuze,4)="Geen",Methode_Keuze=""),"",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17" t="str" cm="1">
        <f t="array" aca="1" ref="X1335" ca="1">IFERROR(_xlfn.IFS(OR(F1335="",LEFT(Methode_Keuze,4)="Geen",Methode_Keuze=""),"",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26"/>
      <c r="Z1335" s="319"/>
      <c r="AA1335" s="32" t="str" cm="1">
        <f t="array" ref="AA1335">IFERROR(IF(INDEX(SubsidieTabel!$AD$1:$AG$12,MATCH($F1335,SubsidieTabel!$AD$1:$AD$12,0),IFERROR(MATCH(Methode_Keuze,SubsidieTabel!$AD$1:$AG$1,0),2))&lt;&gt;1=TRUE,"ja",""),"")</f>
        <v/>
      </c>
    </row>
    <row r="1336" spans="1:27" x14ac:dyDescent="0.25">
      <c r="A1336" s="320"/>
      <c r="B1336" s="321" t="str">
        <f>IF(A1336&lt;&gt;"",_xlfn.MAXIFS($B$1:B1335,$A$1:A1335,A1336)+1,"")</f>
        <v/>
      </c>
      <c r="C1336" s="299"/>
      <c r="D1336" s="299"/>
      <c r="E1336" s="299"/>
      <c r="F1336" s="299"/>
      <c r="G1336" s="330"/>
      <c r="H1336" s="328"/>
      <c r="I1336" s="329"/>
      <c r="J1336" s="329"/>
      <c r="K1336" s="322"/>
      <c r="L1336" s="322"/>
      <c r="M1336" s="323" t="str">
        <f>IFERROR(VLOOKUP(H1336,Lijsten!$H$1:$I$100,2,0),"")</f>
        <v/>
      </c>
      <c r="N1336" s="323" t="str">
        <f ca="1">IFERROR(IF(VLOOKUP(F1336,Kostentypen!$A$3:$E$21,3,0)=0,"",IF(OR(F1336="Arbeidskosten",F1336="Vergoeding"),VLOOKUP(G1336,Tb_KostenTypen[],2,0),VLOOKUP(F1336,Kostentypen!$A$3:$E$20,3,0))),"")</f>
        <v/>
      </c>
      <c r="O1336" s="324"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4"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3"/>
      <c r="R1336" s="363"/>
      <c r="S1336" s="325"/>
      <c r="T1336" s="325"/>
      <c r="U1336" s="317" t="str" cm="1">
        <f t="array" aca="1" ref="U1336" ca="1">IFERROR(IF(AA1336&lt;&gt;"ja",_xlfn.IFNA(_xlfn.IFS(AND(O1336&lt;&gt;"",F1336&lt;&gt;"",RIGHT($N1336,6)="tarief",F1336="Vergoeding"),SUM(O1336)*FLOOR(SUM(Q1336),0.0001),AND(O1336&lt;&gt;"",F1336&lt;&gt;"",RIGHT($N1336,6)="tarief"),SUM(O1336)*FLOOR(SUM(Q1336),0.01),S1336&gt;0,IF(F1336&lt;&gt;"",FLOOR(SUM(S1336),0.01),"")),""),""),"")</f>
        <v/>
      </c>
      <c r="V1336" s="317" t="str" cm="1">
        <f t="array" aca="1" ref="V1336" ca="1">IFERROR(IF(AA1336&lt;&gt;"ja",_xlfn.IFNA(_xlfn.IFS(AND(P1336&lt;&gt;"",R1336&lt;&gt;"",RIGHT($N1336,6)="tarief",F1336="Vergoeding"),SUM(P1336)*FLOOR(SUM(R1336),0.0001),AND(P1336&lt;&gt;"",R1336&lt;&gt;"",RIGHT($N1336,6)="tarief"),P1336*FLOOR(R1336,0.01),T1336&gt;0,FLOOR(SUM(T1336),0.01)),""),""),"")</f>
        <v/>
      </c>
      <c r="W1336" s="317" t="str" cm="1">
        <f t="array" aca="1" ref="W1336" ca="1">IFERROR(_xlfn.IFS(OR(F1336="",LEFT(Methode_Keuze,4)="Geen",Methode_Keuze=""),"",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17" t="str" cm="1">
        <f t="array" aca="1" ref="X1336" ca="1">IFERROR(_xlfn.IFS(OR(F1336="",LEFT(Methode_Keuze,4)="Geen",Methode_Keuze=""),"",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26"/>
      <c r="Z1336" s="319"/>
      <c r="AA1336" s="32" t="str" cm="1">
        <f t="array" ref="AA1336">IFERROR(IF(INDEX(SubsidieTabel!$AD$1:$AG$12,MATCH($F1336,SubsidieTabel!$AD$1:$AD$12,0),IFERROR(MATCH(Methode_Keuze,SubsidieTabel!$AD$1:$AG$1,0),2))&lt;&gt;1=TRUE,"ja",""),"")</f>
        <v/>
      </c>
    </row>
    <row r="1337" spans="1:27" x14ac:dyDescent="0.25">
      <c r="A1337" s="320"/>
      <c r="B1337" s="321" t="str">
        <f>IF(A1337&lt;&gt;"",_xlfn.MAXIFS($B$1:B1336,$A$1:A1336,A1337)+1,"")</f>
        <v/>
      </c>
      <c r="C1337" s="299"/>
      <c r="D1337" s="299"/>
      <c r="E1337" s="299"/>
      <c r="F1337" s="299"/>
      <c r="G1337" s="330"/>
      <c r="H1337" s="328"/>
      <c r="I1337" s="329"/>
      <c r="J1337" s="329"/>
      <c r="K1337" s="322"/>
      <c r="L1337" s="322"/>
      <c r="M1337" s="323" t="str">
        <f>IFERROR(VLOOKUP(H1337,Lijsten!$H$1:$I$100,2,0),"")</f>
        <v/>
      </c>
      <c r="N1337" s="323" t="str">
        <f ca="1">IFERROR(IF(VLOOKUP(F1337,Kostentypen!$A$3:$E$21,3,0)=0,"",IF(OR(F1337="Arbeidskosten",F1337="Vergoeding"),VLOOKUP(G1337,Tb_KostenTypen[],2,0),VLOOKUP(F1337,Kostentypen!$A$3:$E$20,3,0))),"")</f>
        <v/>
      </c>
      <c r="O1337" s="324"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4"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3"/>
      <c r="R1337" s="363"/>
      <c r="S1337" s="325"/>
      <c r="T1337" s="325"/>
      <c r="U1337" s="317" t="str" cm="1">
        <f t="array" aca="1" ref="U1337" ca="1">IFERROR(IF(AA1337&lt;&gt;"ja",_xlfn.IFNA(_xlfn.IFS(AND(O1337&lt;&gt;"",F1337&lt;&gt;"",RIGHT($N1337,6)="tarief",F1337="Vergoeding"),SUM(O1337)*FLOOR(SUM(Q1337),0.0001),AND(O1337&lt;&gt;"",F1337&lt;&gt;"",RIGHT($N1337,6)="tarief"),SUM(O1337)*FLOOR(SUM(Q1337),0.01),S1337&gt;0,IF(F1337&lt;&gt;"",FLOOR(SUM(S1337),0.01),"")),""),""),"")</f>
        <v/>
      </c>
      <c r="V1337" s="317" t="str" cm="1">
        <f t="array" aca="1" ref="V1337" ca="1">IFERROR(IF(AA1337&lt;&gt;"ja",_xlfn.IFNA(_xlfn.IFS(AND(P1337&lt;&gt;"",R1337&lt;&gt;"",RIGHT($N1337,6)="tarief",F1337="Vergoeding"),SUM(P1337)*FLOOR(SUM(R1337),0.0001),AND(P1337&lt;&gt;"",R1337&lt;&gt;"",RIGHT($N1337,6)="tarief"),P1337*FLOOR(R1337,0.01),T1337&gt;0,FLOOR(SUM(T1337),0.01)),""),""),"")</f>
        <v/>
      </c>
      <c r="W1337" s="317" t="str" cm="1">
        <f t="array" aca="1" ref="W1337" ca="1">IFERROR(_xlfn.IFS(OR(F1337="",LEFT(Methode_Keuze,4)="Geen",Methode_Keuze=""),"",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17" t="str" cm="1">
        <f t="array" aca="1" ref="X1337" ca="1">IFERROR(_xlfn.IFS(OR(F1337="",LEFT(Methode_Keuze,4)="Geen",Methode_Keuze=""),"",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26"/>
      <c r="Z1337" s="319"/>
      <c r="AA1337" s="32" t="str" cm="1">
        <f t="array" ref="AA1337">IFERROR(IF(INDEX(SubsidieTabel!$AD$1:$AG$12,MATCH($F1337,SubsidieTabel!$AD$1:$AD$12,0),IFERROR(MATCH(Methode_Keuze,SubsidieTabel!$AD$1:$AG$1,0),2))&lt;&gt;1=TRUE,"ja",""),"")</f>
        <v/>
      </c>
    </row>
    <row r="1338" spans="1:27" x14ac:dyDescent="0.25">
      <c r="A1338" s="320"/>
      <c r="B1338" s="321" t="str">
        <f>IF(A1338&lt;&gt;"",_xlfn.MAXIFS($B$1:B1337,$A$1:A1337,A1338)+1,"")</f>
        <v/>
      </c>
      <c r="C1338" s="299"/>
      <c r="D1338" s="299"/>
      <c r="E1338" s="299"/>
      <c r="F1338" s="299"/>
      <c r="G1338" s="330"/>
      <c r="H1338" s="328"/>
      <c r="I1338" s="329"/>
      <c r="J1338" s="329"/>
      <c r="K1338" s="322"/>
      <c r="L1338" s="322"/>
      <c r="M1338" s="323" t="str">
        <f>IFERROR(VLOOKUP(H1338,Lijsten!$H$1:$I$100,2,0),"")</f>
        <v/>
      </c>
      <c r="N1338" s="323" t="str">
        <f ca="1">IFERROR(IF(VLOOKUP(F1338,Kostentypen!$A$3:$E$21,3,0)=0,"",IF(OR(F1338="Arbeidskosten",F1338="Vergoeding"),VLOOKUP(G1338,Tb_KostenTypen[],2,0),VLOOKUP(F1338,Kostentypen!$A$3:$E$20,3,0))),"")</f>
        <v/>
      </c>
      <c r="O1338" s="324"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4"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3"/>
      <c r="R1338" s="363"/>
      <c r="S1338" s="325"/>
      <c r="T1338" s="325"/>
      <c r="U1338" s="317" t="str" cm="1">
        <f t="array" aca="1" ref="U1338" ca="1">IFERROR(IF(AA1338&lt;&gt;"ja",_xlfn.IFNA(_xlfn.IFS(AND(O1338&lt;&gt;"",F1338&lt;&gt;"",RIGHT($N1338,6)="tarief",F1338="Vergoeding"),SUM(O1338)*FLOOR(SUM(Q1338),0.0001),AND(O1338&lt;&gt;"",F1338&lt;&gt;"",RIGHT($N1338,6)="tarief"),SUM(O1338)*FLOOR(SUM(Q1338),0.01),S1338&gt;0,IF(F1338&lt;&gt;"",FLOOR(SUM(S1338),0.01),"")),""),""),"")</f>
        <v/>
      </c>
      <c r="V1338" s="317" t="str" cm="1">
        <f t="array" aca="1" ref="V1338" ca="1">IFERROR(IF(AA1338&lt;&gt;"ja",_xlfn.IFNA(_xlfn.IFS(AND(P1338&lt;&gt;"",R1338&lt;&gt;"",RIGHT($N1338,6)="tarief",F1338="Vergoeding"),SUM(P1338)*FLOOR(SUM(R1338),0.0001),AND(P1338&lt;&gt;"",R1338&lt;&gt;"",RIGHT($N1338,6)="tarief"),P1338*FLOOR(R1338,0.01),T1338&gt;0,FLOOR(SUM(T1338),0.01)),""),""),"")</f>
        <v/>
      </c>
      <c r="W1338" s="317" t="str" cm="1">
        <f t="array" aca="1" ref="W1338" ca="1">IFERROR(_xlfn.IFS(OR(F1338="",LEFT(Methode_Keuze,4)="Geen",Methode_Keuze=""),"",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17" t="str" cm="1">
        <f t="array" aca="1" ref="X1338" ca="1">IFERROR(_xlfn.IFS(OR(F1338="",LEFT(Methode_Keuze,4)="Geen",Methode_Keuze=""),"",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26"/>
      <c r="Z1338" s="319"/>
      <c r="AA1338" s="32" t="str" cm="1">
        <f t="array" ref="AA1338">IFERROR(IF(INDEX(SubsidieTabel!$AD$1:$AG$12,MATCH($F1338,SubsidieTabel!$AD$1:$AD$12,0),IFERROR(MATCH(Methode_Keuze,SubsidieTabel!$AD$1:$AG$1,0),2))&lt;&gt;1=TRUE,"ja",""),"")</f>
        <v/>
      </c>
    </row>
    <row r="1339" spans="1:27" x14ac:dyDescent="0.25">
      <c r="A1339" s="320"/>
      <c r="B1339" s="321" t="str">
        <f>IF(A1339&lt;&gt;"",_xlfn.MAXIFS($B$1:B1338,$A$1:A1338,A1339)+1,"")</f>
        <v/>
      </c>
      <c r="C1339" s="299"/>
      <c r="D1339" s="299"/>
      <c r="E1339" s="299"/>
      <c r="F1339" s="299"/>
      <c r="G1339" s="330"/>
      <c r="H1339" s="328"/>
      <c r="I1339" s="329"/>
      <c r="J1339" s="329"/>
      <c r="K1339" s="322"/>
      <c r="L1339" s="322"/>
      <c r="M1339" s="323" t="str">
        <f>IFERROR(VLOOKUP(H1339,Lijsten!$H$1:$I$100,2,0),"")</f>
        <v/>
      </c>
      <c r="N1339" s="323" t="str">
        <f ca="1">IFERROR(IF(VLOOKUP(F1339,Kostentypen!$A$3:$E$21,3,0)=0,"",IF(OR(F1339="Arbeidskosten",F1339="Vergoeding"),VLOOKUP(G1339,Tb_KostenTypen[],2,0),VLOOKUP(F1339,Kostentypen!$A$3:$E$20,3,0))),"")</f>
        <v/>
      </c>
      <c r="O1339" s="324"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4"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3"/>
      <c r="R1339" s="363"/>
      <c r="S1339" s="325"/>
      <c r="T1339" s="325"/>
      <c r="U1339" s="317" t="str" cm="1">
        <f t="array" aca="1" ref="U1339" ca="1">IFERROR(IF(AA1339&lt;&gt;"ja",_xlfn.IFNA(_xlfn.IFS(AND(O1339&lt;&gt;"",F1339&lt;&gt;"",RIGHT($N1339,6)="tarief",F1339="Vergoeding"),SUM(O1339)*FLOOR(SUM(Q1339),0.0001),AND(O1339&lt;&gt;"",F1339&lt;&gt;"",RIGHT($N1339,6)="tarief"),SUM(O1339)*FLOOR(SUM(Q1339),0.01),S1339&gt;0,IF(F1339&lt;&gt;"",FLOOR(SUM(S1339),0.01),"")),""),""),"")</f>
        <v/>
      </c>
      <c r="V1339" s="317" t="str" cm="1">
        <f t="array" aca="1" ref="V1339" ca="1">IFERROR(IF(AA1339&lt;&gt;"ja",_xlfn.IFNA(_xlfn.IFS(AND(P1339&lt;&gt;"",R1339&lt;&gt;"",RIGHT($N1339,6)="tarief",F1339="Vergoeding"),SUM(P1339)*FLOOR(SUM(R1339),0.0001),AND(P1339&lt;&gt;"",R1339&lt;&gt;"",RIGHT($N1339,6)="tarief"),P1339*FLOOR(R1339,0.01),T1339&gt;0,FLOOR(SUM(T1339),0.01)),""),""),"")</f>
        <v/>
      </c>
      <c r="W1339" s="317" t="str" cm="1">
        <f t="array" aca="1" ref="W1339" ca="1">IFERROR(_xlfn.IFS(OR(F1339="",LEFT(Methode_Keuze,4)="Geen",Methode_Keuze=""),"",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17" t="str" cm="1">
        <f t="array" aca="1" ref="X1339" ca="1">IFERROR(_xlfn.IFS(OR(F1339="",LEFT(Methode_Keuze,4)="Geen",Methode_Keuze=""),"",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26"/>
      <c r="Z1339" s="319"/>
      <c r="AA1339" s="32" t="str" cm="1">
        <f t="array" ref="AA1339">IFERROR(IF(INDEX(SubsidieTabel!$AD$1:$AG$12,MATCH($F1339,SubsidieTabel!$AD$1:$AD$12,0),IFERROR(MATCH(Methode_Keuze,SubsidieTabel!$AD$1:$AG$1,0),2))&lt;&gt;1=TRUE,"ja",""),"")</f>
        <v/>
      </c>
    </row>
    <row r="1340" spans="1:27" x14ac:dyDescent="0.25">
      <c r="A1340" s="320"/>
      <c r="B1340" s="321" t="str">
        <f>IF(A1340&lt;&gt;"",_xlfn.MAXIFS($B$1:B1339,$A$1:A1339,A1340)+1,"")</f>
        <v/>
      </c>
      <c r="C1340" s="299"/>
      <c r="D1340" s="299"/>
      <c r="E1340" s="299"/>
      <c r="F1340" s="299"/>
      <c r="G1340" s="330"/>
      <c r="H1340" s="328"/>
      <c r="I1340" s="329"/>
      <c r="J1340" s="329"/>
      <c r="K1340" s="322"/>
      <c r="L1340" s="322"/>
      <c r="M1340" s="323" t="str">
        <f>IFERROR(VLOOKUP(H1340,Lijsten!$H$1:$I$100,2,0),"")</f>
        <v/>
      </c>
      <c r="N1340" s="323" t="str">
        <f ca="1">IFERROR(IF(VLOOKUP(F1340,Kostentypen!$A$3:$E$21,3,0)=0,"",IF(OR(F1340="Arbeidskosten",F1340="Vergoeding"),VLOOKUP(G1340,Tb_KostenTypen[],2,0),VLOOKUP(F1340,Kostentypen!$A$3:$E$20,3,0))),"")</f>
        <v/>
      </c>
      <c r="O1340" s="324"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4"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3"/>
      <c r="R1340" s="363"/>
      <c r="S1340" s="325"/>
      <c r="T1340" s="325"/>
      <c r="U1340" s="317" t="str" cm="1">
        <f t="array" aca="1" ref="U1340" ca="1">IFERROR(IF(AA1340&lt;&gt;"ja",_xlfn.IFNA(_xlfn.IFS(AND(O1340&lt;&gt;"",F1340&lt;&gt;"",RIGHT($N1340,6)="tarief",F1340="Vergoeding"),SUM(O1340)*FLOOR(SUM(Q1340),0.0001),AND(O1340&lt;&gt;"",F1340&lt;&gt;"",RIGHT($N1340,6)="tarief"),SUM(O1340)*FLOOR(SUM(Q1340),0.01),S1340&gt;0,IF(F1340&lt;&gt;"",FLOOR(SUM(S1340),0.01),"")),""),""),"")</f>
        <v/>
      </c>
      <c r="V1340" s="317" t="str" cm="1">
        <f t="array" aca="1" ref="V1340" ca="1">IFERROR(IF(AA1340&lt;&gt;"ja",_xlfn.IFNA(_xlfn.IFS(AND(P1340&lt;&gt;"",R1340&lt;&gt;"",RIGHT($N1340,6)="tarief",F1340="Vergoeding"),SUM(P1340)*FLOOR(SUM(R1340),0.0001),AND(P1340&lt;&gt;"",R1340&lt;&gt;"",RIGHT($N1340,6)="tarief"),P1340*FLOOR(R1340,0.01),T1340&gt;0,FLOOR(SUM(T1340),0.01)),""),""),"")</f>
        <v/>
      </c>
      <c r="W1340" s="317" t="str" cm="1">
        <f t="array" aca="1" ref="W1340" ca="1">IFERROR(_xlfn.IFS(OR(F1340="",LEFT(Methode_Keuze,4)="Geen",Methode_Keuze=""),"",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17" t="str" cm="1">
        <f t="array" aca="1" ref="X1340" ca="1">IFERROR(_xlfn.IFS(OR(F1340="",LEFT(Methode_Keuze,4)="Geen",Methode_Keuze=""),"",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26"/>
      <c r="Z1340" s="319"/>
      <c r="AA1340" s="32" t="str" cm="1">
        <f t="array" ref="AA1340">IFERROR(IF(INDEX(SubsidieTabel!$AD$1:$AG$12,MATCH($F1340,SubsidieTabel!$AD$1:$AD$12,0),IFERROR(MATCH(Methode_Keuze,SubsidieTabel!$AD$1:$AG$1,0),2))&lt;&gt;1=TRUE,"ja",""),"")</f>
        <v/>
      </c>
    </row>
    <row r="1341" spans="1:27" x14ac:dyDescent="0.25">
      <c r="A1341" s="320"/>
      <c r="B1341" s="321" t="str">
        <f>IF(A1341&lt;&gt;"",_xlfn.MAXIFS($B$1:B1340,$A$1:A1340,A1341)+1,"")</f>
        <v/>
      </c>
      <c r="C1341" s="299"/>
      <c r="D1341" s="299"/>
      <c r="E1341" s="299"/>
      <c r="F1341" s="299"/>
      <c r="G1341" s="330"/>
      <c r="H1341" s="328"/>
      <c r="I1341" s="329"/>
      <c r="J1341" s="329"/>
      <c r="K1341" s="322"/>
      <c r="L1341" s="322"/>
      <c r="M1341" s="323" t="str">
        <f>IFERROR(VLOOKUP(H1341,Lijsten!$H$1:$I$100,2,0),"")</f>
        <v/>
      </c>
      <c r="N1341" s="323" t="str">
        <f ca="1">IFERROR(IF(VLOOKUP(F1341,Kostentypen!$A$3:$E$21,3,0)=0,"",IF(OR(F1341="Arbeidskosten",F1341="Vergoeding"),VLOOKUP(G1341,Tb_KostenTypen[],2,0),VLOOKUP(F1341,Kostentypen!$A$3:$E$20,3,0))),"")</f>
        <v/>
      </c>
      <c r="O1341" s="324"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4"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3"/>
      <c r="R1341" s="363"/>
      <c r="S1341" s="325"/>
      <c r="T1341" s="325"/>
      <c r="U1341" s="317" t="str" cm="1">
        <f t="array" aca="1" ref="U1341" ca="1">IFERROR(IF(AA1341&lt;&gt;"ja",_xlfn.IFNA(_xlfn.IFS(AND(O1341&lt;&gt;"",F1341&lt;&gt;"",RIGHT($N1341,6)="tarief",F1341="Vergoeding"),SUM(O1341)*FLOOR(SUM(Q1341),0.0001),AND(O1341&lt;&gt;"",F1341&lt;&gt;"",RIGHT($N1341,6)="tarief"),SUM(O1341)*FLOOR(SUM(Q1341),0.01),S1341&gt;0,IF(F1341&lt;&gt;"",FLOOR(SUM(S1341),0.01),"")),""),""),"")</f>
        <v/>
      </c>
      <c r="V1341" s="317" t="str" cm="1">
        <f t="array" aca="1" ref="V1341" ca="1">IFERROR(IF(AA1341&lt;&gt;"ja",_xlfn.IFNA(_xlfn.IFS(AND(P1341&lt;&gt;"",R1341&lt;&gt;"",RIGHT($N1341,6)="tarief",F1341="Vergoeding"),SUM(P1341)*FLOOR(SUM(R1341),0.0001),AND(P1341&lt;&gt;"",R1341&lt;&gt;"",RIGHT($N1341,6)="tarief"),P1341*FLOOR(R1341,0.01),T1341&gt;0,FLOOR(SUM(T1341),0.01)),""),""),"")</f>
        <v/>
      </c>
      <c r="W1341" s="317" t="str" cm="1">
        <f t="array" aca="1" ref="W1341" ca="1">IFERROR(_xlfn.IFS(OR(F1341="",LEFT(Methode_Keuze,4)="Geen",Methode_Keuze=""),"",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17" t="str" cm="1">
        <f t="array" aca="1" ref="X1341" ca="1">IFERROR(_xlfn.IFS(OR(F1341="",LEFT(Methode_Keuze,4)="Geen",Methode_Keuze=""),"",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26"/>
      <c r="Z1341" s="319"/>
      <c r="AA1341" s="32" t="str" cm="1">
        <f t="array" ref="AA1341">IFERROR(IF(INDEX(SubsidieTabel!$AD$1:$AG$12,MATCH($F1341,SubsidieTabel!$AD$1:$AD$12,0),IFERROR(MATCH(Methode_Keuze,SubsidieTabel!$AD$1:$AG$1,0),2))&lt;&gt;1=TRUE,"ja",""),"")</f>
        <v/>
      </c>
    </row>
    <row r="1342" spans="1:27" x14ac:dyDescent="0.25">
      <c r="A1342" s="320"/>
      <c r="B1342" s="321" t="str">
        <f>IF(A1342&lt;&gt;"",_xlfn.MAXIFS($B$1:B1341,$A$1:A1341,A1342)+1,"")</f>
        <v/>
      </c>
      <c r="C1342" s="299"/>
      <c r="D1342" s="299"/>
      <c r="E1342" s="299"/>
      <c r="F1342" s="299"/>
      <c r="G1342" s="330"/>
      <c r="H1342" s="328"/>
      <c r="I1342" s="329"/>
      <c r="J1342" s="329"/>
      <c r="K1342" s="322"/>
      <c r="L1342" s="322"/>
      <c r="M1342" s="323" t="str">
        <f>IFERROR(VLOOKUP(H1342,Lijsten!$H$1:$I$100,2,0),"")</f>
        <v/>
      </c>
      <c r="N1342" s="323" t="str">
        <f ca="1">IFERROR(IF(VLOOKUP(F1342,Kostentypen!$A$3:$E$21,3,0)=0,"",IF(OR(F1342="Arbeidskosten",F1342="Vergoeding"),VLOOKUP(G1342,Tb_KostenTypen[],2,0),VLOOKUP(F1342,Kostentypen!$A$3:$E$20,3,0))),"")</f>
        <v/>
      </c>
      <c r="O1342" s="324"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4"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3"/>
      <c r="R1342" s="363"/>
      <c r="S1342" s="325"/>
      <c r="T1342" s="325"/>
      <c r="U1342" s="317" t="str" cm="1">
        <f t="array" aca="1" ref="U1342" ca="1">IFERROR(IF(AA1342&lt;&gt;"ja",_xlfn.IFNA(_xlfn.IFS(AND(O1342&lt;&gt;"",F1342&lt;&gt;"",RIGHT($N1342,6)="tarief",F1342="Vergoeding"),SUM(O1342)*FLOOR(SUM(Q1342),0.0001),AND(O1342&lt;&gt;"",F1342&lt;&gt;"",RIGHT($N1342,6)="tarief"),SUM(O1342)*FLOOR(SUM(Q1342),0.01),S1342&gt;0,IF(F1342&lt;&gt;"",FLOOR(SUM(S1342),0.01),"")),""),""),"")</f>
        <v/>
      </c>
      <c r="V1342" s="317" t="str" cm="1">
        <f t="array" aca="1" ref="V1342" ca="1">IFERROR(IF(AA1342&lt;&gt;"ja",_xlfn.IFNA(_xlfn.IFS(AND(P1342&lt;&gt;"",R1342&lt;&gt;"",RIGHT($N1342,6)="tarief",F1342="Vergoeding"),SUM(P1342)*FLOOR(SUM(R1342),0.0001),AND(P1342&lt;&gt;"",R1342&lt;&gt;"",RIGHT($N1342,6)="tarief"),P1342*FLOOR(R1342,0.01),T1342&gt;0,FLOOR(SUM(T1342),0.01)),""),""),"")</f>
        <v/>
      </c>
      <c r="W1342" s="317" t="str" cm="1">
        <f t="array" aca="1" ref="W1342" ca="1">IFERROR(_xlfn.IFS(OR(F1342="",LEFT(Methode_Keuze,4)="Geen",Methode_Keuze=""),"",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17" t="str" cm="1">
        <f t="array" aca="1" ref="X1342" ca="1">IFERROR(_xlfn.IFS(OR(F1342="",LEFT(Methode_Keuze,4)="Geen",Methode_Keuze=""),"",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26"/>
      <c r="Z1342" s="319"/>
      <c r="AA1342" s="32" t="str" cm="1">
        <f t="array" ref="AA1342">IFERROR(IF(INDEX(SubsidieTabel!$AD$1:$AG$12,MATCH($F1342,SubsidieTabel!$AD$1:$AD$12,0),IFERROR(MATCH(Methode_Keuze,SubsidieTabel!$AD$1:$AG$1,0),2))&lt;&gt;1=TRUE,"ja",""),"")</f>
        <v/>
      </c>
    </row>
    <row r="1343" spans="1:27" x14ac:dyDescent="0.25">
      <c r="A1343" s="320"/>
      <c r="B1343" s="321" t="str">
        <f>IF(A1343&lt;&gt;"",_xlfn.MAXIFS($B$1:B1342,$A$1:A1342,A1343)+1,"")</f>
        <v/>
      </c>
      <c r="C1343" s="299"/>
      <c r="D1343" s="299"/>
      <c r="E1343" s="299"/>
      <c r="F1343" s="299"/>
      <c r="G1343" s="330"/>
      <c r="H1343" s="328"/>
      <c r="I1343" s="329"/>
      <c r="J1343" s="329"/>
      <c r="K1343" s="322"/>
      <c r="L1343" s="322"/>
      <c r="M1343" s="323" t="str">
        <f>IFERROR(VLOOKUP(H1343,Lijsten!$H$1:$I$100,2,0),"")</f>
        <v/>
      </c>
      <c r="N1343" s="323" t="str">
        <f ca="1">IFERROR(IF(VLOOKUP(F1343,Kostentypen!$A$3:$E$21,3,0)=0,"",IF(OR(F1343="Arbeidskosten",F1343="Vergoeding"),VLOOKUP(G1343,Tb_KostenTypen[],2,0),VLOOKUP(F1343,Kostentypen!$A$3:$E$20,3,0))),"")</f>
        <v/>
      </c>
      <c r="O1343" s="324"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4"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3"/>
      <c r="R1343" s="363"/>
      <c r="S1343" s="325"/>
      <c r="T1343" s="325"/>
      <c r="U1343" s="317" t="str" cm="1">
        <f t="array" aca="1" ref="U1343" ca="1">IFERROR(IF(AA1343&lt;&gt;"ja",_xlfn.IFNA(_xlfn.IFS(AND(O1343&lt;&gt;"",F1343&lt;&gt;"",RIGHT($N1343,6)="tarief",F1343="Vergoeding"),SUM(O1343)*FLOOR(SUM(Q1343),0.0001),AND(O1343&lt;&gt;"",F1343&lt;&gt;"",RIGHT($N1343,6)="tarief"),SUM(O1343)*FLOOR(SUM(Q1343),0.01),S1343&gt;0,IF(F1343&lt;&gt;"",FLOOR(SUM(S1343),0.01),"")),""),""),"")</f>
        <v/>
      </c>
      <c r="V1343" s="317" t="str" cm="1">
        <f t="array" aca="1" ref="V1343" ca="1">IFERROR(IF(AA1343&lt;&gt;"ja",_xlfn.IFNA(_xlfn.IFS(AND(P1343&lt;&gt;"",R1343&lt;&gt;"",RIGHT($N1343,6)="tarief",F1343="Vergoeding"),SUM(P1343)*FLOOR(SUM(R1343),0.0001),AND(P1343&lt;&gt;"",R1343&lt;&gt;"",RIGHT($N1343,6)="tarief"),P1343*FLOOR(R1343,0.01),T1343&gt;0,FLOOR(SUM(T1343),0.01)),""),""),"")</f>
        <v/>
      </c>
      <c r="W1343" s="317" t="str" cm="1">
        <f t="array" aca="1" ref="W1343" ca="1">IFERROR(_xlfn.IFS(OR(F1343="",LEFT(Methode_Keuze,4)="Geen",Methode_Keuze=""),"",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17" t="str" cm="1">
        <f t="array" aca="1" ref="X1343" ca="1">IFERROR(_xlfn.IFS(OR(F1343="",LEFT(Methode_Keuze,4)="Geen",Methode_Keuze=""),"",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26"/>
      <c r="Z1343" s="319"/>
      <c r="AA1343" s="32" t="str" cm="1">
        <f t="array" ref="AA1343">IFERROR(IF(INDEX(SubsidieTabel!$AD$1:$AG$12,MATCH($F1343,SubsidieTabel!$AD$1:$AD$12,0),IFERROR(MATCH(Methode_Keuze,SubsidieTabel!$AD$1:$AG$1,0),2))&lt;&gt;1=TRUE,"ja",""),"")</f>
        <v/>
      </c>
    </row>
    <row r="1344" spans="1:27" x14ac:dyDescent="0.25">
      <c r="A1344" s="320"/>
      <c r="B1344" s="321" t="str">
        <f>IF(A1344&lt;&gt;"",_xlfn.MAXIFS($B$1:B1343,$A$1:A1343,A1344)+1,"")</f>
        <v/>
      </c>
      <c r="C1344" s="299"/>
      <c r="D1344" s="299"/>
      <c r="E1344" s="299"/>
      <c r="F1344" s="299"/>
      <c r="G1344" s="330"/>
      <c r="H1344" s="328"/>
      <c r="I1344" s="329"/>
      <c r="J1344" s="329"/>
      <c r="K1344" s="322"/>
      <c r="L1344" s="322"/>
      <c r="M1344" s="323" t="str">
        <f>IFERROR(VLOOKUP(H1344,Lijsten!$H$1:$I$100,2,0),"")</f>
        <v/>
      </c>
      <c r="N1344" s="323" t="str">
        <f ca="1">IFERROR(IF(VLOOKUP(F1344,Kostentypen!$A$3:$E$21,3,0)=0,"",IF(OR(F1344="Arbeidskosten",F1344="Vergoeding"),VLOOKUP(G1344,Tb_KostenTypen[],2,0),VLOOKUP(F1344,Kostentypen!$A$3:$E$20,3,0))),"")</f>
        <v/>
      </c>
      <c r="O1344" s="324"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4"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3"/>
      <c r="R1344" s="363"/>
      <c r="S1344" s="325"/>
      <c r="T1344" s="325"/>
      <c r="U1344" s="317" t="str" cm="1">
        <f t="array" aca="1" ref="U1344" ca="1">IFERROR(IF(AA1344&lt;&gt;"ja",_xlfn.IFNA(_xlfn.IFS(AND(O1344&lt;&gt;"",F1344&lt;&gt;"",RIGHT($N1344,6)="tarief",F1344="Vergoeding"),SUM(O1344)*FLOOR(SUM(Q1344),0.0001),AND(O1344&lt;&gt;"",F1344&lt;&gt;"",RIGHT($N1344,6)="tarief"),SUM(O1344)*FLOOR(SUM(Q1344),0.01),S1344&gt;0,IF(F1344&lt;&gt;"",FLOOR(SUM(S1344),0.01),"")),""),""),"")</f>
        <v/>
      </c>
      <c r="V1344" s="317" t="str" cm="1">
        <f t="array" aca="1" ref="V1344" ca="1">IFERROR(IF(AA1344&lt;&gt;"ja",_xlfn.IFNA(_xlfn.IFS(AND(P1344&lt;&gt;"",R1344&lt;&gt;"",RIGHT($N1344,6)="tarief",F1344="Vergoeding"),SUM(P1344)*FLOOR(SUM(R1344),0.0001),AND(P1344&lt;&gt;"",R1344&lt;&gt;"",RIGHT($N1344,6)="tarief"),P1344*FLOOR(R1344,0.01),T1344&gt;0,FLOOR(SUM(T1344),0.01)),""),""),"")</f>
        <v/>
      </c>
      <c r="W1344" s="317" t="str" cm="1">
        <f t="array" aca="1" ref="W1344" ca="1">IFERROR(_xlfn.IFS(OR(F1344="",LEFT(Methode_Keuze,4)="Geen",Methode_Keuze=""),"",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17" t="str" cm="1">
        <f t="array" aca="1" ref="X1344" ca="1">IFERROR(_xlfn.IFS(OR(F1344="",LEFT(Methode_Keuze,4)="Geen",Methode_Keuze=""),"",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26"/>
      <c r="Z1344" s="319"/>
      <c r="AA1344" s="32" t="str" cm="1">
        <f t="array" ref="AA1344">IFERROR(IF(INDEX(SubsidieTabel!$AD$1:$AG$12,MATCH($F1344,SubsidieTabel!$AD$1:$AD$12,0),IFERROR(MATCH(Methode_Keuze,SubsidieTabel!$AD$1:$AG$1,0),2))&lt;&gt;1=TRUE,"ja",""),"")</f>
        <v/>
      </c>
    </row>
    <row r="1345" spans="1:27" x14ac:dyDescent="0.25">
      <c r="A1345" s="320"/>
      <c r="B1345" s="321" t="str">
        <f>IF(A1345&lt;&gt;"",_xlfn.MAXIFS($B$1:B1344,$A$1:A1344,A1345)+1,"")</f>
        <v/>
      </c>
      <c r="C1345" s="299"/>
      <c r="D1345" s="299"/>
      <c r="E1345" s="299"/>
      <c r="F1345" s="299"/>
      <c r="G1345" s="330"/>
      <c r="H1345" s="328"/>
      <c r="I1345" s="329"/>
      <c r="J1345" s="329"/>
      <c r="K1345" s="322"/>
      <c r="L1345" s="322"/>
      <c r="M1345" s="323" t="str">
        <f>IFERROR(VLOOKUP(H1345,Lijsten!$H$1:$I$100,2,0),"")</f>
        <v/>
      </c>
      <c r="N1345" s="323" t="str">
        <f ca="1">IFERROR(IF(VLOOKUP(F1345,Kostentypen!$A$3:$E$21,3,0)=0,"",IF(OR(F1345="Arbeidskosten",F1345="Vergoeding"),VLOOKUP(G1345,Tb_KostenTypen[],2,0),VLOOKUP(F1345,Kostentypen!$A$3:$E$20,3,0))),"")</f>
        <v/>
      </c>
      <c r="O1345" s="324"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4"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3"/>
      <c r="R1345" s="363"/>
      <c r="S1345" s="325"/>
      <c r="T1345" s="325"/>
      <c r="U1345" s="317" t="str" cm="1">
        <f t="array" aca="1" ref="U1345" ca="1">IFERROR(IF(AA1345&lt;&gt;"ja",_xlfn.IFNA(_xlfn.IFS(AND(O1345&lt;&gt;"",F1345&lt;&gt;"",RIGHT($N1345,6)="tarief",F1345="Vergoeding"),SUM(O1345)*FLOOR(SUM(Q1345),0.0001),AND(O1345&lt;&gt;"",F1345&lt;&gt;"",RIGHT($N1345,6)="tarief"),SUM(O1345)*FLOOR(SUM(Q1345),0.01),S1345&gt;0,IF(F1345&lt;&gt;"",FLOOR(SUM(S1345),0.01),"")),""),""),"")</f>
        <v/>
      </c>
      <c r="V1345" s="317" t="str" cm="1">
        <f t="array" aca="1" ref="V1345" ca="1">IFERROR(IF(AA1345&lt;&gt;"ja",_xlfn.IFNA(_xlfn.IFS(AND(P1345&lt;&gt;"",R1345&lt;&gt;"",RIGHT($N1345,6)="tarief",F1345="Vergoeding"),SUM(P1345)*FLOOR(SUM(R1345),0.0001),AND(P1345&lt;&gt;"",R1345&lt;&gt;"",RIGHT($N1345,6)="tarief"),P1345*FLOOR(R1345,0.01),T1345&gt;0,FLOOR(SUM(T1345),0.01)),""),""),"")</f>
        <v/>
      </c>
      <c r="W1345" s="317" t="str" cm="1">
        <f t="array" aca="1" ref="W1345" ca="1">IFERROR(_xlfn.IFS(OR(F1345="",LEFT(Methode_Keuze,4)="Geen",Methode_Keuze=""),"",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17" t="str" cm="1">
        <f t="array" aca="1" ref="X1345" ca="1">IFERROR(_xlfn.IFS(OR(F1345="",LEFT(Methode_Keuze,4)="Geen",Methode_Keuze=""),"",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26"/>
      <c r="Z1345" s="319"/>
      <c r="AA1345" s="32" t="str" cm="1">
        <f t="array" ref="AA1345">IFERROR(IF(INDEX(SubsidieTabel!$AD$1:$AG$12,MATCH($F1345,SubsidieTabel!$AD$1:$AD$12,0),IFERROR(MATCH(Methode_Keuze,SubsidieTabel!$AD$1:$AG$1,0),2))&lt;&gt;1=TRUE,"ja",""),"")</f>
        <v/>
      </c>
    </row>
    <row r="1346" spans="1:27" x14ac:dyDescent="0.25">
      <c r="A1346" s="320"/>
      <c r="B1346" s="321" t="str">
        <f>IF(A1346&lt;&gt;"",_xlfn.MAXIFS($B$1:B1345,$A$1:A1345,A1346)+1,"")</f>
        <v/>
      </c>
      <c r="C1346" s="299"/>
      <c r="D1346" s="299"/>
      <c r="E1346" s="299"/>
      <c r="F1346" s="299"/>
      <c r="G1346" s="330"/>
      <c r="H1346" s="328"/>
      <c r="I1346" s="329"/>
      <c r="J1346" s="329"/>
      <c r="K1346" s="322"/>
      <c r="L1346" s="322"/>
      <c r="M1346" s="323" t="str">
        <f>IFERROR(VLOOKUP(H1346,Lijsten!$H$1:$I$100,2,0),"")</f>
        <v/>
      </c>
      <c r="N1346" s="323" t="str">
        <f ca="1">IFERROR(IF(VLOOKUP(F1346,Kostentypen!$A$3:$E$21,3,0)=0,"",IF(OR(F1346="Arbeidskosten",F1346="Vergoeding"),VLOOKUP(G1346,Tb_KostenTypen[],2,0),VLOOKUP(F1346,Kostentypen!$A$3:$E$20,3,0))),"")</f>
        <v/>
      </c>
      <c r="O1346" s="324"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4"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3"/>
      <c r="R1346" s="363"/>
      <c r="S1346" s="325"/>
      <c r="T1346" s="325"/>
      <c r="U1346" s="317" t="str" cm="1">
        <f t="array" aca="1" ref="U1346" ca="1">IFERROR(IF(AA1346&lt;&gt;"ja",_xlfn.IFNA(_xlfn.IFS(AND(O1346&lt;&gt;"",F1346&lt;&gt;"",RIGHT($N1346,6)="tarief",F1346="Vergoeding"),SUM(O1346)*FLOOR(SUM(Q1346),0.0001),AND(O1346&lt;&gt;"",F1346&lt;&gt;"",RIGHT($N1346,6)="tarief"),SUM(O1346)*FLOOR(SUM(Q1346),0.01),S1346&gt;0,IF(F1346&lt;&gt;"",FLOOR(SUM(S1346),0.01),"")),""),""),"")</f>
        <v/>
      </c>
      <c r="V1346" s="317" t="str" cm="1">
        <f t="array" aca="1" ref="V1346" ca="1">IFERROR(IF(AA1346&lt;&gt;"ja",_xlfn.IFNA(_xlfn.IFS(AND(P1346&lt;&gt;"",R1346&lt;&gt;"",RIGHT($N1346,6)="tarief",F1346="Vergoeding"),SUM(P1346)*FLOOR(SUM(R1346),0.0001),AND(P1346&lt;&gt;"",R1346&lt;&gt;"",RIGHT($N1346,6)="tarief"),P1346*FLOOR(R1346,0.01),T1346&gt;0,FLOOR(SUM(T1346),0.01)),""),""),"")</f>
        <v/>
      </c>
      <c r="W1346" s="317" t="str" cm="1">
        <f t="array" aca="1" ref="W1346" ca="1">IFERROR(_xlfn.IFS(OR(F1346="",LEFT(Methode_Keuze,4)="Geen",Methode_Keuze=""),"",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17" t="str" cm="1">
        <f t="array" aca="1" ref="X1346" ca="1">IFERROR(_xlfn.IFS(OR(F1346="",LEFT(Methode_Keuze,4)="Geen",Methode_Keuze=""),"",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26"/>
      <c r="Z1346" s="319"/>
      <c r="AA1346" s="32" t="str" cm="1">
        <f t="array" ref="AA1346">IFERROR(IF(INDEX(SubsidieTabel!$AD$1:$AG$12,MATCH($F1346,SubsidieTabel!$AD$1:$AD$12,0),IFERROR(MATCH(Methode_Keuze,SubsidieTabel!$AD$1:$AG$1,0),2))&lt;&gt;1=TRUE,"ja",""),"")</f>
        <v/>
      </c>
    </row>
    <row r="1347" spans="1:27" x14ac:dyDescent="0.25">
      <c r="A1347" s="320"/>
      <c r="B1347" s="321" t="str">
        <f>IF(A1347&lt;&gt;"",_xlfn.MAXIFS($B$1:B1346,$A$1:A1346,A1347)+1,"")</f>
        <v/>
      </c>
      <c r="C1347" s="299"/>
      <c r="D1347" s="299"/>
      <c r="E1347" s="299"/>
      <c r="F1347" s="299"/>
      <c r="G1347" s="330"/>
      <c r="H1347" s="328"/>
      <c r="I1347" s="329"/>
      <c r="J1347" s="329"/>
      <c r="K1347" s="322"/>
      <c r="L1347" s="322"/>
      <c r="M1347" s="323" t="str">
        <f>IFERROR(VLOOKUP(H1347,Lijsten!$H$1:$I$100,2,0),"")</f>
        <v/>
      </c>
      <c r="N1347" s="323" t="str">
        <f ca="1">IFERROR(IF(VLOOKUP(F1347,Kostentypen!$A$3:$E$21,3,0)=0,"",IF(OR(F1347="Arbeidskosten",F1347="Vergoeding"),VLOOKUP(G1347,Tb_KostenTypen[],2,0),VLOOKUP(F1347,Kostentypen!$A$3:$E$20,3,0))),"")</f>
        <v/>
      </c>
      <c r="O1347" s="324"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4"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3"/>
      <c r="R1347" s="363"/>
      <c r="S1347" s="325"/>
      <c r="T1347" s="325"/>
      <c r="U1347" s="317" t="str" cm="1">
        <f t="array" aca="1" ref="U1347" ca="1">IFERROR(IF(AA1347&lt;&gt;"ja",_xlfn.IFNA(_xlfn.IFS(AND(O1347&lt;&gt;"",F1347&lt;&gt;"",RIGHT($N1347,6)="tarief",F1347="Vergoeding"),SUM(O1347)*FLOOR(SUM(Q1347),0.0001),AND(O1347&lt;&gt;"",F1347&lt;&gt;"",RIGHT($N1347,6)="tarief"),SUM(O1347)*FLOOR(SUM(Q1347),0.01),S1347&gt;0,IF(F1347&lt;&gt;"",FLOOR(SUM(S1347),0.01),"")),""),""),"")</f>
        <v/>
      </c>
      <c r="V1347" s="317" t="str" cm="1">
        <f t="array" aca="1" ref="V1347" ca="1">IFERROR(IF(AA1347&lt;&gt;"ja",_xlfn.IFNA(_xlfn.IFS(AND(P1347&lt;&gt;"",R1347&lt;&gt;"",RIGHT($N1347,6)="tarief",F1347="Vergoeding"),SUM(P1347)*FLOOR(SUM(R1347),0.0001),AND(P1347&lt;&gt;"",R1347&lt;&gt;"",RIGHT($N1347,6)="tarief"),P1347*FLOOR(R1347,0.01),T1347&gt;0,FLOOR(SUM(T1347),0.01)),""),""),"")</f>
        <v/>
      </c>
      <c r="W1347" s="317" t="str" cm="1">
        <f t="array" aca="1" ref="W1347" ca="1">IFERROR(_xlfn.IFS(OR(F1347="",LEFT(Methode_Keuze,4)="Geen",Methode_Keuze=""),"",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17" t="str" cm="1">
        <f t="array" aca="1" ref="X1347" ca="1">IFERROR(_xlfn.IFS(OR(F1347="",LEFT(Methode_Keuze,4)="Geen",Methode_Keuze=""),"",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26"/>
      <c r="Z1347" s="319"/>
      <c r="AA1347" s="32" t="str" cm="1">
        <f t="array" ref="AA1347">IFERROR(IF(INDEX(SubsidieTabel!$AD$1:$AG$12,MATCH($F1347,SubsidieTabel!$AD$1:$AD$12,0),IFERROR(MATCH(Methode_Keuze,SubsidieTabel!$AD$1:$AG$1,0),2))&lt;&gt;1=TRUE,"ja",""),"")</f>
        <v/>
      </c>
    </row>
    <row r="1348" spans="1:27" x14ac:dyDescent="0.25">
      <c r="A1348" s="320"/>
      <c r="B1348" s="321" t="str">
        <f>IF(A1348&lt;&gt;"",_xlfn.MAXIFS($B$1:B1347,$A$1:A1347,A1348)+1,"")</f>
        <v/>
      </c>
      <c r="C1348" s="299"/>
      <c r="D1348" s="299"/>
      <c r="E1348" s="299"/>
      <c r="F1348" s="299"/>
      <c r="G1348" s="330"/>
      <c r="H1348" s="328"/>
      <c r="I1348" s="329"/>
      <c r="J1348" s="329"/>
      <c r="K1348" s="322"/>
      <c r="L1348" s="322"/>
      <c r="M1348" s="323" t="str">
        <f>IFERROR(VLOOKUP(H1348,Lijsten!$H$1:$I$100,2,0),"")</f>
        <v/>
      </c>
      <c r="N1348" s="323" t="str">
        <f ca="1">IFERROR(IF(VLOOKUP(F1348,Kostentypen!$A$3:$E$21,3,0)=0,"",IF(OR(F1348="Arbeidskosten",F1348="Vergoeding"),VLOOKUP(G1348,Tb_KostenTypen[],2,0),VLOOKUP(F1348,Kostentypen!$A$3:$E$20,3,0))),"")</f>
        <v/>
      </c>
      <c r="O1348" s="324"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4"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3"/>
      <c r="R1348" s="363"/>
      <c r="S1348" s="325"/>
      <c r="T1348" s="325"/>
      <c r="U1348" s="317" t="str" cm="1">
        <f t="array" aca="1" ref="U1348" ca="1">IFERROR(IF(AA1348&lt;&gt;"ja",_xlfn.IFNA(_xlfn.IFS(AND(O1348&lt;&gt;"",F1348&lt;&gt;"",RIGHT($N1348,6)="tarief",F1348="Vergoeding"),SUM(O1348)*FLOOR(SUM(Q1348),0.0001),AND(O1348&lt;&gt;"",F1348&lt;&gt;"",RIGHT($N1348,6)="tarief"),SUM(O1348)*FLOOR(SUM(Q1348),0.01),S1348&gt;0,IF(F1348&lt;&gt;"",FLOOR(SUM(S1348),0.01),"")),""),""),"")</f>
        <v/>
      </c>
      <c r="V1348" s="317" t="str" cm="1">
        <f t="array" aca="1" ref="V1348" ca="1">IFERROR(IF(AA1348&lt;&gt;"ja",_xlfn.IFNA(_xlfn.IFS(AND(P1348&lt;&gt;"",R1348&lt;&gt;"",RIGHT($N1348,6)="tarief",F1348="Vergoeding"),SUM(P1348)*FLOOR(SUM(R1348),0.0001),AND(P1348&lt;&gt;"",R1348&lt;&gt;"",RIGHT($N1348,6)="tarief"),P1348*FLOOR(R1348,0.01),T1348&gt;0,FLOOR(SUM(T1348),0.01)),""),""),"")</f>
        <v/>
      </c>
      <c r="W1348" s="317" t="str" cm="1">
        <f t="array" aca="1" ref="W1348" ca="1">IFERROR(_xlfn.IFS(OR(F1348="",LEFT(Methode_Keuze,4)="Geen",Methode_Keuze=""),"",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17" t="str" cm="1">
        <f t="array" aca="1" ref="X1348" ca="1">IFERROR(_xlfn.IFS(OR(F1348="",LEFT(Methode_Keuze,4)="Geen",Methode_Keuze=""),"",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26"/>
      <c r="Z1348" s="319"/>
      <c r="AA1348" s="32" t="str" cm="1">
        <f t="array" ref="AA1348">IFERROR(IF(INDEX(SubsidieTabel!$AD$1:$AG$12,MATCH($F1348,SubsidieTabel!$AD$1:$AD$12,0),IFERROR(MATCH(Methode_Keuze,SubsidieTabel!$AD$1:$AG$1,0),2))&lt;&gt;1=TRUE,"ja",""),"")</f>
        <v/>
      </c>
    </row>
    <row r="1349" spans="1:27" x14ac:dyDescent="0.25">
      <c r="A1349" s="320"/>
      <c r="B1349" s="321" t="str">
        <f>IF(A1349&lt;&gt;"",_xlfn.MAXIFS($B$1:B1348,$A$1:A1348,A1349)+1,"")</f>
        <v/>
      </c>
      <c r="C1349" s="299"/>
      <c r="D1349" s="299"/>
      <c r="E1349" s="299"/>
      <c r="F1349" s="299"/>
      <c r="G1349" s="330"/>
      <c r="H1349" s="328"/>
      <c r="I1349" s="329"/>
      <c r="J1349" s="329"/>
      <c r="K1349" s="322"/>
      <c r="L1349" s="322"/>
      <c r="M1349" s="323" t="str">
        <f>IFERROR(VLOOKUP(H1349,Lijsten!$H$1:$I$100,2,0),"")</f>
        <v/>
      </c>
      <c r="N1349" s="323" t="str">
        <f ca="1">IFERROR(IF(VLOOKUP(F1349,Kostentypen!$A$3:$E$21,3,0)=0,"",IF(OR(F1349="Arbeidskosten",F1349="Vergoeding"),VLOOKUP(G1349,Tb_KostenTypen[],2,0),VLOOKUP(F1349,Kostentypen!$A$3:$E$20,3,0))),"")</f>
        <v/>
      </c>
      <c r="O1349" s="324"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4"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3"/>
      <c r="R1349" s="363"/>
      <c r="S1349" s="325"/>
      <c r="T1349" s="325"/>
      <c r="U1349" s="317" t="str" cm="1">
        <f t="array" aca="1" ref="U1349" ca="1">IFERROR(IF(AA1349&lt;&gt;"ja",_xlfn.IFNA(_xlfn.IFS(AND(O1349&lt;&gt;"",F1349&lt;&gt;"",RIGHT($N1349,6)="tarief",F1349="Vergoeding"),SUM(O1349)*FLOOR(SUM(Q1349),0.0001),AND(O1349&lt;&gt;"",F1349&lt;&gt;"",RIGHT($N1349,6)="tarief"),SUM(O1349)*FLOOR(SUM(Q1349),0.01),S1349&gt;0,IF(F1349&lt;&gt;"",FLOOR(SUM(S1349),0.01),"")),""),""),"")</f>
        <v/>
      </c>
      <c r="V1349" s="317" t="str" cm="1">
        <f t="array" aca="1" ref="V1349" ca="1">IFERROR(IF(AA1349&lt;&gt;"ja",_xlfn.IFNA(_xlfn.IFS(AND(P1349&lt;&gt;"",R1349&lt;&gt;"",RIGHT($N1349,6)="tarief",F1349="Vergoeding"),SUM(P1349)*FLOOR(SUM(R1349),0.0001),AND(P1349&lt;&gt;"",R1349&lt;&gt;"",RIGHT($N1349,6)="tarief"),P1349*FLOOR(R1349,0.01),T1349&gt;0,FLOOR(SUM(T1349),0.01)),""),""),"")</f>
        <v/>
      </c>
      <c r="W1349" s="317" t="str" cm="1">
        <f t="array" aca="1" ref="W1349" ca="1">IFERROR(_xlfn.IFS(OR(F1349="",LEFT(Methode_Keuze,4)="Geen",Methode_Keuze=""),"",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17" t="str" cm="1">
        <f t="array" aca="1" ref="X1349" ca="1">IFERROR(_xlfn.IFS(OR(F1349="",LEFT(Methode_Keuze,4)="Geen",Methode_Keuze=""),"",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26"/>
      <c r="Z1349" s="319"/>
      <c r="AA1349" s="32" t="str" cm="1">
        <f t="array" ref="AA1349">IFERROR(IF(INDEX(SubsidieTabel!$AD$1:$AG$12,MATCH($F1349,SubsidieTabel!$AD$1:$AD$12,0),IFERROR(MATCH(Methode_Keuze,SubsidieTabel!$AD$1:$AG$1,0),2))&lt;&gt;1=TRUE,"ja",""),"")</f>
        <v/>
      </c>
    </row>
    <row r="1350" spans="1:27" x14ac:dyDescent="0.25">
      <c r="A1350" s="320"/>
      <c r="B1350" s="321" t="str">
        <f>IF(A1350&lt;&gt;"",_xlfn.MAXIFS($B$1:B1349,$A$1:A1349,A1350)+1,"")</f>
        <v/>
      </c>
      <c r="C1350" s="299"/>
      <c r="D1350" s="299"/>
      <c r="E1350" s="299"/>
      <c r="F1350" s="299"/>
      <c r="G1350" s="330"/>
      <c r="H1350" s="328"/>
      <c r="I1350" s="329"/>
      <c r="J1350" s="329"/>
      <c r="K1350" s="322"/>
      <c r="L1350" s="322"/>
      <c r="M1350" s="323" t="str">
        <f>IFERROR(VLOOKUP(H1350,Lijsten!$H$1:$I$100,2,0),"")</f>
        <v/>
      </c>
      <c r="N1350" s="323" t="str">
        <f ca="1">IFERROR(IF(VLOOKUP(F1350,Kostentypen!$A$3:$E$21,3,0)=0,"",IF(OR(F1350="Arbeidskosten",F1350="Vergoeding"),VLOOKUP(G1350,Tb_KostenTypen[],2,0),VLOOKUP(F1350,Kostentypen!$A$3:$E$20,3,0))),"")</f>
        <v/>
      </c>
      <c r="O1350" s="324"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4"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3"/>
      <c r="R1350" s="363"/>
      <c r="S1350" s="325"/>
      <c r="T1350" s="325"/>
      <c r="U1350" s="317" t="str" cm="1">
        <f t="array" aca="1" ref="U1350" ca="1">IFERROR(IF(AA1350&lt;&gt;"ja",_xlfn.IFNA(_xlfn.IFS(AND(O1350&lt;&gt;"",F1350&lt;&gt;"",RIGHT($N1350,6)="tarief",F1350="Vergoeding"),SUM(O1350)*FLOOR(SUM(Q1350),0.0001),AND(O1350&lt;&gt;"",F1350&lt;&gt;"",RIGHT($N1350,6)="tarief"),SUM(O1350)*FLOOR(SUM(Q1350),0.01),S1350&gt;0,IF(F1350&lt;&gt;"",FLOOR(SUM(S1350),0.01),"")),""),""),"")</f>
        <v/>
      </c>
      <c r="V1350" s="317" t="str" cm="1">
        <f t="array" aca="1" ref="V1350" ca="1">IFERROR(IF(AA1350&lt;&gt;"ja",_xlfn.IFNA(_xlfn.IFS(AND(P1350&lt;&gt;"",R1350&lt;&gt;"",RIGHT($N1350,6)="tarief",F1350="Vergoeding"),SUM(P1350)*FLOOR(SUM(R1350),0.0001),AND(P1350&lt;&gt;"",R1350&lt;&gt;"",RIGHT($N1350,6)="tarief"),P1350*FLOOR(R1350,0.01),T1350&gt;0,FLOOR(SUM(T1350),0.01)),""),""),"")</f>
        <v/>
      </c>
      <c r="W1350" s="317" t="str" cm="1">
        <f t="array" aca="1" ref="W1350" ca="1">IFERROR(_xlfn.IFS(OR(F1350="",LEFT(Methode_Keuze,4)="Geen",Methode_Keuze=""),"",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17" t="str" cm="1">
        <f t="array" aca="1" ref="X1350" ca="1">IFERROR(_xlfn.IFS(OR(F1350="",LEFT(Methode_Keuze,4)="Geen",Methode_Keuze=""),"",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26"/>
      <c r="Z1350" s="319"/>
      <c r="AA1350" s="32" t="str" cm="1">
        <f t="array" ref="AA1350">IFERROR(IF(INDEX(SubsidieTabel!$AD$1:$AG$12,MATCH($F1350,SubsidieTabel!$AD$1:$AD$12,0),IFERROR(MATCH(Methode_Keuze,SubsidieTabel!$AD$1:$AG$1,0),2))&lt;&gt;1=TRUE,"ja",""),"")</f>
        <v/>
      </c>
    </row>
    <row r="1351" spans="1:27" x14ac:dyDescent="0.25">
      <c r="A1351" s="320"/>
      <c r="B1351" s="321" t="str">
        <f>IF(A1351&lt;&gt;"",_xlfn.MAXIFS($B$1:B1350,$A$1:A1350,A1351)+1,"")</f>
        <v/>
      </c>
      <c r="C1351" s="299"/>
      <c r="D1351" s="299"/>
      <c r="E1351" s="299"/>
      <c r="F1351" s="299"/>
      <c r="G1351" s="330"/>
      <c r="H1351" s="328"/>
      <c r="I1351" s="329"/>
      <c r="J1351" s="329"/>
      <c r="K1351" s="322"/>
      <c r="L1351" s="322"/>
      <c r="M1351" s="323" t="str">
        <f>IFERROR(VLOOKUP(H1351,Lijsten!$H$1:$I$100,2,0),"")</f>
        <v/>
      </c>
      <c r="N1351" s="323" t="str">
        <f ca="1">IFERROR(IF(VLOOKUP(F1351,Kostentypen!$A$3:$E$21,3,0)=0,"",IF(OR(F1351="Arbeidskosten",F1351="Vergoeding"),VLOOKUP(G1351,Tb_KostenTypen[],2,0),VLOOKUP(F1351,Kostentypen!$A$3:$E$20,3,0))),"")</f>
        <v/>
      </c>
      <c r="O1351" s="324"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4"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3"/>
      <c r="R1351" s="363"/>
      <c r="S1351" s="325"/>
      <c r="T1351" s="325"/>
      <c r="U1351" s="317" t="str" cm="1">
        <f t="array" aca="1" ref="U1351" ca="1">IFERROR(IF(AA1351&lt;&gt;"ja",_xlfn.IFNA(_xlfn.IFS(AND(O1351&lt;&gt;"",F1351&lt;&gt;"",RIGHT($N1351,6)="tarief",F1351="Vergoeding"),SUM(O1351)*FLOOR(SUM(Q1351),0.0001),AND(O1351&lt;&gt;"",F1351&lt;&gt;"",RIGHT($N1351,6)="tarief"),SUM(O1351)*FLOOR(SUM(Q1351),0.01),S1351&gt;0,IF(F1351&lt;&gt;"",FLOOR(SUM(S1351),0.01),"")),""),""),"")</f>
        <v/>
      </c>
      <c r="V1351" s="317" t="str" cm="1">
        <f t="array" aca="1" ref="V1351" ca="1">IFERROR(IF(AA1351&lt;&gt;"ja",_xlfn.IFNA(_xlfn.IFS(AND(P1351&lt;&gt;"",R1351&lt;&gt;"",RIGHT($N1351,6)="tarief",F1351="Vergoeding"),SUM(P1351)*FLOOR(SUM(R1351),0.0001),AND(P1351&lt;&gt;"",R1351&lt;&gt;"",RIGHT($N1351,6)="tarief"),P1351*FLOOR(R1351,0.01),T1351&gt;0,FLOOR(SUM(T1351),0.01)),""),""),"")</f>
        <v/>
      </c>
      <c r="W1351" s="317" t="str" cm="1">
        <f t="array" aca="1" ref="W1351" ca="1">IFERROR(_xlfn.IFS(OR(F1351="",LEFT(Methode_Keuze,4)="Geen",Methode_Keuze=""),"",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17" t="str" cm="1">
        <f t="array" aca="1" ref="X1351" ca="1">IFERROR(_xlfn.IFS(OR(F1351="",LEFT(Methode_Keuze,4)="Geen",Methode_Keuze=""),"",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26"/>
      <c r="Z1351" s="319"/>
      <c r="AA1351" s="32" t="str" cm="1">
        <f t="array" ref="AA1351">IFERROR(IF(INDEX(SubsidieTabel!$AD$1:$AG$12,MATCH($F1351,SubsidieTabel!$AD$1:$AD$12,0),IFERROR(MATCH(Methode_Keuze,SubsidieTabel!$AD$1:$AG$1,0),2))&lt;&gt;1=TRUE,"ja",""),"")</f>
        <v/>
      </c>
    </row>
    <row r="1352" spans="1:27" x14ac:dyDescent="0.25">
      <c r="A1352" s="320"/>
      <c r="B1352" s="321" t="str">
        <f>IF(A1352&lt;&gt;"",_xlfn.MAXIFS($B$1:B1351,$A$1:A1351,A1352)+1,"")</f>
        <v/>
      </c>
      <c r="C1352" s="299"/>
      <c r="D1352" s="299"/>
      <c r="E1352" s="299"/>
      <c r="F1352" s="299"/>
      <c r="G1352" s="330"/>
      <c r="H1352" s="328"/>
      <c r="I1352" s="329"/>
      <c r="J1352" s="329"/>
      <c r="K1352" s="322"/>
      <c r="L1352" s="322"/>
      <c r="M1352" s="323" t="str">
        <f>IFERROR(VLOOKUP(H1352,Lijsten!$H$1:$I$100,2,0),"")</f>
        <v/>
      </c>
      <c r="N1352" s="323" t="str">
        <f ca="1">IFERROR(IF(VLOOKUP(F1352,Kostentypen!$A$3:$E$21,3,0)=0,"",IF(OR(F1352="Arbeidskosten",F1352="Vergoeding"),VLOOKUP(G1352,Tb_KostenTypen[],2,0),VLOOKUP(F1352,Kostentypen!$A$3:$E$20,3,0))),"")</f>
        <v/>
      </c>
      <c r="O1352" s="324"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4"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3"/>
      <c r="R1352" s="363"/>
      <c r="S1352" s="325"/>
      <c r="T1352" s="325"/>
      <c r="U1352" s="317" t="str" cm="1">
        <f t="array" aca="1" ref="U1352" ca="1">IFERROR(IF(AA1352&lt;&gt;"ja",_xlfn.IFNA(_xlfn.IFS(AND(O1352&lt;&gt;"",F1352&lt;&gt;"",RIGHT($N1352,6)="tarief",F1352="Vergoeding"),SUM(O1352)*FLOOR(SUM(Q1352),0.0001),AND(O1352&lt;&gt;"",F1352&lt;&gt;"",RIGHT($N1352,6)="tarief"),SUM(O1352)*FLOOR(SUM(Q1352),0.01),S1352&gt;0,IF(F1352&lt;&gt;"",FLOOR(SUM(S1352),0.01),"")),""),""),"")</f>
        <v/>
      </c>
      <c r="V1352" s="317" t="str" cm="1">
        <f t="array" aca="1" ref="V1352" ca="1">IFERROR(IF(AA1352&lt;&gt;"ja",_xlfn.IFNA(_xlfn.IFS(AND(P1352&lt;&gt;"",R1352&lt;&gt;"",RIGHT($N1352,6)="tarief",F1352="Vergoeding"),SUM(P1352)*FLOOR(SUM(R1352),0.0001),AND(P1352&lt;&gt;"",R1352&lt;&gt;"",RIGHT($N1352,6)="tarief"),P1352*FLOOR(R1352,0.01),T1352&gt;0,FLOOR(SUM(T1352),0.01)),""),""),"")</f>
        <v/>
      </c>
      <c r="W1352" s="317" t="str" cm="1">
        <f t="array" aca="1" ref="W1352" ca="1">IFERROR(_xlfn.IFS(OR(F1352="",LEFT(Methode_Keuze,4)="Geen",Methode_Keuze=""),"",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17" t="str" cm="1">
        <f t="array" aca="1" ref="X1352" ca="1">IFERROR(_xlfn.IFS(OR(F1352="",LEFT(Methode_Keuze,4)="Geen",Methode_Keuze=""),"",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26"/>
      <c r="Z1352" s="319"/>
      <c r="AA1352" s="32" t="str" cm="1">
        <f t="array" ref="AA1352">IFERROR(IF(INDEX(SubsidieTabel!$AD$1:$AG$12,MATCH($F1352,SubsidieTabel!$AD$1:$AD$12,0),IFERROR(MATCH(Methode_Keuze,SubsidieTabel!$AD$1:$AG$1,0),2))&lt;&gt;1=TRUE,"ja",""),"")</f>
        <v/>
      </c>
    </row>
    <row r="1353" spans="1:27" x14ac:dyDescent="0.25">
      <c r="A1353" s="320"/>
      <c r="B1353" s="321" t="str">
        <f>IF(A1353&lt;&gt;"",_xlfn.MAXIFS($B$1:B1352,$A$1:A1352,A1353)+1,"")</f>
        <v/>
      </c>
      <c r="C1353" s="299"/>
      <c r="D1353" s="299"/>
      <c r="E1353" s="299"/>
      <c r="F1353" s="299"/>
      <c r="G1353" s="330"/>
      <c r="H1353" s="328"/>
      <c r="I1353" s="329"/>
      <c r="J1353" s="329"/>
      <c r="K1353" s="322"/>
      <c r="L1353" s="322"/>
      <c r="M1353" s="323" t="str">
        <f>IFERROR(VLOOKUP(H1353,Lijsten!$H$1:$I$100,2,0),"")</f>
        <v/>
      </c>
      <c r="N1353" s="323" t="str">
        <f ca="1">IFERROR(IF(VLOOKUP(F1353,Kostentypen!$A$3:$E$21,3,0)=0,"",IF(OR(F1353="Arbeidskosten",F1353="Vergoeding"),VLOOKUP(G1353,Tb_KostenTypen[],2,0),VLOOKUP(F1353,Kostentypen!$A$3:$E$20,3,0))),"")</f>
        <v/>
      </c>
      <c r="O1353" s="324"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4"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3"/>
      <c r="R1353" s="363"/>
      <c r="S1353" s="325"/>
      <c r="T1353" s="325"/>
      <c r="U1353" s="317" t="str" cm="1">
        <f t="array" aca="1" ref="U1353" ca="1">IFERROR(IF(AA1353&lt;&gt;"ja",_xlfn.IFNA(_xlfn.IFS(AND(O1353&lt;&gt;"",F1353&lt;&gt;"",RIGHT($N1353,6)="tarief",F1353="Vergoeding"),SUM(O1353)*FLOOR(SUM(Q1353),0.0001),AND(O1353&lt;&gt;"",F1353&lt;&gt;"",RIGHT($N1353,6)="tarief"),SUM(O1353)*FLOOR(SUM(Q1353),0.01),S1353&gt;0,IF(F1353&lt;&gt;"",FLOOR(SUM(S1353),0.01),"")),""),""),"")</f>
        <v/>
      </c>
      <c r="V1353" s="317" t="str" cm="1">
        <f t="array" aca="1" ref="V1353" ca="1">IFERROR(IF(AA1353&lt;&gt;"ja",_xlfn.IFNA(_xlfn.IFS(AND(P1353&lt;&gt;"",R1353&lt;&gt;"",RIGHT($N1353,6)="tarief",F1353="Vergoeding"),SUM(P1353)*FLOOR(SUM(R1353),0.0001),AND(P1353&lt;&gt;"",R1353&lt;&gt;"",RIGHT($N1353,6)="tarief"),P1353*FLOOR(R1353,0.01),T1353&gt;0,FLOOR(SUM(T1353),0.01)),""),""),"")</f>
        <v/>
      </c>
      <c r="W1353" s="317" t="str" cm="1">
        <f t="array" aca="1" ref="W1353" ca="1">IFERROR(_xlfn.IFS(OR(F1353="",LEFT(Methode_Keuze,4)="Geen",Methode_Keuze=""),"",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17" t="str" cm="1">
        <f t="array" aca="1" ref="X1353" ca="1">IFERROR(_xlfn.IFS(OR(F1353="",LEFT(Methode_Keuze,4)="Geen",Methode_Keuze=""),"",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26"/>
      <c r="Z1353" s="319"/>
      <c r="AA1353" s="32" t="str" cm="1">
        <f t="array" ref="AA1353">IFERROR(IF(INDEX(SubsidieTabel!$AD$1:$AG$12,MATCH($F1353,SubsidieTabel!$AD$1:$AD$12,0),IFERROR(MATCH(Methode_Keuze,SubsidieTabel!$AD$1:$AG$1,0),2))&lt;&gt;1=TRUE,"ja",""),"")</f>
        <v/>
      </c>
    </row>
    <row r="1354" spans="1:27" x14ac:dyDescent="0.25">
      <c r="A1354" s="320"/>
      <c r="B1354" s="321" t="str">
        <f>IF(A1354&lt;&gt;"",_xlfn.MAXIFS($B$1:B1353,$A$1:A1353,A1354)+1,"")</f>
        <v/>
      </c>
      <c r="C1354" s="299"/>
      <c r="D1354" s="299"/>
      <c r="E1354" s="299"/>
      <c r="F1354" s="299"/>
      <c r="G1354" s="330"/>
      <c r="H1354" s="328"/>
      <c r="I1354" s="329"/>
      <c r="J1354" s="329"/>
      <c r="K1354" s="322"/>
      <c r="L1354" s="322"/>
      <c r="M1354" s="323" t="str">
        <f>IFERROR(VLOOKUP(H1354,Lijsten!$H$1:$I$100,2,0),"")</f>
        <v/>
      </c>
      <c r="N1354" s="323" t="str">
        <f ca="1">IFERROR(IF(VLOOKUP(F1354,Kostentypen!$A$3:$E$21,3,0)=0,"",IF(OR(F1354="Arbeidskosten",F1354="Vergoeding"),VLOOKUP(G1354,Tb_KostenTypen[],2,0),VLOOKUP(F1354,Kostentypen!$A$3:$E$20,3,0))),"")</f>
        <v/>
      </c>
      <c r="O1354" s="324"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4"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3"/>
      <c r="R1354" s="363"/>
      <c r="S1354" s="325"/>
      <c r="T1354" s="325"/>
      <c r="U1354" s="317" t="str" cm="1">
        <f t="array" aca="1" ref="U1354" ca="1">IFERROR(IF(AA1354&lt;&gt;"ja",_xlfn.IFNA(_xlfn.IFS(AND(O1354&lt;&gt;"",F1354&lt;&gt;"",RIGHT($N1354,6)="tarief",F1354="Vergoeding"),SUM(O1354)*FLOOR(SUM(Q1354),0.0001),AND(O1354&lt;&gt;"",F1354&lt;&gt;"",RIGHT($N1354,6)="tarief"),SUM(O1354)*FLOOR(SUM(Q1354),0.01),S1354&gt;0,IF(F1354&lt;&gt;"",FLOOR(SUM(S1354),0.01),"")),""),""),"")</f>
        <v/>
      </c>
      <c r="V1354" s="317" t="str" cm="1">
        <f t="array" aca="1" ref="V1354" ca="1">IFERROR(IF(AA1354&lt;&gt;"ja",_xlfn.IFNA(_xlfn.IFS(AND(P1354&lt;&gt;"",R1354&lt;&gt;"",RIGHT($N1354,6)="tarief",F1354="Vergoeding"),SUM(P1354)*FLOOR(SUM(R1354),0.0001),AND(P1354&lt;&gt;"",R1354&lt;&gt;"",RIGHT($N1354,6)="tarief"),P1354*FLOOR(R1354,0.01),T1354&gt;0,FLOOR(SUM(T1354),0.01)),""),""),"")</f>
        <v/>
      </c>
      <c r="W1354" s="317" t="str" cm="1">
        <f t="array" aca="1" ref="W1354" ca="1">IFERROR(_xlfn.IFS(OR(F1354="",LEFT(Methode_Keuze,4)="Geen",Methode_Keuze=""),"",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17" t="str" cm="1">
        <f t="array" aca="1" ref="X1354" ca="1">IFERROR(_xlfn.IFS(OR(F1354="",LEFT(Methode_Keuze,4)="Geen",Methode_Keuze=""),"",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26"/>
      <c r="Z1354" s="319"/>
      <c r="AA1354" s="32" t="str" cm="1">
        <f t="array" ref="AA1354">IFERROR(IF(INDEX(SubsidieTabel!$AD$1:$AG$12,MATCH($F1354,SubsidieTabel!$AD$1:$AD$12,0),IFERROR(MATCH(Methode_Keuze,SubsidieTabel!$AD$1:$AG$1,0),2))&lt;&gt;1=TRUE,"ja",""),"")</f>
        <v/>
      </c>
    </row>
    <row r="1355" spans="1:27" x14ac:dyDescent="0.25">
      <c r="A1355" s="320"/>
      <c r="B1355" s="321" t="str">
        <f>IF(A1355&lt;&gt;"",_xlfn.MAXIFS($B$1:B1354,$A$1:A1354,A1355)+1,"")</f>
        <v/>
      </c>
      <c r="C1355" s="299"/>
      <c r="D1355" s="299"/>
      <c r="E1355" s="299"/>
      <c r="F1355" s="299"/>
      <c r="G1355" s="330"/>
      <c r="H1355" s="328"/>
      <c r="I1355" s="329"/>
      <c r="J1355" s="329"/>
      <c r="K1355" s="322"/>
      <c r="L1355" s="322"/>
      <c r="M1355" s="323" t="str">
        <f>IFERROR(VLOOKUP(H1355,Lijsten!$H$1:$I$100,2,0),"")</f>
        <v/>
      </c>
      <c r="N1355" s="323" t="str">
        <f ca="1">IFERROR(IF(VLOOKUP(F1355,Kostentypen!$A$3:$E$21,3,0)=0,"",IF(OR(F1355="Arbeidskosten",F1355="Vergoeding"),VLOOKUP(G1355,Tb_KostenTypen[],2,0),VLOOKUP(F1355,Kostentypen!$A$3:$E$20,3,0))),"")</f>
        <v/>
      </c>
      <c r="O1355" s="324"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4"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3"/>
      <c r="R1355" s="363"/>
      <c r="S1355" s="325"/>
      <c r="T1355" s="325"/>
      <c r="U1355" s="317" t="str" cm="1">
        <f t="array" aca="1" ref="U1355" ca="1">IFERROR(IF(AA1355&lt;&gt;"ja",_xlfn.IFNA(_xlfn.IFS(AND(O1355&lt;&gt;"",F1355&lt;&gt;"",RIGHT($N1355,6)="tarief",F1355="Vergoeding"),SUM(O1355)*FLOOR(SUM(Q1355),0.0001),AND(O1355&lt;&gt;"",F1355&lt;&gt;"",RIGHT($N1355,6)="tarief"),SUM(O1355)*FLOOR(SUM(Q1355),0.01),S1355&gt;0,IF(F1355&lt;&gt;"",FLOOR(SUM(S1355),0.01),"")),""),""),"")</f>
        <v/>
      </c>
      <c r="V1355" s="317" t="str" cm="1">
        <f t="array" aca="1" ref="V1355" ca="1">IFERROR(IF(AA1355&lt;&gt;"ja",_xlfn.IFNA(_xlfn.IFS(AND(P1355&lt;&gt;"",R1355&lt;&gt;"",RIGHT($N1355,6)="tarief",F1355="Vergoeding"),SUM(P1355)*FLOOR(SUM(R1355),0.0001),AND(P1355&lt;&gt;"",R1355&lt;&gt;"",RIGHT($N1355,6)="tarief"),P1355*FLOOR(R1355,0.01),T1355&gt;0,FLOOR(SUM(T1355),0.01)),""),""),"")</f>
        <v/>
      </c>
      <c r="W1355" s="317" t="str" cm="1">
        <f t="array" aca="1" ref="W1355" ca="1">IFERROR(_xlfn.IFS(OR(F1355="",LEFT(Methode_Keuze,4)="Geen",Methode_Keuze=""),"",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17" t="str" cm="1">
        <f t="array" aca="1" ref="X1355" ca="1">IFERROR(_xlfn.IFS(OR(F1355="",LEFT(Methode_Keuze,4)="Geen",Methode_Keuze=""),"",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26"/>
      <c r="Z1355" s="319"/>
      <c r="AA1355" s="32" t="str" cm="1">
        <f t="array" ref="AA1355">IFERROR(IF(INDEX(SubsidieTabel!$AD$1:$AG$12,MATCH($F1355,SubsidieTabel!$AD$1:$AD$12,0),IFERROR(MATCH(Methode_Keuze,SubsidieTabel!$AD$1:$AG$1,0),2))&lt;&gt;1=TRUE,"ja",""),"")</f>
        <v/>
      </c>
    </row>
    <row r="1356" spans="1:27" x14ac:dyDescent="0.25">
      <c r="A1356" s="320"/>
      <c r="B1356" s="321" t="str">
        <f>IF(A1356&lt;&gt;"",_xlfn.MAXIFS($B$1:B1355,$A$1:A1355,A1356)+1,"")</f>
        <v/>
      </c>
      <c r="C1356" s="299"/>
      <c r="D1356" s="299"/>
      <c r="E1356" s="299"/>
      <c r="F1356" s="299"/>
      <c r="G1356" s="330"/>
      <c r="H1356" s="328"/>
      <c r="I1356" s="329"/>
      <c r="J1356" s="329"/>
      <c r="K1356" s="322"/>
      <c r="L1356" s="322"/>
      <c r="M1356" s="323" t="str">
        <f>IFERROR(VLOOKUP(H1356,Lijsten!$H$1:$I$100,2,0),"")</f>
        <v/>
      </c>
      <c r="N1356" s="323" t="str">
        <f ca="1">IFERROR(IF(VLOOKUP(F1356,Kostentypen!$A$3:$E$21,3,0)=0,"",IF(OR(F1356="Arbeidskosten",F1356="Vergoeding"),VLOOKUP(G1356,Tb_KostenTypen[],2,0),VLOOKUP(F1356,Kostentypen!$A$3:$E$20,3,0))),"")</f>
        <v/>
      </c>
      <c r="O1356" s="324"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4"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3"/>
      <c r="R1356" s="363"/>
      <c r="S1356" s="325"/>
      <c r="T1356" s="325"/>
      <c r="U1356" s="317" t="str" cm="1">
        <f t="array" aca="1" ref="U1356" ca="1">IFERROR(IF(AA1356&lt;&gt;"ja",_xlfn.IFNA(_xlfn.IFS(AND(O1356&lt;&gt;"",F1356&lt;&gt;"",RIGHT($N1356,6)="tarief",F1356="Vergoeding"),SUM(O1356)*FLOOR(SUM(Q1356),0.0001),AND(O1356&lt;&gt;"",F1356&lt;&gt;"",RIGHT($N1356,6)="tarief"),SUM(O1356)*FLOOR(SUM(Q1356),0.01),S1356&gt;0,IF(F1356&lt;&gt;"",FLOOR(SUM(S1356),0.01),"")),""),""),"")</f>
        <v/>
      </c>
      <c r="V1356" s="317" t="str" cm="1">
        <f t="array" aca="1" ref="V1356" ca="1">IFERROR(IF(AA1356&lt;&gt;"ja",_xlfn.IFNA(_xlfn.IFS(AND(P1356&lt;&gt;"",R1356&lt;&gt;"",RIGHT($N1356,6)="tarief",F1356="Vergoeding"),SUM(P1356)*FLOOR(SUM(R1356),0.0001),AND(P1356&lt;&gt;"",R1356&lt;&gt;"",RIGHT($N1356,6)="tarief"),P1356*FLOOR(R1356,0.01),T1356&gt;0,FLOOR(SUM(T1356),0.01)),""),""),"")</f>
        <v/>
      </c>
      <c r="W1356" s="317" t="str" cm="1">
        <f t="array" aca="1" ref="W1356" ca="1">IFERROR(_xlfn.IFS(OR(F1356="",LEFT(Methode_Keuze,4)="Geen",Methode_Keuze=""),"",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17" t="str" cm="1">
        <f t="array" aca="1" ref="X1356" ca="1">IFERROR(_xlfn.IFS(OR(F1356="",LEFT(Methode_Keuze,4)="Geen",Methode_Keuze=""),"",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26"/>
      <c r="Z1356" s="319"/>
      <c r="AA1356" s="32" t="str" cm="1">
        <f t="array" ref="AA1356">IFERROR(IF(INDEX(SubsidieTabel!$AD$1:$AG$12,MATCH($F1356,SubsidieTabel!$AD$1:$AD$12,0),IFERROR(MATCH(Methode_Keuze,SubsidieTabel!$AD$1:$AG$1,0),2))&lt;&gt;1=TRUE,"ja",""),"")</f>
        <v/>
      </c>
    </row>
    <row r="1357" spans="1:27" x14ac:dyDescent="0.25">
      <c r="A1357" s="320"/>
      <c r="B1357" s="321" t="str">
        <f>IF(A1357&lt;&gt;"",_xlfn.MAXIFS($B$1:B1356,$A$1:A1356,A1357)+1,"")</f>
        <v/>
      </c>
      <c r="C1357" s="299"/>
      <c r="D1357" s="299"/>
      <c r="E1357" s="299"/>
      <c r="F1357" s="299"/>
      <c r="G1357" s="330"/>
      <c r="H1357" s="328"/>
      <c r="I1357" s="329"/>
      <c r="J1357" s="329"/>
      <c r="K1357" s="322"/>
      <c r="L1357" s="322"/>
      <c r="M1357" s="323" t="str">
        <f>IFERROR(VLOOKUP(H1357,Lijsten!$H$1:$I$100,2,0),"")</f>
        <v/>
      </c>
      <c r="N1357" s="323" t="str">
        <f ca="1">IFERROR(IF(VLOOKUP(F1357,Kostentypen!$A$3:$E$21,3,0)=0,"",IF(OR(F1357="Arbeidskosten",F1357="Vergoeding"),VLOOKUP(G1357,Tb_KostenTypen[],2,0),VLOOKUP(F1357,Kostentypen!$A$3:$E$20,3,0))),"")</f>
        <v/>
      </c>
      <c r="O1357" s="324"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4"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3"/>
      <c r="R1357" s="363"/>
      <c r="S1357" s="325"/>
      <c r="T1357" s="325"/>
      <c r="U1357" s="317" t="str" cm="1">
        <f t="array" aca="1" ref="U1357" ca="1">IFERROR(IF(AA1357&lt;&gt;"ja",_xlfn.IFNA(_xlfn.IFS(AND(O1357&lt;&gt;"",F1357&lt;&gt;"",RIGHT($N1357,6)="tarief",F1357="Vergoeding"),SUM(O1357)*FLOOR(SUM(Q1357),0.0001),AND(O1357&lt;&gt;"",F1357&lt;&gt;"",RIGHT($N1357,6)="tarief"),SUM(O1357)*FLOOR(SUM(Q1357),0.01),S1357&gt;0,IF(F1357&lt;&gt;"",FLOOR(SUM(S1357),0.01),"")),""),""),"")</f>
        <v/>
      </c>
      <c r="V1357" s="317" t="str" cm="1">
        <f t="array" aca="1" ref="V1357" ca="1">IFERROR(IF(AA1357&lt;&gt;"ja",_xlfn.IFNA(_xlfn.IFS(AND(P1357&lt;&gt;"",R1357&lt;&gt;"",RIGHT($N1357,6)="tarief",F1357="Vergoeding"),SUM(P1357)*FLOOR(SUM(R1357),0.0001),AND(P1357&lt;&gt;"",R1357&lt;&gt;"",RIGHT($N1357,6)="tarief"),P1357*FLOOR(R1357,0.01),T1357&gt;0,FLOOR(SUM(T1357),0.01)),""),""),"")</f>
        <v/>
      </c>
      <c r="W1357" s="317" t="str" cm="1">
        <f t="array" aca="1" ref="W1357" ca="1">IFERROR(_xlfn.IFS(OR(F1357="",LEFT(Methode_Keuze,4)="Geen",Methode_Keuze=""),"",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17" t="str" cm="1">
        <f t="array" aca="1" ref="X1357" ca="1">IFERROR(_xlfn.IFS(OR(F1357="",LEFT(Methode_Keuze,4)="Geen",Methode_Keuze=""),"",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26"/>
      <c r="Z1357" s="319"/>
      <c r="AA1357" s="32" t="str" cm="1">
        <f t="array" ref="AA1357">IFERROR(IF(INDEX(SubsidieTabel!$AD$1:$AG$12,MATCH($F1357,SubsidieTabel!$AD$1:$AD$12,0),IFERROR(MATCH(Methode_Keuze,SubsidieTabel!$AD$1:$AG$1,0),2))&lt;&gt;1=TRUE,"ja",""),"")</f>
        <v/>
      </c>
    </row>
    <row r="1358" spans="1:27" x14ac:dyDescent="0.25">
      <c r="A1358" s="320"/>
      <c r="B1358" s="321" t="str">
        <f>IF(A1358&lt;&gt;"",_xlfn.MAXIFS($B$1:B1357,$A$1:A1357,A1358)+1,"")</f>
        <v/>
      </c>
      <c r="C1358" s="299"/>
      <c r="D1358" s="299"/>
      <c r="E1358" s="299"/>
      <c r="F1358" s="299"/>
      <c r="G1358" s="330"/>
      <c r="H1358" s="328"/>
      <c r="I1358" s="329"/>
      <c r="J1358" s="329"/>
      <c r="K1358" s="322"/>
      <c r="L1358" s="322"/>
      <c r="M1358" s="323" t="str">
        <f>IFERROR(VLOOKUP(H1358,Lijsten!$H$1:$I$100,2,0),"")</f>
        <v/>
      </c>
      <c r="N1358" s="323" t="str">
        <f ca="1">IFERROR(IF(VLOOKUP(F1358,Kostentypen!$A$3:$E$21,3,0)=0,"",IF(OR(F1358="Arbeidskosten",F1358="Vergoeding"),VLOOKUP(G1358,Tb_KostenTypen[],2,0),VLOOKUP(F1358,Kostentypen!$A$3:$E$20,3,0))),"")</f>
        <v/>
      </c>
      <c r="O1358" s="324"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4"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3"/>
      <c r="R1358" s="363"/>
      <c r="S1358" s="325"/>
      <c r="T1358" s="325"/>
      <c r="U1358" s="317" t="str" cm="1">
        <f t="array" aca="1" ref="U1358" ca="1">IFERROR(IF(AA1358&lt;&gt;"ja",_xlfn.IFNA(_xlfn.IFS(AND(O1358&lt;&gt;"",F1358&lt;&gt;"",RIGHT($N1358,6)="tarief",F1358="Vergoeding"),SUM(O1358)*FLOOR(SUM(Q1358),0.0001),AND(O1358&lt;&gt;"",F1358&lt;&gt;"",RIGHT($N1358,6)="tarief"),SUM(O1358)*FLOOR(SUM(Q1358),0.01),S1358&gt;0,IF(F1358&lt;&gt;"",FLOOR(SUM(S1358),0.01),"")),""),""),"")</f>
        <v/>
      </c>
      <c r="V1358" s="317" t="str" cm="1">
        <f t="array" aca="1" ref="V1358" ca="1">IFERROR(IF(AA1358&lt;&gt;"ja",_xlfn.IFNA(_xlfn.IFS(AND(P1358&lt;&gt;"",R1358&lt;&gt;"",RIGHT($N1358,6)="tarief",F1358="Vergoeding"),SUM(P1358)*FLOOR(SUM(R1358),0.0001),AND(P1358&lt;&gt;"",R1358&lt;&gt;"",RIGHT($N1358,6)="tarief"),P1358*FLOOR(R1358,0.01),T1358&gt;0,FLOOR(SUM(T1358),0.01)),""),""),"")</f>
        <v/>
      </c>
      <c r="W1358" s="317" t="str" cm="1">
        <f t="array" aca="1" ref="W1358" ca="1">IFERROR(_xlfn.IFS(OR(F1358="",LEFT(Methode_Keuze,4)="Geen",Methode_Keuze=""),"",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17" t="str" cm="1">
        <f t="array" aca="1" ref="X1358" ca="1">IFERROR(_xlfn.IFS(OR(F1358="",LEFT(Methode_Keuze,4)="Geen",Methode_Keuze=""),"",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26"/>
      <c r="Z1358" s="319"/>
      <c r="AA1358" s="32" t="str" cm="1">
        <f t="array" ref="AA1358">IFERROR(IF(INDEX(SubsidieTabel!$AD$1:$AG$12,MATCH($F1358,SubsidieTabel!$AD$1:$AD$12,0),IFERROR(MATCH(Methode_Keuze,SubsidieTabel!$AD$1:$AG$1,0),2))&lt;&gt;1=TRUE,"ja",""),"")</f>
        <v/>
      </c>
    </row>
    <row r="1359" spans="1:27" x14ac:dyDescent="0.25">
      <c r="A1359" s="320"/>
      <c r="B1359" s="321" t="str">
        <f>IF(A1359&lt;&gt;"",_xlfn.MAXIFS($B$1:B1358,$A$1:A1358,A1359)+1,"")</f>
        <v/>
      </c>
      <c r="C1359" s="299"/>
      <c r="D1359" s="299"/>
      <c r="E1359" s="299"/>
      <c r="F1359" s="299"/>
      <c r="G1359" s="330"/>
      <c r="H1359" s="328"/>
      <c r="I1359" s="329"/>
      <c r="J1359" s="329"/>
      <c r="K1359" s="322"/>
      <c r="L1359" s="322"/>
      <c r="M1359" s="323" t="str">
        <f>IFERROR(VLOOKUP(H1359,Lijsten!$H$1:$I$100,2,0),"")</f>
        <v/>
      </c>
      <c r="N1359" s="323" t="str">
        <f ca="1">IFERROR(IF(VLOOKUP(F1359,Kostentypen!$A$3:$E$21,3,0)=0,"",IF(OR(F1359="Arbeidskosten",F1359="Vergoeding"),VLOOKUP(G1359,Tb_KostenTypen[],2,0),VLOOKUP(F1359,Kostentypen!$A$3:$E$20,3,0))),"")</f>
        <v/>
      </c>
      <c r="O1359" s="324"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4"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3"/>
      <c r="R1359" s="363"/>
      <c r="S1359" s="325"/>
      <c r="T1359" s="325"/>
      <c r="U1359" s="317" t="str" cm="1">
        <f t="array" aca="1" ref="U1359" ca="1">IFERROR(IF(AA1359&lt;&gt;"ja",_xlfn.IFNA(_xlfn.IFS(AND(O1359&lt;&gt;"",F1359&lt;&gt;"",RIGHT($N1359,6)="tarief",F1359="Vergoeding"),SUM(O1359)*FLOOR(SUM(Q1359),0.0001),AND(O1359&lt;&gt;"",F1359&lt;&gt;"",RIGHT($N1359,6)="tarief"),SUM(O1359)*FLOOR(SUM(Q1359),0.01),S1359&gt;0,IF(F1359&lt;&gt;"",FLOOR(SUM(S1359),0.01),"")),""),""),"")</f>
        <v/>
      </c>
      <c r="V1359" s="317" t="str" cm="1">
        <f t="array" aca="1" ref="V1359" ca="1">IFERROR(IF(AA1359&lt;&gt;"ja",_xlfn.IFNA(_xlfn.IFS(AND(P1359&lt;&gt;"",R1359&lt;&gt;"",RIGHT($N1359,6)="tarief",F1359="Vergoeding"),SUM(P1359)*FLOOR(SUM(R1359),0.0001),AND(P1359&lt;&gt;"",R1359&lt;&gt;"",RIGHT($N1359,6)="tarief"),P1359*FLOOR(R1359,0.01),T1359&gt;0,FLOOR(SUM(T1359),0.01)),""),""),"")</f>
        <v/>
      </c>
      <c r="W1359" s="317" t="str" cm="1">
        <f t="array" aca="1" ref="W1359" ca="1">IFERROR(_xlfn.IFS(OR(F1359="",LEFT(Methode_Keuze,4)="Geen",Methode_Keuze=""),"",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17" t="str" cm="1">
        <f t="array" aca="1" ref="X1359" ca="1">IFERROR(_xlfn.IFS(OR(F1359="",LEFT(Methode_Keuze,4)="Geen",Methode_Keuze=""),"",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26"/>
      <c r="Z1359" s="319"/>
      <c r="AA1359" s="32" t="str" cm="1">
        <f t="array" ref="AA1359">IFERROR(IF(INDEX(SubsidieTabel!$AD$1:$AG$12,MATCH($F1359,SubsidieTabel!$AD$1:$AD$12,0),IFERROR(MATCH(Methode_Keuze,SubsidieTabel!$AD$1:$AG$1,0),2))&lt;&gt;1=TRUE,"ja",""),"")</f>
        <v/>
      </c>
    </row>
    <row r="1360" spans="1:27" x14ac:dyDescent="0.25">
      <c r="A1360" s="320"/>
      <c r="B1360" s="321" t="str">
        <f>IF(A1360&lt;&gt;"",_xlfn.MAXIFS($B$1:B1359,$A$1:A1359,A1360)+1,"")</f>
        <v/>
      </c>
      <c r="C1360" s="299"/>
      <c r="D1360" s="299"/>
      <c r="E1360" s="299"/>
      <c r="F1360" s="299"/>
      <c r="G1360" s="330"/>
      <c r="H1360" s="328"/>
      <c r="I1360" s="329"/>
      <c r="J1360" s="329"/>
      <c r="K1360" s="322"/>
      <c r="L1360" s="322"/>
      <c r="M1360" s="323" t="str">
        <f>IFERROR(VLOOKUP(H1360,Lijsten!$H$1:$I$100,2,0),"")</f>
        <v/>
      </c>
      <c r="N1360" s="323" t="str">
        <f ca="1">IFERROR(IF(VLOOKUP(F1360,Kostentypen!$A$3:$E$21,3,0)=0,"",IF(OR(F1360="Arbeidskosten",F1360="Vergoeding"),VLOOKUP(G1360,Tb_KostenTypen[],2,0),VLOOKUP(F1360,Kostentypen!$A$3:$E$20,3,0))),"")</f>
        <v/>
      </c>
      <c r="O1360" s="324"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4"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3"/>
      <c r="R1360" s="363"/>
      <c r="S1360" s="325"/>
      <c r="T1360" s="325"/>
      <c r="U1360" s="317" t="str" cm="1">
        <f t="array" aca="1" ref="U1360" ca="1">IFERROR(IF(AA1360&lt;&gt;"ja",_xlfn.IFNA(_xlfn.IFS(AND(O1360&lt;&gt;"",F1360&lt;&gt;"",RIGHT($N1360,6)="tarief",F1360="Vergoeding"),SUM(O1360)*FLOOR(SUM(Q1360),0.0001),AND(O1360&lt;&gt;"",F1360&lt;&gt;"",RIGHT($N1360,6)="tarief"),SUM(O1360)*FLOOR(SUM(Q1360),0.01),S1360&gt;0,IF(F1360&lt;&gt;"",FLOOR(SUM(S1360),0.01),"")),""),""),"")</f>
        <v/>
      </c>
      <c r="V1360" s="317" t="str" cm="1">
        <f t="array" aca="1" ref="V1360" ca="1">IFERROR(IF(AA1360&lt;&gt;"ja",_xlfn.IFNA(_xlfn.IFS(AND(P1360&lt;&gt;"",R1360&lt;&gt;"",RIGHT($N1360,6)="tarief",F1360="Vergoeding"),SUM(P1360)*FLOOR(SUM(R1360),0.0001),AND(P1360&lt;&gt;"",R1360&lt;&gt;"",RIGHT($N1360,6)="tarief"),P1360*FLOOR(R1360,0.01),T1360&gt;0,FLOOR(SUM(T1360),0.01)),""),""),"")</f>
        <v/>
      </c>
      <c r="W1360" s="317" t="str" cm="1">
        <f t="array" aca="1" ref="W1360" ca="1">IFERROR(_xlfn.IFS(OR(F1360="",LEFT(Methode_Keuze,4)="Geen",Methode_Keuze=""),"",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17" t="str" cm="1">
        <f t="array" aca="1" ref="X1360" ca="1">IFERROR(_xlfn.IFS(OR(F1360="",LEFT(Methode_Keuze,4)="Geen",Methode_Keuze=""),"",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26"/>
      <c r="Z1360" s="319"/>
      <c r="AA1360" s="32" t="str" cm="1">
        <f t="array" ref="AA1360">IFERROR(IF(INDEX(SubsidieTabel!$AD$1:$AG$12,MATCH($F1360,SubsidieTabel!$AD$1:$AD$12,0),IFERROR(MATCH(Methode_Keuze,SubsidieTabel!$AD$1:$AG$1,0),2))&lt;&gt;1=TRUE,"ja",""),"")</f>
        <v/>
      </c>
    </row>
    <row r="1361" spans="1:27" x14ac:dyDescent="0.25">
      <c r="A1361" s="320"/>
      <c r="B1361" s="321" t="str">
        <f>IF(A1361&lt;&gt;"",_xlfn.MAXIFS($B$1:B1360,$A$1:A1360,A1361)+1,"")</f>
        <v/>
      </c>
      <c r="C1361" s="299"/>
      <c r="D1361" s="299"/>
      <c r="E1361" s="299"/>
      <c r="F1361" s="299"/>
      <c r="G1361" s="330"/>
      <c r="H1361" s="328"/>
      <c r="I1361" s="329"/>
      <c r="J1361" s="329"/>
      <c r="K1361" s="322"/>
      <c r="L1361" s="322"/>
      <c r="M1361" s="323" t="str">
        <f>IFERROR(VLOOKUP(H1361,Lijsten!$H$1:$I$100,2,0),"")</f>
        <v/>
      </c>
      <c r="N1361" s="323" t="str">
        <f ca="1">IFERROR(IF(VLOOKUP(F1361,Kostentypen!$A$3:$E$21,3,0)=0,"",IF(OR(F1361="Arbeidskosten",F1361="Vergoeding"),VLOOKUP(G1361,Tb_KostenTypen[],2,0),VLOOKUP(F1361,Kostentypen!$A$3:$E$20,3,0))),"")</f>
        <v/>
      </c>
      <c r="O1361" s="324"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4"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3"/>
      <c r="R1361" s="363"/>
      <c r="S1361" s="325"/>
      <c r="T1361" s="325"/>
      <c r="U1361" s="317" t="str" cm="1">
        <f t="array" aca="1" ref="U1361" ca="1">IFERROR(IF(AA1361&lt;&gt;"ja",_xlfn.IFNA(_xlfn.IFS(AND(O1361&lt;&gt;"",F1361&lt;&gt;"",RIGHT($N1361,6)="tarief",F1361="Vergoeding"),SUM(O1361)*FLOOR(SUM(Q1361),0.0001),AND(O1361&lt;&gt;"",F1361&lt;&gt;"",RIGHT($N1361,6)="tarief"),SUM(O1361)*FLOOR(SUM(Q1361),0.01),S1361&gt;0,IF(F1361&lt;&gt;"",FLOOR(SUM(S1361),0.01),"")),""),""),"")</f>
        <v/>
      </c>
      <c r="V1361" s="317" t="str" cm="1">
        <f t="array" aca="1" ref="V1361" ca="1">IFERROR(IF(AA1361&lt;&gt;"ja",_xlfn.IFNA(_xlfn.IFS(AND(P1361&lt;&gt;"",R1361&lt;&gt;"",RIGHT($N1361,6)="tarief",F1361="Vergoeding"),SUM(P1361)*FLOOR(SUM(R1361),0.0001),AND(P1361&lt;&gt;"",R1361&lt;&gt;"",RIGHT($N1361,6)="tarief"),P1361*FLOOR(R1361,0.01),T1361&gt;0,FLOOR(SUM(T1361),0.01)),""),""),"")</f>
        <v/>
      </c>
      <c r="W1361" s="317" t="str" cm="1">
        <f t="array" aca="1" ref="W1361" ca="1">IFERROR(_xlfn.IFS(OR(F1361="",LEFT(Methode_Keuze,4)="Geen",Methode_Keuze=""),"",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17" t="str" cm="1">
        <f t="array" aca="1" ref="X1361" ca="1">IFERROR(_xlfn.IFS(OR(F1361="",LEFT(Methode_Keuze,4)="Geen",Methode_Keuze=""),"",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26"/>
      <c r="Z1361" s="319"/>
      <c r="AA1361" s="32" t="str" cm="1">
        <f t="array" ref="AA1361">IFERROR(IF(INDEX(SubsidieTabel!$AD$1:$AG$12,MATCH($F1361,SubsidieTabel!$AD$1:$AD$12,0),IFERROR(MATCH(Methode_Keuze,SubsidieTabel!$AD$1:$AG$1,0),2))&lt;&gt;1=TRUE,"ja",""),"")</f>
        <v/>
      </c>
    </row>
    <row r="1362" spans="1:27" x14ac:dyDescent="0.25">
      <c r="A1362" s="320"/>
      <c r="B1362" s="321" t="str">
        <f>IF(A1362&lt;&gt;"",_xlfn.MAXIFS($B$1:B1361,$A$1:A1361,A1362)+1,"")</f>
        <v/>
      </c>
      <c r="C1362" s="299"/>
      <c r="D1362" s="299"/>
      <c r="E1362" s="299"/>
      <c r="F1362" s="299"/>
      <c r="G1362" s="330"/>
      <c r="H1362" s="328"/>
      <c r="I1362" s="329"/>
      <c r="J1362" s="329"/>
      <c r="K1362" s="322"/>
      <c r="L1362" s="322"/>
      <c r="M1362" s="323" t="str">
        <f>IFERROR(VLOOKUP(H1362,Lijsten!$H$1:$I$100,2,0),"")</f>
        <v/>
      </c>
      <c r="N1362" s="323" t="str">
        <f ca="1">IFERROR(IF(VLOOKUP(F1362,Kostentypen!$A$3:$E$21,3,0)=0,"",IF(OR(F1362="Arbeidskosten",F1362="Vergoeding"),VLOOKUP(G1362,Tb_KostenTypen[],2,0),VLOOKUP(F1362,Kostentypen!$A$3:$E$20,3,0))),"")</f>
        <v/>
      </c>
      <c r="O1362" s="324"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4"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3"/>
      <c r="R1362" s="363"/>
      <c r="S1362" s="325"/>
      <c r="T1362" s="325"/>
      <c r="U1362" s="317" t="str" cm="1">
        <f t="array" aca="1" ref="U1362" ca="1">IFERROR(IF(AA1362&lt;&gt;"ja",_xlfn.IFNA(_xlfn.IFS(AND(O1362&lt;&gt;"",F1362&lt;&gt;"",RIGHT($N1362,6)="tarief",F1362="Vergoeding"),SUM(O1362)*FLOOR(SUM(Q1362),0.0001),AND(O1362&lt;&gt;"",F1362&lt;&gt;"",RIGHT($N1362,6)="tarief"),SUM(O1362)*FLOOR(SUM(Q1362),0.01),S1362&gt;0,IF(F1362&lt;&gt;"",FLOOR(SUM(S1362),0.01),"")),""),""),"")</f>
        <v/>
      </c>
      <c r="V1362" s="317" t="str" cm="1">
        <f t="array" aca="1" ref="V1362" ca="1">IFERROR(IF(AA1362&lt;&gt;"ja",_xlfn.IFNA(_xlfn.IFS(AND(P1362&lt;&gt;"",R1362&lt;&gt;"",RIGHT($N1362,6)="tarief",F1362="Vergoeding"),SUM(P1362)*FLOOR(SUM(R1362),0.0001),AND(P1362&lt;&gt;"",R1362&lt;&gt;"",RIGHT($N1362,6)="tarief"),P1362*FLOOR(R1362,0.01),T1362&gt;0,FLOOR(SUM(T1362),0.01)),""),""),"")</f>
        <v/>
      </c>
      <c r="W1362" s="317" t="str" cm="1">
        <f t="array" aca="1" ref="W1362" ca="1">IFERROR(_xlfn.IFS(OR(F1362="",LEFT(Methode_Keuze,4)="Geen",Methode_Keuze=""),"",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17" t="str" cm="1">
        <f t="array" aca="1" ref="X1362" ca="1">IFERROR(_xlfn.IFS(OR(F1362="",LEFT(Methode_Keuze,4)="Geen",Methode_Keuze=""),"",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26"/>
      <c r="Z1362" s="319"/>
      <c r="AA1362" s="32" t="str" cm="1">
        <f t="array" ref="AA1362">IFERROR(IF(INDEX(SubsidieTabel!$AD$1:$AG$12,MATCH($F1362,SubsidieTabel!$AD$1:$AD$12,0),IFERROR(MATCH(Methode_Keuze,SubsidieTabel!$AD$1:$AG$1,0),2))&lt;&gt;1=TRUE,"ja",""),"")</f>
        <v/>
      </c>
    </row>
    <row r="1363" spans="1:27" x14ac:dyDescent="0.25">
      <c r="A1363" s="320"/>
      <c r="B1363" s="321" t="str">
        <f>IF(A1363&lt;&gt;"",_xlfn.MAXIFS($B$1:B1362,$A$1:A1362,A1363)+1,"")</f>
        <v/>
      </c>
      <c r="C1363" s="299"/>
      <c r="D1363" s="299"/>
      <c r="E1363" s="299"/>
      <c r="F1363" s="299"/>
      <c r="G1363" s="330"/>
      <c r="H1363" s="328"/>
      <c r="I1363" s="329"/>
      <c r="J1363" s="329"/>
      <c r="K1363" s="322"/>
      <c r="L1363" s="322"/>
      <c r="M1363" s="323" t="str">
        <f>IFERROR(VLOOKUP(H1363,Lijsten!$H$1:$I$100,2,0),"")</f>
        <v/>
      </c>
      <c r="N1363" s="323" t="str">
        <f ca="1">IFERROR(IF(VLOOKUP(F1363,Kostentypen!$A$3:$E$21,3,0)=0,"",IF(OR(F1363="Arbeidskosten",F1363="Vergoeding"),VLOOKUP(G1363,Tb_KostenTypen[],2,0),VLOOKUP(F1363,Kostentypen!$A$3:$E$20,3,0))),"")</f>
        <v/>
      </c>
      <c r="O1363" s="324"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4"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3"/>
      <c r="R1363" s="363"/>
      <c r="S1363" s="325"/>
      <c r="T1363" s="325"/>
      <c r="U1363" s="317" t="str" cm="1">
        <f t="array" aca="1" ref="U1363" ca="1">IFERROR(IF(AA1363&lt;&gt;"ja",_xlfn.IFNA(_xlfn.IFS(AND(O1363&lt;&gt;"",F1363&lt;&gt;"",RIGHT($N1363,6)="tarief",F1363="Vergoeding"),SUM(O1363)*FLOOR(SUM(Q1363),0.0001),AND(O1363&lt;&gt;"",F1363&lt;&gt;"",RIGHT($N1363,6)="tarief"),SUM(O1363)*FLOOR(SUM(Q1363),0.01),S1363&gt;0,IF(F1363&lt;&gt;"",FLOOR(SUM(S1363),0.01),"")),""),""),"")</f>
        <v/>
      </c>
      <c r="V1363" s="317" t="str" cm="1">
        <f t="array" aca="1" ref="V1363" ca="1">IFERROR(IF(AA1363&lt;&gt;"ja",_xlfn.IFNA(_xlfn.IFS(AND(P1363&lt;&gt;"",R1363&lt;&gt;"",RIGHT($N1363,6)="tarief",F1363="Vergoeding"),SUM(P1363)*FLOOR(SUM(R1363),0.0001),AND(P1363&lt;&gt;"",R1363&lt;&gt;"",RIGHT($N1363,6)="tarief"),P1363*FLOOR(R1363,0.01),T1363&gt;0,FLOOR(SUM(T1363),0.01)),""),""),"")</f>
        <v/>
      </c>
      <c r="W1363" s="317" t="str" cm="1">
        <f t="array" aca="1" ref="W1363" ca="1">IFERROR(_xlfn.IFS(OR(F1363="",LEFT(Methode_Keuze,4)="Geen",Methode_Keuze=""),"",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17" t="str" cm="1">
        <f t="array" aca="1" ref="X1363" ca="1">IFERROR(_xlfn.IFS(OR(F1363="",LEFT(Methode_Keuze,4)="Geen",Methode_Keuze=""),"",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26"/>
      <c r="Z1363" s="319"/>
      <c r="AA1363" s="32" t="str" cm="1">
        <f t="array" ref="AA1363">IFERROR(IF(INDEX(SubsidieTabel!$AD$1:$AG$12,MATCH($F1363,SubsidieTabel!$AD$1:$AD$12,0),IFERROR(MATCH(Methode_Keuze,SubsidieTabel!$AD$1:$AG$1,0),2))&lt;&gt;1=TRUE,"ja",""),"")</f>
        <v/>
      </c>
    </row>
    <row r="1364" spans="1:27" x14ac:dyDescent="0.25">
      <c r="A1364" s="320"/>
      <c r="B1364" s="321" t="str">
        <f>IF(A1364&lt;&gt;"",_xlfn.MAXIFS($B$1:B1363,$A$1:A1363,A1364)+1,"")</f>
        <v/>
      </c>
      <c r="C1364" s="299"/>
      <c r="D1364" s="299"/>
      <c r="E1364" s="299"/>
      <c r="F1364" s="299"/>
      <c r="G1364" s="330"/>
      <c r="H1364" s="328"/>
      <c r="I1364" s="329"/>
      <c r="J1364" s="329"/>
      <c r="K1364" s="322"/>
      <c r="L1364" s="322"/>
      <c r="M1364" s="323" t="str">
        <f>IFERROR(VLOOKUP(H1364,Lijsten!$H$1:$I$100,2,0),"")</f>
        <v/>
      </c>
      <c r="N1364" s="323" t="str">
        <f ca="1">IFERROR(IF(VLOOKUP(F1364,Kostentypen!$A$3:$E$21,3,0)=0,"",IF(OR(F1364="Arbeidskosten",F1364="Vergoeding"),VLOOKUP(G1364,Tb_KostenTypen[],2,0),VLOOKUP(F1364,Kostentypen!$A$3:$E$20,3,0))),"")</f>
        <v/>
      </c>
      <c r="O1364" s="324"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4"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3"/>
      <c r="R1364" s="363"/>
      <c r="S1364" s="325"/>
      <c r="T1364" s="325"/>
      <c r="U1364" s="317" t="str" cm="1">
        <f t="array" aca="1" ref="U1364" ca="1">IFERROR(IF(AA1364&lt;&gt;"ja",_xlfn.IFNA(_xlfn.IFS(AND(O1364&lt;&gt;"",F1364&lt;&gt;"",RIGHT($N1364,6)="tarief",F1364="Vergoeding"),SUM(O1364)*FLOOR(SUM(Q1364),0.0001),AND(O1364&lt;&gt;"",F1364&lt;&gt;"",RIGHT($N1364,6)="tarief"),SUM(O1364)*FLOOR(SUM(Q1364),0.01),S1364&gt;0,IF(F1364&lt;&gt;"",FLOOR(SUM(S1364),0.01),"")),""),""),"")</f>
        <v/>
      </c>
      <c r="V1364" s="317" t="str" cm="1">
        <f t="array" aca="1" ref="V1364" ca="1">IFERROR(IF(AA1364&lt;&gt;"ja",_xlfn.IFNA(_xlfn.IFS(AND(P1364&lt;&gt;"",R1364&lt;&gt;"",RIGHT($N1364,6)="tarief",F1364="Vergoeding"),SUM(P1364)*FLOOR(SUM(R1364),0.0001),AND(P1364&lt;&gt;"",R1364&lt;&gt;"",RIGHT($N1364,6)="tarief"),P1364*FLOOR(R1364,0.01),T1364&gt;0,FLOOR(SUM(T1364),0.01)),""),""),"")</f>
        <v/>
      </c>
      <c r="W1364" s="317" t="str" cm="1">
        <f t="array" aca="1" ref="W1364" ca="1">IFERROR(_xlfn.IFS(OR(F1364="",LEFT(Methode_Keuze,4)="Geen",Methode_Keuze=""),"",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17" t="str" cm="1">
        <f t="array" aca="1" ref="X1364" ca="1">IFERROR(_xlfn.IFS(OR(F1364="",LEFT(Methode_Keuze,4)="Geen",Methode_Keuze=""),"",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26"/>
      <c r="Z1364" s="319"/>
      <c r="AA1364" s="32" t="str" cm="1">
        <f t="array" ref="AA1364">IFERROR(IF(INDEX(SubsidieTabel!$AD$1:$AG$12,MATCH($F1364,SubsidieTabel!$AD$1:$AD$12,0),IFERROR(MATCH(Methode_Keuze,SubsidieTabel!$AD$1:$AG$1,0),2))&lt;&gt;1=TRUE,"ja",""),"")</f>
        <v/>
      </c>
    </row>
    <row r="1365" spans="1:27" x14ac:dyDescent="0.25">
      <c r="A1365" s="320"/>
      <c r="B1365" s="321" t="str">
        <f>IF(A1365&lt;&gt;"",_xlfn.MAXIFS($B$1:B1364,$A$1:A1364,A1365)+1,"")</f>
        <v/>
      </c>
      <c r="C1365" s="299"/>
      <c r="D1365" s="299"/>
      <c r="E1365" s="299"/>
      <c r="F1365" s="299"/>
      <c r="G1365" s="330"/>
      <c r="H1365" s="328"/>
      <c r="I1365" s="329"/>
      <c r="J1365" s="329"/>
      <c r="K1365" s="322"/>
      <c r="L1365" s="322"/>
      <c r="M1365" s="323" t="str">
        <f>IFERROR(VLOOKUP(H1365,Lijsten!$H$1:$I$100,2,0),"")</f>
        <v/>
      </c>
      <c r="N1365" s="323" t="str">
        <f ca="1">IFERROR(IF(VLOOKUP(F1365,Kostentypen!$A$3:$E$21,3,0)=0,"",IF(OR(F1365="Arbeidskosten",F1365="Vergoeding"),VLOOKUP(G1365,Tb_KostenTypen[],2,0),VLOOKUP(F1365,Kostentypen!$A$3:$E$20,3,0))),"")</f>
        <v/>
      </c>
      <c r="O1365" s="324"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4"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3"/>
      <c r="R1365" s="363"/>
      <c r="S1365" s="325"/>
      <c r="T1365" s="325"/>
      <c r="U1365" s="317" t="str" cm="1">
        <f t="array" aca="1" ref="U1365" ca="1">IFERROR(IF(AA1365&lt;&gt;"ja",_xlfn.IFNA(_xlfn.IFS(AND(O1365&lt;&gt;"",F1365&lt;&gt;"",RIGHT($N1365,6)="tarief",F1365="Vergoeding"),SUM(O1365)*FLOOR(SUM(Q1365),0.0001),AND(O1365&lt;&gt;"",F1365&lt;&gt;"",RIGHT($N1365,6)="tarief"),SUM(O1365)*FLOOR(SUM(Q1365),0.01),S1365&gt;0,IF(F1365&lt;&gt;"",FLOOR(SUM(S1365),0.01),"")),""),""),"")</f>
        <v/>
      </c>
      <c r="V1365" s="317" t="str" cm="1">
        <f t="array" aca="1" ref="V1365" ca="1">IFERROR(IF(AA1365&lt;&gt;"ja",_xlfn.IFNA(_xlfn.IFS(AND(P1365&lt;&gt;"",R1365&lt;&gt;"",RIGHT($N1365,6)="tarief",F1365="Vergoeding"),SUM(P1365)*FLOOR(SUM(R1365),0.0001),AND(P1365&lt;&gt;"",R1365&lt;&gt;"",RIGHT($N1365,6)="tarief"),P1365*FLOOR(R1365,0.01),T1365&gt;0,FLOOR(SUM(T1365),0.01)),""),""),"")</f>
        <v/>
      </c>
      <c r="W1365" s="317" t="str" cm="1">
        <f t="array" aca="1" ref="W1365" ca="1">IFERROR(_xlfn.IFS(OR(F1365="",LEFT(Methode_Keuze,4)="Geen",Methode_Keuze=""),"",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17" t="str" cm="1">
        <f t="array" aca="1" ref="X1365" ca="1">IFERROR(_xlfn.IFS(OR(F1365="",LEFT(Methode_Keuze,4)="Geen",Methode_Keuze=""),"",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26"/>
      <c r="Z1365" s="319"/>
      <c r="AA1365" s="32" t="str" cm="1">
        <f t="array" ref="AA1365">IFERROR(IF(INDEX(SubsidieTabel!$AD$1:$AG$12,MATCH($F1365,SubsidieTabel!$AD$1:$AD$12,0),IFERROR(MATCH(Methode_Keuze,SubsidieTabel!$AD$1:$AG$1,0),2))&lt;&gt;1=TRUE,"ja",""),"")</f>
        <v/>
      </c>
    </row>
    <row r="1366" spans="1:27" x14ac:dyDescent="0.25">
      <c r="A1366" s="320"/>
      <c r="B1366" s="321" t="str">
        <f>IF(A1366&lt;&gt;"",_xlfn.MAXIFS($B$1:B1365,$A$1:A1365,A1366)+1,"")</f>
        <v/>
      </c>
      <c r="C1366" s="299"/>
      <c r="D1366" s="299"/>
      <c r="E1366" s="299"/>
      <c r="F1366" s="299"/>
      <c r="G1366" s="330"/>
      <c r="H1366" s="328"/>
      <c r="I1366" s="329"/>
      <c r="J1366" s="329"/>
      <c r="K1366" s="322"/>
      <c r="L1366" s="322"/>
      <c r="M1366" s="323" t="str">
        <f>IFERROR(VLOOKUP(H1366,Lijsten!$H$1:$I$100,2,0),"")</f>
        <v/>
      </c>
      <c r="N1366" s="323" t="str">
        <f ca="1">IFERROR(IF(VLOOKUP(F1366,Kostentypen!$A$3:$E$21,3,0)=0,"",IF(OR(F1366="Arbeidskosten",F1366="Vergoeding"),VLOOKUP(G1366,Tb_KostenTypen[],2,0),VLOOKUP(F1366,Kostentypen!$A$3:$E$20,3,0))),"")</f>
        <v/>
      </c>
      <c r="O1366" s="324"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4"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3"/>
      <c r="R1366" s="363"/>
      <c r="S1366" s="325"/>
      <c r="T1366" s="325"/>
      <c r="U1366" s="317" t="str" cm="1">
        <f t="array" aca="1" ref="U1366" ca="1">IFERROR(IF(AA1366&lt;&gt;"ja",_xlfn.IFNA(_xlfn.IFS(AND(O1366&lt;&gt;"",F1366&lt;&gt;"",RIGHT($N1366,6)="tarief",F1366="Vergoeding"),SUM(O1366)*FLOOR(SUM(Q1366),0.0001),AND(O1366&lt;&gt;"",F1366&lt;&gt;"",RIGHT($N1366,6)="tarief"),SUM(O1366)*FLOOR(SUM(Q1366),0.01),S1366&gt;0,IF(F1366&lt;&gt;"",FLOOR(SUM(S1366),0.01),"")),""),""),"")</f>
        <v/>
      </c>
      <c r="V1366" s="317" t="str" cm="1">
        <f t="array" aca="1" ref="V1366" ca="1">IFERROR(IF(AA1366&lt;&gt;"ja",_xlfn.IFNA(_xlfn.IFS(AND(P1366&lt;&gt;"",R1366&lt;&gt;"",RIGHT($N1366,6)="tarief",F1366="Vergoeding"),SUM(P1366)*FLOOR(SUM(R1366),0.0001),AND(P1366&lt;&gt;"",R1366&lt;&gt;"",RIGHT($N1366,6)="tarief"),P1366*FLOOR(R1366,0.01),T1366&gt;0,FLOOR(SUM(T1366),0.01)),""),""),"")</f>
        <v/>
      </c>
      <c r="W1366" s="317" t="str" cm="1">
        <f t="array" aca="1" ref="W1366" ca="1">IFERROR(_xlfn.IFS(OR(F1366="",LEFT(Methode_Keuze,4)="Geen",Methode_Keuze=""),"",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17" t="str" cm="1">
        <f t="array" aca="1" ref="X1366" ca="1">IFERROR(_xlfn.IFS(OR(F1366="",LEFT(Methode_Keuze,4)="Geen",Methode_Keuze=""),"",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26"/>
      <c r="Z1366" s="319"/>
      <c r="AA1366" s="32" t="str" cm="1">
        <f t="array" ref="AA1366">IFERROR(IF(INDEX(SubsidieTabel!$AD$1:$AG$12,MATCH($F1366,SubsidieTabel!$AD$1:$AD$12,0),IFERROR(MATCH(Methode_Keuze,SubsidieTabel!$AD$1:$AG$1,0),2))&lt;&gt;1=TRUE,"ja",""),"")</f>
        <v/>
      </c>
    </row>
    <row r="1367" spans="1:27" x14ac:dyDescent="0.25">
      <c r="A1367" s="320"/>
      <c r="B1367" s="321" t="str">
        <f>IF(A1367&lt;&gt;"",_xlfn.MAXIFS($B$1:B1366,$A$1:A1366,A1367)+1,"")</f>
        <v/>
      </c>
      <c r="C1367" s="299"/>
      <c r="D1367" s="299"/>
      <c r="E1367" s="299"/>
      <c r="F1367" s="299"/>
      <c r="G1367" s="330"/>
      <c r="H1367" s="328"/>
      <c r="I1367" s="329"/>
      <c r="J1367" s="329"/>
      <c r="K1367" s="322"/>
      <c r="L1367" s="322"/>
      <c r="M1367" s="323" t="str">
        <f>IFERROR(VLOOKUP(H1367,Lijsten!$H$1:$I$100,2,0),"")</f>
        <v/>
      </c>
      <c r="N1367" s="323" t="str">
        <f ca="1">IFERROR(IF(VLOOKUP(F1367,Kostentypen!$A$3:$E$21,3,0)=0,"",IF(OR(F1367="Arbeidskosten",F1367="Vergoeding"),VLOOKUP(G1367,Tb_KostenTypen[],2,0),VLOOKUP(F1367,Kostentypen!$A$3:$E$20,3,0))),"")</f>
        <v/>
      </c>
      <c r="O1367" s="324"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4"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3"/>
      <c r="R1367" s="363"/>
      <c r="S1367" s="325"/>
      <c r="T1367" s="325"/>
      <c r="U1367" s="317" t="str" cm="1">
        <f t="array" aca="1" ref="U1367" ca="1">IFERROR(IF(AA1367&lt;&gt;"ja",_xlfn.IFNA(_xlfn.IFS(AND(O1367&lt;&gt;"",F1367&lt;&gt;"",RIGHT($N1367,6)="tarief",F1367="Vergoeding"),SUM(O1367)*FLOOR(SUM(Q1367),0.0001),AND(O1367&lt;&gt;"",F1367&lt;&gt;"",RIGHT($N1367,6)="tarief"),SUM(O1367)*FLOOR(SUM(Q1367),0.01),S1367&gt;0,IF(F1367&lt;&gt;"",FLOOR(SUM(S1367),0.01),"")),""),""),"")</f>
        <v/>
      </c>
      <c r="V1367" s="317" t="str" cm="1">
        <f t="array" aca="1" ref="V1367" ca="1">IFERROR(IF(AA1367&lt;&gt;"ja",_xlfn.IFNA(_xlfn.IFS(AND(P1367&lt;&gt;"",R1367&lt;&gt;"",RIGHT($N1367,6)="tarief",F1367="Vergoeding"),SUM(P1367)*FLOOR(SUM(R1367),0.0001),AND(P1367&lt;&gt;"",R1367&lt;&gt;"",RIGHT($N1367,6)="tarief"),P1367*FLOOR(R1367,0.01),T1367&gt;0,FLOOR(SUM(T1367),0.01)),""),""),"")</f>
        <v/>
      </c>
      <c r="W1367" s="317" t="str" cm="1">
        <f t="array" aca="1" ref="W1367" ca="1">IFERROR(_xlfn.IFS(OR(F1367="",LEFT(Methode_Keuze,4)="Geen",Methode_Keuze=""),"",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17" t="str" cm="1">
        <f t="array" aca="1" ref="X1367" ca="1">IFERROR(_xlfn.IFS(OR(F1367="",LEFT(Methode_Keuze,4)="Geen",Methode_Keuze=""),"",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26"/>
      <c r="Z1367" s="319"/>
      <c r="AA1367" s="32" t="str" cm="1">
        <f t="array" ref="AA1367">IFERROR(IF(INDEX(SubsidieTabel!$AD$1:$AG$12,MATCH($F1367,SubsidieTabel!$AD$1:$AD$12,0),IFERROR(MATCH(Methode_Keuze,SubsidieTabel!$AD$1:$AG$1,0),2))&lt;&gt;1=TRUE,"ja",""),"")</f>
        <v/>
      </c>
    </row>
    <row r="1368" spans="1:27" x14ac:dyDescent="0.25">
      <c r="A1368" s="320"/>
      <c r="B1368" s="321" t="str">
        <f>IF(A1368&lt;&gt;"",_xlfn.MAXIFS($B$1:B1367,$A$1:A1367,A1368)+1,"")</f>
        <v/>
      </c>
      <c r="C1368" s="299"/>
      <c r="D1368" s="299"/>
      <c r="E1368" s="299"/>
      <c r="F1368" s="299"/>
      <c r="G1368" s="330"/>
      <c r="H1368" s="328"/>
      <c r="I1368" s="329"/>
      <c r="J1368" s="329"/>
      <c r="K1368" s="322"/>
      <c r="L1368" s="322"/>
      <c r="M1368" s="323" t="str">
        <f>IFERROR(VLOOKUP(H1368,Lijsten!$H$1:$I$100,2,0),"")</f>
        <v/>
      </c>
      <c r="N1368" s="323" t="str">
        <f ca="1">IFERROR(IF(VLOOKUP(F1368,Kostentypen!$A$3:$E$21,3,0)=0,"",IF(OR(F1368="Arbeidskosten",F1368="Vergoeding"),VLOOKUP(G1368,Tb_KostenTypen[],2,0),VLOOKUP(F1368,Kostentypen!$A$3:$E$20,3,0))),"")</f>
        <v/>
      </c>
      <c r="O1368" s="324"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4"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3"/>
      <c r="R1368" s="363"/>
      <c r="S1368" s="325"/>
      <c r="T1368" s="325"/>
      <c r="U1368" s="317" t="str" cm="1">
        <f t="array" aca="1" ref="U1368" ca="1">IFERROR(IF(AA1368&lt;&gt;"ja",_xlfn.IFNA(_xlfn.IFS(AND(O1368&lt;&gt;"",F1368&lt;&gt;"",RIGHT($N1368,6)="tarief",F1368="Vergoeding"),SUM(O1368)*FLOOR(SUM(Q1368),0.0001),AND(O1368&lt;&gt;"",F1368&lt;&gt;"",RIGHT($N1368,6)="tarief"),SUM(O1368)*FLOOR(SUM(Q1368),0.01),S1368&gt;0,IF(F1368&lt;&gt;"",FLOOR(SUM(S1368),0.01),"")),""),""),"")</f>
        <v/>
      </c>
      <c r="V1368" s="317" t="str" cm="1">
        <f t="array" aca="1" ref="V1368" ca="1">IFERROR(IF(AA1368&lt;&gt;"ja",_xlfn.IFNA(_xlfn.IFS(AND(P1368&lt;&gt;"",R1368&lt;&gt;"",RIGHT($N1368,6)="tarief",F1368="Vergoeding"),SUM(P1368)*FLOOR(SUM(R1368),0.0001),AND(P1368&lt;&gt;"",R1368&lt;&gt;"",RIGHT($N1368,6)="tarief"),P1368*FLOOR(R1368,0.01),T1368&gt;0,FLOOR(SUM(T1368),0.01)),""),""),"")</f>
        <v/>
      </c>
      <c r="W1368" s="317" t="str" cm="1">
        <f t="array" aca="1" ref="W1368" ca="1">IFERROR(_xlfn.IFS(OR(F1368="",LEFT(Methode_Keuze,4)="Geen",Methode_Keuze=""),"",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17" t="str" cm="1">
        <f t="array" aca="1" ref="X1368" ca="1">IFERROR(_xlfn.IFS(OR(F1368="",LEFT(Methode_Keuze,4)="Geen",Methode_Keuze=""),"",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26"/>
      <c r="Z1368" s="319"/>
      <c r="AA1368" s="32" t="str" cm="1">
        <f t="array" ref="AA1368">IFERROR(IF(INDEX(SubsidieTabel!$AD$1:$AG$12,MATCH($F1368,SubsidieTabel!$AD$1:$AD$12,0),IFERROR(MATCH(Methode_Keuze,SubsidieTabel!$AD$1:$AG$1,0),2))&lt;&gt;1=TRUE,"ja",""),"")</f>
        <v/>
      </c>
    </row>
    <row r="1369" spans="1:27" x14ac:dyDescent="0.25">
      <c r="A1369" s="320"/>
      <c r="B1369" s="321" t="str">
        <f>IF(A1369&lt;&gt;"",_xlfn.MAXIFS($B$1:B1368,$A$1:A1368,A1369)+1,"")</f>
        <v/>
      </c>
      <c r="C1369" s="299"/>
      <c r="D1369" s="299"/>
      <c r="E1369" s="299"/>
      <c r="F1369" s="299"/>
      <c r="G1369" s="330"/>
      <c r="H1369" s="328"/>
      <c r="I1369" s="329"/>
      <c r="J1369" s="329"/>
      <c r="K1369" s="322"/>
      <c r="L1369" s="322"/>
      <c r="M1369" s="323" t="str">
        <f>IFERROR(VLOOKUP(H1369,Lijsten!$H$1:$I$100,2,0),"")</f>
        <v/>
      </c>
      <c r="N1369" s="323" t="str">
        <f ca="1">IFERROR(IF(VLOOKUP(F1369,Kostentypen!$A$3:$E$21,3,0)=0,"",IF(OR(F1369="Arbeidskosten",F1369="Vergoeding"),VLOOKUP(G1369,Tb_KostenTypen[],2,0),VLOOKUP(F1369,Kostentypen!$A$3:$E$20,3,0))),"")</f>
        <v/>
      </c>
      <c r="O1369" s="324"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4"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3"/>
      <c r="R1369" s="363"/>
      <c r="S1369" s="325"/>
      <c r="T1369" s="325"/>
      <c r="U1369" s="317" t="str" cm="1">
        <f t="array" aca="1" ref="U1369" ca="1">IFERROR(IF(AA1369&lt;&gt;"ja",_xlfn.IFNA(_xlfn.IFS(AND(O1369&lt;&gt;"",F1369&lt;&gt;"",RIGHT($N1369,6)="tarief",F1369="Vergoeding"),SUM(O1369)*FLOOR(SUM(Q1369),0.0001),AND(O1369&lt;&gt;"",F1369&lt;&gt;"",RIGHT($N1369,6)="tarief"),SUM(O1369)*FLOOR(SUM(Q1369),0.01),S1369&gt;0,IF(F1369&lt;&gt;"",FLOOR(SUM(S1369),0.01),"")),""),""),"")</f>
        <v/>
      </c>
      <c r="V1369" s="317" t="str" cm="1">
        <f t="array" aca="1" ref="V1369" ca="1">IFERROR(IF(AA1369&lt;&gt;"ja",_xlfn.IFNA(_xlfn.IFS(AND(P1369&lt;&gt;"",R1369&lt;&gt;"",RIGHT($N1369,6)="tarief",F1369="Vergoeding"),SUM(P1369)*FLOOR(SUM(R1369),0.0001),AND(P1369&lt;&gt;"",R1369&lt;&gt;"",RIGHT($N1369,6)="tarief"),P1369*FLOOR(R1369,0.01),T1369&gt;0,FLOOR(SUM(T1369),0.01)),""),""),"")</f>
        <v/>
      </c>
      <c r="W1369" s="317" t="str" cm="1">
        <f t="array" aca="1" ref="W1369" ca="1">IFERROR(_xlfn.IFS(OR(F1369="",LEFT(Methode_Keuze,4)="Geen",Methode_Keuze=""),"",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17" t="str" cm="1">
        <f t="array" aca="1" ref="X1369" ca="1">IFERROR(_xlfn.IFS(OR(F1369="",LEFT(Methode_Keuze,4)="Geen",Methode_Keuze=""),"",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26"/>
      <c r="Z1369" s="319"/>
      <c r="AA1369" s="32" t="str" cm="1">
        <f t="array" ref="AA1369">IFERROR(IF(INDEX(SubsidieTabel!$AD$1:$AG$12,MATCH($F1369,SubsidieTabel!$AD$1:$AD$12,0),IFERROR(MATCH(Methode_Keuze,SubsidieTabel!$AD$1:$AG$1,0),2))&lt;&gt;1=TRUE,"ja",""),"")</f>
        <v/>
      </c>
    </row>
    <row r="1370" spans="1:27" x14ac:dyDescent="0.25">
      <c r="A1370" s="320"/>
      <c r="B1370" s="321" t="str">
        <f>IF(A1370&lt;&gt;"",_xlfn.MAXIFS($B$1:B1369,$A$1:A1369,A1370)+1,"")</f>
        <v/>
      </c>
      <c r="C1370" s="299"/>
      <c r="D1370" s="299"/>
      <c r="E1370" s="299"/>
      <c r="F1370" s="299"/>
      <c r="G1370" s="330"/>
      <c r="H1370" s="328"/>
      <c r="I1370" s="329"/>
      <c r="J1370" s="329"/>
      <c r="K1370" s="322"/>
      <c r="L1370" s="322"/>
      <c r="M1370" s="323" t="str">
        <f>IFERROR(VLOOKUP(H1370,Lijsten!$H$1:$I$100,2,0),"")</f>
        <v/>
      </c>
      <c r="N1370" s="323" t="str">
        <f ca="1">IFERROR(IF(VLOOKUP(F1370,Kostentypen!$A$3:$E$21,3,0)=0,"",IF(OR(F1370="Arbeidskosten",F1370="Vergoeding"),VLOOKUP(G1370,Tb_KostenTypen[],2,0),VLOOKUP(F1370,Kostentypen!$A$3:$E$20,3,0))),"")</f>
        <v/>
      </c>
      <c r="O1370" s="324"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4"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3"/>
      <c r="R1370" s="363"/>
      <c r="S1370" s="325"/>
      <c r="T1370" s="325"/>
      <c r="U1370" s="317" t="str" cm="1">
        <f t="array" aca="1" ref="U1370" ca="1">IFERROR(IF(AA1370&lt;&gt;"ja",_xlfn.IFNA(_xlfn.IFS(AND(O1370&lt;&gt;"",F1370&lt;&gt;"",RIGHT($N1370,6)="tarief",F1370="Vergoeding"),SUM(O1370)*FLOOR(SUM(Q1370),0.0001),AND(O1370&lt;&gt;"",F1370&lt;&gt;"",RIGHT($N1370,6)="tarief"),SUM(O1370)*FLOOR(SUM(Q1370),0.01),S1370&gt;0,IF(F1370&lt;&gt;"",FLOOR(SUM(S1370),0.01),"")),""),""),"")</f>
        <v/>
      </c>
      <c r="V1370" s="317" t="str" cm="1">
        <f t="array" aca="1" ref="V1370" ca="1">IFERROR(IF(AA1370&lt;&gt;"ja",_xlfn.IFNA(_xlfn.IFS(AND(P1370&lt;&gt;"",R1370&lt;&gt;"",RIGHT($N1370,6)="tarief",F1370="Vergoeding"),SUM(P1370)*FLOOR(SUM(R1370),0.0001),AND(P1370&lt;&gt;"",R1370&lt;&gt;"",RIGHT($N1370,6)="tarief"),P1370*FLOOR(R1370,0.01),T1370&gt;0,FLOOR(SUM(T1370),0.01)),""),""),"")</f>
        <v/>
      </c>
      <c r="W1370" s="317" t="str" cm="1">
        <f t="array" aca="1" ref="W1370" ca="1">IFERROR(_xlfn.IFS(OR(F1370="",LEFT(Methode_Keuze,4)="Geen",Methode_Keuze=""),"",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17" t="str" cm="1">
        <f t="array" aca="1" ref="X1370" ca="1">IFERROR(_xlfn.IFS(OR(F1370="",LEFT(Methode_Keuze,4)="Geen",Methode_Keuze=""),"",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26"/>
      <c r="Z1370" s="319"/>
      <c r="AA1370" s="32" t="str" cm="1">
        <f t="array" ref="AA1370">IFERROR(IF(INDEX(SubsidieTabel!$AD$1:$AG$12,MATCH($F1370,SubsidieTabel!$AD$1:$AD$12,0),IFERROR(MATCH(Methode_Keuze,SubsidieTabel!$AD$1:$AG$1,0),2))&lt;&gt;1=TRUE,"ja",""),"")</f>
        <v/>
      </c>
    </row>
    <row r="1371" spans="1:27" x14ac:dyDescent="0.25">
      <c r="A1371" s="320"/>
      <c r="B1371" s="321" t="str">
        <f>IF(A1371&lt;&gt;"",_xlfn.MAXIFS($B$1:B1370,$A$1:A1370,A1371)+1,"")</f>
        <v/>
      </c>
      <c r="C1371" s="299"/>
      <c r="D1371" s="299"/>
      <c r="E1371" s="299"/>
      <c r="F1371" s="299"/>
      <c r="G1371" s="330"/>
      <c r="H1371" s="328"/>
      <c r="I1371" s="329"/>
      <c r="J1371" s="329"/>
      <c r="K1371" s="322"/>
      <c r="L1371" s="322"/>
      <c r="M1371" s="323" t="str">
        <f>IFERROR(VLOOKUP(H1371,Lijsten!$H$1:$I$100,2,0),"")</f>
        <v/>
      </c>
      <c r="N1371" s="323" t="str">
        <f ca="1">IFERROR(IF(VLOOKUP(F1371,Kostentypen!$A$3:$E$21,3,0)=0,"",IF(OR(F1371="Arbeidskosten",F1371="Vergoeding"),VLOOKUP(G1371,Tb_KostenTypen[],2,0),VLOOKUP(F1371,Kostentypen!$A$3:$E$20,3,0))),"")</f>
        <v/>
      </c>
      <c r="O1371" s="324"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4"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3"/>
      <c r="R1371" s="363"/>
      <c r="S1371" s="325"/>
      <c r="T1371" s="325"/>
      <c r="U1371" s="317" t="str" cm="1">
        <f t="array" aca="1" ref="U1371" ca="1">IFERROR(IF(AA1371&lt;&gt;"ja",_xlfn.IFNA(_xlfn.IFS(AND(O1371&lt;&gt;"",F1371&lt;&gt;"",RIGHT($N1371,6)="tarief",F1371="Vergoeding"),SUM(O1371)*FLOOR(SUM(Q1371),0.0001),AND(O1371&lt;&gt;"",F1371&lt;&gt;"",RIGHT($N1371,6)="tarief"),SUM(O1371)*FLOOR(SUM(Q1371),0.01),S1371&gt;0,IF(F1371&lt;&gt;"",FLOOR(SUM(S1371),0.01),"")),""),""),"")</f>
        <v/>
      </c>
      <c r="V1371" s="317" t="str" cm="1">
        <f t="array" aca="1" ref="V1371" ca="1">IFERROR(IF(AA1371&lt;&gt;"ja",_xlfn.IFNA(_xlfn.IFS(AND(P1371&lt;&gt;"",R1371&lt;&gt;"",RIGHT($N1371,6)="tarief",F1371="Vergoeding"),SUM(P1371)*FLOOR(SUM(R1371),0.0001),AND(P1371&lt;&gt;"",R1371&lt;&gt;"",RIGHT($N1371,6)="tarief"),P1371*FLOOR(R1371,0.01),T1371&gt;0,FLOOR(SUM(T1371),0.01)),""),""),"")</f>
        <v/>
      </c>
      <c r="W1371" s="317" t="str" cm="1">
        <f t="array" aca="1" ref="W1371" ca="1">IFERROR(_xlfn.IFS(OR(F1371="",LEFT(Methode_Keuze,4)="Geen",Methode_Keuze=""),"",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17" t="str" cm="1">
        <f t="array" aca="1" ref="X1371" ca="1">IFERROR(_xlfn.IFS(OR(F1371="",LEFT(Methode_Keuze,4)="Geen",Methode_Keuze=""),"",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26"/>
      <c r="Z1371" s="319"/>
      <c r="AA1371" s="32" t="str" cm="1">
        <f t="array" ref="AA1371">IFERROR(IF(INDEX(SubsidieTabel!$AD$1:$AG$12,MATCH($F1371,SubsidieTabel!$AD$1:$AD$12,0),IFERROR(MATCH(Methode_Keuze,SubsidieTabel!$AD$1:$AG$1,0),2))&lt;&gt;1=TRUE,"ja",""),"")</f>
        <v/>
      </c>
    </row>
    <row r="1372" spans="1:27" x14ac:dyDescent="0.25">
      <c r="A1372" s="320"/>
      <c r="B1372" s="321" t="str">
        <f>IF(A1372&lt;&gt;"",_xlfn.MAXIFS($B$1:B1371,$A$1:A1371,A1372)+1,"")</f>
        <v/>
      </c>
      <c r="C1372" s="299"/>
      <c r="D1372" s="299"/>
      <c r="E1372" s="299"/>
      <c r="F1372" s="299"/>
      <c r="G1372" s="330"/>
      <c r="H1372" s="328"/>
      <c r="I1372" s="329"/>
      <c r="J1372" s="329"/>
      <c r="K1372" s="322"/>
      <c r="L1372" s="322"/>
      <c r="M1372" s="323" t="str">
        <f>IFERROR(VLOOKUP(H1372,Lijsten!$H$1:$I$100,2,0),"")</f>
        <v/>
      </c>
      <c r="N1372" s="323" t="str">
        <f ca="1">IFERROR(IF(VLOOKUP(F1372,Kostentypen!$A$3:$E$21,3,0)=0,"",IF(OR(F1372="Arbeidskosten",F1372="Vergoeding"),VLOOKUP(G1372,Tb_KostenTypen[],2,0),VLOOKUP(F1372,Kostentypen!$A$3:$E$20,3,0))),"")</f>
        <v/>
      </c>
      <c r="O1372" s="324"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4"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3"/>
      <c r="R1372" s="363"/>
      <c r="S1372" s="325"/>
      <c r="T1372" s="325"/>
      <c r="U1372" s="317" t="str" cm="1">
        <f t="array" aca="1" ref="U1372" ca="1">IFERROR(IF(AA1372&lt;&gt;"ja",_xlfn.IFNA(_xlfn.IFS(AND(O1372&lt;&gt;"",F1372&lt;&gt;"",RIGHT($N1372,6)="tarief",F1372="Vergoeding"),SUM(O1372)*FLOOR(SUM(Q1372),0.0001),AND(O1372&lt;&gt;"",F1372&lt;&gt;"",RIGHT($N1372,6)="tarief"),SUM(O1372)*FLOOR(SUM(Q1372),0.01),S1372&gt;0,IF(F1372&lt;&gt;"",FLOOR(SUM(S1372),0.01),"")),""),""),"")</f>
        <v/>
      </c>
      <c r="V1372" s="317" t="str" cm="1">
        <f t="array" aca="1" ref="V1372" ca="1">IFERROR(IF(AA1372&lt;&gt;"ja",_xlfn.IFNA(_xlfn.IFS(AND(P1372&lt;&gt;"",R1372&lt;&gt;"",RIGHT($N1372,6)="tarief",F1372="Vergoeding"),SUM(P1372)*FLOOR(SUM(R1372),0.0001),AND(P1372&lt;&gt;"",R1372&lt;&gt;"",RIGHT($N1372,6)="tarief"),P1372*FLOOR(R1372,0.01),T1372&gt;0,FLOOR(SUM(T1372),0.01)),""),""),"")</f>
        <v/>
      </c>
      <c r="W1372" s="317" t="str" cm="1">
        <f t="array" aca="1" ref="W1372" ca="1">IFERROR(_xlfn.IFS(OR(F1372="",LEFT(Methode_Keuze,4)="Geen",Methode_Keuze=""),"",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17" t="str" cm="1">
        <f t="array" aca="1" ref="X1372" ca="1">IFERROR(_xlfn.IFS(OR(F1372="",LEFT(Methode_Keuze,4)="Geen",Methode_Keuze=""),"",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26"/>
      <c r="Z1372" s="319"/>
      <c r="AA1372" s="32" t="str" cm="1">
        <f t="array" ref="AA1372">IFERROR(IF(INDEX(SubsidieTabel!$AD$1:$AG$12,MATCH($F1372,SubsidieTabel!$AD$1:$AD$12,0),IFERROR(MATCH(Methode_Keuze,SubsidieTabel!$AD$1:$AG$1,0),2))&lt;&gt;1=TRUE,"ja",""),"")</f>
        <v/>
      </c>
    </row>
    <row r="1373" spans="1:27" x14ac:dyDescent="0.25">
      <c r="A1373" s="320"/>
      <c r="B1373" s="321" t="str">
        <f>IF(A1373&lt;&gt;"",_xlfn.MAXIFS($B$1:B1372,$A$1:A1372,A1373)+1,"")</f>
        <v/>
      </c>
      <c r="C1373" s="299"/>
      <c r="D1373" s="299"/>
      <c r="E1373" s="299"/>
      <c r="F1373" s="299"/>
      <c r="G1373" s="330"/>
      <c r="H1373" s="328"/>
      <c r="I1373" s="329"/>
      <c r="J1373" s="329"/>
      <c r="K1373" s="322"/>
      <c r="L1373" s="322"/>
      <c r="M1373" s="323" t="str">
        <f>IFERROR(VLOOKUP(H1373,Lijsten!$H$1:$I$100,2,0),"")</f>
        <v/>
      </c>
      <c r="N1373" s="323" t="str">
        <f ca="1">IFERROR(IF(VLOOKUP(F1373,Kostentypen!$A$3:$E$21,3,0)=0,"",IF(OR(F1373="Arbeidskosten",F1373="Vergoeding"),VLOOKUP(G1373,Tb_KostenTypen[],2,0),VLOOKUP(F1373,Kostentypen!$A$3:$E$20,3,0))),"")</f>
        <v/>
      </c>
      <c r="O1373" s="324"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4"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3"/>
      <c r="R1373" s="363"/>
      <c r="S1373" s="325"/>
      <c r="T1373" s="325"/>
      <c r="U1373" s="317" t="str" cm="1">
        <f t="array" aca="1" ref="U1373" ca="1">IFERROR(IF(AA1373&lt;&gt;"ja",_xlfn.IFNA(_xlfn.IFS(AND(O1373&lt;&gt;"",F1373&lt;&gt;"",RIGHT($N1373,6)="tarief",F1373="Vergoeding"),SUM(O1373)*FLOOR(SUM(Q1373),0.0001),AND(O1373&lt;&gt;"",F1373&lt;&gt;"",RIGHT($N1373,6)="tarief"),SUM(O1373)*FLOOR(SUM(Q1373),0.01),S1373&gt;0,IF(F1373&lt;&gt;"",FLOOR(SUM(S1373),0.01),"")),""),""),"")</f>
        <v/>
      </c>
      <c r="V1373" s="317" t="str" cm="1">
        <f t="array" aca="1" ref="V1373" ca="1">IFERROR(IF(AA1373&lt;&gt;"ja",_xlfn.IFNA(_xlfn.IFS(AND(P1373&lt;&gt;"",R1373&lt;&gt;"",RIGHT($N1373,6)="tarief",F1373="Vergoeding"),SUM(P1373)*FLOOR(SUM(R1373),0.0001),AND(P1373&lt;&gt;"",R1373&lt;&gt;"",RIGHT($N1373,6)="tarief"),P1373*FLOOR(R1373,0.01),T1373&gt;0,FLOOR(SUM(T1373),0.01)),""),""),"")</f>
        <v/>
      </c>
      <c r="W1373" s="317" t="str" cm="1">
        <f t="array" aca="1" ref="W1373" ca="1">IFERROR(_xlfn.IFS(OR(F1373="",LEFT(Methode_Keuze,4)="Geen",Methode_Keuze=""),"",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17" t="str" cm="1">
        <f t="array" aca="1" ref="X1373" ca="1">IFERROR(_xlfn.IFS(OR(F1373="",LEFT(Methode_Keuze,4)="Geen",Methode_Keuze=""),"",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26"/>
      <c r="Z1373" s="319"/>
      <c r="AA1373" s="32" t="str" cm="1">
        <f t="array" ref="AA1373">IFERROR(IF(INDEX(SubsidieTabel!$AD$1:$AG$12,MATCH($F1373,SubsidieTabel!$AD$1:$AD$12,0),IFERROR(MATCH(Methode_Keuze,SubsidieTabel!$AD$1:$AG$1,0),2))&lt;&gt;1=TRUE,"ja",""),"")</f>
        <v/>
      </c>
    </row>
    <row r="1374" spans="1:27" x14ac:dyDescent="0.25">
      <c r="A1374" s="320"/>
      <c r="B1374" s="321" t="str">
        <f>IF(A1374&lt;&gt;"",_xlfn.MAXIFS($B$1:B1373,$A$1:A1373,A1374)+1,"")</f>
        <v/>
      </c>
      <c r="C1374" s="299"/>
      <c r="D1374" s="299"/>
      <c r="E1374" s="299"/>
      <c r="F1374" s="299"/>
      <c r="G1374" s="330"/>
      <c r="H1374" s="328"/>
      <c r="I1374" s="329"/>
      <c r="J1374" s="329"/>
      <c r="K1374" s="322"/>
      <c r="L1374" s="322"/>
      <c r="M1374" s="323" t="str">
        <f>IFERROR(VLOOKUP(H1374,Lijsten!$H$1:$I$100,2,0),"")</f>
        <v/>
      </c>
      <c r="N1374" s="323" t="str">
        <f ca="1">IFERROR(IF(VLOOKUP(F1374,Kostentypen!$A$3:$E$21,3,0)=0,"",IF(OR(F1374="Arbeidskosten",F1374="Vergoeding"),VLOOKUP(G1374,Tb_KostenTypen[],2,0),VLOOKUP(F1374,Kostentypen!$A$3:$E$20,3,0))),"")</f>
        <v/>
      </c>
      <c r="O1374" s="324"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4"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3"/>
      <c r="R1374" s="363"/>
      <c r="S1374" s="325"/>
      <c r="T1374" s="325"/>
      <c r="U1374" s="317" t="str" cm="1">
        <f t="array" aca="1" ref="U1374" ca="1">IFERROR(IF(AA1374&lt;&gt;"ja",_xlfn.IFNA(_xlfn.IFS(AND(O1374&lt;&gt;"",F1374&lt;&gt;"",RIGHT($N1374,6)="tarief",F1374="Vergoeding"),SUM(O1374)*FLOOR(SUM(Q1374),0.0001),AND(O1374&lt;&gt;"",F1374&lt;&gt;"",RIGHT($N1374,6)="tarief"),SUM(O1374)*FLOOR(SUM(Q1374),0.01),S1374&gt;0,IF(F1374&lt;&gt;"",FLOOR(SUM(S1374),0.01),"")),""),""),"")</f>
        <v/>
      </c>
      <c r="V1374" s="317" t="str" cm="1">
        <f t="array" aca="1" ref="V1374" ca="1">IFERROR(IF(AA1374&lt;&gt;"ja",_xlfn.IFNA(_xlfn.IFS(AND(P1374&lt;&gt;"",R1374&lt;&gt;"",RIGHT($N1374,6)="tarief",F1374="Vergoeding"),SUM(P1374)*FLOOR(SUM(R1374),0.0001),AND(P1374&lt;&gt;"",R1374&lt;&gt;"",RIGHT($N1374,6)="tarief"),P1374*FLOOR(R1374,0.01),T1374&gt;0,FLOOR(SUM(T1374),0.01)),""),""),"")</f>
        <v/>
      </c>
      <c r="W1374" s="317" t="str" cm="1">
        <f t="array" aca="1" ref="W1374" ca="1">IFERROR(_xlfn.IFS(OR(F1374="",LEFT(Methode_Keuze,4)="Geen",Methode_Keuze=""),"",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17" t="str" cm="1">
        <f t="array" aca="1" ref="X1374" ca="1">IFERROR(_xlfn.IFS(OR(F1374="",LEFT(Methode_Keuze,4)="Geen",Methode_Keuze=""),"",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26"/>
      <c r="Z1374" s="319"/>
      <c r="AA1374" s="32" t="str" cm="1">
        <f t="array" ref="AA1374">IFERROR(IF(INDEX(SubsidieTabel!$AD$1:$AG$12,MATCH($F1374,SubsidieTabel!$AD$1:$AD$12,0),IFERROR(MATCH(Methode_Keuze,SubsidieTabel!$AD$1:$AG$1,0),2))&lt;&gt;1=TRUE,"ja",""),"")</f>
        <v/>
      </c>
    </row>
    <row r="1375" spans="1:27" x14ac:dyDescent="0.25">
      <c r="A1375" s="320"/>
      <c r="B1375" s="321" t="str">
        <f>IF(A1375&lt;&gt;"",_xlfn.MAXIFS($B$1:B1374,$A$1:A1374,A1375)+1,"")</f>
        <v/>
      </c>
      <c r="C1375" s="299"/>
      <c r="D1375" s="299"/>
      <c r="E1375" s="299"/>
      <c r="F1375" s="299"/>
      <c r="G1375" s="330"/>
      <c r="H1375" s="328"/>
      <c r="I1375" s="329"/>
      <c r="J1375" s="329"/>
      <c r="K1375" s="322"/>
      <c r="L1375" s="322"/>
      <c r="M1375" s="323" t="str">
        <f>IFERROR(VLOOKUP(H1375,Lijsten!$H$1:$I$100,2,0),"")</f>
        <v/>
      </c>
      <c r="N1375" s="323" t="str">
        <f ca="1">IFERROR(IF(VLOOKUP(F1375,Kostentypen!$A$3:$E$21,3,0)=0,"",IF(OR(F1375="Arbeidskosten",F1375="Vergoeding"),VLOOKUP(G1375,Tb_KostenTypen[],2,0),VLOOKUP(F1375,Kostentypen!$A$3:$E$20,3,0))),"")</f>
        <v/>
      </c>
      <c r="O1375" s="324"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4"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3"/>
      <c r="R1375" s="363"/>
      <c r="S1375" s="325"/>
      <c r="T1375" s="325"/>
      <c r="U1375" s="317" t="str" cm="1">
        <f t="array" aca="1" ref="U1375" ca="1">IFERROR(IF(AA1375&lt;&gt;"ja",_xlfn.IFNA(_xlfn.IFS(AND(O1375&lt;&gt;"",F1375&lt;&gt;"",RIGHT($N1375,6)="tarief",F1375="Vergoeding"),SUM(O1375)*FLOOR(SUM(Q1375),0.0001),AND(O1375&lt;&gt;"",F1375&lt;&gt;"",RIGHT($N1375,6)="tarief"),SUM(O1375)*FLOOR(SUM(Q1375),0.01),S1375&gt;0,IF(F1375&lt;&gt;"",FLOOR(SUM(S1375),0.01),"")),""),""),"")</f>
        <v/>
      </c>
      <c r="V1375" s="317" t="str" cm="1">
        <f t="array" aca="1" ref="V1375" ca="1">IFERROR(IF(AA1375&lt;&gt;"ja",_xlfn.IFNA(_xlfn.IFS(AND(P1375&lt;&gt;"",R1375&lt;&gt;"",RIGHT($N1375,6)="tarief",F1375="Vergoeding"),SUM(P1375)*FLOOR(SUM(R1375),0.0001),AND(P1375&lt;&gt;"",R1375&lt;&gt;"",RIGHT($N1375,6)="tarief"),P1375*FLOOR(R1375,0.01),T1375&gt;0,FLOOR(SUM(T1375),0.01)),""),""),"")</f>
        <v/>
      </c>
      <c r="W1375" s="317" t="str" cm="1">
        <f t="array" aca="1" ref="W1375" ca="1">IFERROR(_xlfn.IFS(OR(F1375="",LEFT(Methode_Keuze,4)="Geen",Methode_Keuze=""),"",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17" t="str" cm="1">
        <f t="array" aca="1" ref="X1375" ca="1">IFERROR(_xlfn.IFS(OR(F1375="",LEFT(Methode_Keuze,4)="Geen",Methode_Keuze=""),"",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26"/>
      <c r="Z1375" s="319"/>
      <c r="AA1375" s="32" t="str" cm="1">
        <f t="array" ref="AA1375">IFERROR(IF(INDEX(SubsidieTabel!$AD$1:$AG$12,MATCH($F1375,SubsidieTabel!$AD$1:$AD$12,0),IFERROR(MATCH(Methode_Keuze,SubsidieTabel!$AD$1:$AG$1,0),2))&lt;&gt;1=TRUE,"ja",""),"")</f>
        <v/>
      </c>
    </row>
    <row r="1376" spans="1:27" x14ac:dyDescent="0.25">
      <c r="A1376" s="320"/>
      <c r="B1376" s="321" t="str">
        <f>IF(A1376&lt;&gt;"",_xlfn.MAXIFS($B$1:B1375,$A$1:A1375,A1376)+1,"")</f>
        <v/>
      </c>
      <c r="C1376" s="299"/>
      <c r="D1376" s="299"/>
      <c r="E1376" s="299"/>
      <c r="F1376" s="299"/>
      <c r="G1376" s="330"/>
      <c r="H1376" s="328"/>
      <c r="I1376" s="329"/>
      <c r="J1376" s="329"/>
      <c r="K1376" s="322"/>
      <c r="L1376" s="322"/>
      <c r="M1376" s="323" t="str">
        <f>IFERROR(VLOOKUP(H1376,Lijsten!$H$1:$I$100,2,0),"")</f>
        <v/>
      </c>
      <c r="N1376" s="323" t="str">
        <f ca="1">IFERROR(IF(VLOOKUP(F1376,Kostentypen!$A$3:$E$21,3,0)=0,"",IF(OR(F1376="Arbeidskosten",F1376="Vergoeding"),VLOOKUP(G1376,Tb_KostenTypen[],2,0),VLOOKUP(F1376,Kostentypen!$A$3:$E$20,3,0))),"")</f>
        <v/>
      </c>
      <c r="O1376" s="324"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4"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3"/>
      <c r="R1376" s="363"/>
      <c r="S1376" s="325"/>
      <c r="T1376" s="325"/>
      <c r="U1376" s="317" t="str" cm="1">
        <f t="array" aca="1" ref="U1376" ca="1">IFERROR(IF(AA1376&lt;&gt;"ja",_xlfn.IFNA(_xlfn.IFS(AND(O1376&lt;&gt;"",F1376&lt;&gt;"",RIGHT($N1376,6)="tarief",F1376="Vergoeding"),SUM(O1376)*FLOOR(SUM(Q1376),0.0001),AND(O1376&lt;&gt;"",F1376&lt;&gt;"",RIGHT($N1376,6)="tarief"),SUM(O1376)*FLOOR(SUM(Q1376),0.01),S1376&gt;0,IF(F1376&lt;&gt;"",FLOOR(SUM(S1376),0.01),"")),""),""),"")</f>
        <v/>
      </c>
      <c r="V1376" s="317" t="str" cm="1">
        <f t="array" aca="1" ref="V1376" ca="1">IFERROR(IF(AA1376&lt;&gt;"ja",_xlfn.IFNA(_xlfn.IFS(AND(P1376&lt;&gt;"",R1376&lt;&gt;"",RIGHT($N1376,6)="tarief",F1376="Vergoeding"),SUM(P1376)*FLOOR(SUM(R1376),0.0001),AND(P1376&lt;&gt;"",R1376&lt;&gt;"",RIGHT($N1376,6)="tarief"),P1376*FLOOR(R1376,0.01),T1376&gt;0,FLOOR(SUM(T1376),0.01)),""),""),"")</f>
        <v/>
      </c>
      <c r="W1376" s="317" t="str" cm="1">
        <f t="array" aca="1" ref="W1376" ca="1">IFERROR(_xlfn.IFS(OR(F1376="",LEFT(Methode_Keuze,4)="Geen",Methode_Keuze=""),"",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17" t="str" cm="1">
        <f t="array" aca="1" ref="X1376" ca="1">IFERROR(_xlfn.IFS(OR(F1376="",LEFT(Methode_Keuze,4)="Geen",Methode_Keuze=""),"",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26"/>
      <c r="Z1376" s="319"/>
      <c r="AA1376" s="32" t="str" cm="1">
        <f t="array" ref="AA1376">IFERROR(IF(INDEX(SubsidieTabel!$AD$1:$AG$12,MATCH($F1376,SubsidieTabel!$AD$1:$AD$12,0),IFERROR(MATCH(Methode_Keuze,SubsidieTabel!$AD$1:$AG$1,0),2))&lt;&gt;1=TRUE,"ja",""),"")</f>
        <v/>
      </c>
    </row>
    <row r="1377" spans="1:27" x14ac:dyDescent="0.25">
      <c r="A1377" s="320"/>
      <c r="B1377" s="321" t="str">
        <f>IF(A1377&lt;&gt;"",_xlfn.MAXIFS($B$1:B1376,$A$1:A1376,A1377)+1,"")</f>
        <v/>
      </c>
      <c r="C1377" s="299"/>
      <c r="D1377" s="299"/>
      <c r="E1377" s="299"/>
      <c r="F1377" s="299"/>
      <c r="G1377" s="330"/>
      <c r="H1377" s="328"/>
      <c r="I1377" s="329"/>
      <c r="J1377" s="329"/>
      <c r="K1377" s="322"/>
      <c r="L1377" s="322"/>
      <c r="M1377" s="323" t="str">
        <f>IFERROR(VLOOKUP(H1377,Lijsten!$H$1:$I$100,2,0),"")</f>
        <v/>
      </c>
      <c r="N1377" s="323" t="str">
        <f ca="1">IFERROR(IF(VLOOKUP(F1377,Kostentypen!$A$3:$E$21,3,0)=0,"",IF(OR(F1377="Arbeidskosten",F1377="Vergoeding"),VLOOKUP(G1377,Tb_KostenTypen[],2,0),VLOOKUP(F1377,Kostentypen!$A$3:$E$20,3,0))),"")</f>
        <v/>
      </c>
      <c r="O1377" s="324"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4"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3"/>
      <c r="R1377" s="363"/>
      <c r="S1377" s="325"/>
      <c r="T1377" s="325"/>
      <c r="U1377" s="317" t="str" cm="1">
        <f t="array" aca="1" ref="U1377" ca="1">IFERROR(IF(AA1377&lt;&gt;"ja",_xlfn.IFNA(_xlfn.IFS(AND(O1377&lt;&gt;"",F1377&lt;&gt;"",RIGHT($N1377,6)="tarief",F1377="Vergoeding"),SUM(O1377)*FLOOR(SUM(Q1377),0.0001),AND(O1377&lt;&gt;"",F1377&lt;&gt;"",RIGHT($N1377,6)="tarief"),SUM(O1377)*FLOOR(SUM(Q1377),0.01),S1377&gt;0,IF(F1377&lt;&gt;"",FLOOR(SUM(S1377),0.01),"")),""),""),"")</f>
        <v/>
      </c>
      <c r="V1377" s="317" t="str" cm="1">
        <f t="array" aca="1" ref="V1377" ca="1">IFERROR(IF(AA1377&lt;&gt;"ja",_xlfn.IFNA(_xlfn.IFS(AND(P1377&lt;&gt;"",R1377&lt;&gt;"",RIGHT($N1377,6)="tarief",F1377="Vergoeding"),SUM(P1377)*FLOOR(SUM(R1377),0.0001),AND(P1377&lt;&gt;"",R1377&lt;&gt;"",RIGHT($N1377,6)="tarief"),P1377*FLOOR(R1377,0.01),T1377&gt;0,FLOOR(SUM(T1377),0.01)),""),""),"")</f>
        <v/>
      </c>
      <c r="W1377" s="317" t="str" cm="1">
        <f t="array" aca="1" ref="W1377" ca="1">IFERROR(_xlfn.IFS(OR(F1377="",LEFT(Methode_Keuze,4)="Geen",Methode_Keuze=""),"",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17" t="str" cm="1">
        <f t="array" aca="1" ref="X1377" ca="1">IFERROR(_xlfn.IFS(OR(F1377="",LEFT(Methode_Keuze,4)="Geen",Methode_Keuze=""),"",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26"/>
      <c r="Z1377" s="319"/>
      <c r="AA1377" s="32" t="str" cm="1">
        <f t="array" ref="AA1377">IFERROR(IF(INDEX(SubsidieTabel!$AD$1:$AG$12,MATCH($F1377,SubsidieTabel!$AD$1:$AD$12,0),IFERROR(MATCH(Methode_Keuze,SubsidieTabel!$AD$1:$AG$1,0),2))&lt;&gt;1=TRUE,"ja",""),"")</f>
        <v/>
      </c>
    </row>
    <row r="1378" spans="1:27" x14ac:dyDescent="0.25">
      <c r="A1378" s="320"/>
      <c r="B1378" s="321" t="str">
        <f>IF(A1378&lt;&gt;"",_xlfn.MAXIFS($B$1:B1377,$A$1:A1377,A1378)+1,"")</f>
        <v/>
      </c>
      <c r="C1378" s="299"/>
      <c r="D1378" s="299"/>
      <c r="E1378" s="299"/>
      <c r="F1378" s="299"/>
      <c r="G1378" s="330"/>
      <c r="H1378" s="328"/>
      <c r="I1378" s="329"/>
      <c r="J1378" s="329"/>
      <c r="K1378" s="322"/>
      <c r="L1378" s="322"/>
      <c r="M1378" s="323" t="str">
        <f>IFERROR(VLOOKUP(H1378,Lijsten!$H$1:$I$100,2,0),"")</f>
        <v/>
      </c>
      <c r="N1378" s="323" t="str">
        <f ca="1">IFERROR(IF(VLOOKUP(F1378,Kostentypen!$A$3:$E$21,3,0)=0,"",IF(OR(F1378="Arbeidskosten",F1378="Vergoeding"),VLOOKUP(G1378,Tb_KostenTypen[],2,0),VLOOKUP(F1378,Kostentypen!$A$3:$E$20,3,0))),"")</f>
        <v/>
      </c>
      <c r="O1378" s="324"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4"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3"/>
      <c r="R1378" s="363"/>
      <c r="S1378" s="325"/>
      <c r="T1378" s="325"/>
      <c r="U1378" s="317" t="str" cm="1">
        <f t="array" aca="1" ref="U1378" ca="1">IFERROR(IF(AA1378&lt;&gt;"ja",_xlfn.IFNA(_xlfn.IFS(AND(O1378&lt;&gt;"",F1378&lt;&gt;"",RIGHT($N1378,6)="tarief",F1378="Vergoeding"),SUM(O1378)*FLOOR(SUM(Q1378),0.0001),AND(O1378&lt;&gt;"",F1378&lt;&gt;"",RIGHT($N1378,6)="tarief"),SUM(O1378)*FLOOR(SUM(Q1378),0.01),S1378&gt;0,IF(F1378&lt;&gt;"",FLOOR(SUM(S1378),0.01),"")),""),""),"")</f>
        <v/>
      </c>
      <c r="V1378" s="317" t="str" cm="1">
        <f t="array" aca="1" ref="V1378" ca="1">IFERROR(IF(AA1378&lt;&gt;"ja",_xlfn.IFNA(_xlfn.IFS(AND(P1378&lt;&gt;"",R1378&lt;&gt;"",RIGHT($N1378,6)="tarief",F1378="Vergoeding"),SUM(P1378)*FLOOR(SUM(R1378),0.0001),AND(P1378&lt;&gt;"",R1378&lt;&gt;"",RIGHT($N1378,6)="tarief"),P1378*FLOOR(R1378,0.01),T1378&gt;0,FLOOR(SUM(T1378),0.01)),""),""),"")</f>
        <v/>
      </c>
      <c r="W1378" s="317" t="str" cm="1">
        <f t="array" aca="1" ref="W1378" ca="1">IFERROR(_xlfn.IFS(OR(F1378="",LEFT(Methode_Keuze,4)="Geen",Methode_Keuze=""),"",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17" t="str" cm="1">
        <f t="array" aca="1" ref="X1378" ca="1">IFERROR(_xlfn.IFS(OR(F1378="",LEFT(Methode_Keuze,4)="Geen",Methode_Keuze=""),"",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26"/>
      <c r="Z1378" s="319"/>
      <c r="AA1378" s="32" t="str" cm="1">
        <f t="array" ref="AA1378">IFERROR(IF(INDEX(SubsidieTabel!$AD$1:$AG$12,MATCH($F1378,SubsidieTabel!$AD$1:$AD$12,0),IFERROR(MATCH(Methode_Keuze,SubsidieTabel!$AD$1:$AG$1,0),2))&lt;&gt;1=TRUE,"ja",""),"")</f>
        <v/>
      </c>
    </row>
    <row r="1379" spans="1:27" x14ac:dyDescent="0.25">
      <c r="A1379" s="320"/>
      <c r="B1379" s="321" t="str">
        <f>IF(A1379&lt;&gt;"",_xlfn.MAXIFS($B$1:B1378,$A$1:A1378,A1379)+1,"")</f>
        <v/>
      </c>
      <c r="C1379" s="299"/>
      <c r="D1379" s="299"/>
      <c r="E1379" s="299"/>
      <c r="F1379" s="299"/>
      <c r="G1379" s="330"/>
      <c r="H1379" s="328"/>
      <c r="I1379" s="329"/>
      <c r="J1379" s="329"/>
      <c r="K1379" s="322"/>
      <c r="L1379" s="322"/>
      <c r="M1379" s="323" t="str">
        <f>IFERROR(VLOOKUP(H1379,Lijsten!$H$1:$I$100,2,0),"")</f>
        <v/>
      </c>
      <c r="N1379" s="323" t="str">
        <f ca="1">IFERROR(IF(VLOOKUP(F1379,Kostentypen!$A$3:$E$21,3,0)=0,"",IF(OR(F1379="Arbeidskosten",F1379="Vergoeding"),VLOOKUP(G1379,Tb_KostenTypen[],2,0),VLOOKUP(F1379,Kostentypen!$A$3:$E$20,3,0))),"")</f>
        <v/>
      </c>
      <c r="O1379" s="324"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4"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3"/>
      <c r="R1379" s="363"/>
      <c r="S1379" s="325"/>
      <c r="T1379" s="325"/>
      <c r="U1379" s="317" t="str" cm="1">
        <f t="array" aca="1" ref="U1379" ca="1">IFERROR(IF(AA1379&lt;&gt;"ja",_xlfn.IFNA(_xlfn.IFS(AND(O1379&lt;&gt;"",F1379&lt;&gt;"",RIGHT($N1379,6)="tarief",F1379="Vergoeding"),SUM(O1379)*FLOOR(SUM(Q1379),0.0001),AND(O1379&lt;&gt;"",F1379&lt;&gt;"",RIGHT($N1379,6)="tarief"),SUM(O1379)*FLOOR(SUM(Q1379),0.01),S1379&gt;0,IF(F1379&lt;&gt;"",FLOOR(SUM(S1379),0.01),"")),""),""),"")</f>
        <v/>
      </c>
      <c r="V1379" s="317" t="str" cm="1">
        <f t="array" aca="1" ref="V1379" ca="1">IFERROR(IF(AA1379&lt;&gt;"ja",_xlfn.IFNA(_xlfn.IFS(AND(P1379&lt;&gt;"",R1379&lt;&gt;"",RIGHT($N1379,6)="tarief",F1379="Vergoeding"),SUM(P1379)*FLOOR(SUM(R1379),0.0001),AND(P1379&lt;&gt;"",R1379&lt;&gt;"",RIGHT($N1379,6)="tarief"),P1379*FLOOR(R1379,0.01),T1379&gt;0,FLOOR(SUM(T1379),0.01)),""),""),"")</f>
        <v/>
      </c>
      <c r="W1379" s="317" t="str" cm="1">
        <f t="array" aca="1" ref="W1379" ca="1">IFERROR(_xlfn.IFS(OR(F1379="",LEFT(Methode_Keuze,4)="Geen",Methode_Keuze=""),"",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17" t="str" cm="1">
        <f t="array" aca="1" ref="X1379" ca="1">IFERROR(_xlfn.IFS(OR(F1379="",LEFT(Methode_Keuze,4)="Geen",Methode_Keuze=""),"",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26"/>
      <c r="Z1379" s="319"/>
      <c r="AA1379" s="32" t="str" cm="1">
        <f t="array" ref="AA1379">IFERROR(IF(INDEX(SubsidieTabel!$AD$1:$AG$12,MATCH($F1379,SubsidieTabel!$AD$1:$AD$12,0),IFERROR(MATCH(Methode_Keuze,SubsidieTabel!$AD$1:$AG$1,0),2))&lt;&gt;1=TRUE,"ja",""),"")</f>
        <v/>
      </c>
    </row>
    <row r="1380" spans="1:27" x14ac:dyDescent="0.25">
      <c r="A1380" s="320"/>
      <c r="B1380" s="321" t="str">
        <f>IF(A1380&lt;&gt;"",_xlfn.MAXIFS($B$1:B1379,$A$1:A1379,A1380)+1,"")</f>
        <v/>
      </c>
      <c r="C1380" s="299"/>
      <c r="D1380" s="299"/>
      <c r="E1380" s="299"/>
      <c r="F1380" s="299"/>
      <c r="G1380" s="330"/>
      <c r="H1380" s="328"/>
      <c r="I1380" s="329"/>
      <c r="J1380" s="329"/>
      <c r="K1380" s="322"/>
      <c r="L1380" s="322"/>
      <c r="M1380" s="323" t="str">
        <f>IFERROR(VLOOKUP(H1380,Lijsten!$H$1:$I$100,2,0),"")</f>
        <v/>
      </c>
      <c r="N1380" s="323" t="str">
        <f ca="1">IFERROR(IF(VLOOKUP(F1380,Kostentypen!$A$3:$E$21,3,0)=0,"",IF(OR(F1380="Arbeidskosten",F1380="Vergoeding"),VLOOKUP(G1380,Tb_KostenTypen[],2,0),VLOOKUP(F1380,Kostentypen!$A$3:$E$20,3,0))),"")</f>
        <v/>
      </c>
      <c r="O1380" s="324"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4"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3"/>
      <c r="R1380" s="363"/>
      <c r="S1380" s="325"/>
      <c r="T1380" s="325"/>
      <c r="U1380" s="317" t="str" cm="1">
        <f t="array" aca="1" ref="U1380" ca="1">IFERROR(IF(AA1380&lt;&gt;"ja",_xlfn.IFNA(_xlfn.IFS(AND(O1380&lt;&gt;"",F1380&lt;&gt;"",RIGHT($N1380,6)="tarief",F1380="Vergoeding"),SUM(O1380)*FLOOR(SUM(Q1380),0.0001),AND(O1380&lt;&gt;"",F1380&lt;&gt;"",RIGHT($N1380,6)="tarief"),SUM(O1380)*FLOOR(SUM(Q1380),0.01),S1380&gt;0,IF(F1380&lt;&gt;"",FLOOR(SUM(S1380),0.01),"")),""),""),"")</f>
        <v/>
      </c>
      <c r="V1380" s="317" t="str" cm="1">
        <f t="array" aca="1" ref="V1380" ca="1">IFERROR(IF(AA1380&lt;&gt;"ja",_xlfn.IFNA(_xlfn.IFS(AND(P1380&lt;&gt;"",R1380&lt;&gt;"",RIGHT($N1380,6)="tarief",F1380="Vergoeding"),SUM(P1380)*FLOOR(SUM(R1380),0.0001),AND(P1380&lt;&gt;"",R1380&lt;&gt;"",RIGHT($N1380,6)="tarief"),P1380*FLOOR(R1380,0.01),T1380&gt;0,FLOOR(SUM(T1380),0.01)),""),""),"")</f>
        <v/>
      </c>
      <c r="W1380" s="317" t="str" cm="1">
        <f t="array" aca="1" ref="W1380" ca="1">IFERROR(_xlfn.IFS(OR(F1380="",LEFT(Methode_Keuze,4)="Geen",Methode_Keuze=""),"",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17" t="str" cm="1">
        <f t="array" aca="1" ref="X1380" ca="1">IFERROR(_xlfn.IFS(OR(F1380="",LEFT(Methode_Keuze,4)="Geen",Methode_Keuze=""),"",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26"/>
      <c r="Z1380" s="319"/>
      <c r="AA1380" s="32" t="str" cm="1">
        <f t="array" ref="AA1380">IFERROR(IF(INDEX(SubsidieTabel!$AD$1:$AG$12,MATCH($F1380,SubsidieTabel!$AD$1:$AD$12,0),IFERROR(MATCH(Methode_Keuze,SubsidieTabel!$AD$1:$AG$1,0),2))&lt;&gt;1=TRUE,"ja",""),"")</f>
        <v/>
      </c>
    </row>
    <row r="1381" spans="1:27" x14ac:dyDescent="0.25">
      <c r="A1381" s="320"/>
      <c r="B1381" s="321" t="str">
        <f>IF(A1381&lt;&gt;"",_xlfn.MAXIFS($B$1:B1380,$A$1:A1380,A1381)+1,"")</f>
        <v/>
      </c>
      <c r="C1381" s="299"/>
      <c r="D1381" s="299"/>
      <c r="E1381" s="299"/>
      <c r="F1381" s="299"/>
      <c r="G1381" s="330"/>
      <c r="H1381" s="328"/>
      <c r="I1381" s="329"/>
      <c r="J1381" s="329"/>
      <c r="K1381" s="322"/>
      <c r="L1381" s="322"/>
      <c r="M1381" s="323" t="str">
        <f>IFERROR(VLOOKUP(H1381,Lijsten!$H$1:$I$100,2,0),"")</f>
        <v/>
      </c>
      <c r="N1381" s="323" t="str">
        <f ca="1">IFERROR(IF(VLOOKUP(F1381,Kostentypen!$A$3:$E$21,3,0)=0,"",IF(OR(F1381="Arbeidskosten",F1381="Vergoeding"),VLOOKUP(G1381,Tb_KostenTypen[],2,0),VLOOKUP(F1381,Kostentypen!$A$3:$E$20,3,0))),"")</f>
        <v/>
      </c>
      <c r="O1381" s="324"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4"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3"/>
      <c r="R1381" s="363"/>
      <c r="S1381" s="325"/>
      <c r="T1381" s="325"/>
      <c r="U1381" s="317" t="str" cm="1">
        <f t="array" aca="1" ref="U1381" ca="1">IFERROR(IF(AA1381&lt;&gt;"ja",_xlfn.IFNA(_xlfn.IFS(AND(O1381&lt;&gt;"",F1381&lt;&gt;"",RIGHT($N1381,6)="tarief",F1381="Vergoeding"),SUM(O1381)*FLOOR(SUM(Q1381),0.0001),AND(O1381&lt;&gt;"",F1381&lt;&gt;"",RIGHT($N1381,6)="tarief"),SUM(O1381)*FLOOR(SUM(Q1381),0.01),S1381&gt;0,IF(F1381&lt;&gt;"",FLOOR(SUM(S1381),0.01),"")),""),""),"")</f>
        <v/>
      </c>
      <c r="V1381" s="317" t="str" cm="1">
        <f t="array" aca="1" ref="V1381" ca="1">IFERROR(IF(AA1381&lt;&gt;"ja",_xlfn.IFNA(_xlfn.IFS(AND(P1381&lt;&gt;"",R1381&lt;&gt;"",RIGHT($N1381,6)="tarief",F1381="Vergoeding"),SUM(P1381)*FLOOR(SUM(R1381),0.0001),AND(P1381&lt;&gt;"",R1381&lt;&gt;"",RIGHT($N1381,6)="tarief"),P1381*FLOOR(R1381,0.01),T1381&gt;0,FLOOR(SUM(T1381),0.01)),""),""),"")</f>
        <v/>
      </c>
      <c r="W1381" s="317" t="str" cm="1">
        <f t="array" aca="1" ref="W1381" ca="1">IFERROR(_xlfn.IFS(OR(F1381="",LEFT(Methode_Keuze,4)="Geen",Methode_Keuze=""),"",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17" t="str" cm="1">
        <f t="array" aca="1" ref="X1381" ca="1">IFERROR(_xlfn.IFS(OR(F1381="",LEFT(Methode_Keuze,4)="Geen",Methode_Keuze=""),"",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26"/>
      <c r="Z1381" s="319"/>
      <c r="AA1381" s="32" t="str" cm="1">
        <f t="array" ref="AA1381">IFERROR(IF(INDEX(SubsidieTabel!$AD$1:$AG$12,MATCH($F1381,SubsidieTabel!$AD$1:$AD$12,0),IFERROR(MATCH(Methode_Keuze,SubsidieTabel!$AD$1:$AG$1,0),2))&lt;&gt;1=TRUE,"ja",""),"")</f>
        <v/>
      </c>
    </row>
    <row r="1382" spans="1:27" x14ac:dyDescent="0.25">
      <c r="A1382" s="320"/>
      <c r="B1382" s="321" t="str">
        <f>IF(A1382&lt;&gt;"",_xlfn.MAXIFS($B$1:B1381,$A$1:A1381,A1382)+1,"")</f>
        <v/>
      </c>
      <c r="C1382" s="299"/>
      <c r="D1382" s="299"/>
      <c r="E1382" s="299"/>
      <c r="F1382" s="299"/>
      <c r="G1382" s="330"/>
      <c r="H1382" s="328"/>
      <c r="I1382" s="329"/>
      <c r="J1382" s="329"/>
      <c r="K1382" s="322"/>
      <c r="L1382" s="322"/>
      <c r="M1382" s="323" t="str">
        <f>IFERROR(VLOOKUP(H1382,Lijsten!$H$1:$I$100,2,0),"")</f>
        <v/>
      </c>
      <c r="N1382" s="323" t="str">
        <f ca="1">IFERROR(IF(VLOOKUP(F1382,Kostentypen!$A$3:$E$21,3,0)=0,"",IF(OR(F1382="Arbeidskosten",F1382="Vergoeding"),VLOOKUP(G1382,Tb_KostenTypen[],2,0),VLOOKUP(F1382,Kostentypen!$A$3:$E$20,3,0))),"")</f>
        <v/>
      </c>
      <c r="O1382" s="324"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4"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3"/>
      <c r="R1382" s="363"/>
      <c r="S1382" s="325"/>
      <c r="T1382" s="325"/>
      <c r="U1382" s="317" t="str" cm="1">
        <f t="array" aca="1" ref="U1382" ca="1">IFERROR(IF(AA1382&lt;&gt;"ja",_xlfn.IFNA(_xlfn.IFS(AND(O1382&lt;&gt;"",F1382&lt;&gt;"",RIGHT($N1382,6)="tarief",F1382="Vergoeding"),SUM(O1382)*FLOOR(SUM(Q1382),0.0001),AND(O1382&lt;&gt;"",F1382&lt;&gt;"",RIGHT($N1382,6)="tarief"),SUM(O1382)*FLOOR(SUM(Q1382),0.01),S1382&gt;0,IF(F1382&lt;&gt;"",FLOOR(SUM(S1382),0.01),"")),""),""),"")</f>
        <v/>
      </c>
      <c r="V1382" s="317" t="str" cm="1">
        <f t="array" aca="1" ref="V1382" ca="1">IFERROR(IF(AA1382&lt;&gt;"ja",_xlfn.IFNA(_xlfn.IFS(AND(P1382&lt;&gt;"",R1382&lt;&gt;"",RIGHT($N1382,6)="tarief",F1382="Vergoeding"),SUM(P1382)*FLOOR(SUM(R1382),0.0001),AND(P1382&lt;&gt;"",R1382&lt;&gt;"",RIGHT($N1382,6)="tarief"),P1382*FLOOR(R1382,0.01),T1382&gt;0,FLOOR(SUM(T1382),0.01)),""),""),"")</f>
        <v/>
      </c>
      <c r="W1382" s="317" t="str" cm="1">
        <f t="array" aca="1" ref="W1382" ca="1">IFERROR(_xlfn.IFS(OR(F1382="",LEFT(Methode_Keuze,4)="Geen",Methode_Keuze=""),"",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17" t="str" cm="1">
        <f t="array" aca="1" ref="X1382" ca="1">IFERROR(_xlfn.IFS(OR(F1382="",LEFT(Methode_Keuze,4)="Geen",Methode_Keuze=""),"",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26"/>
      <c r="Z1382" s="319"/>
      <c r="AA1382" s="32" t="str" cm="1">
        <f t="array" ref="AA1382">IFERROR(IF(INDEX(SubsidieTabel!$AD$1:$AG$12,MATCH($F1382,SubsidieTabel!$AD$1:$AD$12,0),IFERROR(MATCH(Methode_Keuze,SubsidieTabel!$AD$1:$AG$1,0),2))&lt;&gt;1=TRUE,"ja",""),"")</f>
        <v/>
      </c>
    </row>
    <row r="1383" spans="1:27" x14ac:dyDescent="0.25">
      <c r="A1383" s="320"/>
      <c r="B1383" s="321" t="str">
        <f>IF(A1383&lt;&gt;"",_xlfn.MAXIFS($B$1:B1382,$A$1:A1382,A1383)+1,"")</f>
        <v/>
      </c>
      <c r="C1383" s="299"/>
      <c r="D1383" s="299"/>
      <c r="E1383" s="299"/>
      <c r="F1383" s="299"/>
      <c r="G1383" s="330"/>
      <c r="H1383" s="328"/>
      <c r="I1383" s="329"/>
      <c r="J1383" s="329"/>
      <c r="K1383" s="322"/>
      <c r="L1383" s="322"/>
      <c r="M1383" s="323" t="str">
        <f>IFERROR(VLOOKUP(H1383,Lijsten!$H$1:$I$100,2,0),"")</f>
        <v/>
      </c>
      <c r="N1383" s="323" t="str">
        <f ca="1">IFERROR(IF(VLOOKUP(F1383,Kostentypen!$A$3:$E$21,3,0)=0,"",IF(OR(F1383="Arbeidskosten",F1383="Vergoeding"),VLOOKUP(G1383,Tb_KostenTypen[],2,0),VLOOKUP(F1383,Kostentypen!$A$3:$E$20,3,0))),"")</f>
        <v/>
      </c>
      <c r="O1383" s="324"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4"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3"/>
      <c r="R1383" s="363"/>
      <c r="S1383" s="325"/>
      <c r="T1383" s="325"/>
      <c r="U1383" s="317" t="str" cm="1">
        <f t="array" aca="1" ref="U1383" ca="1">IFERROR(IF(AA1383&lt;&gt;"ja",_xlfn.IFNA(_xlfn.IFS(AND(O1383&lt;&gt;"",F1383&lt;&gt;"",RIGHT($N1383,6)="tarief",F1383="Vergoeding"),SUM(O1383)*FLOOR(SUM(Q1383),0.0001),AND(O1383&lt;&gt;"",F1383&lt;&gt;"",RIGHT($N1383,6)="tarief"),SUM(O1383)*FLOOR(SUM(Q1383),0.01),S1383&gt;0,IF(F1383&lt;&gt;"",FLOOR(SUM(S1383),0.01),"")),""),""),"")</f>
        <v/>
      </c>
      <c r="V1383" s="317" t="str" cm="1">
        <f t="array" aca="1" ref="V1383" ca="1">IFERROR(IF(AA1383&lt;&gt;"ja",_xlfn.IFNA(_xlfn.IFS(AND(P1383&lt;&gt;"",R1383&lt;&gt;"",RIGHT($N1383,6)="tarief",F1383="Vergoeding"),SUM(P1383)*FLOOR(SUM(R1383),0.0001),AND(P1383&lt;&gt;"",R1383&lt;&gt;"",RIGHT($N1383,6)="tarief"),P1383*FLOOR(R1383,0.01),T1383&gt;0,FLOOR(SUM(T1383),0.01)),""),""),"")</f>
        <v/>
      </c>
      <c r="W1383" s="317" t="str" cm="1">
        <f t="array" aca="1" ref="W1383" ca="1">IFERROR(_xlfn.IFS(OR(F1383="",LEFT(Methode_Keuze,4)="Geen",Methode_Keuze=""),"",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17" t="str" cm="1">
        <f t="array" aca="1" ref="X1383" ca="1">IFERROR(_xlfn.IFS(OR(F1383="",LEFT(Methode_Keuze,4)="Geen",Methode_Keuze=""),"",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26"/>
      <c r="Z1383" s="319"/>
      <c r="AA1383" s="32" t="str" cm="1">
        <f t="array" ref="AA1383">IFERROR(IF(INDEX(SubsidieTabel!$AD$1:$AG$12,MATCH($F1383,SubsidieTabel!$AD$1:$AD$12,0),IFERROR(MATCH(Methode_Keuze,SubsidieTabel!$AD$1:$AG$1,0),2))&lt;&gt;1=TRUE,"ja",""),"")</f>
        <v/>
      </c>
    </row>
    <row r="1384" spans="1:27" x14ac:dyDescent="0.25">
      <c r="A1384" s="320"/>
      <c r="B1384" s="321" t="str">
        <f>IF(A1384&lt;&gt;"",_xlfn.MAXIFS($B$1:B1383,$A$1:A1383,A1384)+1,"")</f>
        <v/>
      </c>
      <c r="C1384" s="299"/>
      <c r="D1384" s="299"/>
      <c r="E1384" s="299"/>
      <c r="F1384" s="299"/>
      <c r="G1384" s="330"/>
      <c r="H1384" s="328"/>
      <c r="I1384" s="329"/>
      <c r="J1384" s="329"/>
      <c r="K1384" s="322"/>
      <c r="L1384" s="322"/>
      <c r="M1384" s="323" t="str">
        <f>IFERROR(VLOOKUP(H1384,Lijsten!$H$1:$I$100,2,0),"")</f>
        <v/>
      </c>
      <c r="N1384" s="323" t="str">
        <f ca="1">IFERROR(IF(VLOOKUP(F1384,Kostentypen!$A$3:$E$21,3,0)=0,"",IF(OR(F1384="Arbeidskosten",F1384="Vergoeding"),VLOOKUP(G1384,Tb_KostenTypen[],2,0),VLOOKUP(F1384,Kostentypen!$A$3:$E$20,3,0))),"")</f>
        <v/>
      </c>
      <c r="O1384" s="324"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4"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3"/>
      <c r="R1384" s="363"/>
      <c r="S1384" s="325"/>
      <c r="T1384" s="325"/>
      <c r="U1384" s="317" t="str" cm="1">
        <f t="array" aca="1" ref="U1384" ca="1">IFERROR(IF(AA1384&lt;&gt;"ja",_xlfn.IFNA(_xlfn.IFS(AND(O1384&lt;&gt;"",F1384&lt;&gt;"",RIGHT($N1384,6)="tarief",F1384="Vergoeding"),SUM(O1384)*FLOOR(SUM(Q1384),0.0001),AND(O1384&lt;&gt;"",F1384&lt;&gt;"",RIGHT($N1384,6)="tarief"),SUM(O1384)*FLOOR(SUM(Q1384),0.01),S1384&gt;0,IF(F1384&lt;&gt;"",FLOOR(SUM(S1384),0.01),"")),""),""),"")</f>
        <v/>
      </c>
      <c r="V1384" s="317" t="str" cm="1">
        <f t="array" aca="1" ref="V1384" ca="1">IFERROR(IF(AA1384&lt;&gt;"ja",_xlfn.IFNA(_xlfn.IFS(AND(P1384&lt;&gt;"",R1384&lt;&gt;"",RIGHT($N1384,6)="tarief",F1384="Vergoeding"),SUM(P1384)*FLOOR(SUM(R1384),0.0001),AND(P1384&lt;&gt;"",R1384&lt;&gt;"",RIGHT($N1384,6)="tarief"),P1384*FLOOR(R1384,0.01),T1384&gt;0,FLOOR(SUM(T1384),0.01)),""),""),"")</f>
        <v/>
      </c>
      <c r="W1384" s="317" t="str" cm="1">
        <f t="array" aca="1" ref="W1384" ca="1">IFERROR(_xlfn.IFS(OR(F1384="",LEFT(Methode_Keuze,4)="Geen",Methode_Keuze=""),"",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17" t="str" cm="1">
        <f t="array" aca="1" ref="X1384" ca="1">IFERROR(_xlfn.IFS(OR(F1384="",LEFT(Methode_Keuze,4)="Geen",Methode_Keuze=""),"",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26"/>
      <c r="Z1384" s="319"/>
      <c r="AA1384" s="32" t="str" cm="1">
        <f t="array" ref="AA1384">IFERROR(IF(INDEX(SubsidieTabel!$AD$1:$AG$12,MATCH($F1384,SubsidieTabel!$AD$1:$AD$12,0),IFERROR(MATCH(Methode_Keuze,SubsidieTabel!$AD$1:$AG$1,0),2))&lt;&gt;1=TRUE,"ja",""),"")</f>
        <v/>
      </c>
    </row>
    <row r="1385" spans="1:27" x14ac:dyDescent="0.25">
      <c r="A1385" s="320"/>
      <c r="B1385" s="321" t="str">
        <f>IF(A1385&lt;&gt;"",_xlfn.MAXIFS($B$1:B1384,$A$1:A1384,A1385)+1,"")</f>
        <v/>
      </c>
      <c r="C1385" s="299"/>
      <c r="D1385" s="299"/>
      <c r="E1385" s="299"/>
      <c r="F1385" s="299"/>
      <c r="G1385" s="330"/>
      <c r="H1385" s="328"/>
      <c r="I1385" s="329"/>
      <c r="J1385" s="329"/>
      <c r="K1385" s="322"/>
      <c r="L1385" s="322"/>
      <c r="M1385" s="323" t="str">
        <f>IFERROR(VLOOKUP(H1385,Lijsten!$H$1:$I$100,2,0),"")</f>
        <v/>
      </c>
      <c r="N1385" s="323" t="str">
        <f ca="1">IFERROR(IF(VLOOKUP(F1385,Kostentypen!$A$3:$E$21,3,0)=0,"",IF(OR(F1385="Arbeidskosten",F1385="Vergoeding"),VLOOKUP(G1385,Tb_KostenTypen[],2,0),VLOOKUP(F1385,Kostentypen!$A$3:$E$20,3,0))),"")</f>
        <v/>
      </c>
      <c r="O1385" s="324"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4"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3"/>
      <c r="R1385" s="363"/>
      <c r="S1385" s="325"/>
      <c r="T1385" s="325"/>
      <c r="U1385" s="317" t="str" cm="1">
        <f t="array" aca="1" ref="U1385" ca="1">IFERROR(IF(AA1385&lt;&gt;"ja",_xlfn.IFNA(_xlfn.IFS(AND(O1385&lt;&gt;"",F1385&lt;&gt;"",RIGHT($N1385,6)="tarief",F1385="Vergoeding"),SUM(O1385)*FLOOR(SUM(Q1385),0.0001),AND(O1385&lt;&gt;"",F1385&lt;&gt;"",RIGHT($N1385,6)="tarief"),SUM(O1385)*FLOOR(SUM(Q1385),0.01),S1385&gt;0,IF(F1385&lt;&gt;"",FLOOR(SUM(S1385),0.01),"")),""),""),"")</f>
        <v/>
      </c>
      <c r="V1385" s="317" t="str" cm="1">
        <f t="array" aca="1" ref="V1385" ca="1">IFERROR(IF(AA1385&lt;&gt;"ja",_xlfn.IFNA(_xlfn.IFS(AND(P1385&lt;&gt;"",R1385&lt;&gt;"",RIGHT($N1385,6)="tarief",F1385="Vergoeding"),SUM(P1385)*FLOOR(SUM(R1385),0.0001),AND(P1385&lt;&gt;"",R1385&lt;&gt;"",RIGHT($N1385,6)="tarief"),P1385*FLOOR(R1385,0.01),T1385&gt;0,FLOOR(SUM(T1385),0.01)),""),""),"")</f>
        <v/>
      </c>
      <c r="W1385" s="317" t="str" cm="1">
        <f t="array" aca="1" ref="W1385" ca="1">IFERROR(_xlfn.IFS(OR(F1385="",LEFT(Methode_Keuze,4)="Geen",Methode_Keuze=""),"",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17" t="str" cm="1">
        <f t="array" aca="1" ref="X1385" ca="1">IFERROR(_xlfn.IFS(OR(F1385="",LEFT(Methode_Keuze,4)="Geen",Methode_Keuze=""),"",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26"/>
      <c r="Z1385" s="319"/>
      <c r="AA1385" s="32" t="str" cm="1">
        <f t="array" ref="AA1385">IFERROR(IF(INDEX(SubsidieTabel!$AD$1:$AG$12,MATCH($F1385,SubsidieTabel!$AD$1:$AD$12,0),IFERROR(MATCH(Methode_Keuze,SubsidieTabel!$AD$1:$AG$1,0),2))&lt;&gt;1=TRUE,"ja",""),"")</f>
        <v/>
      </c>
    </row>
    <row r="1386" spans="1:27" x14ac:dyDescent="0.25">
      <c r="A1386" s="320"/>
      <c r="B1386" s="321" t="str">
        <f>IF(A1386&lt;&gt;"",_xlfn.MAXIFS($B$1:B1385,$A$1:A1385,A1386)+1,"")</f>
        <v/>
      </c>
      <c r="C1386" s="299"/>
      <c r="D1386" s="299"/>
      <c r="E1386" s="299"/>
      <c r="F1386" s="299"/>
      <c r="G1386" s="330"/>
      <c r="H1386" s="328"/>
      <c r="I1386" s="329"/>
      <c r="J1386" s="329"/>
      <c r="K1386" s="322"/>
      <c r="L1386" s="322"/>
      <c r="M1386" s="323" t="str">
        <f>IFERROR(VLOOKUP(H1386,Lijsten!$H$1:$I$100,2,0),"")</f>
        <v/>
      </c>
      <c r="N1386" s="323" t="str">
        <f ca="1">IFERROR(IF(VLOOKUP(F1386,Kostentypen!$A$3:$E$21,3,0)=0,"",IF(OR(F1386="Arbeidskosten",F1386="Vergoeding"),VLOOKUP(G1386,Tb_KostenTypen[],2,0),VLOOKUP(F1386,Kostentypen!$A$3:$E$20,3,0))),"")</f>
        <v/>
      </c>
      <c r="O1386" s="324"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4"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3"/>
      <c r="R1386" s="363"/>
      <c r="S1386" s="325"/>
      <c r="T1386" s="325"/>
      <c r="U1386" s="317" t="str" cm="1">
        <f t="array" aca="1" ref="U1386" ca="1">IFERROR(IF(AA1386&lt;&gt;"ja",_xlfn.IFNA(_xlfn.IFS(AND(O1386&lt;&gt;"",F1386&lt;&gt;"",RIGHT($N1386,6)="tarief",F1386="Vergoeding"),SUM(O1386)*FLOOR(SUM(Q1386),0.0001),AND(O1386&lt;&gt;"",F1386&lt;&gt;"",RIGHT($N1386,6)="tarief"),SUM(O1386)*FLOOR(SUM(Q1386),0.01),S1386&gt;0,IF(F1386&lt;&gt;"",FLOOR(SUM(S1386),0.01),"")),""),""),"")</f>
        <v/>
      </c>
      <c r="V1386" s="317" t="str" cm="1">
        <f t="array" aca="1" ref="V1386" ca="1">IFERROR(IF(AA1386&lt;&gt;"ja",_xlfn.IFNA(_xlfn.IFS(AND(P1386&lt;&gt;"",R1386&lt;&gt;"",RIGHT($N1386,6)="tarief",F1386="Vergoeding"),SUM(P1386)*FLOOR(SUM(R1386),0.0001),AND(P1386&lt;&gt;"",R1386&lt;&gt;"",RIGHT($N1386,6)="tarief"),P1386*FLOOR(R1386,0.01),T1386&gt;0,FLOOR(SUM(T1386),0.01)),""),""),"")</f>
        <v/>
      </c>
      <c r="W1386" s="317" t="str" cm="1">
        <f t="array" aca="1" ref="W1386" ca="1">IFERROR(_xlfn.IFS(OR(F1386="",LEFT(Methode_Keuze,4)="Geen",Methode_Keuze=""),"",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17" t="str" cm="1">
        <f t="array" aca="1" ref="X1386" ca="1">IFERROR(_xlfn.IFS(OR(F1386="",LEFT(Methode_Keuze,4)="Geen",Methode_Keuze=""),"",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26"/>
      <c r="Z1386" s="319"/>
      <c r="AA1386" s="32" t="str" cm="1">
        <f t="array" ref="AA1386">IFERROR(IF(INDEX(SubsidieTabel!$AD$1:$AG$12,MATCH($F1386,SubsidieTabel!$AD$1:$AD$12,0),IFERROR(MATCH(Methode_Keuze,SubsidieTabel!$AD$1:$AG$1,0),2))&lt;&gt;1=TRUE,"ja",""),"")</f>
        <v/>
      </c>
    </row>
    <row r="1387" spans="1:27" x14ac:dyDescent="0.25">
      <c r="A1387" s="320"/>
      <c r="B1387" s="321" t="str">
        <f>IF(A1387&lt;&gt;"",_xlfn.MAXIFS($B$1:B1386,$A$1:A1386,A1387)+1,"")</f>
        <v/>
      </c>
      <c r="C1387" s="299"/>
      <c r="D1387" s="299"/>
      <c r="E1387" s="299"/>
      <c r="F1387" s="299"/>
      <c r="G1387" s="330"/>
      <c r="H1387" s="328"/>
      <c r="I1387" s="329"/>
      <c r="J1387" s="329"/>
      <c r="K1387" s="322"/>
      <c r="L1387" s="322"/>
      <c r="M1387" s="323" t="str">
        <f>IFERROR(VLOOKUP(H1387,Lijsten!$H$1:$I$100,2,0),"")</f>
        <v/>
      </c>
      <c r="N1387" s="323" t="str">
        <f ca="1">IFERROR(IF(VLOOKUP(F1387,Kostentypen!$A$3:$E$21,3,0)=0,"",IF(OR(F1387="Arbeidskosten",F1387="Vergoeding"),VLOOKUP(G1387,Tb_KostenTypen[],2,0),VLOOKUP(F1387,Kostentypen!$A$3:$E$20,3,0))),"")</f>
        <v/>
      </c>
      <c r="O1387" s="324"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4"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3"/>
      <c r="R1387" s="363"/>
      <c r="S1387" s="325"/>
      <c r="T1387" s="325"/>
      <c r="U1387" s="317" t="str" cm="1">
        <f t="array" aca="1" ref="U1387" ca="1">IFERROR(IF(AA1387&lt;&gt;"ja",_xlfn.IFNA(_xlfn.IFS(AND(O1387&lt;&gt;"",F1387&lt;&gt;"",RIGHT($N1387,6)="tarief",F1387="Vergoeding"),SUM(O1387)*FLOOR(SUM(Q1387),0.0001),AND(O1387&lt;&gt;"",F1387&lt;&gt;"",RIGHT($N1387,6)="tarief"),SUM(O1387)*FLOOR(SUM(Q1387),0.01),S1387&gt;0,IF(F1387&lt;&gt;"",FLOOR(SUM(S1387),0.01),"")),""),""),"")</f>
        <v/>
      </c>
      <c r="V1387" s="317" t="str" cm="1">
        <f t="array" aca="1" ref="V1387" ca="1">IFERROR(IF(AA1387&lt;&gt;"ja",_xlfn.IFNA(_xlfn.IFS(AND(P1387&lt;&gt;"",R1387&lt;&gt;"",RIGHT($N1387,6)="tarief",F1387="Vergoeding"),SUM(P1387)*FLOOR(SUM(R1387),0.0001),AND(P1387&lt;&gt;"",R1387&lt;&gt;"",RIGHT($N1387,6)="tarief"),P1387*FLOOR(R1387,0.01),T1387&gt;0,FLOOR(SUM(T1387),0.01)),""),""),"")</f>
        <v/>
      </c>
      <c r="W1387" s="317" t="str" cm="1">
        <f t="array" aca="1" ref="W1387" ca="1">IFERROR(_xlfn.IFS(OR(F1387="",LEFT(Methode_Keuze,4)="Geen",Methode_Keuze=""),"",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17" t="str" cm="1">
        <f t="array" aca="1" ref="X1387" ca="1">IFERROR(_xlfn.IFS(OR(F1387="",LEFT(Methode_Keuze,4)="Geen",Methode_Keuze=""),"",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26"/>
      <c r="Z1387" s="319"/>
      <c r="AA1387" s="32" t="str" cm="1">
        <f t="array" ref="AA1387">IFERROR(IF(INDEX(SubsidieTabel!$AD$1:$AG$12,MATCH($F1387,SubsidieTabel!$AD$1:$AD$12,0),IFERROR(MATCH(Methode_Keuze,SubsidieTabel!$AD$1:$AG$1,0),2))&lt;&gt;1=TRUE,"ja",""),"")</f>
        <v/>
      </c>
    </row>
    <row r="1388" spans="1:27" x14ac:dyDescent="0.25">
      <c r="A1388" s="320"/>
      <c r="B1388" s="321" t="str">
        <f>IF(A1388&lt;&gt;"",_xlfn.MAXIFS($B$1:B1387,$A$1:A1387,A1388)+1,"")</f>
        <v/>
      </c>
      <c r="C1388" s="299"/>
      <c r="D1388" s="299"/>
      <c r="E1388" s="299"/>
      <c r="F1388" s="299"/>
      <c r="G1388" s="330"/>
      <c r="H1388" s="328"/>
      <c r="I1388" s="329"/>
      <c r="J1388" s="329"/>
      <c r="K1388" s="322"/>
      <c r="L1388" s="322"/>
      <c r="M1388" s="323" t="str">
        <f>IFERROR(VLOOKUP(H1388,Lijsten!$H$1:$I$100,2,0),"")</f>
        <v/>
      </c>
      <c r="N1388" s="323" t="str">
        <f ca="1">IFERROR(IF(VLOOKUP(F1388,Kostentypen!$A$3:$E$21,3,0)=0,"",IF(OR(F1388="Arbeidskosten",F1388="Vergoeding"),VLOOKUP(G1388,Tb_KostenTypen[],2,0),VLOOKUP(F1388,Kostentypen!$A$3:$E$20,3,0))),"")</f>
        <v/>
      </c>
      <c r="O1388" s="324"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4"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3"/>
      <c r="R1388" s="363"/>
      <c r="S1388" s="325"/>
      <c r="T1388" s="325"/>
      <c r="U1388" s="317" t="str" cm="1">
        <f t="array" aca="1" ref="U1388" ca="1">IFERROR(IF(AA1388&lt;&gt;"ja",_xlfn.IFNA(_xlfn.IFS(AND(O1388&lt;&gt;"",F1388&lt;&gt;"",RIGHT($N1388,6)="tarief",F1388="Vergoeding"),SUM(O1388)*FLOOR(SUM(Q1388),0.0001),AND(O1388&lt;&gt;"",F1388&lt;&gt;"",RIGHT($N1388,6)="tarief"),SUM(O1388)*FLOOR(SUM(Q1388),0.01),S1388&gt;0,IF(F1388&lt;&gt;"",FLOOR(SUM(S1388),0.01),"")),""),""),"")</f>
        <v/>
      </c>
      <c r="V1388" s="317" t="str" cm="1">
        <f t="array" aca="1" ref="V1388" ca="1">IFERROR(IF(AA1388&lt;&gt;"ja",_xlfn.IFNA(_xlfn.IFS(AND(P1388&lt;&gt;"",R1388&lt;&gt;"",RIGHT($N1388,6)="tarief",F1388="Vergoeding"),SUM(P1388)*FLOOR(SUM(R1388),0.0001),AND(P1388&lt;&gt;"",R1388&lt;&gt;"",RIGHT($N1388,6)="tarief"),P1388*FLOOR(R1388,0.01),T1388&gt;0,FLOOR(SUM(T1388),0.01)),""),""),"")</f>
        <v/>
      </c>
      <c r="W1388" s="317" t="str" cm="1">
        <f t="array" aca="1" ref="W1388" ca="1">IFERROR(_xlfn.IFS(OR(F1388="",LEFT(Methode_Keuze,4)="Geen",Methode_Keuze=""),"",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17" t="str" cm="1">
        <f t="array" aca="1" ref="X1388" ca="1">IFERROR(_xlfn.IFS(OR(F1388="",LEFT(Methode_Keuze,4)="Geen",Methode_Keuze=""),"",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26"/>
      <c r="Z1388" s="319"/>
      <c r="AA1388" s="32" t="str" cm="1">
        <f t="array" ref="AA1388">IFERROR(IF(INDEX(SubsidieTabel!$AD$1:$AG$12,MATCH($F1388,SubsidieTabel!$AD$1:$AD$12,0),IFERROR(MATCH(Methode_Keuze,SubsidieTabel!$AD$1:$AG$1,0),2))&lt;&gt;1=TRUE,"ja",""),"")</f>
        <v/>
      </c>
    </row>
    <row r="1389" spans="1:27" x14ac:dyDescent="0.25">
      <c r="A1389" s="320"/>
      <c r="B1389" s="321" t="str">
        <f>IF(A1389&lt;&gt;"",_xlfn.MAXIFS($B$1:B1388,$A$1:A1388,A1389)+1,"")</f>
        <v/>
      </c>
      <c r="C1389" s="299"/>
      <c r="D1389" s="299"/>
      <c r="E1389" s="299"/>
      <c r="F1389" s="299"/>
      <c r="G1389" s="330"/>
      <c r="H1389" s="328"/>
      <c r="I1389" s="329"/>
      <c r="J1389" s="329"/>
      <c r="K1389" s="322"/>
      <c r="L1389" s="322"/>
      <c r="M1389" s="323" t="str">
        <f>IFERROR(VLOOKUP(H1389,Lijsten!$H$1:$I$100,2,0),"")</f>
        <v/>
      </c>
      <c r="N1389" s="323" t="str">
        <f ca="1">IFERROR(IF(VLOOKUP(F1389,Kostentypen!$A$3:$E$21,3,0)=0,"",IF(OR(F1389="Arbeidskosten",F1389="Vergoeding"),VLOOKUP(G1389,Tb_KostenTypen[],2,0),VLOOKUP(F1389,Kostentypen!$A$3:$E$20,3,0))),"")</f>
        <v/>
      </c>
      <c r="O1389" s="324"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4"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3"/>
      <c r="R1389" s="363"/>
      <c r="S1389" s="325"/>
      <c r="T1389" s="325"/>
      <c r="U1389" s="317" t="str" cm="1">
        <f t="array" aca="1" ref="U1389" ca="1">IFERROR(IF(AA1389&lt;&gt;"ja",_xlfn.IFNA(_xlfn.IFS(AND(O1389&lt;&gt;"",F1389&lt;&gt;"",RIGHT($N1389,6)="tarief",F1389="Vergoeding"),SUM(O1389)*FLOOR(SUM(Q1389),0.0001),AND(O1389&lt;&gt;"",F1389&lt;&gt;"",RIGHT($N1389,6)="tarief"),SUM(O1389)*FLOOR(SUM(Q1389),0.01),S1389&gt;0,IF(F1389&lt;&gt;"",FLOOR(SUM(S1389),0.01),"")),""),""),"")</f>
        <v/>
      </c>
      <c r="V1389" s="317" t="str" cm="1">
        <f t="array" aca="1" ref="V1389" ca="1">IFERROR(IF(AA1389&lt;&gt;"ja",_xlfn.IFNA(_xlfn.IFS(AND(P1389&lt;&gt;"",R1389&lt;&gt;"",RIGHT($N1389,6)="tarief",F1389="Vergoeding"),SUM(P1389)*FLOOR(SUM(R1389),0.0001),AND(P1389&lt;&gt;"",R1389&lt;&gt;"",RIGHT($N1389,6)="tarief"),P1389*FLOOR(R1389,0.01),T1389&gt;0,FLOOR(SUM(T1389),0.01)),""),""),"")</f>
        <v/>
      </c>
      <c r="W1389" s="317" t="str" cm="1">
        <f t="array" aca="1" ref="W1389" ca="1">IFERROR(_xlfn.IFS(OR(F1389="",LEFT(Methode_Keuze,4)="Geen",Methode_Keuze=""),"",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17" t="str" cm="1">
        <f t="array" aca="1" ref="X1389" ca="1">IFERROR(_xlfn.IFS(OR(F1389="",LEFT(Methode_Keuze,4)="Geen",Methode_Keuze=""),"",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26"/>
      <c r="Z1389" s="319"/>
      <c r="AA1389" s="32" t="str" cm="1">
        <f t="array" ref="AA1389">IFERROR(IF(INDEX(SubsidieTabel!$AD$1:$AG$12,MATCH($F1389,SubsidieTabel!$AD$1:$AD$12,0),IFERROR(MATCH(Methode_Keuze,SubsidieTabel!$AD$1:$AG$1,0),2))&lt;&gt;1=TRUE,"ja",""),"")</f>
        <v/>
      </c>
    </row>
    <row r="1390" spans="1:27" x14ac:dyDescent="0.25">
      <c r="A1390" s="320"/>
      <c r="B1390" s="321" t="str">
        <f>IF(A1390&lt;&gt;"",_xlfn.MAXIFS($B$1:B1389,$A$1:A1389,A1390)+1,"")</f>
        <v/>
      </c>
      <c r="C1390" s="299"/>
      <c r="D1390" s="299"/>
      <c r="E1390" s="299"/>
      <c r="F1390" s="299"/>
      <c r="G1390" s="330"/>
      <c r="H1390" s="328"/>
      <c r="I1390" s="329"/>
      <c r="J1390" s="329"/>
      <c r="K1390" s="322"/>
      <c r="L1390" s="322"/>
      <c r="M1390" s="323" t="str">
        <f>IFERROR(VLOOKUP(H1390,Lijsten!$H$1:$I$100,2,0),"")</f>
        <v/>
      </c>
      <c r="N1390" s="323" t="str">
        <f ca="1">IFERROR(IF(VLOOKUP(F1390,Kostentypen!$A$3:$E$21,3,0)=0,"",IF(OR(F1390="Arbeidskosten",F1390="Vergoeding"),VLOOKUP(G1390,Tb_KostenTypen[],2,0),VLOOKUP(F1390,Kostentypen!$A$3:$E$20,3,0))),"")</f>
        <v/>
      </c>
      <c r="O1390" s="324"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4"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3"/>
      <c r="R1390" s="363"/>
      <c r="S1390" s="325"/>
      <c r="T1390" s="325"/>
      <c r="U1390" s="317" t="str" cm="1">
        <f t="array" aca="1" ref="U1390" ca="1">IFERROR(IF(AA1390&lt;&gt;"ja",_xlfn.IFNA(_xlfn.IFS(AND(O1390&lt;&gt;"",F1390&lt;&gt;"",RIGHT($N1390,6)="tarief",F1390="Vergoeding"),SUM(O1390)*FLOOR(SUM(Q1390),0.0001),AND(O1390&lt;&gt;"",F1390&lt;&gt;"",RIGHT($N1390,6)="tarief"),SUM(O1390)*FLOOR(SUM(Q1390),0.01),S1390&gt;0,IF(F1390&lt;&gt;"",FLOOR(SUM(S1390),0.01),"")),""),""),"")</f>
        <v/>
      </c>
      <c r="V1390" s="317" t="str" cm="1">
        <f t="array" aca="1" ref="V1390" ca="1">IFERROR(IF(AA1390&lt;&gt;"ja",_xlfn.IFNA(_xlfn.IFS(AND(P1390&lt;&gt;"",R1390&lt;&gt;"",RIGHT($N1390,6)="tarief",F1390="Vergoeding"),SUM(P1390)*FLOOR(SUM(R1390),0.0001),AND(P1390&lt;&gt;"",R1390&lt;&gt;"",RIGHT($N1390,6)="tarief"),P1390*FLOOR(R1390,0.01),T1390&gt;0,FLOOR(SUM(T1390),0.01)),""),""),"")</f>
        <v/>
      </c>
      <c r="W1390" s="317" t="str" cm="1">
        <f t="array" aca="1" ref="W1390" ca="1">IFERROR(_xlfn.IFS(OR(F1390="",LEFT(Methode_Keuze,4)="Geen",Methode_Keuze=""),"",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17" t="str" cm="1">
        <f t="array" aca="1" ref="X1390" ca="1">IFERROR(_xlfn.IFS(OR(F1390="",LEFT(Methode_Keuze,4)="Geen",Methode_Keuze=""),"",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26"/>
      <c r="Z1390" s="319"/>
      <c r="AA1390" s="32" t="str" cm="1">
        <f t="array" ref="AA1390">IFERROR(IF(INDEX(SubsidieTabel!$AD$1:$AG$12,MATCH($F1390,SubsidieTabel!$AD$1:$AD$12,0),IFERROR(MATCH(Methode_Keuze,SubsidieTabel!$AD$1:$AG$1,0),2))&lt;&gt;1=TRUE,"ja",""),"")</f>
        <v/>
      </c>
    </row>
    <row r="1391" spans="1:27" x14ac:dyDescent="0.25">
      <c r="A1391" s="320"/>
      <c r="B1391" s="321" t="str">
        <f>IF(A1391&lt;&gt;"",_xlfn.MAXIFS($B$1:B1390,$A$1:A1390,A1391)+1,"")</f>
        <v/>
      </c>
      <c r="C1391" s="299"/>
      <c r="D1391" s="299"/>
      <c r="E1391" s="299"/>
      <c r="F1391" s="299"/>
      <c r="G1391" s="330"/>
      <c r="H1391" s="328"/>
      <c r="I1391" s="329"/>
      <c r="J1391" s="329"/>
      <c r="K1391" s="322"/>
      <c r="L1391" s="322"/>
      <c r="M1391" s="323" t="str">
        <f>IFERROR(VLOOKUP(H1391,Lijsten!$H$1:$I$100,2,0),"")</f>
        <v/>
      </c>
      <c r="N1391" s="323" t="str">
        <f ca="1">IFERROR(IF(VLOOKUP(F1391,Kostentypen!$A$3:$E$21,3,0)=0,"",IF(OR(F1391="Arbeidskosten",F1391="Vergoeding"),VLOOKUP(G1391,Tb_KostenTypen[],2,0),VLOOKUP(F1391,Kostentypen!$A$3:$E$20,3,0))),"")</f>
        <v/>
      </c>
      <c r="O1391" s="324"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4"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3"/>
      <c r="R1391" s="363"/>
      <c r="S1391" s="325"/>
      <c r="T1391" s="325"/>
      <c r="U1391" s="317" t="str" cm="1">
        <f t="array" aca="1" ref="U1391" ca="1">IFERROR(IF(AA1391&lt;&gt;"ja",_xlfn.IFNA(_xlfn.IFS(AND(O1391&lt;&gt;"",F1391&lt;&gt;"",RIGHT($N1391,6)="tarief",F1391="Vergoeding"),SUM(O1391)*FLOOR(SUM(Q1391),0.0001),AND(O1391&lt;&gt;"",F1391&lt;&gt;"",RIGHT($N1391,6)="tarief"),SUM(O1391)*FLOOR(SUM(Q1391),0.01),S1391&gt;0,IF(F1391&lt;&gt;"",FLOOR(SUM(S1391),0.01),"")),""),""),"")</f>
        <v/>
      </c>
      <c r="V1391" s="317" t="str" cm="1">
        <f t="array" aca="1" ref="V1391" ca="1">IFERROR(IF(AA1391&lt;&gt;"ja",_xlfn.IFNA(_xlfn.IFS(AND(P1391&lt;&gt;"",R1391&lt;&gt;"",RIGHT($N1391,6)="tarief",F1391="Vergoeding"),SUM(P1391)*FLOOR(SUM(R1391),0.0001),AND(P1391&lt;&gt;"",R1391&lt;&gt;"",RIGHT($N1391,6)="tarief"),P1391*FLOOR(R1391,0.01),T1391&gt;0,FLOOR(SUM(T1391),0.01)),""),""),"")</f>
        <v/>
      </c>
      <c r="W1391" s="317" t="str" cm="1">
        <f t="array" aca="1" ref="W1391" ca="1">IFERROR(_xlfn.IFS(OR(F1391="",LEFT(Methode_Keuze,4)="Geen",Methode_Keuze=""),"",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17" t="str" cm="1">
        <f t="array" aca="1" ref="X1391" ca="1">IFERROR(_xlfn.IFS(OR(F1391="",LEFT(Methode_Keuze,4)="Geen",Methode_Keuze=""),"",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26"/>
      <c r="Z1391" s="319"/>
      <c r="AA1391" s="32" t="str" cm="1">
        <f t="array" ref="AA1391">IFERROR(IF(INDEX(SubsidieTabel!$AD$1:$AG$12,MATCH($F1391,SubsidieTabel!$AD$1:$AD$12,0),IFERROR(MATCH(Methode_Keuze,SubsidieTabel!$AD$1:$AG$1,0),2))&lt;&gt;1=TRUE,"ja",""),"")</f>
        <v/>
      </c>
    </row>
    <row r="1392" spans="1:27" x14ac:dyDescent="0.25">
      <c r="A1392" s="320"/>
      <c r="B1392" s="321" t="str">
        <f>IF(A1392&lt;&gt;"",_xlfn.MAXIFS($B$1:B1391,$A$1:A1391,A1392)+1,"")</f>
        <v/>
      </c>
      <c r="C1392" s="299"/>
      <c r="D1392" s="299"/>
      <c r="E1392" s="299"/>
      <c r="F1392" s="299"/>
      <c r="G1392" s="330"/>
      <c r="H1392" s="328"/>
      <c r="I1392" s="329"/>
      <c r="J1392" s="329"/>
      <c r="K1392" s="322"/>
      <c r="L1392" s="322"/>
      <c r="M1392" s="323" t="str">
        <f>IFERROR(VLOOKUP(H1392,Lijsten!$H$1:$I$100,2,0),"")</f>
        <v/>
      </c>
      <c r="N1392" s="323" t="str">
        <f ca="1">IFERROR(IF(VLOOKUP(F1392,Kostentypen!$A$3:$E$21,3,0)=0,"",IF(OR(F1392="Arbeidskosten",F1392="Vergoeding"),VLOOKUP(G1392,Tb_KostenTypen[],2,0),VLOOKUP(F1392,Kostentypen!$A$3:$E$20,3,0))),"")</f>
        <v/>
      </c>
      <c r="O1392" s="324"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4"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3"/>
      <c r="R1392" s="363"/>
      <c r="S1392" s="325"/>
      <c r="T1392" s="325"/>
      <c r="U1392" s="317" t="str" cm="1">
        <f t="array" aca="1" ref="U1392" ca="1">IFERROR(IF(AA1392&lt;&gt;"ja",_xlfn.IFNA(_xlfn.IFS(AND(O1392&lt;&gt;"",F1392&lt;&gt;"",RIGHT($N1392,6)="tarief",F1392="Vergoeding"),SUM(O1392)*FLOOR(SUM(Q1392),0.0001),AND(O1392&lt;&gt;"",F1392&lt;&gt;"",RIGHT($N1392,6)="tarief"),SUM(O1392)*FLOOR(SUM(Q1392),0.01),S1392&gt;0,IF(F1392&lt;&gt;"",FLOOR(SUM(S1392),0.01),"")),""),""),"")</f>
        <v/>
      </c>
      <c r="V1392" s="317" t="str" cm="1">
        <f t="array" aca="1" ref="V1392" ca="1">IFERROR(IF(AA1392&lt;&gt;"ja",_xlfn.IFNA(_xlfn.IFS(AND(P1392&lt;&gt;"",R1392&lt;&gt;"",RIGHT($N1392,6)="tarief",F1392="Vergoeding"),SUM(P1392)*FLOOR(SUM(R1392),0.0001),AND(P1392&lt;&gt;"",R1392&lt;&gt;"",RIGHT($N1392,6)="tarief"),P1392*FLOOR(R1392,0.01),T1392&gt;0,FLOOR(SUM(T1392),0.01)),""),""),"")</f>
        <v/>
      </c>
      <c r="W1392" s="317" t="str" cm="1">
        <f t="array" aca="1" ref="W1392" ca="1">IFERROR(_xlfn.IFS(OR(F1392="",LEFT(Methode_Keuze,4)="Geen",Methode_Keuze=""),"",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17" t="str" cm="1">
        <f t="array" aca="1" ref="X1392" ca="1">IFERROR(_xlfn.IFS(OR(F1392="",LEFT(Methode_Keuze,4)="Geen",Methode_Keuze=""),"",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26"/>
      <c r="Z1392" s="319"/>
      <c r="AA1392" s="32" t="str" cm="1">
        <f t="array" ref="AA1392">IFERROR(IF(INDEX(SubsidieTabel!$AD$1:$AG$12,MATCH($F1392,SubsidieTabel!$AD$1:$AD$12,0),IFERROR(MATCH(Methode_Keuze,SubsidieTabel!$AD$1:$AG$1,0),2))&lt;&gt;1=TRUE,"ja",""),"")</f>
        <v/>
      </c>
    </row>
    <row r="1393" spans="1:27" x14ac:dyDescent="0.25">
      <c r="A1393" s="320"/>
      <c r="B1393" s="321" t="str">
        <f>IF(A1393&lt;&gt;"",_xlfn.MAXIFS($B$1:B1392,$A$1:A1392,A1393)+1,"")</f>
        <v/>
      </c>
      <c r="C1393" s="299"/>
      <c r="D1393" s="299"/>
      <c r="E1393" s="299"/>
      <c r="F1393" s="299"/>
      <c r="G1393" s="330"/>
      <c r="H1393" s="328"/>
      <c r="I1393" s="329"/>
      <c r="J1393" s="329"/>
      <c r="K1393" s="322"/>
      <c r="L1393" s="322"/>
      <c r="M1393" s="323" t="str">
        <f>IFERROR(VLOOKUP(H1393,Lijsten!$H$1:$I$100,2,0),"")</f>
        <v/>
      </c>
      <c r="N1393" s="323" t="str">
        <f ca="1">IFERROR(IF(VLOOKUP(F1393,Kostentypen!$A$3:$E$21,3,0)=0,"",IF(OR(F1393="Arbeidskosten",F1393="Vergoeding"),VLOOKUP(G1393,Tb_KostenTypen[],2,0),VLOOKUP(F1393,Kostentypen!$A$3:$E$20,3,0))),"")</f>
        <v/>
      </c>
      <c r="O1393" s="324"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4"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3"/>
      <c r="R1393" s="363"/>
      <c r="S1393" s="325"/>
      <c r="T1393" s="325"/>
      <c r="U1393" s="317" t="str" cm="1">
        <f t="array" aca="1" ref="U1393" ca="1">IFERROR(IF(AA1393&lt;&gt;"ja",_xlfn.IFNA(_xlfn.IFS(AND(O1393&lt;&gt;"",F1393&lt;&gt;"",RIGHT($N1393,6)="tarief",F1393="Vergoeding"),SUM(O1393)*FLOOR(SUM(Q1393),0.0001),AND(O1393&lt;&gt;"",F1393&lt;&gt;"",RIGHT($N1393,6)="tarief"),SUM(O1393)*FLOOR(SUM(Q1393),0.01),S1393&gt;0,IF(F1393&lt;&gt;"",FLOOR(SUM(S1393),0.01),"")),""),""),"")</f>
        <v/>
      </c>
      <c r="V1393" s="317" t="str" cm="1">
        <f t="array" aca="1" ref="V1393" ca="1">IFERROR(IF(AA1393&lt;&gt;"ja",_xlfn.IFNA(_xlfn.IFS(AND(P1393&lt;&gt;"",R1393&lt;&gt;"",RIGHT($N1393,6)="tarief",F1393="Vergoeding"),SUM(P1393)*FLOOR(SUM(R1393),0.0001),AND(P1393&lt;&gt;"",R1393&lt;&gt;"",RIGHT($N1393,6)="tarief"),P1393*FLOOR(R1393,0.01),T1393&gt;0,FLOOR(SUM(T1393),0.01)),""),""),"")</f>
        <v/>
      </c>
      <c r="W1393" s="317" t="str" cm="1">
        <f t="array" aca="1" ref="W1393" ca="1">IFERROR(_xlfn.IFS(OR(F1393="",LEFT(Methode_Keuze,4)="Geen",Methode_Keuze=""),"",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17" t="str" cm="1">
        <f t="array" aca="1" ref="X1393" ca="1">IFERROR(_xlfn.IFS(OR(F1393="",LEFT(Methode_Keuze,4)="Geen",Methode_Keuze=""),"",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26"/>
      <c r="Z1393" s="319"/>
      <c r="AA1393" s="32" t="str" cm="1">
        <f t="array" ref="AA1393">IFERROR(IF(INDEX(SubsidieTabel!$AD$1:$AG$12,MATCH($F1393,SubsidieTabel!$AD$1:$AD$12,0),IFERROR(MATCH(Methode_Keuze,SubsidieTabel!$AD$1:$AG$1,0),2))&lt;&gt;1=TRUE,"ja",""),"")</f>
        <v/>
      </c>
    </row>
    <row r="1394" spans="1:27" x14ac:dyDescent="0.25">
      <c r="A1394" s="320"/>
      <c r="B1394" s="321" t="str">
        <f>IF(A1394&lt;&gt;"",_xlfn.MAXIFS($B$1:B1393,$A$1:A1393,A1394)+1,"")</f>
        <v/>
      </c>
      <c r="C1394" s="299"/>
      <c r="D1394" s="299"/>
      <c r="E1394" s="299"/>
      <c r="F1394" s="299"/>
      <c r="G1394" s="330"/>
      <c r="H1394" s="328"/>
      <c r="I1394" s="329"/>
      <c r="J1394" s="329"/>
      <c r="K1394" s="322"/>
      <c r="L1394" s="322"/>
      <c r="M1394" s="323" t="str">
        <f>IFERROR(VLOOKUP(H1394,Lijsten!$H$1:$I$100,2,0),"")</f>
        <v/>
      </c>
      <c r="N1394" s="323" t="str">
        <f ca="1">IFERROR(IF(VLOOKUP(F1394,Kostentypen!$A$3:$E$21,3,0)=0,"",IF(OR(F1394="Arbeidskosten",F1394="Vergoeding"),VLOOKUP(G1394,Tb_KostenTypen[],2,0),VLOOKUP(F1394,Kostentypen!$A$3:$E$20,3,0))),"")</f>
        <v/>
      </c>
      <c r="O1394" s="324"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4"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3"/>
      <c r="R1394" s="363"/>
      <c r="S1394" s="325"/>
      <c r="T1394" s="325"/>
      <c r="U1394" s="317" t="str" cm="1">
        <f t="array" aca="1" ref="U1394" ca="1">IFERROR(IF(AA1394&lt;&gt;"ja",_xlfn.IFNA(_xlfn.IFS(AND(O1394&lt;&gt;"",F1394&lt;&gt;"",RIGHT($N1394,6)="tarief",F1394="Vergoeding"),SUM(O1394)*FLOOR(SUM(Q1394),0.0001),AND(O1394&lt;&gt;"",F1394&lt;&gt;"",RIGHT($N1394,6)="tarief"),SUM(O1394)*FLOOR(SUM(Q1394),0.01),S1394&gt;0,IF(F1394&lt;&gt;"",FLOOR(SUM(S1394),0.01),"")),""),""),"")</f>
        <v/>
      </c>
      <c r="V1394" s="317" t="str" cm="1">
        <f t="array" aca="1" ref="V1394" ca="1">IFERROR(IF(AA1394&lt;&gt;"ja",_xlfn.IFNA(_xlfn.IFS(AND(P1394&lt;&gt;"",R1394&lt;&gt;"",RIGHT($N1394,6)="tarief",F1394="Vergoeding"),SUM(P1394)*FLOOR(SUM(R1394),0.0001),AND(P1394&lt;&gt;"",R1394&lt;&gt;"",RIGHT($N1394,6)="tarief"),P1394*FLOOR(R1394,0.01),T1394&gt;0,FLOOR(SUM(T1394),0.01)),""),""),"")</f>
        <v/>
      </c>
      <c r="W1394" s="317" t="str" cm="1">
        <f t="array" aca="1" ref="W1394" ca="1">IFERROR(_xlfn.IFS(OR(F1394="",LEFT(Methode_Keuze,4)="Geen",Methode_Keuze=""),"",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17" t="str" cm="1">
        <f t="array" aca="1" ref="X1394" ca="1">IFERROR(_xlfn.IFS(OR(F1394="",LEFT(Methode_Keuze,4)="Geen",Methode_Keuze=""),"",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26"/>
      <c r="Z1394" s="319"/>
      <c r="AA1394" s="32" t="str" cm="1">
        <f t="array" ref="AA1394">IFERROR(IF(INDEX(SubsidieTabel!$AD$1:$AG$12,MATCH($F1394,SubsidieTabel!$AD$1:$AD$12,0),IFERROR(MATCH(Methode_Keuze,SubsidieTabel!$AD$1:$AG$1,0),2))&lt;&gt;1=TRUE,"ja",""),"")</f>
        <v/>
      </c>
    </row>
    <row r="1395" spans="1:27" x14ac:dyDescent="0.25">
      <c r="A1395" s="320"/>
      <c r="B1395" s="321" t="str">
        <f>IF(A1395&lt;&gt;"",_xlfn.MAXIFS($B$1:B1394,$A$1:A1394,A1395)+1,"")</f>
        <v/>
      </c>
      <c r="C1395" s="299"/>
      <c r="D1395" s="299"/>
      <c r="E1395" s="299"/>
      <c r="F1395" s="299"/>
      <c r="G1395" s="330"/>
      <c r="H1395" s="328"/>
      <c r="I1395" s="329"/>
      <c r="J1395" s="329"/>
      <c r="K1395" s="322"/>
      <c r="L1395" s="322"/>
      <c r="M1395" s="323" t="str">
        <f>IFERROR(VLOOKUP(H1395,Lijsten!$H$1:$I$100,2,0),"")</f>
        <v/>
      </c>
      <c r="N1395" s="323" t="str">
        <f ca="1">IFERROR(IF(VLOOKUP(F1395,Kostentypen!$A$3:$E$21,3,0)=0,"",IF(OR(F1395="Arbeidskosten",F1395="Vergoeding"),VLOOKUP(G1395,Tb_KostenTypen[],2,0),VLOOKUP(F1395,Kostentypen!$A$3:$E$20,3,0))),"")</f>
        <v/>
      </c>
      <c r="O1395" s="324"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4"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3"/>
      <c r="R1395" s="363"/>
      <c r="S1395" s="325"/>
      <c r="T1395" s="325"/>
      <c r="U1395" s="317" t="str" cm="1">
        <f t="array" aca="1" ref="U1395" ca="1">IFERROR(IF(AA1395&lt;&gt;"ja",_xlfn.IFNA(_xlfn.IFS(AND(O1395&lt;&gt;"",F1395&lt;&gt;"",RIGHT($N1395,6)="tarief",F1395="Vergoeding"),SUM(O1395)*FLOOR(SUM(Q1395),0.0001),AND(O1395&lt;&gt;"",F1395&lt;&gt;"",RIGHT($N1395,6)="tarief"),SUM(O1395)*FLOOR(SUM(Q1395),0.01),S1395&gt;0,IF(F1395&lt;&gt;"",FLOOR(SUM(S1395),0.01),"")),""),""),"")</f>
        <v/>
      </c>
      <c r="V1395" s="317" t="str" cm="1">
        <f t="array" aca="1" ref="V1395" ca="1">IFERROR(IF(AA1395&lt;&gt;"ja",_xlfn.IFNA(_xlfn.IFS(AND(P1395&lt;&gt;"",R1395&lt;&gt;"",RIGHT($N1395,6)="tarief",F1395="Vergoeding"),SUM(P1395)*FLOOR(SUM(R1395),0.0001),AND(P1395&lt;&gt;"",R1395&lt;&gt;"",RIGHT($N1395,6)="tarief"),P1395*FLOOR(R1395,0.01),T1395&gt;0,FLOOR(SUM(T1395),0.01)),""),""),"")</f>
        <v/>
      </c>
      <c r="W1395" s="317" t="str" cm="1">
        <f t="array" aca="1" ref="W1395" ca="1">IFERROR(_xlfn.IFS(OR(F1395="",LEFT(Methode_Keuze,4)="Geen",Methode_Keuze=""),"",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17" t="str" cm="1">
        <f t="array" aca="1" ref="X1395" ca="1">IFERROR(_xlfn.IFS(OR(F1395="",LEFT(Methode_Keuze,4)="Geen",Methode_Keuze=""),"",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26"/>
      <c r="Z1395" s="319"/>
      <c r="AA1395" s="32" t="str" cm="1">
        <f t="array" ref="AA1395">IFERROR(IF(INDEX(SubsidieTabel!$AD$1:$AG$12,MATCH($F1395,SubsidieTabel!$AD$1:$AD$12,0),IFERROR(MATCH(Methode_Keuze,SubsidieTabel!$AD$1:$AG$1,0),2))&lt;&gt;1=TRUE,"ja",""),"")</f>
        <v/>
      </c>
    </row>
    <row r="1396" spans="1:27" x14ac:dyDescent="0.25">
      <c r="A1396" s="320"/>
      <c r="B1396" s="321" t="str">
        <f>IF(A1396&lt;&gt;"",_xlfn.MAXIFS($B$1:B1395,$A$1:A1395,A1396)+1,"")</f>
        <v/>
      </c>
      <c r="C1396" s="299"/>
      <c r="D1396" s="299"/>
      <c r="E1396" s="299"/>
      <c r="F1396" s="299"/>
      <c r="G1396" s="330"/>
      <c r="H1396" s="328"/>
      <c r="I1396" s="329"/>
      <c r="J1396" s="329"/>
      <c r="K1396" s="322"/>
      <c r="L1396" s="322"/>
      <c r="M1396" s="323" t="str">
        <f>IFERROR(VLOOKUP(H1396,Lijsten!$H$1:$I$100,2,0),"")</f>
        <v/>
      </c>
      <c r="N1396" s="323" t="str">
        <f ca="1">IFERROR(IF(VLOOKUP(F1396,Kostentypen!$A$3:$E$21,3,0)=0,"",IF(OR(F1396="Arbeidskosten",F1396="Vergoeding"),VLOOKUP(G1396,Tb_KostenTypen[],2,0),VLOOKUP(F1396,Kostentypen!$A$3:$E$20,3,0))),"")</f>
        <v/>
      </c>
      <c r="O1396" s="324"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4"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3"/>
      <c r="R1396" s="363"/>
      <c r="S1396" s="325"/>
      <c r="T1396" s="325"/>
      <c r="U1396" s="317" t="str" cm="1">
        <f t="array" aca="1" ref="U1396" ca="1">IFERROR(IF(AA1396&lt;&gt;"ja",_xlfn.IFNA(_xlfn.IFS(AND(O1396&lt;&gt;"",F1396&lt;&gt;"",RIGHT($N1396,6)="tarief",F1396="Vergoeding"),SUM(O1396)*FLOOR(SUM(Q1396),0.0001),AND(O1396&lt;&gt;"",F1396&lt;&gt;"",RIGHT($N1396,6)="tarief"),SUM(O1396)*FLOOR(SUM(Q1396),0.01),S1396&gt;0,IF(F1396&lt;&gt;"",FLOOR(SUM(S1396),0.01),"")),""),""),"")</f>
        <v/>
      </c>
      <c r="V1396" s="317" t="str" cm="1">
        <f t="array" aca="1" ref="V1396" ca="1">IFERROR(IF(AA1396&lt;&gt;"ja",_xlfn.IFNA(_xlfn.IFS(AND(P1396&lt;&gt;"",R1396&lt;&gt;"",RIGHT($N1396,6)="tarief",F1396="Vergoeding"),SUM(P1396)*FLOOR(SUM(R1396),0.0001),AND(P1396&lt;&gt;"",R1396&lt;&gt;"",RIGHT($N1396,6)="tarief"),P1396*FLOOR(R1396,0.01),T1396&gt;0,FLOOR(SUM(T1396),0.01)),""),""),"")</f>
        <v/>
      </c>
      <c r="W1396" s="317" t="str" cm="1">
        <f t="array" aca="1" ref="W1396" ca="1">IFERROR(_xlfn.IFS(OR(F1396="",LEFT(Methode_Keuze,4)="Geen",Methode_Keuze=""),"",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17" t="str" cm="1">
        <f t="array" aca="1" ref="X1396" ca="1">IFERROR(_xlfn.IFS(OR(F1396="",LEFT(Methode_Keuze,4)="Geen",Methode_Keuze=""),"",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26"/>
      <c r="Z1396" s="319"/>
      <c r="AA1396" s="32" t="str" cm="1">
        <f t="array" ref="AA1396">IFERROR(IF(INDEX(SubsidieTabel!$AD$1:$AG$12,MATCH($F1396,SubsidieTabel!$AD$1:$AD$12,0),IFERROR(MATCH(Methode_Keuze,SubsidieTabel!$AD$1:$AG$1,0),2))&lt;&gt;1=TRUE,"ja",""),"")</f>
        <v/>
      </c>
    </row>
    <row r="1397" spans="1:27" x14ac:dyDescent="0.25">
      <c r="A1397" s="320"/>
      <c r="B1397" s="321" t="str">
        <f>IF(A1397&lt;&gt;"",_xlfn.MAXIFS($B$1:B1396,$A$1:A1396,A1397)+1,"")</f>
        <v/>
      </c>
      <c r="C1397" s="299"/>
      <c r="D1397" s="299"/>
      <c r="E1397" s="299"/>
      <c r="F1397" s="299"/>
      <c r="G1397" s="330"/>
      <c r="H1397" s="328"/>
      <c r="I1397" s="329"/>
      <c r="J1397" s="329"/>
      <c r="K1397" s="322"/>
      <c r="L1397" s="322"/>
      <c r="M1397" s="323" t="str">
        <f>IFERROR(VLOOKUP(H1397,Lijsten!$H$1:$I$100,2,0),"")</f>
        <v/>
      </c>
      <c r="N1397" s="323" t="str">
        <f ca="1">IFERROR(IF(VLOOKUP(F1397,Kostentypen!$A$3:$E$21,3,0)=0,"",IF(OR(F1397="Arbeidskosten",F1397="Vergoeding"),VLOOKUP(G1397,Tb_KostenTypen[],2,0),VLOOKUP(F1397,Kostentypen!$A$3:$E$20,3,0))),"")</f>
        <v/>
      </c>
      <c r="O1397" s="324"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4"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3"/>
      <c r="R1397" s="363"/>
      <c r="S1397" s="325"/>
      <c r="T1397" s="325"/>
      <c r="U1397" s="317" t="str" cm="1">
        <f t="array" aca="1" ref="U1397" ca="1">IFERROR(IF(AA1397&lt;&gt;"ja",_xlfn.IFNA(_xlfn.IFS(AND(O1397&lt;&gt;"",F1397&lt;&gt;"",RIGHT($N1397,6)="tarief",F1397="Vergoeding"),SUM(O1397)*FLOOR(SUM(Q1397),0.0001),AND(O1397&lt;&gt;"",F1397&lt;&gt;"",RIGHT($N1397,6)="tarief"),SUM(O1397)*FLOOR(SUM(Q1397),0.01),S1397&gt;0,IF(F1397&lt;&gt;"",FLOOR(SUM(S1397),0.01),"")),""),""),"")</f>
        <v/>
      </c>
      <c r="V1397" s="317" t="str" cm="1">
        <f t="array" aca="1" ref="V1397" ca="1">IFERROR(IF(AA1397&lt;&gt;"ja",_xlfn.IFNA(_xlfn.IFS(AND(P1397&lt;&gt;"",R1397&lt;&gt;"",RIGHT($N1397,6)="tarief",F1397="Vergoeding"),SUM(P1397)*FLOOR(SUM(R1397),0.0001),AND(P1397&lt;&gt;"",R1397&lt;&gt;"",RIGHT($N1397,6)="tarief"),P1397*FLOOR(R1397,0.01),T1397&gt;0,FLOOR(SUM(T1397),0.01)),""),""),"")</f>
        <v/>
      </c>
      <c r="W1397" s="317" t="str" cm="1">
        <f t="array" aca="1" ref="W1397" ca="1">IFERROR(_xlfn.IFS(OR(F1397="",LEFT(Methode_Keuze,4)="Geen",Methode_Keuze=""),"",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17" t="str" cm="1">
        <f t="array" aca="1" ref="X1397" ca="1">IFERROR(_xlfn.IFS(OR(F1397="",LEFT(Methode_Keuze,4)="Geen",Methode_Keuze=""),"",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26"/>
      <c r="Z1397" s="319"/>
      <c r="AA1397" s="32" t="str" cm="1">
        <f t="array" ref="AA1397">IFERROR(IF(INDEX(SubsidieTabel!$AD$1:$AG$12,MATCH($F1397,SubsidieTabel!$AD$1:$AD$12,0),IFERROR(MATCH(Methode_Keuze,SubsidieTabel!$AD$1:$AG$1,0),2))&lt;&gt;1=TRUE,"ja",""),"")</f>
        <v/>
      </c>
    </row>
    <row r="1398" spans="1:27" x14ac:dyDescent="0.25">
      <c r="A1398" s="320"/>
      <c r="B1398" s="321" t="str">
        <f>IF(A1398&lt;&gt;"",_xlfn.MAXIFS($B$1:B1397,$A$1:A1397,A1398)+1,"")</f>
        <v/>
      </c>
      <c r="C1398" s="299"/>
      <c r="D1398" s="299"/>
      <c r="E1398" s="299"/>
      <c r="F1398" s="299"/>
      <c r="G1398" s="330"/>
      <c r="H1398" s="328"/>
      <c r="I1398" s="329"/>
      <c r="J1398" s="329"/>
      <c r="K1398" s="322"/>
      <c r="L1398" s="322"/>
      <c r="M1398" s="323" t="str">
        <f>IFERROR(VLOOKUP(H1398,Lijsten!$H$1:$I$100,2,0),"")</f>
        <v/>
      </c>
      <c r="N1398" s="323" t="str">
        <f ca="1">IFERROR(IF(VLOOKUP(F1398,Kostentypen!$A$3:$E$21,3,0)=0,"",IF(OR(F1398="Arbeidskosten",F1398="Vergoeding"),VLOOKUP(G1398,Tb_KostenTypen[],2,0),VLOOKUP(F1398,Kostentypen!$A$3:$E$20,3,0))),"")</f>
        <v/>
      </c>
      <c r="O1398" s="324"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4"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3"/>
      <c r="R1398" s="363"/>
      <c r="S1398" s="325"/>
      <c r="T1398" s="325"/>
      <c r="U1398" s="317" t="str" cm="1">
        <f t="array" aca="1" ref="U1398" ca="1">IFERROR(IF(AA1398&lt;&gt;"ja",_xlfn.IFNA(_xlfn.IFS(AND(O1398&lt;&gt;"",F1398&lt;&gt;"",RIGHT($N1398,6)="tarief",F1398="Vergoeding"),SUM(O1398)*FLOOR(SUM(Q1398),0.0001),AND(O1398&lt;&gt;"",F1398&lt;&gt;"",RIGHT($N1398,6)="tarief"),SUM(O1398)*FLOOR(SUM(Q1398),0.01),S1398&gt;0,IF(F1398&lt;&gt;"",FLOOR(SUM(S1398),0.01),"")),""),""),"")</f>
        <v/>
      </c>
      <c r="V1398" s="317" t="str" cm="1">
        <f t="array" aca="1" ref="V1398" ca="1">IFERROR(IF(AA1398&lt;&gt;"ja",_xlfn.IFNA(_xlfn.IFS(AND(P1398&lt;&gt;"",R1398&lt;&gt;"",RIGHT($N1398,6)="tarief",F1398="Vergoeding"),SUM(P1398)*FLOOR(SUM(R1398),0.0001),AND(P1398&lt;&gt;"",R1398&lt;&gt;"",RIGHT($N1398,6)="tarief"),P1398*FLOOR(R1398,0.01),T1398&gt;0,FLOOR(SUM(T1398),0.01)),""),""),"")</f>
        <v/>
      </c>
      <c r="W1398" s="317" t="str" cm="1">
        <f t="array" aca="1" ref="W1398" ca="1">IFERROR(_xlfn.IFS(OR(F1398="",LEFT(Methode_Keuze,4)="Geen",Methode_Keuze=""),"",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17" t="str" cm="1">
        <f t="array" aca="1" ref="X1398" ca="1">IFERROR(_xlfn.IFS(OR(F1398="",LEFT(Methode_Keuze,4)="Geen",Methode_Keuze=""),"",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26"/>
      <c r="Z1398" s="319"/>
      <c r="AA1398" s="32" t="str" cm="1">
        <f t="array" ref="AA1398">IFERROR(IF(INDEX(SubsidieTabel!$AD$1:$AG$12,MATCH($F1398,SubsidieTabel!$AD$1:$AD$12,0),IFERROR(MATCH(Methode_Keuze,SubsidieTabel!$AD$1:$AG$1,0),2))&lt;&gt;1=TRUE,"ja",""),"")</f>
        <v/>
      </c>
    </row>
    <row r="1399" spans="1:27" x14ac:dyDescent="0.25">
      <c r="A1399" s="320"/>
      <c r="B1399" s="321" t="str">
        <f>IF(A1399&lt;&gt;"",_xlfn.MAXIFS($B$1:B1398,$A$1:A1398,A1399)+1,"")</f>
        <v/>
      </c>
      <c r="C1399" s="299"/>
      <c r="D1399" s="299"/>
      <c r="E1399" s="299"/>
      <c r="F1399" s="299"/>
      <c r="G1399" s="330"/>
      <c r="H1399" s="328"/>
      <c r="I1399" s="329"/>
      <c r="J1399" s="329"/>
      <c r="K1399" s="322"/>
      <c r="L1399" s="322"/>
      <c r="M1399" s="323" t="str">
        <f>IFERROR(VLOOKUP(H1399,Lijsten!$H$1:$I$100,2,0),"")</f>
        <v/>
      </c>
      <c r="N1399" s="323" t="str">
        <f ca="1">IFERROR(IF(VLOOKUP(F1399,Kostentypen!$A$3:$E$21,3,0)=0,"",IF(OR(F1399="Arbeidskosten",F1399="Vergoeding"),VLOOKUP(G1399,Tb_KostenTypen[],2,0),VLOOKUP(F1399,Kostentypen!$A$3:$E$20,3,0))),"")</f>
        <v/>
      </c>
      <c r="O1399" s="324"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4"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3"/>
      <c r="R1399" s="363"/>
      <c r="S1399" s="325"/>
      <c r="T1399" s="325"/>
      <c r="U1399" s="317" t="str" cm="1">
        <f t="array" aca="1" ref="U1399" ca="1">IFERROR(IF(AA1399&lt;&gt;"ja",_xlfn.IFNA(_xlfn.IFS(AND(O1399&lt;&gt;"",F1399&lt;&gt;"",RIGHT($N1399,6)="tarief",F1399="Vergoeding"),SUM(O1399)*FLOOR(SUM(Q1399),0.0001),AND(O1399&lt;&gt;"",F1399&lt;&gt;"",RIGHT($N1399,6)="tarief"),SUM(O1399)*FLOOR(SUM(Q1399),0.01),S1399&gt;0,IF(F1399&lt;&gt;"",FLOOR(SUM(S1399),0.01),"")),""),""),"")</f>
        <v/>
      </c>
      <c r="V1399" s="317" t="str" cm="1">
        <f t="array" aca="1" ref="V1399" ca="1">IFERROR(IF(AA1399&lt;&gt;"ja",_xlfn.IFNA(_xlfn.IFS(AND(P1399&lt;&gt;"",R1399&lt;&gt;"",RIGHT($N1399,6)="tarief",F1399="Vergoeding"),SUM(P1399)*FLOOR(SUM(R1399),0.0001),AND(P1399&lt;&gt;"",R1399&lt;&gt;"",RIGHT($N1399,6)="tarief"),P1399*FLOOR(R1399,0.01),T1399&gt;0,FLOOR(SUM(T1399),0.01)),""),""),"")</f>
        <v/>
      </c>
      <c r="W1399" s="317" t="str" cm="1">
        <f t="array" aca="1" ref="W1399" ca="1">IFERROR(_xlfn.IFS(OR(F1399="",LEFT(Methode_Keuze,4)="Geen",Methode_Keuze=""),"",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17" t="str" cm="1">
        <f t="array" aca="1" ref="X1399" ca="1">IFERROR(_xlfn.IFS(OR(F1399="",LEFT(Methode_Keuze,4)="Geen",Methode_Keuze=""),"",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26"/>
      <c r="Z1399" s="319"/>
      <c r="AA1399" s="32" t="str" cm="1">
        <f t="array" ref="AA1399">IFERROR(IF(INDEX(SubsidieTabel!$AD$1:$AG$12,MATCH($F1399,SubsidieTabel!$AD$1:$AD$12,0),IFERROR(MATCH(Methode_Keuze,SubsidieTabel!$AD$1:$AG$1,0),2))&lt;&gt;1=TRUE,"ja",""),"")</f>
        <v/>
      </c>
    </row>
    <row r="1400" spans="1:27" x14ac:dyDescent="0.25">
      <c r="A1400" s="320"/>
      <c r="B1400" s="321" t="str">
        <f>IF(A1400&lt;&gt;"",_xlfn.MAXIFS($B$1:B1399,$A$1:A1399,A1400)+1,"")</f>
        <v/>
      </c>
      <c r="C1400" s="299"/>
      <c r="D1400" s="299"/>
      <c r="E1400" s="299"/>
      <c r="F1400" s="299"/>
      <c r="G1400" s="330"/>
      <c r="H1400" s="328"/>
      <c r="I1400" s="329"/>
      <c r="J1400" s="329"/>
      <c r="K1400" s="322"/>
      <c r="L1400" s="322"/>
      <c r="M1400" s="323" t="str">
        <f>IFERROR(VLOOKUP(H1400,Lijsten!$H$1:$I$100,2,0),"")</f>
        <v/>
      </c>
      <c r="N1400" s="323" t="str">
        <f ca="1">IFERROR(IF(VLOOKUP(F1400,Kostentypen!$A$3:$E$21,3,0)=0,"",IF(OR(F1400="Arbeidskosten",F1400="Vergoeding"),VLOOKUP(G1400,Tb_KostenTypen[],2,0),VLOOKUP(F1400,Kostentypen!$A$3:$E$20,3,0))),"")</f>
        <v/>
      </c>
      <c r="O1400" s="324"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4"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3"/>
      <c r="R1400" s="363"/>
      <c r="S1400" s="325"/>
      <c r="T1400" s="325"/>
      <c r="U1400" s="317" t="str" cm="1">
        <f t="array" aca="1" ref="U1400" ca="1">IFERROR(IF(AA1400&lt;&gt;"ja",_xlfn.IFNA(_xlfn.IFS(AND(O1400&lt;&gt;"",F1400&lt;&gt;"",RIGHT($N1400,6)="tarief",F1400="Vergoeding"),SUM(O1400)*FLOOR(SUM(Q1400),0.0001),AND(O1400&lt;&gt;"",F1400&lt;&gt;"",RIGHT($N1400,6)="tarief"),SUM(O1400)*FLOOR(SUM(Q1400),0.01),S1400&gt;0,IF(F1400&lt;&gt;"",FLOOR(SUM(S1400),0.01),"")),""),""),"")</f>
        <v/>
      </c>
      <c r="V1400" s="317" t="str" cm="1">
        <f t="array" aca="1" ref="V1400" ca="1">IFERROR(IF(AA1400&lt;&gt;"ja",_xlfn.IFNA(_xlfn.IFS(AND(P1400&lt;&gt;"",R1400&lt;&gt;"",RIGHT($N1400,6)="tarief",F1400="Vergoeding"),SUM(P1400)*FLOOR(SUM(R1400),0.0001),AND(P1400&lt;&gt;"",R1400&lt;&gt;"",RIGHT($N1400,6)="tarief"),P1400*FLOOR(R1400,0.01),T1400&gt;0,FLOOR(SUM(T1400),0.01)),""),""),"")</f>
        <v/>
      </c>
      <c r="W1400" s="317" t="str" cm="1">
        <f t="array" aca="1" ref="W1400" ca="1">IFERROR(_xlfn.IFS(OR(F1400="",LEFT(Methode_Keuze,4)="Geen",Methode_Keuze=""),"",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17" t="str" cm="1">
        <f t="array" aca="1" ref="X1400" ca="1">IFERROR(_xlfn.IFS(OR(F1400="",LEFT(Methode_Keuze,4)="Geen",Methode_Keuze=""),"",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26"/>
      <c r="Z1400" s="319"/>
      <c r="AA1400" s="32" t="str" cm="1">
        <f t="array" ref="AA1400">IFERROR(IF(INDEX(SubsidieTabel!$AD$1:$AG$12,MATCH($F1400,SubsidieTabel!$AD$1:$AD$12,0),IFERROR(MATCH(Methode_Keuze,SubsidieTabel!$AD$1:$AG$1,0),2))&lt;&gt;1=TRUE,"ja",""),"")</f>
        <v/>
      </c>
    </row>
    <row r="1401" spans="1:27" x14ac:dyDescent="0.25">
      <c r="A1401" s="320"/>
      <c r="B1401" s="321" t="str">
        <f>IF(A1401&lt;&gt;"",_xlfn.MAXIFS($B$1:B1400,$A$1:A1400,A1401)+1,"")</f>
        <v/>
      </c>
      <c r="C1401" s="299"/>
      <c r="D1401" s="299"/>
      <c r="E1401" s="299"/>
      <c r="F1401" s="299"/>
      <c r="G1401" s="330"/>
      <c r="H1401" s="328"/>
      <c r="I1401" s="329"/>
      <c r="J1401" s="329"/>
      <c r="K1401" s="322"/>
      <c r="L1401" s="322"/>
      <c r="M1401" s="323" t="str">
        <f>IFERROR(VLOOKUP(H1401,Lijsten!$H$1:$I$100,2,0),"")</f>
        <v/>
      </c>
      <c r="N1401" s="323" t="str">
        <f ca="1">IFERROR(IF(VLOOKUP(F1401,Kostentypen!$A$3:$E$21,3,0)=0,"",IF(OR(F1401="Arbeidskosten",F1401="Vergoeding"),VLOOKUP(G1401,Tb_KostenTypen[],2,0),VLOOKUP(F1401,Kostentypen!$A$3:$E$20,3,0))),"")</f>
        <v/>
      </c>
      <c r="O1401" s="324"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4"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3"/>
      <c r="R1401" s="363"/>
      <c r="S1401" s="325"/>
      <c r="T1401" s="325"/>
      <c r="U1401" s="317" t="str" cm="1">
        <f t="array" aca="1" ref="U1401" ca="1">IFERROR(IF(AA1401&lt;&gt;"ja",_xlfn.IFNA(_xlfn.IFS(AND(O1401&lt;&gt;"",F1401&lt;&gt;"",RIGHT($N1401,6)="tarief",F1401="Vergoeding"),SUM(O1401)*FLOOR(SUM(Q1401),0.0001),AND(O1401&lt;&gt;"",F1401&lt;&gt;"",RIGHT($N1401,6)="tarief"),SUM(O1401)*FLOOR(SUM(Q1401),0.01),S1401&gt;0,IF(F1401&lt;&gt;"",FLOOR(SUM(S1401),0.01),"")),""),""),"")</f>
        <v/>
      </c>
      <c r="V1401" s="317" t="str" cm="1">
        <f t="array" aca="1" ref="V1401" ca="1">IFERROR(IF(AA1401&lt;&gt;"ja",_xlfn.IFNA(_xlfn.IFS(AND(P1401&lt;&gt;"",R1401&lt;&gt;"",RIGHT($N1401,6)="tarief",F1401="Vergoeding"),SUM(P1401)*FLOOR(SUM(R1401),0.0001),AND(P1401&lt;&gt;"",R1401&lt;&gt;"",RIGHT($N1401,6)="tarief"),P1401*FLOOR(R1401,0.01),T1401&gt;0,FLOOR(SUM(T1401),0.01)),""),""),"")</f>
        <v/>
      </c>
      <c r="W1401" s="317" t="str" cm="1">
        <f t="array" aca="1" ref="W1401" ca="1">IFERROR(_xlfn.IFS(OR(F1401="",LEFT(Methode_Keuze,4)="Geen",Methode_Keuze=""),"",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17" t="str" cm="1">
        <f t="array" aca="1" ref="X1401" ca="1">IFERROR(_xlfn.IFS(OR(F1401="",LEFT(Methode_Keuze,4)="Geen",Methode_Keuze=""),"",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26"/>
      <c r="Z1401" s="319"/>
      <c r="AA1401" s="32" t="str" cm="1">
        <f t="array" ref="AA1401">IFERROR(IF(INDEX(SubsidieTabel!$AD$1:$AG$12,MATCH($F1401,SubsidieTabel!$AD$1:$AD$12,0),IFERROR(MATCH(Methode_Keuze,SubsidieTabel!$AD$1:$AG$1,0),2))&lt;&gt;1=TRUE,"ja",""),"")</f>
        <v/>
      </c>
    </row>
    <row r="1402" spans="1:27" x14ac:dyDescent="0.25">
      <c r="A1402" s="320"/>
      <c r="B1402" s="321" t="str">
        <f>IF(A1402&lt;&gt;"",_xlfn.MAXIFS($B$1:B1401,$A$1:A1401,A1402)+1,"")</f>
        <v/>
      </c>
      <c r="C1402" s="299"/>
      <c r="D1402" s="299"/>
      <c r="E1402" s="299"/>
      <c r="F1402" s="299"/>
      <c r="G1402" s="330"/>
      <c r="H1402" s="328"/>
      <c r="I1402" s="329"/>
      <c r="J1402" s="329"/>
      <c r="K1402" s="322"/>
      <c r="L1402" s="322"/>
      <c r="M1402" s="323" t="str">
        <f>IFERROR(VLOOKUP(H1402,Lijsten!$H$1:$I$100,2,0),"")</f>
        <v/>
      </c>
      <c r="N1402" s="323" t="str">
        <f ca="1">IFERROR(IF(VLOOKUP(F1402,Kostentypen!$A$3:$E$21,3,0)=0,"",IF(OR(F1402="Arbeidskosten",F1402="Vergoeding"),VLOOKUP(G1402,Tb_KostenTypen[],2,0),VLOOKUP(F1402,Kostentypen!$A$3:$E$20,3,0))),"")</f>
        <v/>
      </c>
      <c r="O1402" s="324"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4"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3"/>
      <c r="R1402" s="363"/>
      <c r="S1402" s="325"/>
      <c r="T1402" s="325"/>
      <c r="U1402" s="317" t="str" cm="1">
        <f t="array" aca="1" ref="U1402" ca="1">IFERROR(IF(AA1402&lt;&gt;"ja",_xlfn.IFNA(_xlfn.IFS(AND(O1402&lt;&gt;"",F1402&lt;&gt;"",RIGHT($N1402,6)="tarief",F1402="Vergoeding"),SUM(O1402)*FLOOR(SUM(Q1402),0.0001),AND(O1402&lt;&gt;"",F1402&lt;&gt;"",RIGHT($N1402,6)="tarief"),SUM(O1402)*FLOOR(SUM(Q1402),0.01),S1402&gt;0,IF(F1402&lt;&gt;"",FLOOR(SUM(S1402),0.01),"")),""),""),"")</f>
        <v/>
      </c>
      <c r="V1402" s="317" t="str" cm="1">
        <f t="array" aca="1" ref="V1402" ca="1">IFERROR(IF(AA1402&lt;&gt;"ja",_xlfn.IFNA(_xlfn.IFS(AND(P1402&lt;&gt;"",R1402&lt;&gt;"",RIGHT($N1402,6)="tarief",F1402="Vergoeding"),SUM(P1402)*FLOOR(SUM(R1402),0.0001),AND(P1402&lt;&gt;"",R1402&lt;&gt;"",RIGHT($N1402,6)="tarief"),P1402*FLOOR(R1402,0.01),T1402&gt;0,FLOOR(SUM(T1402),0.01)),""),""),"")</f>
        <v/>
      </c>
      <c r="W1402" s="317" t="str" cm="1">
        <f t="array" aca="1" ref="W1402" ca="1">IFERROR(_xlfn.IFS(OR(F1402="",LEFT(Methode_Keuze,4)="Geen",Methode_Keuze=""),"",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17" t="str" cm="1">
        <f t="array" aca="1" ref="X1402" ca="1">IFERROR(_xlfn.IFS(OR(F1402="",LEFT(Methode_Keuze,4)="Geen",Methode_Keuze=""),"",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26"/>
      <c r="Z1402" s="319"/>
      <c r="AA1402" s="32" t="str" cm="1">
        <f t="array" ref="AA1402">IFERROR(IF(INDEX(SubsidieTabel!$AD$1:$AG$12,MATCH($F1402,SubsidieTabel!$AD$1:$AD$12,0),IFERROR(MATCH(Methode_Keuze,SubsidieTabel!$AD$1:$AG$1,0),2))&lt;&gt;1=TRUE,"ja",""),"")</f>
        <v/>
      </c>
    </row>
    <row r="1403" spans="1:27" x14ac:dyDescent="0.25">
      <c r="A1403" s="320"/>
      <c r="B1403" s="321" t="str">
        <f>IF(A1403&lt;&gt;"",_xlfn.MAXIFS($B$1:B1402,$A$1:A1402,A1403)+1,"")</f>
        <v/>
      </c>
      <c r="C1403" s="299"/>
      <c r="D1403" s="299"/>
      <c r="E1403" s="299"/>
      <c r="F1403" s="299"/>
      <c r="G1403" s="330"/>
      <c r="H1403" s="328"/>
      <c r="I1403" s="329"/>
      <c r="J1403" s="329"/>
      <c r="K1403" s="322"/>
      <c r="L1403" s="322"/>
      <c r="M1403" s="323" t="str">
        <f>IFERROR(VLOOKUP(H1403,Lijsten!$H$1:$I$100,2,0),"")</f>
        <v/>
      </c>
      <c r="N1403" s="323" t="str">
        <f ca="1">IFERROR(IF(VLOOKUP(F1403,Kostentypen!$A$3:$E$21,3,0)=0,"",IF(OR(F1403="Arbeidskosten",F1403="Vergoeding"),VLOOKUP(G1403,Tb_KostenTypen[],2,0),VLOOKUP(F1403,Kostentypen!$A$3:$E$20,3,0))),"")</f>
        <v/>
      </c>
      <c r="O1403" s="324"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4"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3"/>
      <c r="R1403" s="363"/>
      <c r="S1403" s="325"/>
      <c r="T1403" s="325"/>
      <c r="U1403" s="317" t="str" cm="1">
        <f t="array" aca="1" ref="U1403" ca="1">IFERROR(IF(AA1403&lt;&gt;"ja",_xlfn.IFNA(_xlfn.IFS(AND(O1403&lt;&gt;"",F1403&lt;&gt;"",RIGHT($N1403,6)="tarief",F1403="Vergoeding"),SUM(O1403)*FLOOR(SUM(Q1403),0.0001),AND(O1403&lt;&gt;"",F1403&lt;&gt;"",RIGHT($N1403,6)="tarief"),SUM(O1403)*FLOOR(SUM(Q1403),0.01),S1403&gt;0,IF(F1403&lt;&gt;"",FLOOR(SUM(S1403),0.01),"")),""),""),"")</f>
        <v/>
      </c>
      <c r="V1403" s="317" t="str" cm="1">
        <f t="array" aca="1" ref="V1403" ca="1">IFERROR(IF(AA1403&lt;&gt;"ja",_xlfn.IFNA(_xlfn.IFS(AND(P1403&lt;&gt;"",R1403&lt;&gt;"",RIGHT($N1403,6)="tarief",F1403="Vergoeding"),SUM(P1403)*FLOOR(SUM(R1403),0.0001),AND(P1403&lt;&gt;"",R1403&lt;&gt;"",RIGHT($N1403,6)="tarief"),P1403*FLOOR(R1403,0.01),T1403&gt;0,FLOOR(SUM(T1403),0.01)),""),""),"")</f>
        <v/>
      </c>
      <c r="W1403" s="317" t="str" cm="1">
        <f t="array" aca="1" ref="W1403" ca="1">IFERROR(_xlfn.IFS(OR(F1403="",LEFT(Methode_Keuze,4)="Geen",Methode_Keuze=""),"",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17" t="str" cm="1">
        <f t="array" aca="1" ref="X1403" ca="1">IFERROR(_xlfn.IFS(OR(F1403="",LEFT(Methode_Keuze,4)="Geen",Methode_Keuze=""),"",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26"/>
      <c r="Z1403" s="319"/>
      <c r="AA1403" s="32" t="str" cm="1">
        <f t="array" ref="AA1403">IFERROR(IF(INDEX(SubsidieTabel!$AD$1:$AG$12,MATCH($F1403,SubsidieTabel!$AD$1:$AD$12,0),IFERROR(MATCH(Methode_Keuze,SubsidieTabel!$AD$1:$AG$1,0),2))&lt;&gt;1=TRUE,"ja",""),"")</f>
        <v/>
      </c>
    </row>
    <row r="1404" spans="1:27" x14ac:dyDescent="0.25">
      <c r="A1404" s="320"/>
      <c r="B1404" s="321" t="str">
        <f>IF(A1404&lt;&gt;"",_xlfn.MAXIFS($B$1:B1403,$A$1:A1403,A1404)+1,"")</f>
        <v/>
      </c>
      <c r="C1404" s="299"/>
      <c r="D1404" s="299"/>
      <c r="E1404" s="299"/>
      <c r="F1404" s="299"/>
      <c r="G1404" s="330"/>
      <c r="H1404" s="328"/>
      <c r="I1404" s="329"/>
      <c r="J1404" s="329"/>
      <c r="K1404" s="322"/>
      <c r="L1404" s="322"/>
      <c r="M1404" s="323" t="str">
        <f>IFERROR(VLOOKUP(H1404,Lijsten!$H$1:$I$100,2,0),"")</f>
        <v/>
      </c>
      <c r="N1404" s="323" t="str">
        <f ca="1">IFERROR(IF(VLOOKUP(F1404,Kostentypen!$A$3:$E$21,3,0)=0,"",IF(OR(F1404="Arbeidskosten",F1404="Vergoeding"),VLOOKUP(G1404,Tb_KostenTypen[],2,0),VLOOKUP(F1404,Kostentypen!$A$3:$E$20,3,0))),"")</f>
        <v/>
      </c>
      <c r="O1404" s="324"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4"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3"/>
      <c r="R1404" s="363"/>
      <c r="S1404" s="325"/>
      <c r="T1404" s="325"/>
      <c r="U1404" s="317" t="str" cm="1">
        <f t="array" aca="1" ref="U1404" ca="1">IFERROR(IF(AA1404&lt;&gt;"ja",_xlfn.IFNA(_xlfn.IFS(AND(O1404&lt;&gt;"",F1404&lt;&gt;"",RIGHT($N1404,6)="tarief",F1404="Vergoeding"),SUM(O1404)*FLOOR(SUM(Q1404),0.0001),AND(O1404&lt;&gt;"",F1404&lt;&gt;"",RIGHT($N1404,6)="tarief"),SUM(O1404)*FLOOR(SUM(Q1404),0.01),S1404&gt;0,IF(F1404&lt;&gt;"",FLOOR(SUM(S1404),0.01),"")),""),""),"")</f>
        <v/>
      </c>
      <c r="V1404" s="317" t="str" cm="1">
        <f t="array" aca="1" ref="V1404" ca="1">IFERROR(IF(AA1404&lt;&gt;"ja",_xlfn.IFNA(_xlfn.IFS(AND(P1404&lt;&gt;"",R1404&lt;&gt;"",RIGHT($N1404,6)="tarief",F1404="Vergoeding"),SUM(P1404)*FLOOR(SUM(R1404),0.0001),AND(P1404&lt;&gt;"",R1404&lt;&gt;"",RIGHT($N1404,6)="tarief"),P1404*FLOOR(R1404,0.01),T1404&gt;0,FLOOR(SUM(T1404),0.01)),""),""),"")</f>
        <v/>
      </c>
      <c r="W1404" s="317" t="str" cm="1">
        <f t="array" aca="1" ref="W1404" ca="1">IFERROR(_xlfn.IFS(OR(F1404="",LEFT(Methode_Keuze,4)="Geen",Methode_Keuze=""),"",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17" t="str" cm="1">
        <f t="array" aca="1" ref="X1404" ca="1">IFERROR(_xlfn.IFS(OR(F1404="",LEFT(Methode_Keuze,4)="Geen",Methode_Keuze=""),"",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26"/>
      <c r="Z1404" s="319"/>
      <c r="AA1404" s="32" t="str" cm="1">
        <f t="array" ref="AA1404">IFERROR(IF(INDEX(SubsidieTabel!$AD$1:$AG$12,MATCH($F1404,SubsidieTabel!$AD$1:$AD$12,0),IFERROR(MATCH(Methode_Keuze,SubsidieTabel!$AD$1:$AG$1,0),2))&lt;&gt;1=TRUE,"ja",""),"")</f>
        <v/>
      </c>
    </row>
    <row r="1405" spans="1:27" x14ac:dyDescent="0.25">
      <c r="A1405" s="320"/>
      <c r="B1405" s="321" t="str">
        <f>IF(A1405&lt;&gt;"",_xlfn.MAXIFS($B$1:B1404,$A$1:A1404,A1405)+1,"")</f>
        <v/>
      </c>
      <c r="C1405" s="299"/>
      <c r="D1405" s="299"/>
      <c r="E1405" s="299"/>
      <c r="F1405" s="299"/>
      <c r="G1405" s="330"/>
      <c r="H1405" s="328"/>
      <c r="I1405" s="329"/>
      <c r="J1405" s="329"/>
      <c r="K1405" s="322"/>
      <c r="L1405" s="322"/>
      <c r="M1405" s="323" t="str">
        <f>IFERROR(VLOOKUP(H1405,Lijsten!$H$1:$I$100,2,0),"")</f>
        <v/>
      </c>
      <c r="N1405" s="323" t="str">
        <f ca="1">IFERROR(IF(VLOOKUP(F1405,Kostentypen!$A$3:$E$21,3,0)=0,"",IF(OR(F1405="Arbeidskosten",F1405="Vergoeding"),VLOOKUP(G1405,Tb_KostenTypen[],2,0),VLOOKUP(F1405,Kostentypen!$A$3:$E$20,3,0))),"")</f>
        <v/>
      </c>
      <c r="O1405" s="324"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4"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3"/>
      <c r="R1405" s="363"/>
      <c r="S1405" s="325"/>
      <c r="T1405" s="325"/>
      <c r="U1405" s="317" t="str" cm="1">
        <f t="array" aca="1" ref="U1405" ca="1">IFERROR(IF(AA1405&lt;&gt;"ja",_xlfn.IFNA(_xlfn.IFS(AND(O1405&lt;&gt;"",F1405&lt;&gt;"",RIGHT($N1405,6)="tarief",F1405="Vergoeding"),SUM(O1405)*FLOOR(SUM(Q1405),0.0001),AND(O1405&lt;&gt;"",F1405&lt;&gt;"",RIGHT($N1405,6)="tarief"),SUM(O1405)*FLOOR(SUM(Q1405),0.01),S1405&gt;0,IF(F1405&lt;&gt;"",FLOOR(SUM(S1405),0.01),"")),""),""),"")</f>
        <v/>
      </c>
      <c r="V1405" s="317" t="str" cm="1">
        <f t="array" aca="1" ref="V1405" ca="1">IFERROR(IF(AA1405&lt;&gt;"ja",_xlfn.IFNA(_xlfn.IFS(AND(P1405&lt;&gt;"",R1405&lt;&gt;"",RIGHT($N1405,6)="tarief",F1405="Vergoeding"),SUM(P1405)*FLOOR(SUM(R1405),0.0001),AND(P1405&lt;&gt;"",R1405&lt;&gt;"",RIGHT($N1405,6)="tarief"),P1405*FLOOR(R1405,0.01),T1405&gt;0,FLOOR(SUM(T1405),0.01)),""),""),"")</f>
        <v/>
      </c>
      <c r="W1405" s="317" t="str" cm="1">
        <f t="array" aca="1" ref="W1405" ca="1">IFERROR(_xlfn.IFS(OR(F1405="",LEFT(Methode_Keuze,4)="Geen",Methode_Keuze=""),"",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17" t="str" cm="1">
        <f t="array" aca="1" ref="X1405" ca="1">IFERROR(_xlfn.IFS(OR(F1405="",LEFT(Methode_Keuze,4)="Geen",Methode_Keuze=""),"",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26"/>
      <c r="Z1405" s="319"/>
      <c r="AA1405" s="32" t="str" cm="1">
        <f t="array" ref="AA1405">IFERROR(IF(INDEX(SubsidieTabel!$AD$1:$AG$12,MATCH($F1405,SubsidieTabel!$AD$1:$AD$12,0),IFERROR(MATCH(Methode_Keuze,SubsidieTabel!$AD$1:$AG$1,0),2))&lt;&gt;1=TRUE,"ja",""),"")</f>
        <v/>
      </c>
    </row>
    <row r="1406" spans="1:27" x14ac:dyDescent="0.25">
      <c r="A1406" s="320"/>
      <c r="B1406" s="321" t="str">
        <f>IF(A1406&lt;&gt;"",_xlfn.MAXIFS($B$1:B1405,$A$1:A1405,A1406)+1,"")</f>
        <v/>
      </c>
      <c r="C1406" s="299"/>
      <c r="D1406" s="299"/>
      <c r="E1406" s="299"/>
      <c r="F1406" s="299"/>
      <c r="G1406" s="330"/>
      <c r="H1406" s="328"/>
      <c r="I1406" s="329"/>
      <c r="J1406" s="329"/>
      <c r="K1406" s="322"/>
      <c r="L1406" s="322"/>
      <c r="M1406" s="323" t="str">
        <f>IFERROR(VLOOKUP(H1406,Lijsten!$H$1:$I$100,2,0),"")</f>
        <v/>
      </c>
      <c r="N1406" s="323" t="str">
        <f ca="1">IFERROR(IF(VLOOKUP(F1406,Kostentypen!$A$3:$E$21,3,0)=0,"",IF(OR(F1406="Arbeidskosten",F1406="Vergoeding"),VLOOKUP(G1406,Tb_KostenTypen[],2,0),VLOOKUP(F1406,Kostentypen!$A$3:$E$20,3,0))),"")</f>
        <v/>
      </c>
      <c r="O1406" s="324"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4"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3"/>
      <c r="R1406" s="363"/>
      <c r="S1406" s="325"/>
      <c r="T1406" s="325"/>
      <c r="U1406" s="317" t="str" cm="1">
        <f t="array" aca="1" ref="U1406" ca="1">IFERROR(IF(AA1406&lt;&gt;"ja",_xlfn.IFNA(_xlfn.IFS(AND(O1406&lt;&gt;"",F1406&lt;&gt;"",RIGHT($N1406,6)="tarief",F1406="Vergoeding"),SUM(O1406)*FLOOR(SUM(Q1406),0.0001),AND(O1406&lt;&gt;"",F1406&lt;&gt;"",RIGHT($N1406,6)="tarief"),SUM(O1406)*FLOOR(SUM(Q1406),0.01),S1406&gt;0,IF(F1406&lt;&gt;"",FLOOR(SUM(S1406),0.01),"")),""),""),"")</f>
        <v/>
      </c>
      <c r="V1406" s="317" t="str" cm="1">
        <f t="array" aca="1" ref="V1406" ca="1">IFERROR(IF(AA1406&lt;&gt;"ja",_xlfn.IFNA(_xlfn.IFS(AND(P1406&lt;&gt;"",R1406&lt;&gt;"",RIGHT($N1406,6)="tarief",F1406="Vergoeding"),SUM(P1406)*FLOOR(SUM(R1406),0.0001),AND(P1406&lt;&gt;"",R1406&lt;&gt;"",RIGHT($N1406,6)="tarief"),P1406*FLOOR(R1406,0.01),T1406&gt;0,FLOOR(SUM(T1406),0.01)),""),""),"")</f>
        <v/>
      </c>
      <c r="W1406" s="317" t="str" cm="1">
        <f t="array" aca="1" ref="W1406" ca="1">IFERROR(_xlfn.IFS(OR(F1406="",LEFT(Methode_Keuze,4)="Geen",Methode_Keuze=""),"",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17" t="str" cm="1">
        <f t="array" aca="1" ref="X1406" ca="1">IFERROR(_xlfn.IFS(OR(F1406="",LEFT(Methode_Keuze,4)="Geen",Methode_Keuze=""),"",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26"/>
      <c r="Z1406" s="319"/>
      <c r="AA1406" s="32" t="str" cm="1">
        <f t="array" ref="AA1406">IFERROR(IF(INDEX(SubsidieTabel!$AD$1:$AG$12,MATCH($F1406,SubsidieTabel!$AD$1:$AD$12,0),IFERROR(MATCH(Methode_Keuze,SubsidieTabel!$AD$1:$AG$1,0),2))&lt;&gt;1=TRUE,"ja",""),"")</f>
        <v/>
      </c>
    </row>
    <row r="1407" spans="1:27" x14ac:dyDescent="0.25">
      <c r="A1407" s="320"/>
      <c r="B1407" s="321" t="str">
        <f>IF(A1407&lt;&gt;"",_xlfn.MAXIFS($B$1:B1406,$A$1:A1406,A1407)+1,"")</f>
        <v/>
      </c>
      <c r="C1407" s="299"/>
      <c r="D1407" s="299"/>
      <c r="E1407" s="299"/>
      <c r="F1407" s="299"/>
      <c r="G1407" s="330"/>
      <c r="H1407" s="328"/>
      <c r="I1407" s="329"/>
      <c r="J1407" s="329"/>
      <c r="K1407" s="322"/>
      <c r="L1407" s="322"/>
      <c r="M1407" s="323" t="str">
        <f>IFERROR(VLOOKUP(H1407,Lijsten!$H$1:$I$100,2,0),"")</f>
        <v/>
      </c>
      <c r="N1407" s="323" t="str">
        <f ca="1">IFERROR(IF(VLOOKUP(F1407,Kostentypen!$A$3:$E$21,3,0)=0,"",IF(OR(F1407="Arbeidskosten",F1407="Vergoeding"),VLOOKUP(G1407,Tb_KostenTypen[],2,0),VLOOKUP(F1407,Kostentypen!$A$3:$E$20,3,0))),"")</f>
        <v/>
      </c>
      <c r="O1407" s="324"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4"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3"/>
      <c r="R1407" s="363"/>
      <c r="S1407" s="325"/>
      <c r="T1407" s="325"/>
      <c r="U1407" s="317" t="str" cm="1">
        <f t="array" aca="1" ref="U1407" ca="1">IFERROR(IF(AA1407&lt;&gt;"ja",_xlfn.IFNA(_xlfn.IFS(AND(O1407&lt;&gt;"",F1407&lt;&gt;"",RIGHT($N1407,6)="tarief",F1407="Vergoeding"),SUM(O1407)*FLOOR(SUM(Q1407),0.0001),AND(O1407&lt;&gt;"",F1407&lt;&gt;"",RIGHT($N1407,6)="tarief"),SUM(O1407)*FLOOR(SUM(Q1407),0.01),S1407&gt;0,IF(F1407&lt;&gt;"",FLOOR(SUM(S1407),0.01),"")),""),""),"")</f>
        <v/>
      </c>
      <c r="V1407" s="317" t="str" cm="1">
        <f t="array" aca="1" ref="V1407" ca="1">IFERROR(IF(AA1407&lt;&gt;"ja",_xlfn.IFNA(_xlfn.IFS(AND(P1407&lt;&gt;"",R1407&lt;&gt;"",RIGHT($N1407,6)="tarief",F1407="Vergoeding"),SUM(P1407)*FLOOR(SUM(R1407),0.0001),AND(P1407&lt;&gt;"",R1407&lt;&gt;"",RIGHT($N1407,6)="tarief"),P1407*FLOOR(R1407,0.01),T1407&gt;0,FLOOR(SUM(T1407),0.01)),""),""),"")</f>
        <v/>
      </c>
      <c r="W1407" s="317" t="str" cm="1">
        <f t="array" aca="1" ref="W1407" ca="1">IFERROR(_xlfn.IFS(OR(F1407="",LEFT(Methode_Keuze,4)="Geen",Methode_Keuze=""),"",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17" t="str" cm="1">
        <f t="array" aca="1" ref="X1407" ca="1">IFERROR(_xlfn.IFS(OR(F1407="",LEFT(Methode_Keuze,4)="Geen",Methode_Keuze=""),"",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26"/>
      <c r="Z1407" s="319"/>
      <c r="AA1407" s="32" t="str" cm="1">
        <f t="array" ref="AA1407">IFERROR(IF(INDEX(SubsidieTabel!$AD$1:$AG$12,MATCH($F1407,SubsidieTabel!$AD$1:$AD$12,0),IFERROR(MATCH(Methode_Keuze,SubsidieTabel!$AD$1:$AG$1,0),2))&lt;&gt;1=TRUE,"ja",""),"")</f>
        <v/>
      </c>
    </row>
    <row r="1408" spans="1:27" x14ac:dyDescent="0.25">
      <c r="A1408" s="320"/>
      <c r="B1408" s="321" t="str">
        <f>IF(A1408&lt;&gt;"",_xlfn.MAXIFS($B$1:B1407,$A$1:A1407,A1408)+1,"")</f>
        <v/>
      </c>
      <c r="C1408" s="299"/>
      <c r="D1408" s="299"/>
      <c r="E1408" s="299"/>
      <c r="F1408" s="299"/>
      <c r="G1408" s="330"/>
      <c r="H1408" s="328"/>
      <c r="I1408" s="329"/>
      <c r="J1408" s="329"/>
      <c r="K1408" s="322"/>
      <c r="L1408" s="322"/>
      <c r="M1408" s="323" t="str">
        <f>IFERROR(VLOOKUP(H1408,Lijsten!$H$1:$I$100,2,0),"")</f>
        <v/>
      </c>
      <c r="N1408" s="323" t="str">
        <f ca="1">IFERROR(IF(VLOOKUP(F1408,Kostentypen!$A$3:$E$21,3,0)=0,"",IF(OR(F1408="Arbeidskosten",F1408="Vergoeding"),VLOOKUP(G1408,Tb_KostenTypen[],2,0),VLOOKUP(F1408,Kostentypen!$A$3:$E$20,3,0))),"")</f>
        <v/>
      </c>
      <c r="O1408" s="324"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4"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3"/>
      <c r="R1408" s="363"/>
      <c r="S1408" s="325"/>
      <c r="T1408" s="325"/>
      <c r="U1408" s="317" t="str" cm="1">
        <f t="array" aca="1" ref="U1408" ca="1">IFERROR(IF(AA1408&lt;&gt;"ja",_xlfn.IFNA(_xlfn.IFS(AND(O1408&lt;&gt;"",F1408&lt;&gt;"",RIGHT($N1408,6)="tarief",F1408="Vergoeding"),SUM(O1408)*FLOOR(SUM(Q1408),0.0001),AND(O1408&lt;&gt;"",F1408&lt;&gt;"",RIGHT($N1408,6)="tarief"),SUM(O1408)*FLOOR(SUM(Q1408),0.01),S1408&gt;0,IF(F1408&lt;&gt;"",FLOOR(SUM(S1408),0.01),"")),""),""),"")</f>
        <v/>
      </c>
      <c r="V1408" s="317" t="str" cm="1">
        <f t="array" aca="1" ref="V1408" ca="1">IFERROR(IF(AA1408&lt;&gt;"ja",_xlfn.IFNA(_xlfn.IFS(AND(P1408&lt;&gt;"",R1408&lt;&gt;"",RIGHT($N1408,6)="tarief",F1408="Vergoeding"),SUM(P1408)*FLOOR(SUM(R1408),0.0001),AND(P1408&lt;&gt;"",R1408&lt;&gt;"",RIGHT($N1408,6)="tarief"),P1408*FLOOR(R1408,0.01),T1408&gt;0,FLOOR(SUM(T1408),0.01)),""),""),"")</f>
        <v/>
      </c>
      <c r="W1408" s="317" t="str" cm="1">
        <f t="array" aca="1" ref="W1408" ca="1">IFERROR(_xlfn.IFS(OR(F1408="",LEFT(Methode_Keuze,4)="Geen",Methode_Keuze=""),"",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17" t="str" cm="1">
        <f t="array" aca="1" ref="X1408" ca="1">IFERROR(_xlfn.IFS(OR(F1408="",LEFT(Methode_Keuze,4)="Geen",Methode_Keuze=""),"",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26"/>
      <c r="Z1408" s="319"/>
      <c r="AA1408" s="32" t="str" cm="1">
        <f t="array" ref="AA1408">IFERROR(IF(INDEX(SubsidieTabel!$AD$1:$AG$12,MATCH($F1408,SubsidieTabel!$AD$1:$AD$12,0),IFERROR(MATCH(Methode_Keuze,SubsidieTabel!$AD$1:$AG$1,0),2))&lt;&gt;1=TRUE,"ja",""),"")</f>
        <v/>
      </c>
    </row>
    <row r="1409" spans="1:27" x14ac:dyDescent="0.25">
      <c r="A1409" s="320"/>
      <c r="B1409" s="321" t="str">
        <f>IF(A1409&lt;&gt;"",_xlfn.MAXIFS($B$1:B1408,$A$1:A1408,A1409)+1,"")</f>
        <v/>
      </c>
      <c r="C1409" s="299"/>
      <c r="D1409" s="299"/>
      <c r="E1409" s="299"/>
      <c r="F1409" s="299"/>
      <c r="G1409" s="330"/>
      <c r="H1409" s="328"/>
      <c r="I1409" s="329"/>
      <c r="J1409" s="329"/>
      <c r="K1409" s="322"/>
      <c r="L1409" s="322"/>
      <c r="M1409" s="323" t="str">
        <f>IFERROR(VLOOKUP(H1409,Lijsten!$H$1:$I$100,2,0),"")</f>
        <v/>
      </c>
      <c r="N1409" s="323" t="str">
        <f ca="1">IFERROR(IF(VLOOKUP(F1409,Kostentypen!$A$3:$E$21,3,0)=0,"",IF(OR(F1409="Arbeidskosten",F1409="Vergoeding"),VLOOKUP(G1409,Tb_KostenTypen[],2,0),VLOOKUP(F1409,Kostentypen!$A$3:$E$20,3,0))),"")</f>
        <v/>
      </c>
      <c r="O1409" s="324"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4"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3"/>
      <c r="R1409" s="363"/>
      <c r="S1409" s="325"/>
      <c r="T1409" s="325"/>
      <c r="U1409" s="317" t="str" cm="1">
        <f t="array" aca="1" ref="U1409" ca="1">IFERROR(IF(AA1409&lt;&gt;"ja",_xlfn.IFNA(_xlfn.IFS(AND(O1409&lt;&gt;"",F1409&lt;&gt;"",RIGHT($N1409,6)="tarief",F1409="Vergoeding"),SUM(O1409)*FLOOR(SUM(Q1409),0.0001),AND(O1409&lt;&gt;"",F1409&lt;&gt;"",RIGHT($N1409,6)="tarief"),SUM(O1409)*FLOOR(SUM(Q1409),0.01),S1409&gt;0,IF(F1409&lt;&gt;"",FLOOR(SUM(S1409),0.01),"")),""),""),"")</f>
        <v/>
      </c>
      <c r="V1409" s="317" t="str" cm="1">
        <f t="array" aca="1" ref="V1409" ca="1">IFERROR(IF(AA1409&lt;&gt;"ja",_xlfn.IFNA(_xlfn.IFS(AND(P1409&lt;&gt;"",R1409&lt;&gt;"",RIGHT($N1409,6)="tarief",F1409="Vergoeding"),SUM(P1409)*FLOOR(SUM(R1409),0.0001),AND(P1409&lt;&gt;"",R1409&lt;&gt;"",RIGHT($N1409,6)="tarief"),P1409*FLOOR(R1409,0.01),T1409&gt;0,FLOOR(SUM(T1409),0.01)),""),""),"")</f>
        <v/>
      </c>
      <c r="W1409" s="317" t="str" cm="1">
        <f t="array" aca="1" ref="W1409" ca="1">IFERROR(_xlfn.IFS(OR(F1409="",LEFT(Methode_Keuze,4)="Geen",Methode_Keuze=""),"",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17" t="str" cm="1">
        <f t="array" aca="1" ref="X1409" ca="1">IFERROR(_xlfn.IFS(OR(F1409="",LEFT(Methode_Keuze,4)="Geen",Methode_Keuze=""),"",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26"/>
      <c r="Z1409" s="319"/>
      <c r="AA1409" s="32" t="str" cm="1">
        <f t="array" ref="AA1409">IFERROR(IF(INDEX(SubsidieTabel!$AD$1:$AG$12,MATCH($F1409,SubsidieTabel!$AD$1:$AD$12,0),IFERROR(MATCH(Methode_Keuze,SubsidieTabel!$AD$1:$AG$1,0),2))&lt;&gt;1=TRUE,"ja",""),"")</f>
        <v/>
      </c>
    </row>
    <row r="1410" spans="1:27" x14ac:dyDescent="0.25">
      <c r="A1410" s="320"/>
      <c r="B1410" s="321" t="str">
        <f>IF(A1410&lt;&gt;"",_xlfn.MAXIFS($B$1:B1409,$A$1:A1409,A1410)+1,"")</f>
        <v/>
      </c>
      <c r="C1410" s="299"/>
      <c r="D1410" s="299"/>
      <c r="E1410" s="299"/>
      <c r="F1410" s="299"/>
      <c r="G1410" s="330"/>
      <c r="H1410" s="328"/>
      <c r="I1410" s="329"/>
      <c r="J1410" s="329"/>
      <c r="K1410" s="322"/>
      <c r="L1410" s="322"/>
      <c r="M1410" s="323" t="str">
        <f>IFERROR(VLOOKUP(H1410,Lijsten!$H$1:$I$100,2,0),"")</f>
        <v/>
      </c>
      <c r="N1410" s="323" t="str">
        <f ca="1">IFERROR(IF(VLOOKUP(F1410,Kostentypen!$A$3:$E$21,3,0)=0,"",IF(OR(F1410="Arbeidskosten",F1410="Vergoeding"),VLOOKUP(G1410,Tb_KostenTypen[],2,0),VLOOKUP(F1410,Kostentypen!$A$3:$E$20,3,0))),"")</f>
        <v/>
      </c>
      <c r="O1410" s="324"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4"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3"/>
      <c r="R1410" s="363"/>
      <c r="S1410" s="325"/>
      <c r="T1410" s="325"/>
      <c r="U1410" s="317" t="str" cm="1">
        <f t="array" aca="1" ref="U1410" ca="1">IFERROR(IF(AA1410&lt;&gt;"ja",_xlfn.IFNA(_xlfn.IFS(AND(O1410&lt;&gt;"",F1410&lt;&gt;"",RIGHT($N1410,6)="tarief",F1410="Vergoeding"),SUM(O1410)*FLOOR(SUM(Q1410),0.0001),AND(O1410&lt;&gt;"",F1410&lt;&gt;"",RIGHT($N1410,6)="tarief"),SUM(O1410)*FLOOR(SUM(Q1410),0.01),S1410&gt;0,IF(F1410&lt;&gt;"",FLOOR(SUM(S1410),0.01),"")),""),""),"")</f>
        <v/>
      </c>
      <c r="V1410" s="317" t="str" cm="1">
        <f t="array" aca="1" ref="V1410" ca="1">IFERROR(IF(AA1410&lt;&gt;"ja",_xlfn.IFNA(_xlfn.IFS(AND(P1410&lt;&gt;"",R1410&lt;&gt;"",RIGHT($N1410,6)="tarief",F1410="Vergoeding"),SUM(P1410)*FLOOR(SUM(R1410),0.0001),AND(P1410&lt;&gt;"",R1410&lt;&gt;"",RIGHT($N1410,6)="tarief"),P1410*FLOOR(R1410,0.01),T1410&gt;0,FLOOR(SUM(T1410),0.01)),""),""),"")</f>
        <v/>
      </c>
      <c r="W1410" s="317" t="str" cm="1">
        <f t="array" aca="1" ref="W1410" ca="1">IFERROR(_xlfn.IFS(OR(F1410="",LEFT(Methode_Keuze,4)="Geen",Methode_Keuze=""),"",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17" t="str" cm="1">
        <f t="array" aca="1" ref="X1410" ca="1">IFERROR(_xlfn.IFS(OR(F1410="",LEFT(Methode_Keuze,4)="Geen",Methode_Keuze=""),"",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26"/>
      <c r="Z1410" s="319"/>
      <c r="AA1410" s="32" t="str" cm="1">
        <f t="array" ref="AA1410">IFERROR(IF(INDEX(SubsidieTabel!$AD$1:$AG$12,MATCH($F1410,SubsidieTabel!$AD$1:$AD$12,0),IFERROR(MATCH(Methode_Keuze,SubsidieTabel!$AD$1:$AG$1,0),2))&lt;&gt;1=TRUE,"ja",""),"")</f>
        <v/>
      </c>
    </row>
    <row r="1411" spans="1:27" x14ac:dyDescent="0.25">
      <c r="A1411" s="320"/>
      <c r="B1411" s="321" t="str">
        <f>IF(A1411&lt;&gt;"",_xlfn.MAXIFS($B$1:B1410,$A$1:A1410,A1411)+1,"")</f>
        <v/>
      </c>
      <c r="C1411" s="299"/>
      <c r="D1411" s="299"/>
      <c r="E1411" s="299"/>
      <c r="F1411" s="299"/>
      <c r="G1411" s="330"/>
      <c r="H1411" s="328"/>
      <c r="I1411" s="329"/>
      <c r="J1411" s="329"/>
      <c r="K1411" s="322"/>
      <c r="L1411" s="322"/>
      <c r="M1411" s="323" t="str">
        <f>IFERROR(VLOOKUP(H1411,Lijsten!$H$1:$I$100,2,0),"")</f>
        <v/>
      </c>
      <c r="N1411" s="323" t="str">
        <f ca="1">IFERROR(IF(VLOOKUP(F1411,Kostentypen!$A$3:$E$21,3,0)=0,"",IF(OR(F1411="Arbeidskosten",F1411="Vergoeding"),VLOOKUP(G1411,Tb_KostenTypen[],2,0),VLOOKUP(F1411,Kostentypen!$A$3:$E$20,3,0))),"")</f>
        <v/>
      </c>
      <c r="O1411" s="324"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4"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3"/>
      <c r="R1411" s="363"/>
      <c r="S1411" s="325"/>
      <c r="T1411" s="325"/>
      <c r="U1411" s="317" t="str" cm="1">
        <f t="array" aca="1" ref="U1411" ca="1">IFERROR(IF(AA1411&lt;&gt;"ja",_xlfn.IFNA(_xlfn.IFS(AND(O1411&lt;&gt;"",F1411&lt;&gt;"",RIGHT($N1411,6)="tarief",F1411="Vergoeding"),SUM(O1411)*FLOOR(SUM(Q1411),0.0001),AND(O1411&lt;&gt;"",F1411&lt;&gt;"",RIGHT($N1411,6)="tarief"),SUM(O1411)*FLOOR(SUM(Q1411),0.01),S1411&gt;0,IF(F1411&lt;&gt;"",FLOOR(SUM(S1411),0.01),"")),""),""),"")</f>
        <v/>
      </c>
      <c r="V1411" s="317" t="str" cm="1">
        <f t="array" aca="1" ref="V1411" ca="1">IFERROR(IF(AA1411&lt;&gt;"ja",_xlfn.IFNA(_xlfn.IFS(AND(P1411&lt;&gt;"",R1411&lt;&gt;"",RIGHT($N1411,6)="tarief",F1411="Vergoeding"),SUM(P1411)*FLOOR(SUM(R1411),0.0001),AND(P1411&lt;&gt;"",R1411&lt;&gt;"",RIGHT($N1411,6)="tarief"),P1411*FLOOR(R1411,0.01),T1411&gt;0,FLOOR(SUM(T1411),0.01)),""),""),"")</f>
        <v/>
      </c>
      <c r="W1411" s="317" t="str" cm="1">
        <f t="array" aca="1" ref="W1411" ca="1">IFERROR(_xlfn.IFS(OR(F1411="",LEFT(Methode_Keuze,4)="Geen",Methode_Keuze=""),"",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17" t="str" cm="1">
        <f t="array" aca="1" ref="X1411" ca="1">IFERROR(_xlfn.IFS(OR(F1411="",LEFT(Methode_Keuze,4)="Geen",Methode_Keuze=""),"",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26"/>
      <c r="Z1411" s="319"/>
      <c r="AA1411" s="32" t="str" cm="1">
        <f t="array" ref="AA1411">IFERROR(IF(INDEX(SubsidieTabel!$AD$1:$AG$12,MATCH($F1411,SubsidieTabel!$AD$1:$AD$12,0),IFERROR(MATCH(Methode_Keuze,SubsidieTabel!$AD$1:$AG$1,0),2))&lt;&gt;1=TRUE,"ja",""),"")</f>
        <v/>
      </c>
    </row>
    <row r="1412" spans="1:27" x14ac:dyDescent="0.25">
      <c r="A1412" s="320"/>
      <c r="B1412" s="321" t="str">
        <f>IF(A1412&lt;&gt;"",_xlfn.MAXIFS($B$1:B1411,$A$1:A1411,A1412)+1,"")</f>
        <v/>
      </c>
      <c r="C1412" s="299"/>
      <c r="D1412" s="299"/>
      <c r="E1412" s="299"/>
      <c r="F1412" s="299"/>
      <c r="G1412" s="330"/>
      <c r="H1412" s="328"/>
      <c r="I1412" s="329"/>
      <c r="J1412" s="329"/>
      <c r="K1412" s="322"/>
      <c r="L1412" s="322"/>
      <c r="M1412" s="323" t="str">
        <f>IFERROR(VLOOKUP(H1412,Lijsten!$H$1:$I$100,2,0),"")</f>
        <v/>
      </c>
      <c r="N1412" s="323" t="str">
        <f ca="1">IFERROR(IF(VLOOKUP(F1412,Kostentypen!$A$3:$E$21,3,0)=0,"",IF(OR(F1412="Arbeidskosten",F1412="Vergoeding"),VLOOKUP(G1412,Tb_KostenTypen[],2,0),VLOOKUP(F1412,Kostentypen!$A$3:$E$20,3,0))),"")</f>
        <v/>
      </c>
      <c r="O1412" s="324"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4"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3"/>
      <c r="R1412" s="363"/>
      <c r="S1412" s="325"/>
      <c r="T1412" s="325"/>
      <c r="U1412" s="317" t="str" cm="1">
        <f t="array" aca="1" ref="U1412" ca="1">IFERROR(IF(AA1412&lt;&gt;"ja",_xlfn.IFNA(_xlfn.IFS(AND(O1412&lt;&gt;"",F1412&lt;&gt;"",RIGHT($N1412,6)="tarief",F1412="Vergoeding"),SUM(O1412)*FLOOR(SUM(Q1412),0.0001),AND(O1412&lt;&gt;"",F1412&lt;&gt;"",RIGHT($N1412,6)="tarief"),SUM(O1412)*FLOOR(SUM(Q1412),0.01),S1412&gt;0,IF(F1412&lt;&gt;"",FLOOR(SUM(S1412),0.01),"")),""),""),"")</f>
        <v/>
      </c>
      <c r="V1412" s="317" t="str" cm="1">
        <f t="array" aca="1" ref="V1412" ca="1">IFERROR(IF(AA1412&lt;&gt;"ja",_xlfn.IFNA(_xlfn.IFS(AND(P1412&lt;&gt;"",R1412&lt;&gt;"",RIGHT($N1412,6)="tarief",F1412="Vergoeding"),SUM(P1412)*FLOOR(SUM(R1412),0.0001),AND(P1412&lt;&gt;"",R1412&lt;&gt;"",RIGHT($N1412,6)="tarief"),P1412*FLOOR(R1412,0.01),T1412&gt;0,FLOOR(SUM(T1412),0.01)),""),""),"")</f>
        <v/>
      </c>
      <c r="W1412" s="317" t="str" cm="1">
        <f t="array" aca="1" ref="W1412" ca="1">IFERROR(_xlfn.IFS(OR(F1412="",LEFT(Methode_Keuze,4)="Geen",Methode_Keuze=""),"",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17" t="str" cm="1">
        <f t="array" aca="1" ref="X1412" ca="1">IFERROR(_xlfn.IFS(OR(F1412="",LEFT(Methode_Keuze,4)="Geen",Methode_Keuze=""),"",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26"/>
      <c r="Z1412" s="319"/>
      <c r="AA1412" s="32" t="str" cm="1">
        <f t="array" ref="AA1412">IFERROR(IF(INDEX(SubsidieTabel!$AD$1:$AG$12,MATCH($F1412,SubsidieTabel!$AD$1:$AD$12,0),IFERROR(MATCH(Methode_Keuze,SubsidieTabel!$AD$1:$AG$1,0),2))&lt;&gt;1=TRUE,"ja",""),"")</f>
        <v/>
      </c>
    </row>
    <row r="1413" spans="1:27" x14ac:dyDescent="0.25">
      <c r="A1413" s="320"/>
      <c r="B1413" s="321" t="str">
        <f>IF(A1413&lt;&gt;"",_xlfn.MAXIFS($B$1:B1412,$A$1:A1412,A1413)+1,"")</f>
        <v/>
      </c>
      <c r="C1413" s="299"/>
      <c r="D1413" s="299"/>
      <c r="E1413" s="299"/>
      <c r="F1413" s="299"/>
      <c r="G1413" s="330"/>
      <c r="H1413" s="328"/>
      <c r="I1413" s="329"/>
      <c r="J1413" s="329"/>
      <c r="K1413" s="322"/>
      <c r="L1413" s="322"/>
      <c r="M1413" s="323" t="str">
        <f>IFERROR(VLOOKUP(H1413,Lijsten!$H$1:$I$100,2,0),"")</f>
        <v/>
      </c>
      <c r="N1413" s="323" t="str">
        <f ca="1">IFERROR(IF(VLOOKUP(F1413,Kostentypen!$A$3:$E$21,3,0)=0,"",IF(OR(F1413="Arbeidskosten",F1413="Vergoeding"),VLOOKUP(G1413,Tb_KostenTypen[],2,0),VLOOKUP(F1413,Kostentypen!$A$3:$E$20,3,0))),"")</f>
        <v/>
      </c>
      <c r="O1413" s="324"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4"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3"/>
      <c r="R1413" s="363"/>
      <c r="S1413" s="325"/>
      <c r="T1413" s="325"/>
      <c r="U1413" s="317" t="str" cm="1">
        <f t="array" aca="1" ref="U1413" ca="1">IFERROR(IF(AA1413&lt;&gt;"ja",_xlfn.IFNA(_xlfn.IFS(AND(O1413&lt;&gt;"",F1413&lt;&gt;"",RIGHT($N1413,6)="tarief",F1413="Vergoeding"),SUM(O1413)*FLOOR(SUM(Q1413),0.0001),AND(O1413&lt;&gt;"",F1413&lt;&gt;"",RIGHT($N1413,6)="tarief"),SUM(O1413)*FLOOR(SUM(Q1413),0.01),S1413&gt;0,IF(F1413&lt;&gt;"",FLOOR(SUM(S1413),0.01),"")),""),""),"")</f>
        <v/>
      </c>
      <c r="V1413" s="317" t="str" cm="1">
        <f t="array" aca="1" ref="V1413" ca="1">IFERROR(IF(AA1413&lt;&gt;"ja",_xlfn.IFNA(_xlfn.IFS(AND(P1413&lt;&gt;"",R1413&lt;&gt;"",RIGHT($N1413,6)="tarief",F1413="Vergoeding"),SUM(P1413)*FLOOR(SUM(R1413),0.0001),AND(P1413&lt;&gt;"",R1413&lt;&gt;"",RIGHT($N1413,6)="tarief"),P1413*FLOOR(R1413,0.01),T1413&gt;0,FLOOR(SUM(T1413),0.01)),""),""),"")</f>
        <v/>
      </c>
      <c r="W1413" s="317" t="str" cm="1">
        <f t="array" aca="1" ref="W1413" ca="1">IFERROR(_xlfn.IFS(OR(F1413="",LEFT(Methode_Keuze,4)="Geen",Methode_Keuze=""),"",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17" t="str" cm="1">
        <f t="array" aca="1" ref="X1413" ca="1">IFERROR(_xlfn.IFS(OR(F1413="",LEFT(Methode_Keuze,4)="Geen",Methode_Keuze=""),"",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26"/>
      <c r="Z1413" s="319"/>
      <c r="AA1413" s="32" t="str" cm="1">
        <f t="array" ref="AA1413">IFERROR(IF(INDEX(SubsidieTabel!$AD$1:$AG$12,MATCH($F1413,SubsidieTabel!$AD$1:$AD$12,0),IFERROR(MATCH(Methode_Keuze,SubsidieTabel!$AD$1:$AG$1,0),2))&lt;&gt;1=TRUE,"ja",""),"")</f>
        <v/>
      </c>
    </row>
    <row r="1414" spans="1:27" x14ac:dyDescent="0.25">
      <c r="A1414" s="320"/>
      <c r="B1414" s="321" t="str">
        <f>IF(A1414&lt;&gt;"",_xlfn.MAXIFS($B$1:B1413,$A$1:A1413,A1414)+1,"")</f>
        <v/>
      </c>
      <c r="C1414" s="299"/>
      <c r="D1414" s="299"/>
      <c r="E1414" s="299"/>
      <c r="F1414" s="299"/>
      <c r="G1414" s="330"/>
      <c r="H1414" s="328"/>
      <c r="I1414" s="329"/>
      <c r="J1414" s="329"/>
      <c r="K1414" s="322"/>
      <c r="L1414" s="322"/>
      <c r="M1414" s="323" t="str">
        <f>IFERROR(VLOOKUP(H1414,Lijsten!$H$1:$I$100,2,0),"")</f>
        <v/>
      </c>
      <c r="N1414" s="323" t="str">
        <f ca="1">IFERROR(IF(VLOOKUP(F1414,Kostentypen!$A$3:$E$21,3,0)=0,"",IF(OR(F1414="Arbeidskosten",F1414="Vergoeding"),VLOOKUP(G1414,Tb_KostenTypen[],2,0),VLOOKUP(F1414,Kostentypen!$A$3:$E$20,3,0))),"")</f>
        <v/>
      </c>
      <c r="O1414" s="324"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4"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3"/>
      <c r="R1414" s="363"/>
      <c r="S1414" s="325"/>
      <c r="T1414" s="325"/>
      <c r="U1414" s="317" t="str" cm="1">
        <f t="array" aca="1" ref="U1414" ca="1">IFERROR(IF(AA1414&lt;&gt;"ja",_xlfn.IFNA(_xlfn.IFS(AND(O1414&lt;&gt;"",F1414&lt;&gt;"",RIGHT($N1414,6)="tarief",F1414="Vergoeding"),SUM(O1414)*FLOOR(SUM(Q1414),0.0001),AND(O1414&lt;&gt;"",F1414&lt;&gt;"",RIGHT($N1414,6)="tarief"),SUM(O1414)*FLOOR(SUM(Q1414),0.01),S1414&gt;0,IF(F1414&lt;&gt;"",FLOOR(SUM(S1414),0.01),"")),""),""),"")</f>
        <v/>
      </c>
      <c r="V1414" s="317" t="str" cm="1">
        <f t="array" aca="1" ref="V1414" ca="1">IFERROR(IF(AA1414&lt;&gt;"ja",_xlfn.IFNA(_xlfn.IFS(AND(P1414&lt;&gt;"",R1414&lt;&gt;"",RIGHT($N1414,6)="tarief",F1414="Vergoeding"),SUM(P1414)*FLOOR(SUM(R1414),0.0001),AND(P1414&lt;&gt;"",R1414&lt;&gt;"",RIGHT($N1414,6)="tarief"),P1414*FLOOR(R1414,0.01),T1414&gt;0,FLOOR(SUM(T1414),0.01)),""),""),"")</f>
        <v/>
      </c>
      <c r="W1414" s="317" t="str" cm="1">
        <f t="array" aca="1" ref="W1414" ca="1">IFERROR(_xlfn.IFS(OR(F1414="",LEFT(Methode_Keuze,4)="Geen",Methode_Keuze=""),"",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17" t="str" cm="1">
        <f t="array" aca="1" ref="X1414" ca="1">IFERROR(_xlfn.IFS(OR(F1414="",LEFT(Methode_Keuze,4)="Geen",Methode_Keuze=""),"",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26"/>
      <c r="Z1414" s="319"/>
      <c r="AA1414" s="32" t="str" cm="1">
        <f t="array" ref="AA1414">IFERROR(IF(INDEX(SubsidieTabel!$AD$1:$AG$12,MATCH($F1414,SubsidieTabel!$AD$1:$AD$12,0),IFERROR(MATCH(Methode_Keuze,SubsidieTabel!$AD$1:$AG$1,0),2))&lt;&gt;1=TRUE,"ja",""),"")</f>
        <v/>
      </c>
    </row>
    <row r="1415" spans="1:27" x14ac:dyDescent="0.25">
      <c r="A1415" s="320"/>
      <c r="B1415" s="321" t="str">
        <f>IF(A1415&lt;&gt;"",_xlfn.MAXIFS($B$1:B1414,$A$1:A1414,A1415)+1,"")</f>
        <v/>
      </c>
      <c r="C1415" s="299"/>
      <c r="D1415" s="299"/>
      <c r="E1415" s="299"/>
      <c r="F1415" s="299"/>
      <c r="G1415" s="330"/>
      <c r="H1415" s="328"/>
      <c r="I1415" s="329"/>
      <c r="J1415" s="329"/>
      <c r="K1415" s="322"/>
      <c r="L1415" s="322"/>
      <c r="M1415" s="323" t="str">
        <f>IFERROR(VLOOKUP(H1415,Lijsten!$H$1:$I$100,2,0),"")</f>
        <v/>
      </c>
      <c r="N1415" s="323" t="str">
        <f ca="1">IFERROR(IF(VLOOKUP(F1415,Kostentypen!$A$3:$E$21,3,0)=0,"",IF(OR(F1415="Arbeidskosten",F1415="Vergoeding"),VLOOKUP(G1415,Tb_KostenTypen[],2,0),VLOOKUP(F1415,Kostentypen!$A$3:$E$20,3,0))),"")</f>
        <v/>
      </c>
      <c r="O1415" s="324"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4"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3"/>
      <c r="R1415" s="363"/>
      <c r="S1415" s="325"/>
      <c r="T1415" s="325"/>
      <c r="U1415" s="317" t="str" cm="1">
        <f t="array" aca="1" ref="U1415" ca="1">IFERROR(IF(AA1415&lt;&gt;"ja",_xlfn.IFNA(_xlfn.IFS(AND(O1415&lt;&gt;"",F1415&lt;&gt;"",RIGHT($N1415,6)="tarief",F1415="Vergoeding"),SUM(O1415)*FLOOR(SUM(Q1415),0.0001),AND(O1415&lt;&gt;"",F1415&lt;&gt;"",RIGHT($N1415,6)="tarief"),SUM(O1415)*FLOOR(SUM(Q1415),0.01),S1415&gt;0,IF(F1415&lt;&gt;"",FLOOR(SUM(S1415),0.01),"")),""),""),"")</f>
        <v/>
      </c>
      <c r="V1415" s="317" t="str" cm="1">
        <f t="array" aca="1" ref="V1415" ca="1">IFERROR(IF(AA1415&lt;&gt;"ja",_xlfn.IFNA(_xlfn.IFS(AND(P1415&lt;&gt;"",R1415&lt;&gt;"",RIGHT($N1415,6)="tarief",F1415="Vergoeding"),SUM(P1415)*FLOOR(SUM(R1415),0.0001),AND(P1415&lt;&gt;"",R1415&lt;&gt;"",RIGHT($N1415,6)="tarief"),P1415*FLOOR(R1415,0.01),T1415&gt;0,FLOOR(SUM(T1415),0.01)),""),""),"")</f>
        <v/>
      </c>
      <c r="W1415" s="317" t="str" cm="1">
        <f t="array" aca="1" ref="W1415" ca="1">IFERROR(_xlfn.IFS(OR(F1415="",LEFT(Methode_Keuze,4)="Geen",Methode_Keuze=""),"",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17" t="str" cm="1">
        <f t="array" aca="1" ref="X1415" ca="1">IFERROR(_xlfn.IFS(OR(F1415="",LEFT(Methode_Keuze,4)="Geen",Methode_Keuze=""),"",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26"/>
      <c r="Z1415" s="319"/>
      <c r="AA1415" s="32" t="str" cm="1">
        <f t="array" ref="AA1415">IFERROR(IF(INDEX(SubsidieTabel!$AD$1:$AG$12,MATCH($F1415,SubsidieTabel!$AD$1:$AD$12,0),IFERROR(MATCH(Methode_Keuze,SubsidieTabel!$AD$1:$AG$1,0),2))&lt;&gt;1=TRUE,"ja",""),"")</f>
        <v/>
      </c>
    </row>
    <row r="1416" spans="1:27" x14ac:dyDescent="0.25">
      <c r="A1416" s="320"/>
      <c r="B1416" s="321" t="str">
        <f>IF(A1416&lt;&gt;"",_xlfn.MAXIFS($B$1:B1415,$A$1:A1415,A1416)+1,"")</f>
        <v/>
      </c>
      <c r="C1416" s="299"/>
      <c r="D1416" s="299"/>
      <c r="E1416" s="299"/>
      <c r="F1416" s="299"/>
      <c r="G1416" s="330"/>
      <c r="H1416" s="328"/>
      <c r="I1416" s="329"/>
      <c r="J1416" s="329"/>
      <c r="K1416" s="322"/>
      <c r="L1416" s="322"/>
      <c r="M1416" s="323" t="str">
        <f>IFERROR(VLOOKUP(H1416,Lijsten!$H$1:$I$100,2,0),"")</f>
        <v/>
      </c>
      <c r="N1416" s="323" t="str">
        <f ca="1">IFERROR(IF(VLOOKUP(F1416,Kostentypen!$A$3:$E$21,3,0)=0,"",IF(OR(F1416="Arbeidskosten",F1416="Vergoeding"),VLOOKUP(G1416,Tb_KostenTypen[],2,0),VLOOKUP(F1416,Kostentypen!$A$3:$E$20,3,0))),"")</f>
        <v/>
      </c>
      <c r="O1416" s="324"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4"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3"/>
      <c r="R1416" s="363"/>
      <c r="S1416" s="325"/>
      <c r="T1416" s="325"/>
      <c r="U1416" s="317" t="str" cm="1">
        <f t="array" aca="1" ref="U1416" ca="1">IFERROR(IF(AA1416&lt;&gt;"ja",_xlfn.IFNA(_xlfn.IFS(AND(O1416&lt;&gt;"",F1416&lt;&gt;"",RIGHT($N1416,6)="tarief",F1416="Vergoeding"),SUM(O1416)*FLOOR(SUM(Q1416),0.0001),AND(O1416&lt;&gt;"",F1416&lt;&gt;"",RIGHT($N1416,6)="tarief"),SUM(O1416)*FLOOR(SUM(Q1416),0.01),S1416&gt;0,IF(F1416&lt;&gt;"",FLOOR(SUM(S1416),0.01),"")),""),""),"")</f>
        <v/>
      </c>
      <c r="V1416" s="317" t="str" cm="1">
        <f t="array" aca="1" ref="V1416" ca="1">IFERROR(IF(AA1416&lt;&gt;"ja",_xlfn.IFNA(_xlfn.IFS(AND(P1416&lt;&gt;"",R1416&lt;&gt;"",RIGHT($N1416,6)="tarief",F1416="Vergoeding"),SUM(P1416)*FLOOR(SUM(R1416),0.0001),AND(P1416&lt;&gt;"",R1416&lt;&gt;"",RIGHT($N1416,6)="tarief"),P1416*FLOOR(R1416,0.01),T1416&gt;0,FLOOR(SUM(T1416),0.01)),""),""),"")</f>
        <v/>
      </c>
      <c r="W1416" s="317" t="str" cm="1">
        <f t="array" aca="1" ref="W1416" ca="1">IFERROR(_xlfn.IFS(OR(F1416="",LEFT(Methode_Keuze,4)="Geen",Methode_Keuze=""),"",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17" t="str" cm="1">
        <f t="array" aca="1" ref="X1416" ca="1">IFERROR(_xlfn.IFS(OR(F1416="",LEFT(Methode_Keuze,4)="Geen",Methode_Keuze=""),"",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26"/>
      <c r="Z1416" s="319"/>
      <c r="AA1416" s="32" t="str" cm="1">
        <f t="array" ref="AA1416">IFERROR(IF(INDEX(SubsidieTabel!$AD$1:$AG$12,MATCH($F1416,SubsidieTabel!$AD$1:$AD$12,0),IFERROR(MATCH(Methode_Keuze,SubsidieTabel!$AD$1:$AG$1,0),2))&lt;&gt;1=TRUE,"ja",""),"")</f>
        <v/>
      </c>
    </row>
    <row r="1417" spans="1:27" x14ac:dyDescent="0.25">
      <c r="A1417" s="320"/>
      <c r="B1417" s="321" t="str">
        <f>IF(A1417&lt;&gt;"",_xlfn.MAXIFS($B$1:B1416,$A$1:A1416,A1417)+1,"")</f>
        <v/>
      </c>
      <c r="C1417" s="299"/>
      <c r="D1417" s="299"/>
      <c r="E1417" s="299"/>
      <c r="F1417" s="299"/>
      <c r="G1417" s="330"/>
      <c r="H1417" s="328"/>
      <c r="I1417" s="329"/>
      <c r="J1417" s="329"/>
      <c r="K1417" s="322"/>
      <c r="L1417" s="322"/>
      <c r="M1417" s="323" t="str">
        <f>IFERROR(VLOOKUP(H1417,Lijsten!$H$1:$I$100,2,0),"")</f>
        <v/>
      </c>
      <c r="N1417" s="323" t="str">
        <f ca="1">IFERROR(IF(VLOOKUP(F1417,Kostentypen!$A$3:$E$21,3,0)=0,"",IF(OR(F1417="Arbeidskosten",F1417="Vergoeding"),VLOOKUP(G1417,Tb_KostenTypen[],2,0),VLOOKUP(F1417,Kostentypen!$A$3:$E$20,3,0))),"")</f>
        <v/>
      </c>
      <c r="O1417" s="324"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4"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3"/>
      <c r="R1417" s="363"/>
      <c r="S1417" s="325"/>
      <c r="T1417" s="325"/>
      <c r="U1417" s="317" t="str" cm="1">
        <f t="array" aca="1" ref="U1417" ca="1">IFERROR(IF(AA1417&lt;&gt;"ja",_xlfn.IFNA(_xlfn.IFS(AND(O1417&lt;&gt;"",F1417&lt;&gt;"",RIGHT($N1417,6)="tarief",F1417="Vergoeding"),SUM(O1417)*FLOOR(SUM(Q1417),0.0001),AND(O1417&lt;&gt;"",F1417&lt;&gt;"",RIGHT($N1417,6)="tarief"),SUM(O1417)*FLOOR(SUM(Q1417),0.01),S1417&gt;0,IF(F1417&lt;&gt;"",FLOOR(SUM(S1417),0.01),"")),""),""),"")</f>
        <v/>
      </c>
      <c r="V1417" s="317" t="str" cm="1">
        <f t="array" aca="1" ref="V1417" ca="1">IFERROR(IF(AA1417&lt;&gt;"ja",_xlfn.IFNA(_xlfn.IFS(AND(P1417&lt;&gt;"",R1417&lt;&gt;"",RIGHT($N1417,6)="tarief",F1417="Vergoeding"),SUM(P1417)*FLOOR(SUM(R1417),0.0001),AND(P1417&lt;&gt;"",R1417&lt;&gt;"",RIGHT($N1417,6)="tarief"),P1417*FLOOR(R1417,0.01),T1417&gt;0,FLOOR(SUM(T1417),0.01)),""),""),"")</f>
        <v/>
      </c>
      <c r="W1417" s="317" t="str" cm="1">
        <f t="array" aca="1" ref="W1417" ca="1">IFERROR(_xlfn.IFS(OR(F1417="",LEFT(Methode_Keuze,4)="Geen",Methode_Keuze=""),"",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17" t="str" cm="1">
        <f t="array" aca="1" ref="X1417" ca="1">IFERROR(_xlfn.IFS(OR(F1417="",LEFT(Methode_Keuze,4)="Geen",Methode_Keuze=""),"",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26"/>
      <c r="Z1417" s="319"/>
      <c r="AA1417" s="32" t="str" cm="1">
        <f t="array" ref="AA1417">IFERROR(IF(INDEX(SubsidieTabel!$AD$1:$AG$12,MATCH($F1417,SubsidieTabel!$AD$1:$AD$12,0),IFERROR(MATCH(Methode_Keuze,SubsidieTabel!$AD$1:$AG$1,0),2))&lt;&gt;1=TRUE,"ja",""),"")</f>
        <v/>
      </c>
    </row>
    <row r="1418" spans="1:27" x14ac:dyDescent="0.25">
      <c r="A1418" s="320"/>
      <c r="B1418" s="321" t="str">
        <f>IF(A1418&lt;&gt;"",_xlfn.MAXIFS($B$1:B1417,$A$1:A1417,A1418)+1,"")</f>
        <v/>
      </c>
      <c r="C1418" s="299"/>
      <c r="D1418" s="299"/>
      <c r="E1418" s="299"/>
      <c r="F1418" s="299"/>
      <c r="G1418" s="330"/>
      <c r="H1418" s="328"/>
      <c r="I1418" s="329"/>
      <c r="J1418" s="329"/>
      <c r="K1418" s="322"/>
      <c r="L1418" s="322"/>
      <c r="M1418" s="323" t="str">
        <f>IFERROR(VLOOKUP(H1418,Lijsten!$H$1:$I$100,2,0),"")</f>
        <v/>
      </c>
      <c r="N1418" s="323" t="str">
        <f ca="1">IFERROR(IF(VLOOKUP(F1418,Kostentypen!$A$3:$E$21,3,0)=0,"",IF(OR(F1418="Arbeidskosten",F1418="Vergoeding"),VLOOKUP(G1418,Tb_KostenTypen[],2,0),VLOOKUP(F1418,Kostentypen!$A$3:$E$20,3,0))),"")</f>
        <v/>
      </c>
      <c r="O1418" s="324"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4"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3"/>
      <c r="R1418" s="363"/>
      <c r="S1418" s="325"/>
      <c r="T1418" s="325"/>
      <c r="U1418" s="317" t="str" cm="1">
        <f t="array" aca="1" ref="U1418" ca="1">IFERROR(IF(AA1418&lt;&gt;"ja",_xlfn.IFNA(_xlfn.IFS(AND(O1418&lt;&gt;"",F1418&lt;&gt;"",RIGHT($N1418,6)="tarief",F1418="Vergoeding"),SUM(O1418)*FLOOR(SUM(Q1418),0.0001),AND(O1418&lt;&gt;"",F1418&lt;&gt;"",RIGHT($N1418,6)="tarief"),SUM(O1418)*FLOOR(SUM(Q1418),0.01),S1418&gt;0,IF(F1418&lt;&gt;"",FLOOR(SUM(S1418),0.01),"")),""),""),"")</f>
        <v/>
      </c>
      <c r="V1418" s="317" t="str" cm="1">
        <f t="array" aca="1" ref="V1418" ca="1">IFERROR(IF(AA1418&lt;&gt;"ja",_xlfn.IFNA(_xlfn.IFS(AND(P1418&lt;&gt;"",R1418&lt;&gt;"",RIGHT($N1418,6)="tarief",F1418="Vergoeding"),SUM(P1418)*FLOOR(SUM(R1418),0.0001),AND(P1418&lt;&gt;"",R1418&lt;&gt;"",RIGHT($N1418,6)="tarief"),P1418*FLOOR(R1418,0.01),T1418&gt;0,FLOOR(SUM(T1418),0.01)),""),""),"")</f>
        <v/>
      </c>
      <c r="W1418" s="317" t="str" cm="1">
        <f t="array" aca="1" ref="W1418" ca="1">IFERROR(_xlfn.IFS(OR(F1418="",LEFT(Methode_Keuze,4)="Geen",Methode_Keuze=""),"",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17" t="str" cm="1">
        <f t="array" aca="1" ref="X1418" ca="1">IFERROR(_xlfn.IFS(OR(F1418="",LEFT(Methode_Keuze,4)="Geen",Methode_Keuze=""),"",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26"/>
      <c r="Z1418" s="319"/>
      <c r="AA1418" s="32" t="str" cm="1">
        <f t="array" ref="AA1418">IFERROR(IF(INDEX(SubsidieTabel!$AD$1:$AG$12,MATCH($F1418,SubsidieTabel!$AD$1:$AD$12,0),IFERROR(MATCH(Methode_Keuze,SubsidieTabel!$AD$1:$AG$1,0),2))&lt;&gt;1=TRUE,"ja",""),"")</f>
        <v/>
      </c>
    </row>
    <row r="1419" spans="1:27" x14ac:dyDescent="0.25">
      <c r="A1419" s="320"/>
      <c r="B1419" s="321" t="str">
        <f>IF(A1419&lt;&gt;"",_xlfn.MAXIFS($B$1:B1418,$A$1:A1418,A1419)+1,"")</f>
        <v/>
      </c>
      <c r="C1419" s="299"/>
      <c r="D1419" s="299"/>
      <c r="E1419" s="299"/>
      <c r="F1419" s="299"/>
      <c r="G1419" s="330"/>
      <c r="H1419" s="328"/>
      <c r="I1419" s="329"/>
      <c r="J1419" s="329"/>
      <c r="K1419" s="322"/>
      <c r="L1419" s="322"/>
      <c r="M1419" s="323" t="str">
        <f>IFERROR(VLOOKUP(H1419,Lijsten!$H$1:$I$100,2,0),"")</f>
        <v/>
      </c>
      <c r="N1419" s="323" t="str">
        <f ca="1">IFERROR(IF(VLOOKUP(F1419,Kostentypen!$A$3:$E$21,3,0)=0,"",IF(OR(F1419="Arbeidskosten",F1419="Vergoeding"),VLOOKUP(G1419,Tb_KostenTypen[],2,0),VLOOKUP(F1419,Kostentypen!$A$3:$E$20,3,0))),"")</f>
        <v/>
      </c>
      <c r="O1419" s="324"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4"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3"/>
      <c r="R1419" s="363"/>
      <c r="S1419" s="325"/>
      <c r="T1419" s="325"/>
      <c r="U1419" s="317" t="str" cm="1">
        <f t="array" aca="1" ref="U1419" ca="1">IFERROR(IF(AA1419&lt;&gt;"ja",_xlfn.IFNA(_xlfn.IFS(AND(O1419&lt;&gt;"",F1419&lt;&gt;"",RIGHT($N1419,6)="tarief",F1419="Vergoeding"),SUM(O1419)*FLOOR(SUM(Q1419),0.0001),AND(O1419&lt;&gt;"",F1419&lt;&gt;"",RIGHT($N1419,6)="tarief"),SUM(O1419)*FLOOR(SUM(Q1419),0.01),S1419&gt;0,IF(F1419&lt;&gt;"",FLOOR(SUM(S1419),0.01),"")),""),""),"")</f>
        <v/>
      </c>
      <c r="V1419" s="317" t="str" cm="1">
        <f t="array" aca="1" ref="V1419" ca="1">IFERROR(IF(AA1419&lt;&gt;"ja",_xlfn.IFNA(_xlfn.IFS(AND(P1419&lt;&gt;"",R1419&lt;&gt;"",RIGHT($N1419,6)="tarief",F1419="Vergoeding"),SUM(P1419)*FLOOR(SUM(R1419),0.0001),AND(P1419&lt;&gt;"",R1419&lt;&gt;"",RIGHT($N1419,6)="tarief"),P1419*FLOOR(R1419,0.01),T1419&gt;0,FLOOR(SUM(T1419),0.01)),""),""),"")</f>
        <v/>
      </c>
      <c r="W1419" s="317" t="str" cm="1">
        <f t="array" aca="1" ref="W1419" ca="1">IFERROR(_xlfn.IFS(OR(F1419="",LEFT(Methode_Keuze,4)="Geen",Methode_Keuze=""),"",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17" t="str" cm="1">
        <f t="array" aca="1" ref="X1419" ca="1">IFERROR(_xlfn.IFS(OR(F1419="",LEFT(Methode_Keuze,4)="Geen",Methode_Keuze=""),"",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26"/>
      <c r="Z1419" s="319"/>
      <c r="AA1419" s="32" t="str" cm="1">
        <f t="array" ref="AA1419">IFERROR(IF(INDEX(SubsidieTabel!$AD$1:$AG$12,MATCH($F1419,SubsidieTabel!$AD$1:$AD$12,0),IFERROR(MATCH(Methode_Keuze,SubsidieTabel!$AD$1:$AG$1,0),2))&lt;&gt;1=TRUE,"ja",""),"")</f>
        <v/>
      </c>
    </row>
    <row r="1420" spans="1:27" x14ac:dyDescent="0.25">
      <c r="A1420" s="320"/>
      <c r="B1420" s="321" t="str">
        <f>IF(A1420&lt;&gt;"",_xlfn.MAXIFS($B$1:B1419,$A$1:A1419,A1420)+1,"")</f>
        <v/>
      </c>
      <c r="C1420" s="299"/>
      <c r="D1420" s="299"/>
      <c r="E1420" s="299"/>
      <c r="F1420" s="299"/>
      <c r="G1420" s="330"/>
      <c r="H1420" s="328"/>
      <c r="I1420" s="329"/>
      <c r="J1420" s="329"/>
      <c r="K1420" s="322"/>
      <c r="L1420" s="322"/>
      <c r="M1420" s="323" t="str">
        <f>IFERROR(VLOOKUP(H1420,Lijsten!$H$1:$I$100,2,0),"")</f>
        <v/>
      </c>
      <c r="N1420" s="323" t="str">
        <f ca="1">IFERROR(IF(VLOOKUP(F1420,Kostentypen!$A$3:$E$21,3,0)=0,"",IF(OR(F1420="Arbeidskosten",F1420="Vergoeding"),VLOOKUP(G1420,Tb_KostenTypen[],2,0),VLOOKUP(F1420,Kostentypen!$A$3:$E$20,3,0))),"")</f>
        <v/>
      </c>
      <c r="O1420" s="324"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4"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3"/>
      <c r="R1420" s="363"/>
      <c r="S1420" s="325"/>
      <c r="T1420" s="325"/>
      <c r="U1420" s="317" t="str" cm="1">
        <f t="array" aca="1" ref="U1420" ca="1">IFERROR(IF(AA1420&lt;&gt;"ja",_xlfn.IFNA(_xlfn.IFS(AND(O1420&lt;&gt;"",F1420&lt;&gt;"",RIGHT($N1420,6)="tarief",F1420="Vergoeding"),SUM(O1420)*FLOOR(SUM(Q1420),0.0001),AND(O1420&lt;&gt;"",F1420&lt;&gt;"",RIGHT($N1420,6)="tarief"),SUM(O1420)*FLOOR(SUM(Q1420),0.01),S1420&gt;0,IF(F1420&lt;&gt;"",FLOOR(SUM(S1420),0.01),"")),""),""),"")</f>
        <v/>
      </c>
      <c r="V1420" s="317" t="str" cm="1">
        <f t="array" aca="1" ref="V1420" ca="1">IFERROR(IF(AA1420&lt;&gt;"ja",_xlfn.IFNA(_xlfn.IFS(AND(P1420&lt;&gt;"",R1420&lt;&gt;"",RIGHT($N1420,6)="tarief",F1420="Vergoeding"),SUM(P1420)*FLOOR(SUM(R1420),0.0001),AND(P1420&lt;&gt;"",R1420&lt;&gt;"",RIGHT($N1420,6)="tarief"),P1420*FLOOR(R1420,0.01),T1420&gt;0,FLOOR(SUM(T1420),0.01)),""),""),"")</f>
        <v/>
      </c>
      <c r="W1420" s="317" t="str" cm="1">
        <f t="array" aca="1" ref="W1420" ca="1">IFERROR(_xlfn.IFS(OR(F1420="",LEFT(Methode_Keuze,4)="Geen",Methode_Keuze=""),"",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17" t="str" cm="1">
        <f t="array" aca="1" ref="X1420" ca="1">IFERROR(_xlfn.IFS(OR(F1420="",LEFT(Methode_Keuze,4)="Geen",Methode_Keuze=""),"",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26"/>
      <c r="Z1420" s="319"/>
      <c r="AA1420" s="32" t="str" cm="1">
        <f t="array" ref="AA1420">IFERROR(IF(INDEX(SubsidieTabel!$AD$1:$AG$12,MATCH($F1420,SubsidieTabel!$AD$1:$AD$12,0),IFERROR(MATCH(Methode_Keuze,SubsidieTabel!$AD$1:$AG$1,0),2))&lt;&gt;1=TRUE,"ja",""),"")</f>
        <v/>
      </c>
    </row>
    <row r="1421" spans="1:27" x14ac:dyDescent="0.25">
      <c r="A1421" s="320"/>
      <c r="B1421" s="321" t="str">
        <f>IF(A1421&lt;&gt;"",_xlfn.MAXIFS($B$1:B1420,$A$1:A1420,A1421)+1,"")</f>
        <v/>
      </c>
      <c r="C1421" s="299"/>
      <c r="D1421" s="299"/>
      <c r="E1421" s="299"/>
      <c r="F1421" s="299"/>
      <c r="G1421" s="330"/>
      <c r="H1421" s="328"/>
      <c r="I1421" s="329"/>
      <c r="J1421" s="329"/>
      <c r="K1421" s="322"/>
      <c r="L1421" s="322"/>
      <c r="M1421" s="323" t="str">
        <f>IFERROR(VLOOKUP(H1421,Lijsten!$H$1:$I$100,2,0),"")</f>
        <v/>
      </c>
      <c r="N1421" s="323" t="str">
        <f ca="1">IFERROR(IF(VLOOKUP(F1421,Kostentypen!$A$3:$E$21,3,0)=0,"",IF(OR(F1421="Arbeidskosten",F1421="Vergoeding"),VLOOKUP(G1421,Tb_KostenTypen[],2,0),VLOOKUP(F1421,Kostentypen!$A$3:$E$20,3,0))),"")</f>
        <v/>
      </c>
      <c r="O1421" s="324"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4"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3"/>
      <c r="R1421" s="363"/>
      <c r="S1421" s="325"/>
      <c r="T1421" s="325"/>
      <c r="U1421" s="317" t="str" cm="1">
        <f t="array" aca="1" ref="U1421" ca="1">IFERROR(IF(AA1421&lt;&gt;"ja",_xlfn.IFNA(_xlfn.IFS(AND(O1421&lt;&gt;"",F1421&lt;&gt;"",RIGHT($N1421,6)="tarief",F1421="Vergoeding"),SUM(O1421)*FLOOR(SUM(Q1421),0.0001),AND(O1421&lt;&gt;"",F1421&lt;&gt;"",RIGHT($N1421,6)="tarief"),SUM(O1421)*FLOOR(SUM(Q1421),0.01),S1421&gt;0,IF(F1421&lt;&gt;"",FLOOR(SUM(S1421),0.01),"")),""),""),"")</f>
        <v/>
      </c>
      <c r="V1421" s="317" t="str" cm="1">
        <f t="array" aca="1" ref="V1421" ca="1">IFERROR(IF(AA1421&lt;&gt;"ja",_xlfn.IFNA(_xlfn.IFS(AND(P1421&lt;&gt;"",R1421&lt;&gt;"",RIGHT($N1421,6)="tarief",F1421="Vergoeding"),SUM(P1421)*FLOOR(SUM(R1421),0.0001),AND(P1421&lt;&gt;"",R1421&lt;&gt;"",RIGHT($N1421,6)="tarief"),P1421*FLOOR(R1421,0.01),T1421&gt;0,FLOOR(SUM(T1421),0.01)),""),""),"")</f>
        <v/>
      </c>
      <c r="W1421" s="317" t="str" cm="1">
        <f t="array" aca="1" ref="W1421" ca="1">IFERROR(_xlfn.IFS(OR(F1421="",LEFT(Methode_Keuze,4)="Geen",Methode_Keuze=""),"",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17" t="str" cm="1">
        <f t="array" aca="1" ref="X1421" ca="1">IFERROR(_xlfn.IFS(OR(F1421="",LEFT(Methode_Keuze,4)="Geen",Methode_Keuze=""),"",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26"/>
      <c r="Z1421" s="319"/>
      <c r="AA1421" s="32" t="str" cm="1">
        <f t="array" ref="AA1421">IFERROR(IF(INDEX(SubsidieTabel!$AD$1:$AG$12,MATCH($F1421,SubsidieTabel!$AD$1:$AD$12,0),IFERROR(MATCH(Methode_Keuze,SubsidieTabel!$AD$1:$AG$1,0),2))&lt;&gt;1=TRUE,"ja",""),"")</f>
        <v/>
      </c>
    </row>
    <row r="1422" spans="1:27" x14ac:dyDescent="0.25">
      <c r="A1422" s="320"/>
      <c r="B1422" s="321" t="str">
        <f>IF(A1422&lt;&gt;"",_xlfn.MAXIFS($B$1:B1421,$A$1:A1421,A1422)+1,"")</f>
        <v/>
      </c>
      <c r="C1422" s="299"/>
      <c r="D1422" s="299"/>
      <c r="E1422" s="299"/>
      <c r="F1422" s="299"/>
      <c r="G1422" s="330"/>
      <c r="H1422" s="328"/>
      <c r="I1422" s="329"/>
      <c r="J1422" s="329"/>
      <c r="K1422" s="322"/>
      <c r="L1422" s="322"/>
      <c r="M1422" s="323" t="str">
        <f>IFERROR(VLOOKUP(H1422,Lijsten!$H$1:$I$100,2,0),"")</f>
        <v/>
      </c>
      <c r="N1422" s="323" t="str">
        <f ca="1">IFERROR(IF(VLOOKUP(F1422,Kostentypen!$A$3:$E$21,3,0)=0,"",IF(OR(F1422="Arbeidskosten",F1422="Vergoeding"),VLOOKUP(G1422,Tb_KostenTypen[],2,0),VLOOKUP(F1422,Kostentypen!$A$3:$E$20,3,0))),"")</f>
        <v/>
      </c>
      <c r="O1422" s="324"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4"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3"/>
      <c r="R1422" s="363"/>
      <c r="S1422" s="325"/>
      <c r="T1422" s="325"/>
      <c r="U1422" s="317" t="str" cm="1">
        <f t="array" aca="1" ref="U1422" ca="1">IFERROR(IF(AA1422&lt;&gt;"ja",_xlfn.IFNA(_xlfn.IFS(AND(O1422&lt;&gt;"",F1422&lt;&gt;"",RIGHT($N1422,6)="tarief",F1422="Vergoeding"),SUM(O1422)*FLOOR(SUM(Q1422),0.0001),AND(O1422&lt;&gt;"",F1422&lt;&gt;"",RIGHT($N1422,6)="tarief"),SUM(O1422)*FLOOR(SUM(Q1422),0.01),S1422&gt;0,IF(F1422&lt;&gt;"",FLOOR(SUM(S1422),0.01),"")),""),""),"")</f>
        <v/>
      </c>
      <c r="V1422" s="317" t="str" cm="1">
        <f t="array" aca="1" ref="V1422" ca="1">IFERROR(IF(AA1422&lt;&gt;"ja",_xlfn.IFNA(_xlfn.IFS(AND(P1422&lt;&gt;"",R1422&lt;&gt;"",RIGHT($N1422,6)="tarief",F1422="Vergoeding"),SUM(P1422)*FLOOR(SUM(R1422),0.0001),AND(P1422&lt;&gt;"",R1422&lt;&gt;"",RIGHT($N1422,6)="tarief"),P1422*FLOOR(R1422,0.01),T1422&gt;0,FLOOR(SUM(T1422),0.01)),""),""),"")</f>
        <v/>
      </c>
      <c r="W1422" s="317" t="str" cm="1">
        <f t="array" aca="1" ref="W1422" ca="1">IFERROR(_xlfn.IFS(OR(F1422="",LEFT(Methode_Keuze,4)="Geen",Methode_Keuze=""),"",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17" t="str" cm="1">
        <f t="array" aca="1" ref="X1422" ca="1">IFERROR(_xlfn.IFS(OR(F1422="",LEFT(Methode_Keuze,4)="Geen",Methode_Keuze=""),"",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26"/>
      <c r="Z1422" s="319"/>
      <c r="AA1422" s="32" t="str" cm="1">
        <f t="array" ref="AA1422">IFERROR(IF(INDEX(SubsidieTabel!$AD$1:$AG$12,MATCH($F1422,SubsidieTabel!$AD$1:$AD$12,0),IFERROR(MATCH(Methode_Keuze,SubsidieTabel!$AD$1:$AG$1,0),2))&lt;&gt;1=TRUE,"ja",""),"")</f>
        <v/>
      </c>
    </row>
    <row r="1423" spans="1:27" x14ac:dyDescent="0.25">
      <c r="A1423" s="320"/>
      <c r="B1423" s="321" t="str">
        <f>IF(A1423&lt;&gt;"",_xlfn.MAXIFS($B$1:B1422,$A$1:A1422,A1423)+1,"")</f>
        <v/>
      </c>
      <c r="C1423" s="299"/>
      <c r="D1423" s="299"/>
      <c r="E1423" s="299"/>
      <c r="F1423" s="299"/>
      <c r="G1423" s="330"/>
      <c r="H1423" s="328"/>
      <c r="I1423" s="329"/>
      <c r="J1423" s="329"/>
      <c r="K1423" s="322"/>
      <c r="L1423" s="322"/>
      <c r="M1423" s="323" t="str">
        <f>IFERROR(VLOOKUP(H1423,Lijsten!$H$1:$I$100,2,0),"")</f>
        <v/>
      </c>
      <c r="N1423" s="323" t="str">
        <f ca="1">IFERROR(IF(VLOOKUP(F1423,Kostentypen!$A$3:$E$21,3,0)=0,"",IF(OR(F1423="Arbeidskosten",F1423="Vergoeding"),VLOOKUP(G1423,Tb_KostenTypen[],2,0),VLOOKUP(F1423,Kostentypen!$A$3:$E$20,3,0))),"")</f>
        <v/>
      </c>
      <c r="O1423" s="324"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4"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3"/>
      <c r="R1423" s="363"/>
      <c r="S1423" s="325"/>
      <c r="T1423" s="325"/>
      <c r="U1423" s="317" t="str" cm="1">
        <f t="array" aca="1" ref="U1423" ca="1">IFERROR(IF(AA1423&lt;&gt;"ja",_xlfn.IFNA(_xlfn.IFS(AND(O1423&lt;&gt;"",F1423&lt;&gt;"",RIGHT($N1423,6)="tarief",F1423="Vergoeding"),SUM(O1423)*FLOOR(SUM(Q1423),0.0001),AND(O1423&lt;&gt;"",F1423&lt;&gt;"",RIGHT($N1423,6)="tarief"),SUM(O1423)*FLOOR(SUM(Q1423),0.01),S1423&gt;0,IF(F1423&lt;&gt;"",FLOOR(SUM(S1423),0.01),"")),""),""),"")</f>
        <v/>
      </c>
      <c r="V1423" s="317" t="str" cm="1">
        <f t="array" aca="1" ref="V1423" ca="1">IFERROR(IF(AA1423&lt;&gt;"ja",_xlfn.IFNA(_xlfn.IFS(AND(P1423&lt;&gt;"",R1423&lt;&gt;"",RIGHT($N1423,6)="tarief",F1423="Vergoeding"),SUM(P1423)*FLOOR(SUM(R1423),0.0001),AND(P1423&lt;&gt;"",R1423&lt;&gt;"",RIGHT($N1423,6)="tarief"),P1423*FLOOR(R1423,0.01),T1423&gt;0,FLOOR(SUM(T1423),0.01)),""),""),"")</f>
        <v/>
      </c>
      <c r="W1423" s="317" t="str" cm="1">
        <f t="array" aca="1" ref="W1423" ca="1">IFERROR(_xlfn.IFS(OR(F1423="",LEFT(Methode_Keuze,4)="Geen",Methode_Keuze=""),"",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17" t="str" cm="1">
        <f t="array" aca="1" ref="X1423" ca="1">IFERROR(_xlfn.IFS(OR(F1423="",LEFT(Methode_Keuze,4)="Geen",Methode_Keuze=""),"",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26"/>
      <c r="Z1423" s="319"/>
      <c r="AA1423" s="32" t="str" cm="1">
        <f t="array" ref="AA1423">IFERROR(IF(INDEX(SubsidieTabel!$AD$1:$AG$12,MATCH($F1423,SubsidieTabel!$AD$1:$AD$12,0),IFERROR(MATCH(Methode_Keuze,SubsidieTabel!$AD$1:$AG$1,0),2))&lt;&gt;1=TRUE,"ja",""),"")</f>
        <v/>
      </c>
    </row>
    <row r="1424" spans="1:27" x14ac:dyDescent="0.25">
      <c r="A1424" s="320"/>
      <c r="B1424" s="321" t="str">
        <f>IF(A1424&lt;&gt;"",_xlfn.MAXIFS($B$1:B1423,$A$1:A1423,A1424)+1,"")</f>
        <v/>
      </c>
      <c r="C1424" s="299"/>
      <c r="D1424" s="299"/>
      <c r="E1424" s="299"/>
      <c r="F1424" s="299"/>
      <c r="G1424" s="330"/>
      <c r="H1424" s="328"/>
      <c r="I1424" s="329"/>
      <c r="J1424" s="329"/>
      <c r="K1424" s="322"/>
      <c r="L1424" s="322"/>
      <c r="M1424" s="323" t="str">
        <f>IFERROR(VLOOKUP(H1424,Lijsten!$H$1:$I$100,2,0),"")</f>
        <v/>
      </c>
      <c r="N1424" s="323" t="str">
        <f ca="1">IFERROR(IF(VLOOKUP(F1424,Kostentypen!$A$3:$E$21,3,0)=0,"",IF(OR(F1424="Arbeidskosten",F1424="Vergoeding"),VLOOKUP(G1424,Tb_KostenTypen[],2,0),VLOOKUP(F1424,Kostentypen!$A$3:$E$20,3,0))),"")</f>
        <v/>
      </c>
      <c r="O1424" s="324"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4"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3"/>
      <c r="R1424" s="363"/>
      <c r="S1424" s="325"/>
      <c r="T1424" s="325"/>
      <c r="U1424" s="317" t="str" cm="1">
        <f t="array" aca="1" ref="U1424" ca="1">IFERROR(IF(AA1424&lt;&gt;"ja",_xlfn.IFNA(_xlfn.IFS(AND(O1424&lt;&gt;"",F1424&lt;&gt;"",RIGHT($N1424,6)="tarief",F1424="Vergoeding"),SUM(O1424)*FLOOR(SUM(Q1424),0.0001),AND(O1424&lt;&gt;"",F1424&lt;&gt;"",RIGHT($N1424,6)="tarief"),SUM(O1424)*FLOOR(SUM(Q1424),0.01),S1424&gt;0,IF(F1424&lt;&gt;"",FLOOR(SUM(S1424),0.01),"")),""),""),"")</f>
        <v/>
      </c>
      <c r="V1424" s="317" t="str" cm="1">
        <f t="array" aca="1" ref="V1424" ca="1">IFERROR(IF(AA1424&lt;&gt;"ja",_xlfn.IFNA(_xlfn.IFS(AND(P1424&lt;&gt;"",R1424&lt;&gt;"",RIGHT($N1424,6)="tarief",F1424="Vergoeding"),SUM(P1424)*FLOOR(SUM(R1424),0.0001),AND(P1424&lt;&gt;"",R1424&lt;&gt;"",RIGHT($N1424,6)="tarief"),P1424*FLOOR(R1424,0.01),T1424&gt;0,FLOOR(SUM(T1424),0.01)),""),""),"")</f>
        <v/>
      </c>
      <c r="W1424" s="317" t="str" cm="1">
        <f t="array" aca="1" ref="W1424" ca="1">IFERROR(_xlfn.IFS(OR(F1424="",LEFT(Methode_Keuze,4)="Geen",Methode_Keuze=""),"",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17" t="str" cm="1">
        <f t="array" aca="1" ref="X1424" ca="1">IFERROR(_xlfn.IFS(OR(F1424="",LEFT(Methode_Keuze,4)="Geen",Methode_Keuze=""),"",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26"/>
      <c r="Z1424" s="319"/>
      <c r="AA1424" s="32" t="str" cm="1">
        <f t="array" ref="AA1424">IFERROR(IF(INDEX(SubsidieTabel!$AD$1:$AG$12,MATCH($F1424,SubsidieTabel!$AD$1:$AD$12,0),IFERROR(MATCH(Methode_Keuze,SubsidieTabel!$AD$1:$AG$1,0),2))&lt;&gt;1=TRUE,"ja",""),"")</f>
        <v/>
      </c>
    </row>
    <row r="1425" spans="1:27" x14ac:dyDescent="0.25">
      <c r="A1425" s="320"/>
      <c r="B1425" s="321" t="str">
        <f>IF(A1425&lt;&gt;"",_xlfn.MAXIFS($B$1:B1424,$A$1:A1424,A1425)+1,"")</f>
        <v/>
      </c>
      <c r="C1425" s="299"/>
      <c r="D1425" s="299"/>
      <c r="E1425" s="299"/>
      <c r="F1425" s="299"/>
      <c r="G1425" s="330"/>
      <c r="H1425" s="328"/>
      <c r="I1425" s="329"/>
      <c r="J1425" s="329"/>
      <c r="K1425" s="322"/>
      <c r="L1425" s="322"/>
      <c r="M1425" s="323" t="str">
        <f>IFERROR(VLOOKUP(H1425,Lijsten!$H$1:$I$100,2,0),"")</f>
        <v/>
      </c>
      <c r="N1425" s="323" t="str">
        <f ca="1">IFERROR(IF(VLOOKUP(F1425,Kostentypen!$A$3:$E$21,3,0)=0,"",IF(OR(F1425="Arbeidskosten",F1425="Vergoeding"),VLOOKUP(G1425,Tb_KostenTypen[],2,0),VLOOKUP(F1425,Kostentypen!$A$3:$E$20,3,0))),"")</f>
        <v/>
      </c>
      <c r="O1425" s="324"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4"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3"/>
      <c r="R1425" s="363"/>
      <c r="S1425" s="325"/>
      <c r="T1425" s="325"/>
      <c r="U1425" s="317" t="str" cm="1">
        <f t="array" aca="1" ref="U1425" ca="1">IFERROR(IF(AA1425&lt;&gt;"ja",_xlfn.IFNA(_xlfn.IFS(AND(O1425&lt;&gt;"",F1425&lt;&gt;"",RIGHT($N1425,6)="tarief",F1425="Vergoeding"),SUM(O1425)*FLOOR(SUM(Q1425),0.0001),AND(O1425&lt;&gt;"",F1425&lt;&gt;"",RIGHT($N1425,6)="tarief"),SUM(O1425)*FLOOR(SUM(Q1425),0.01),S1425&gt;0,IF(F1425&lt;&gt;"",FLOOR(SUM(S1425),0.01),"")),""),""),"")</f>
        <v/>
      </c>
      <c r="V1425" s="317" t="str" cm="1">
        <f t="array" aca="1" ref="V1425" ca="1">IFERROR(IF(AA1425&lt;&gt;"ja",_xlfn.IFNA(_xlfn.IFS(AND(P1425&lt;&gt;"",R1425&lt;&gt;"",RIGHT($N1425,6)="tarief",F1425="Vergoeding"),SUM(P1425)*FLOOR(SUM(R1425),0.0001),AND(P1425&lt;&gt;"",R1425&lt;&gt;"",RIGHT($N1425,6)="tarief"),P1425*FLOOR(R1425,0.01),T1425&gt;0,FLOOR(SUM(T1425),0.01)),""),""),"")</f>
        <v/>
      </c>
      <c r="W1425" s="317" t="str" cm="1">
        <f t="array" aca="1" ref="W1425" ca="1">IFERROR(_xlfn.IFS(OR(F1425="",LEFT(Methode_Keuze,4)="Geen",Methode_Keuze=""),"",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17" t="str" cm="1">
        <f t="array" aca="1" ref="X1425" ca="1">IFERROR(_xlfn.IFS(OR(F1425="",LEFT(Methode_Keuze,4)="Geen",Methode_Keuze=""),"",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26"/>
      <c r="Z1425" s="319"/>
      <c r="AA1425" s="32" t="str" cm="1">
        <f t="array" ref="AA1425">IFERROR(IF(INDEX(SubsidieTabel!$AD$1:$AG$12,MATCH($F1425,SubsidieTabel!$AD$1:$AD$12,0),IFERROR(MATCH(Methode_Keuze,SubsidieTabel!$AD$1:$AG$1,0),2))&lt;&gt;1=TRUE,"ja",""),"")</f>
        <v/>
      </c>
    </row>
    <row r="1426" spans="1:27" x14ac:dyDescent="0.25">
      <c r="A1426" s="320"/>
      <c r="B1426" s="321" t="str">
        <f>IF(A1426&lt;&gt;"",_xlfn.MAXIFS($B$1:B1425,$A$1:A1425,A1426)+1,"")</f>
        <v/>
      </c>
      <c r="C1426" s="299"/>
      <c r="D1426" s="299"/>
      <c r="E1426" s="299"/>
      <c r="F1426" s="299"/>
      <c r="G1426" s="330"/>
      <c r="H1426" s="328"/>
      <c r="I1426" s="329"/>
      <c r="J1426" s="329"/>
      <c r="K1426" s="322"/>
      <c r="L1426" s="322"/>
      <c r="M1426" s="323" t="str">
        <f>IFERROR(VLOOKUP(H1426,Lijsten!$H$1:$I$100,2,0),"")</f>
        <v/>
      </c>
      <c r="N1426" s="323" t="str">
        <f ca="1">IFERROR(IF(VLOOKUP(F1426,Kostentypen!$A$3:$E$21,3,0)=0,"",IF(OR(F1426="Arbeidskosten",F1426="Vergoeding"),VLOOKUP(G1426,Tb_KostenTypen[],2,0),VLOOKUP(F1426,Kostentypen!$A$3:$E$20,3,0))),"")</f>
        <v/>
      </c>
      <c r="O1426" s="324"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4"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3"/>
      <c r="R1426" s="363"/>
      <c r="S1426" s="325"/>
      <c r="T1426" s="325"/>
      <c r="U1426" s="317" t="str" cm="1">
        <f t="array" aca="1" ref="U1426" ca="1">IFERROR(IF(AA1426&lt;&gt;"ja",_xlfn.IFNA(_xlfn.IFS(AND(O1426&lt;&gt;"",F1426&lt;&gt;"",RIGHT($N1426,6)="tarief",F1426="Vergoeding"),SUM(O1426)*FLOOR(SUM(Q1426),0.0001),AND(O1426&lt;&gt;"",F1426&lt;&gt;"",RIGHT($N1426,6)="tarief"),SUM(O1426)*FLOOR(SUM(Q1426),0.01),S1426&gt;0,IF(F1426&lt;&gt;"",FLOOR(SUM(S1426),0.01),"")),""),""),"")</f>
        <v/>
      </c>
      <c r="V1426" s="317" t="str" cm="1">
        <f t="array" aca="1" ref="V1426" ca="1">IFERROR(IF(AA1426&lt;&gt;"ja",_xlfn.IFNA(_xlfn.IFS(AND(P1426&lt;&gt;"",R1426&lt;&gt;"",RIGHT($N1426,6)="tarief",F1426="Vergoeding"),SUM(P1426)*FLOOR(SUM(R1426),0.0001),AND(P1426&lt;&gt;"",R1426&lt;&gt;"",RIGHT($N1426,6)="tarief"),P1426*FLOOR(R1426,0.01),T1426&gt;0,FLOOR(SUM(T1426),0.01)),""),""),"")</f>
        <v/>
      </c>
      <c r="W1426" s="317" t="str" cm="1">
        <f t="array" aca="1" ref="W1426" ca="1">IFERROR(_xlfn.IFS(OR(F1426="",LEFT(Methode_Keuze,4)="Geen",Methode_Keuze=""),"",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17" t="str" cm="1">
        <f t="array" aca="1" ref="X1426" ca="1">IFERROR(_xlfn.IFS(OR(F1426="",LEFT(Methode_Keuze,4)="Geen",Methode_Keuze=""),"",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26"/>
      <c r="Z1426" s="319"/>
      <c r="AA1426" s="32" t="str" cm="1">
        <f t="array" ref="AA1426">IFERROR(IF(INDEX(SubsidieTabel!$AD$1:$AG$12,MATCH($F1426,SubsidieTabel!$AD$1:$AD$12,0),IFERROR(MATCH(Methode_Keuze,SubsidieTabel!$AD$1:$AG$1,0),2))&lt;&gt;1=TRUE,"ja",""),"")</f>
        <v/>
      </c>
    </row>
    <row r="1427" spans="1:27" x14ac:dyDescent="0.25">
      <c r="A1427" s="320"/>
      <c r="B1427" s="321" t="str">
        <f>IF(A1427&lt;&gt;"",_xlfn.MAXIFS($B$1:B1426,$A$1:A1426,A1427)+1,"")</f>
        <v/>
      </c>
      <c r="C1427" s="299"/>
      <c r="D1427" s="299"/>
      <c r="E1427" s="299"/>
      <c r="F1427" s="299"/>
      <c r="G1427" s="330"/>
      <c r="H1427" s="328"/>
      <c r="I1427" s="329"/>
      <c r="J1427" s="329"/>
      <c r="K1427" s="322"/>
      <c r="L1427" s="322"/>
      <c r="M1427" s="323" t="str">
        <f>IFERROR(VLOOKUP(H1427,Lijsten!$H$1:$I$100,2,0),"")</f>
        <v/>
      </c>
      <c r="N1427" s="323" t="str">
        <f ca="1">IFERROR(IF(VLOOKUP(F1427,Kostentypen!$A$3:$E$21,3,0)=0,"",IF(OR(F1427="Arbeidskosten",F1427="Vergoeding"),VLOOKUP(G1427,Tb_KostenTypen[],2,0),VLOOKUP(F1427,Kostentypen!$A$3:$E$20,3,0))),"")</f>
        <v/>
      </c>
      <c r="O1427" s="324"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4"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3"/>
      <c r="R1427" s="363"/>
      <c r="S1427" s="325"/>
      <c r="T1427" s="325"/>
      <c r="U1427" s="317" t="str" cm="1">
        <f t="array" aca="1" ref="U1427" ca="1">IFERROR(IF(AA1427&lt;&gt;"ja",_xlfn.IFNA(_xlfn.IFS(AND(O1427&lt;&gt;"",F1427&lt;&gt;"",RIGHT($N1427,6)="tarief",F1427="Vergoeding"),SUM(O1427)*FLOOR(SUM(Q1427),0.0001),AND(O1427&lt;&gt;"",F1427&lt;&gt;"",RIGHT($N1427,6)="tarief"),SUM(O1427)*FLOOR(SUM(Q1427),0.01),S1427&gt;0,IF(F1427&lt;&gt;"",FLOOR(SUM(S1427),0.01),"")),""),""),"")</f>
        <v/>
      </c>
      <c r="V1427" s="317" t="str" cm="1">
        <f t="array" aca="1" ref="V1427" ca="1">IFERROR(IF(AA1427&lt;&gt;"ja",_xlfn.IFNA(_xlfn.IFS(AND(P1427&lt;&gt;"",R1427&lt;&gt;"",RIGHT($N1427,6)="tarief",F1427="Vergoeding"),SUM(P1427)*FLOOR(SUM(R1427),0.0001),AND(P1427&lt;&gt;"",R1427&lt;&gt;"",RIGHT($N1427,6)="tarief"),P1427*FLOOR(R1427,0.01),T1427&gt;0,FLOOR(SUM(T1427),0.01)),""),""),"")</f>
        <v/>
      </c>
      <c r="W1427" s="317" t="str" cm="1">
        <f t="array" aca="1" ref="W1427" ca="1">IFERROR(_xlfn.IFS(OR(F1427="",LEFT(Methode_Keuze,4)="Geen",Methode_Keuze=""),"",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17" t="str" cm="1">
        <f t="array" aca="1" ref="X1427" ca="1">IFERROR(_xlfn.IFS(OR(F1427="",LEFT(Methode_Keuze,4)="Geen",Methode_Keuze=""),"",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26"/>
      <c r="Z1427" s="319"/>
      <c r="AA1427" s="32" t="str" cm="1">
        <f t="array" ref="AA1427">IFERROR(IF(INDEX(SubsidieTabel!$AD$1:$AG$12,MATCH($F1427,SubsidieTabel!$AD$1:$AD$12,0),IFERROR(MATCH(Methode_Keuze,SubsidieTabel!$AD$1:$AG$1,0),2))&lt;&gt;1=TRUE,"ja",""),"")</f>
        <v/>
      </c>
    </row>
    <row r="1428" spans="1:27" x14ac:dyDescent="0.25">
      <c r="A1428" s="320"/>
      <c r="B1428" s="321" t="str">
        <f>IF(A1428&lt;&gt;"",_xlfn.MAXIFS($B$1:B1427,$A$1:A1427,A1428)+1,"")</f>
        <v/>
      </c>
      <c r="C1428" s="299"/>
      <c r="D1428" s="299"/>
      <c r="E1428" s="299"/>
      <c r="F1428" s="299"/>
      <c r="G1428" s="330"/>
      <c r="H1428" s="328"/>
      <c r="I1428" s="329"/>
      <c r="J1428" s="329"/>
      <c r="K1428" s="322"/>
      <c r="L1428" s="322"/>
      <c r="M1428" s="323" t="str">
        <f>IFERROR(VLOOKUP(H1428,Lijsten!$H$1:$I$100,2,0),"")</f>
        <v/>
      </c>
      <c r="N1428" s="323" t="str">
        <f ca="1">IFERROR(IF(VLOOKUP(F1428,Kostentypen!$A$3:$E$21,3,0)=0,"",IF(OR(F1428="Arbeidskosten",F1428="Vergoeding"),VLOOKUP(G1428,Tb_KostenTypen[],2,0),VLOOKUP(F1428,Kostentypen!$A$3:$E$20,3,0))),"")</f>
        <v/>
      </c>
      <c r="O1428" s="324"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4"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3"/>
      <c r="R1428" s="363"/>
      <c r="S1428" s="325"/>
      <c r="T1428" s="325"/>
      <c r="U1428" s="317" t="str" cm="1">
        <f t="array" aca="1" ref="U1428" ca="1">IFERROR(IF(AA1428&lt;&gt;"ja",_xlfn.IFNA(_xlfn.IFS(AND(O1428&lt;&gt;"",F1428&lt;&gt;"",RIGHT($N1428,6)="tarief",F1428="Vergoeding"),SUM(O1428)*FLOOR(SUM(Q1428),0.0001),AND(O1428&lt;&gt;"",F1428&lt;&gt;"",RIGHT($N1428,6)="tarief"),SUM(O1428)*FLOOR(SUM(Q1428),0.01),S1428&gt;0,IF(F1428&lt;&gt;"",FLOOR(SUM(S1428),0.01),"")),""),""),"")</f>
        <v/>
      </c>
      <c r="V1428" s="317" t="str" cm="1">
        <f t="array" aca="1" ref="V1428" ca="1">IFERROR(IF(AA1428&lt;&gt;"ja",_xlfn.IFNA(_xlfn.IFS(AND(P1428&lt;&gt;"",R1428&lt;&gt;"",RIGHT($N1428,6)="tarief",F1428="Vergoeding"),SUM(P1428)*FLOOR(SUM(R1428),0.0001),AND(P1428&lt;&gt;"",R1428&lt;&gt;"",RIGHT($N1428,6)="tarief"),P1428*FLOOR(R1428,0.01),T1428&gt;0,FLOOR(SUM(T1428),0.01)),""),""),"")</f>
        <v/>
      </c>
      <c r="W1428" s="317" t="str" cm="1">
        <f t="array" aca="1" ref="W1428" ca="1">IFERROR(_xlfn.IFS(OR(F1428="",LEFT(Methode_Keuze,4)="Geen",Methode_Keuze=""),"",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17" t="str" cm="1">
        <f t="array" aca="1" ref="X1428" ca="1">IFERROR(_xlfn.IFS(OR(F1428="",LEFT(Methode_Keuze,4)="Geen",Methode_Keuze=""),"",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26"/>
      <c r="Z1428" s="319"/>
      <c r="AA1428" s="32" t="str" cm="1">
        <f t="array" ref="AA1428">IFERROR(IF(INDEX(SubsidieTabel!$AD$1:$AG$12,MATCH($F1428,SubsidieTabel!$AD$1:$AD$12,0),IFERROR(MATCH(Methode_Keuze,SubsidieTabel!$AD$1:$AG$1,0),2))&lt;&gt;1=TRUE,"ja",""),"")</f>
        <v/>
      </c>
    </row>
    <row r="1429" spans="1:27" x14ac:dyDescent="0.25">
      <c r="A1429" s="320"/>
      <c r="B1429" s="321" t="str">
        <f>IF(A1429&lt;&gt;"",_xlfn.MAXIFS($B$1:B1428,$A$1:A1428,A1429)+1,"")</f>
        <v/>
      </c>
      <c r="C1429" s="299"/>
      <c r="D1429" s="299"/>
      <c r="E1429" s="299"/>
      <c r="F1429" s="299"/>
      <c r="G1429" s="330"/>
      <c r="H1429" s="328"/>
      <c r="I1429" s="329"/>
      <c r="J1429" s="329"/>
      <c r="K1429" s="322"/>
      <c r="L1429" s="322"/>
      <c r="M1429" s="323" t="str">
        <f>IFERROR(VLOOKUP(H1429,Lijsten!$H$1:$I$100,2,0),"")</f>
        <v/>
      </c>
      <c r="N1429" s="323" t="str">
        <f ca="1">IFERROR(IF(VLOOKUP(F1429,Kostentypen!$A$3:$E$21,3,0)=0,"",IF(OR(F1429="Arbeidskosten",F1429="Vergoeding"),VLOOKUP(G1429,Tb_KostenTypen[],2,0),VLOOKUP(F1429,Kostentypen!$A$3:$E$20,3,0))),"")</f>
        <v/>
      </c>
      <c r="O1429" s="324"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4"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3"/>
      <c r="R1429" s="363"/>
      <c r="S1429" s="325"/>
      <c r="T1429" s="325"/>
      <c r="U1429" s="317" t="str" cm="1">
        <f t="array" aca="1" ref="U1429" ca="1">IFERROR(IF(AA1429&lt;&gt;"ja",_xlfn.IFNA(_xlfn.IFS(AND(O1429&lt;&gt;"",F1429&lt;&gt;"",RIGHT($N1429,6)="tarief",F1429="Vergoeding"),SUM(O1429)*FLOOR(SUM(Q1429),0.0001),AND(O1429&lt;&gt;"",F1429&lt;&gt;"",RIGHT($N1429,6)="tarief"),SUM(O1429)*FLOOR(SUM(Q1429),0.01),S1429&gt;0,IF(F1429&lt;&gt;"",FLOOR(SUM(S1429),0.01),"")),""),""),"")</f>
        <v/>
      </c>
      <c r="V1429" s="317" t="str" cm="1">
        <f t="array" aca="1" ref="V1429" ca="1">IFERROR(IF(AA1429&lt;&gt;"ja",_xlfn.IFNA(_xlfn.IFS(AND(P1429&lt;&gt;"",R1429&lt;&gt;"",RIGHT($N1429,6)="tarief",F1429="Vergoeding"),SUM(P1429)*FLOOR(SUM(R1429),0.0001),AND(P1429&lt;&gt;"",R1429&lt;&gt;"",RIGHT($N1429,6)="tarief"),P1429*FLOOR(R1429,0.01),T1429&gt;0,FLOOR(SUM(T1429),0.01)),""),""),"")</f>
        <v/>
      </c>
      <c r="W1429" s="317" t="str" cm="1">
        <f t="array" aca="1" ref="W1429" ca="1">IFERROR(_xlfn.IFS(OR(F1429="",LEFT(Methode_Keuze,4)="Geen",Methode_Keuze=""),"",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17" t="str" cm="1">
        <f t="array" aca="1" ref="X1429" ca="1">IFERROR(_xlfn.IFS(OR(F1429="",LEFT(Methode_Keuze,4)="Geen",Methode_Keuze=""),"",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26"/>
      <c r="Z1429" s="319"/>
      <c r="AA1429" s="32" t="str" cm="1">
        <f t="array" ref="AA1429">IFERROR(IF(INDEX(SubsidieTabel!$AD$1:$AG$12,MATCH($F1429,SubsidieTabel!$AD$1:$AD$12,0),IFERROR(MATCH(Methode_Keuze,SubsidieTabel!$AD$1:$AG$1,0),2))&lt;&gt;1=TRUE,"ja",""),"")</f>
        <v/>
      </c>
    </row>
    <row r="1430" spans="1:27" x14ac:dyDescent="0.25">
      <c r="A1430" s="320"/>
      <c r="B1430" s="321" t="str">
        <f>IF(A1430&lt;&gt;"",_xlfn.MAXIFS($B$1:B1429,$A$1:A1429,A1430)+1,"")</f>
        <v/>
      </c>
      <c r="C1430" s="299"/>
      <c r="D1430" s="299"/>
      <c r="E1430" s="299"/>
      <c r="F1430" s="299"/>
      <c r="G1430" s="330"/>
      <c r="H1430" s="328"/>
      <c r="I1430" s="329"/>
      <c r="J1430" s="329"/>
      <c r="K1430" s="322"/>
      <c r="L1430" s="322"/>
      <c r="M1430" s="323" t="str">
        <f>IFERROR(VLOOKUP(H1430,Lijsten!$H$1:$I$100,2,0),"")</f>
        <v/>
      </c>
      <c r="N1430" s="323" t="str">
        <f ca="1">IFERROR(IF(VLOOKUP(F1430,Kostentypen!$A$3:$E$21,3,0)=0,"",IF(OR(F1430="Arbeidskosten",F1430="Vergoeding"),VLOOKUP(G1430,Tb_KostenTypen[],2,0),VLOOKUP(F1430,Kostentypen!$A$3:$E$20,3,0))),"")</f>
        <v/>
      </c>
      <c r="O1430" s="324"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4"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3"/>
      <c r="R1430" s="363"/>
      <c r="S1430" s="325"/>
      <c r="T1430" s="325"/>
      <c r="U1430" s="317" t="str" cm="1">
        <f t="array" aca="1" ref="U1430" ca="1">IFERROR(IF(AA1430&lt;&gt;"ja",_xlfn.IFNA(_xlfn.IFS(AND(O1430&lt;&gt;"",F1430&lt;&gt;"",RIGHT($N1430,6)="tarief",F1430="Vergoeding"),SUM(O1430)*FLOOR(SUM(Q1430),0.0001),AND(O1430&lt;&gt;"",F1430&lt;&gt;"",RIGHT($N1430,6)="tarief"),SUM(O1430)*FLOOR(SUM(Q1430),0.01),S1430&gt;0,IF(F1430&lt;&gt;"",FLOOR(SUM(S1430),0.01),"")),""),""),"")</f>
        <v/>
      </c>
      <c r="V1430" s="317" t="str" cm="1">
        <f t="array" aca="1" ref="V1430" ca="1">IFERROR(IF(AA1430&lt;&gt;"ja",_xlfn.IFNA(_xlfn.IFS(AND(P1430&lt;&gt;"",R1430&lt;&gt;"",RIGHT($N1430,6)="tarief",F1430="Vergoeding"),SUM(P1430)*FLOOR(SUM(R1430),0.0001),AND(P1430&lt;&gt;"",R1430&lt;&gt;"",RIGHT($N1430,6)="tarief"),P1430*FLOOR(R1430,0.01),T1430&gt;0,FLOOR(SUM(T1430),0.01)),""),""),"")</f>
        <v/>
      </c>
      <c r="W1430" s="317" t="str" cm="1">
        <f t="array" aca="1" ref="W1430" ca="1">IFERROR(_xlfn.IFS(OR(F1430="",LEFT(Methode_Keuze,4)="Geen",Methode_Keuze=""),"",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17" t="str" cm="1">
        <f t="array" aca="1" ref="X1430" ca="1">IFERROR(_xlfn.IFS(OR(F1430="",LEFT(Methode_Keuze,4)="Geen",Methode_Keuze=""),"",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26"/>
      <c r="Z1430" s="319"/>
      <c r="AA1430" s="32" t="str" cm="1">
        <f t="array" ref="AA1430">IFERROR(IF(INDEX(SubsidieTabel!$AD$1:$AG$12,MATCH($F1430,SubsidieTabel!$AD$1:$AD$12,0),IFERROR(MATCH(Methode_Keuze,SubsidieTabel!$AD$1:$AG$1,0),2))&lt;&gt;1=TRUE,"ja",""),"")</f>
        <v/>
      </c>
    </row>
    <row r="1431" spans="1:27" x14ac:dyDescent="0.25">
      <c r="A1431" s="320"/>
      <c r="B1431" s="321" t="str">
        <f>IF(A1431&lt;&gt;"",_xlfn.MAXIFS($B$1:B1430,$A$1:A1430,A1431)+1,"")</f>
        <v/>
      </c>
      <c r="C1431" s="299"/>
      <c r="D1431" s="299"/>
      <c r="E1431" s="299"/>
      <c r="F1431" s="299"/>
      <c r="G1431" s="330"/>
      <c r="H1431" s="328"/>
      <c r="I1431" s="329"/>
      <c r="J1431" s="329"/>
      <c r="K1431" s="322"/>
      <c r="L1431" s="322"/>
      <c r="M1431" s="323" t="str">
        <f>IFERROR(VLOOKUP(H1431,Lijsten!$H$1:$I$100,2,0),"")</f>
        <v/>
      </c>
      <c r="N1431" s="323" t="str">
        <f ca="1">IFERROR(IF(VLOOKUP(F1431,Kostentypen!$A$3:$E$21,3,0)=0,"",IF(OR(F1431="Arbeidskosten",F1431="Vergoeding"),VLOOKUP(G1431,Tb_KostenTypen[],2,0),VLOOKUP(F1431,Kostentypen!$A$3:$E$20,3,0))),"")</f>
        <v/>
      </c>
      <c r="O1431" s="324"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4"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3"/>
      <c r="R1431" s="363"/>
      <c r="S1431" s="325"/>
      <c r="T1431" s="325"/>
      <c r="U1431" s="317" t="str" cm="1">
        <f t="array" aca="1" ref="U1431" ca="1">IFERROR(IF(AA1431&lt;&gt;"ja",_xlfn.IFNA(_xlfn.IFS(AND(O1431&lt;&gt;"",F1431&lt;&gt;"",RIGHT($N1431,6)="tarief",F1431="Vergoeding"),SUM(O1431)*FLOOR(SUM(Q1431),0.0001),AND(O1431&lt;&gt;"",F1431&lt;&gt;"",RIGHT($N1431,6)="tarief"),SUM(O1431)*FLOOR(SUM(Q1431),0.01),S1431&gt;0,IF(F1431&lt;&gt;"",FLOOR(SUM(S1431),0.01),"")),""),""),"")</f>
        <v/>
      </c>
      <c r="V1431" s="317" t="str" cm="1">
        <f t="array" aca="1" ref="V1431" ca="1">IFERROR(IF(AA1431&lt;&gt;"ja",_xlfn.IFNA(_xlfn.IFS(AND(P1431&lt;&gt;"",R1431&lt;&gt;"",RIGHT($N1431,6)="tarief",F1431="Vergoeding"),SUM(P1431)*FLOOR(SUM(R1431),0.0001),AND(P1431&lt;&gt;"",R1431&lt;&gt;"",RIGHT($N1431,6)="tarief"),P1431*FLOOR(R1431,0.01),T1431&gt;0,FLOOR(SUM(T1431),0.01)),""),""),"")</f>
        <v/>
      </c>
      <c r="W1431" s="317" t="str" cm="1">
        <f t="array" aca="1" ref="W1431" ca="1">IFERROR(_xlfn.IFS(OR(F1431="",LEFT(Methode_Keuze,4)="Geen",Methode_Keuze=""),"",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17" t="str" cm="1">
        <f t="array" aca="1" ref="X1431" ca="1">IFERROR(_xlfn.IFS(OR(F1431="",LEFT(Methode_Keuze,4)="Geen",Methode_Keuze=""),"",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26"/>
      <c r="Z1431" s="319"/>
      <c r="AA1431" s="32" t="str" cm="1">
        <f t="array" ref="AA1431">IFERROR(IF(INDEX(SubsidieTabel!$AD$1:$AG$12,MATCH($F1431,SubsidieTabel!$AD$1:$AD$12,0),IFERROR(MATCH(Methode_Keuze,SubsidieTabel!$AD$1:$AG$1,0),2))&lt;&gt;1=TRUE,"ja",""),"")</f>
        <v/>
      </c>
    </row>
    <row r="1432" spans="1:27" x14ac:dyDescent="0.25">
      <c r="A1432" s="320"/>
      <c r="B1432" s="321" t="str">
        <f>IF(A1432&lt;&gt;"",_xlfn.MAXIFS($B$1:B1431,$A$1:A1431,A1432)+1,"")</f>
        <v/>
      </c>
      <c r="C1432" s="299"/>
      <c r="D1432" s="299"/>
      <c r="E1432" s="299"/>
      <c r="F1432" s="299"/>
      <c r="G1432" s="330"/>
      <c r="H1432" s="328"/>
      <c r="I1432" s="329"/>
      <c r="J1432" s="329"/>
      <c r="K1432" s="322"/>
      <c r="L1432" s="322"/>
      <c r="M1432" s="323" t="str">
        <f>IFERROR(VLOOKUP(H1432,Lijsten!$H$1:$I$100,2,0),"")</f>
        <v/>
      </c>
      <c r="N1432" s="323" t="str">
        <f ca="1">IFERROR(IF(VLOOKUP(F1432,Kostentypen!$A$3:$E$21,3,0)=0,"",IF(OR(F1432="Arbeidskosten",F1432="Vergoeding"),VLOOKUP(G1432,Tb_KostenTypen[],2,0),VLOOKUP(F1432,Kostentypen!$A$3:$E$20,3,0))),"")</f>
        <v/>
      </c>
      <c r="O1432" s="324"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4"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3"/>
      <c r="R1432" s="363"/>
      <c r="S1432" s="325"/>
      <c r="T1432" s="325"/>
      <c r="U1432" s="317" t="str" cm="1">
        <f t="array" aca="1" ref="U1432" ca="1">IFERROR(IF(AA1432&lt;&gt;"ja",_xlfn.IFNA(_xlfn.IFS(AND(O1432&lt;&gt;"",F1432&lt;&gt;"",RIGHT($N1432,6)="tarief",F1432="Vergoeding"),SUM(O1432)*FLOOR(SUM(Q1432),0.0001),AND(O1432&lt;&gt;"",F1432&lt;&gt;"",RIGHT($N1432,6)="tarief"),SUM(O1432)*FLOOR(SUM(Q1432),0.01),S1432&gt;0,IF(F1432&lt;&gt;"",FLOOR(SUM(S1432),0.01),"")),""),""),"")</f>
        <v/>
      </c>
      <c r="V1432" s="317" t="str" cm="1">
        <f t="array" aca="1" ref="V1432" ca="1">IFERROR(IF(AA1432&lt;&gt;"ja",_xlfn.IFNA(_xlfn.IFS(AND(P1432&lt;&gt;"",R1432&lt;&gt;"",RIGHT($N1432,6)="tarief",F1432="Vergoeding"),SUM(P1432)*FLOOR(SUM(R1432),0.0001),AND(P1432&lt;&gt;"",R1432&lt;&gt;"",RIGHT($N1432,6)="tarief"),P1432*FLOOR(R1432,0.01),T1432&gt;0,FLOOR(SUM(T1432),0.01)),""),""),"")</f>
        <v/>
      </c>
      <c r="W1432" s="317" t="str" cm="1">
        <f t="array" aca="1" ref="W1432" ca="1">IFERROR(_xlfn.IFS(OR(F1432="",LEFT(Methode_Keuze,4)="Geen",Methode_Keuze=""),"",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17" t="str" cm="1">
        <f t="array" aca="1" ref="X1432" ca="1">IFERROR(_xlfn.IFS(OR(F1432="",LEFT(Methode_Keuze,4)="Geen",Methode_Keuze=""),"",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26"/>
      <c r="Z1432" s="319"/>
      <c r="AA1432" s="32" t="str" cm="1">
        <f t="array" ref="AA1432">IFERROR(IF(INDEX(SubsidieTabel!$AD$1:$AG$12,MATCH($F1432,SubsidieTabel!$AD$1:$AD$12,0),IFERROR(MATCH(Methode_Keuze,SubsidieTabel!$AD$1:$AG$1,0),2))&lt;&gt;1=TRUE,"ja",""),"")</f>
        <v/>
      </c>
    </row>
    <row r="1433" spans="1:27" x14ac:dyDescent="0.25">
      <c r="A1433" s="320"/>
      <c r="B1433" s="321" t="str">
        <f>IF(A1433&lt;&gt;"",_xlfn.MAXIFS($B$1:B1432,$A$1:A1432,A1433)+1,"")</f>
        <v/>
      </c>
      <c r="C1433" s="299"/>
      <c r="D1433" s="299"/>
      <c r="E1433" s="299"/>
      <c r="F1433" s="299"/>
      <c r="G1433" s="330"/>
      <c r="H1433" s="328"/>
      <c r="I1433" s="329"/>
      <c r="J1433" s="329"/>
      <c r="K1433" s="322"/>
      <c r="L1433" s="322"/>
      <c r="M1433" s="323" t="str">
        <f>IFERROR(VLOOKUP(H1433,Lijsten!$H$1:$I$100,2,0),"")</f>
        <v/>
      </c>
      <c r="N1433" s="323" t="str">
        <f ca="1">IFERROR(IF(VLOOKUP(F1433,Kostentypen!$A$3:$E$21,3,0)=0,"",IF(OR(F1433="Arbeidskosten",F1433="Vergoeding"),VLOOKUP(G1433,Tb_KostenTypen[],2,0),VLOOKUP(F1433,Kostentypen!$A$3:$E$20,3,0))),"")</f>
        <v/>
      </c>
      <c r="O1433" s="324"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4"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3"/>
      <c r="R1433" s="363"/>
      <c r="S1433" s="325"/>
      <c r="T1433" s="325"/>
      <c r="U1433" s="317" t="str" cm="1">
        <f t="array" aca="1" ref="U1433" ca="1">IFERROR(IF(AA1433&lt;&gt;"ja",_xlfn.IFNA(_xlfn.IFS(AND(O1433&lt;&gt;"",F1433&lt;&gt;"",RIGHT($N1433,6)="tarief",F1433="Vergoeding"),SUM(O1433)*FLOOR(SUM(Q1433),0.0001),AND(O1433&lt;&gt;"",F1433&lt;&gt;"",RIGHT($N1433,6)="tarief"),SUM(O1433)*FLOOR(SUM(Q1433),0.01),S1433&gt;0,IF(F1433&lt;&gt;"",FLOOR(SUM(S1433),0.01),"")),""),""),"")</f>
        <v/>
      </c>
      <c r="V1433" s="317" t="str" cm="1">
        <f t="array" aca="1" ref="V1433" ca="1">IFERROR(IF(AA1433&lt;&gt;"ja",_xlfn.IFNA(_xlfn.IFS(AND(P1433&lt;&gt;"",R1433&lt;&gt;"",RIGHT($N1433,6)="tarief",F1433="Vergoeding"),SUM(P1433)*FLOOR(SUM(R1433),0.0001),AND(P1433&lt;&gt;"",R1433&lt;&gt;"",RIGHT($N1433,6)="tarief"),P1433*FLOOR(R1433,0.01),T1433&gt;0,FLOOR(SUM(T1433),0.01)),""),""),"")</f>
        <v/>
      </c>
      <c r="W1433" s="317" t="str" cm="1">
        <f t="array" aca="1" ref="W1433" ca="1">IFERROR(_xlfn.IFS(OR(F1433="",LEFT(Methode_Keuze,4)="Geen",Methode_Keuze=""),"",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17" t="str" cm="1">
        <f t="array" aca="1" ref="X1433" ca="1">IFERROR(_xlfn.IFS(OR(F1433="",LEFT(Methode_Keuze,4)="Geen",Methode_Keuze=""),"",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26"/>
      <c r="Z1433" s="319"/>
      <c r="AA1433" s="32" t="str" cm="1">
        <f t="array" ref="AA1433">IFERROR(IF(INDEX(SubsidieTabel!$AD$1:$AG$12,MATCH($F1433,SubsidieTabel!$AD$1:$AD$12,0),IFERROR(MATCH(Methode_Keuze,SubsidieTabel!$AD$1:$AG$1,0),2))&lt;&gt;1=TRUE,"ja",""),"")</f>
        <v/>
      </c>
    </row>
    <row r="1434" spans="1:27" x14ac:dyDescent="0.25">
      <c r="A1434" s="320"/>
      <c r="B1434" s="321" t="str">
        <f>IF(A1434&lt;&gt;"",_xlfn.MAXIFS($B$1:B1433,$A$1:A1433,A1434)+1,"")</f>
        <v/>
      </c>
      <c r="C1434" s="299"/>
      <c r="D1434" s="299"/>
      <c r="E1434" s="299"/>
      <c r="F1434" s="299"/>
      <c r="G1434" s="330"/>
      <c r="H1434" s="328"/>
      <c r="I1434" s="329"/>
      <c r="J1434" s="329"/>
      <c r="K1434" s="322"/>
      <c r="L1434" s="322"/>
      <c r="M1434" s="323" t="str">
        <f>IFERROR(VLOOKUP(H1434,Lijsten!$H$1:$I$100,2,0),"")</f>
        <v/>
      </c>
      <c r="N1434" s="323" t="str">
        <f ca="1">IFERROR(IF(VLOOKUP(F1434,Kostentypen!$A$3:$E$21,3,0)=0,"",IF(OR(F1434="Arbeidskosten",F1434="Vergoeding"),VLOOKUP(G1434,Tb_KostenTypen[],2,0),VLOOKUP(F1434,Kostentypen!$A$3:$E$20,3,0))),"")</f>
        <v/>
      </c>
      <c r="O1434" s="324"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4"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3"/>
      <c r="R1434" s="363"/>
      <c r="S1434" s="325"/>
      <c r="T1434" s="325"/>
      <c r="U1434" s="317" t="str" cm="1">
        <f t="array" aca="1" ref="U1434" ca="1">IFERROR(IF(AA1434&lt;&gt;"ja",_xlfn.IFNA(_xlfn.IFS(AND(O1434&lt;&gt;"",F1434&lt;&gt;"",RIGHT($N1434,6)="tarief",F1434="Vergoeding"),SUM(O1434)*FLOOR(SUM(Q1434),0.0001),AND(O1434&lt;&gt;"",F1434&lt;&gt;"",RIGHT($N1434,6)="tarief"),SUM(O1434)*FLOOR(SUM(Q1434),0.01),S1434&gt;0,IF(F1434&lt;&gt;"",FLOOR(SUM(S1434),0.01),"")),""),""),"")</f>
        <v/>
      </c>
      <c r="V1434" s="317" t="str" cm="1">
        <f t="array" aca="1" ref="V1434" ca="1">IFERROR(IF(AA1434&lt;&gt;"ja",_xlfn.IFNA(_xlfn.IFS(AND(P1434&lt;&gt;"",R1434&lt;&gt;"",RIGHT($N1434,6)="tarief",F1434="Vergoeding"),SUM(P1434)*FLOOR(SUM(R1434),0.0001),AND(P1434&lt;&gt;"",R1434&lt;&gt;"",RIGHT($N1434,6)="tarief"),P1434*FLOOR(R1434,0.01),T1434&gt;0,FLOOR(SUM(T1434),0.01)),""),""),"")</f>
        <v/>
      </c>
      <c r="W1434" s="317" t="str" cm="1">
        <f t="array" aca="1" ref="W1434" ca="1">IFERROR(_xlfn.IFS(OR(F1434="",LEFT(Methode_Keuze,4)="Geen",Methode_Keuze=""),"",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17" t="str" cm="1">
        <f t="array" aca="1" ref="X1434" ca="1">IFERROR(_xlfn.IFS(OR(F1434="",LEFT(Methode_Keuze,4)="Geen",Methode_Keuze=""),"",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26"/>
      <c r="Z1434" s="319"/>
      <c r="AA1434" s="32" t="str" cm="1">
        <f t="array" ref="AA1434">IFERROR(IF(INDEX(SubsidieTabel!$AD$1:$AG$12,MATCH($F1434,SubsidieTabel!$AD$1:$AD$12,0),IFERROR(MATCH(Methode_Keuze,SubsidieTabel!$AD$1:$AG$1,0),2))&lt;&gt;1=TRUE,"ja",""),"")</f>
        <v/>
      </c>
    </row>
    <row r="1435" spans="1:27" x14ac:dyDescent="0.25">
      <c r="A1435" s="320"/>
      <c r="B1435" s="321" t="str">
        <f>IF(A1435&lt;&gt;"",_xlfn.MAXIFS($B$1:B1434,$A$1:A1434,A1435)+1,"")</f>
        <v/>
      </c>
      <c r="C1435" s="299"/>
      <c r="D1435" s="299"/>
      <c r="E1435" s="299"/>
      <c r="F1435" s="299"/>
      <c r="G1435" s="330"/>
      <c r="H1435" s="328"/>
      <c r="I1435" s="329"/>
      <c r="J1435" s="329"/>
      <c r="K1435" s="322"/>
      <c r="L1435" s="322"/>
      <c r="M1435" s="323" t="str">
        <f>IFERROR(VLOOKUP(H1435,Lijsten!$H$1:$I$100,2,0),"")</f>
        <v/>
      </c>
      <c r="N1435" s="323" t="str">
        <f ca="1">IFERROR(IF(VLOOKUP(F1435,Kostentypen!$A$3:$E$21,3,0)=0,"",IF(OR(F1435="Arbeidskosten",F1435="Vergoeding"),VLOOKUP(G1435,Tb_KostenTypen[],2,0),VLOOKUP(F1435,Kostentypen!$A$3:$E$20,3,0))),"")</f>
        <v/>
      </c>
      <c r="O1435" s="324"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4"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3"/>
      <c r="R1435" s="363"/>
      <c r="S1435" s="325"/>
      <c r="T1435" s="325"/>
      <c r="U1435" s="317" t="str" cm="1">
        <f t="array" aca="1" ref="U1435" ca="1">IFERROR(IF(AA1435&lt;&gt;"ja",_xlfn.IFNA(_xlfn.IFS(AND(O1435&lt;&gt;"",F1435&lt;&gt;"",RIGHT($N1435,6)="tarief",F1435="Vergoeding"),SUM(O1435)*FLOOR(SUM(Q1435),0.0001),AND(O1435&lt;&gt;"",F1435&lt;&gt;"",RIGHT($N1435,6)="tarief"),SUM(O1435)*FLOOR(SUM(Q1435),0.01),S1435&gt;0,IF(F1435&lt;&gt;"",FLOOR(SUM(S1435),0.01),"")),""),""),"")</f>
        <v/>
      </c>
      <c r="V1435" s="317" t="str" cm="1">
        <f t="array" aca="1" ref="V1435" ca="1">IFERROR(IF(AA1435&lt;&gt;"ja",_xlfn.IFNA(_xlfn.IFS(AND(P1435&lt;&gt;"",R1435&lt;&gt;"",RIGHT($N1435,6)="tarief",F1435="Vergoeding"),SUM(P1435)*FLOOR(SUM(R1435),0.0001),AND(P1435&lt;&gt;"",R1435&lt;&gt;"",RIGHT($N1435,6)="tarief"),P1435*FLOOR(R1435,0.01),T1435&gt;0,FLOOR(SUM(T1435),0.01)),""),""),"")</f>
        <v/>
      </c>
      <c r="W1435" s="317" t="str" cm="1">
        <f t="array" aca="1" ref="W1435" ca="1">IFERROR(_xlfn.IFS(OR(F1435="",LEFT(Methode_Keuze,4)="Geen",Methode_Keuze=""),"",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17" t="str" cm="1">
        <f t="array" aca="1" ref="X1435" ca="1">IFERROR(_xlfn.IFS(OR(F1435="",LEFT(Methode_Keuze,4)="Geen",Methode_Keuze=""),"",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26"/>
      <c r="Z1435" s="319"/>
      <c r="AA1435" s="32" t="str" cm="1">
        <f t="array" ref="AA1435">IFERROR(IF(INDEX(SubsidieTabel!$AD$1:$AG$12,MATCH($F1435,SubsidieTabel!$AD$1:$AD$12,0),IFERROR(MATCH(Methode_Keuze,SubsidieTabel!$AD$1:$AG$1,0),2))&lt;&gt;1=TRUE,"ja",""),"")</f>
        <v/>
      </c>
    </row>
    <row r="1436" spans="1:27" x14ac:dyDescent="0.25">
      <c r="A1436" s="320"/>
      <c r="B1436" s="321" t="str">
        <f>IF(A1436&lt;&gt;"",_xlfn.MAXIFS($B$1:B1435,$A$1:A1435,A1436)+1,"")</f>
        <v/>
      </c>
      <c r="C1436" s="299"/>
      <c r="D1436" s="299"/>
      <c r="E1436" s="299"/>
      <c r="F1436" s="299"/>
      <c r="G1436" s="330"/>
      <c r="H1436" s="328"/>
      <c r="I1436" s="329"/>
      <c r="J1436" s="329"/>
      <c r="K1436" s="322"/>
      <c r="L1436" s="322"/>
      <c r="M1436" s="323" t="str">
        <f>IFERROR(VLOOKUP(H1436,Lijsten!$H$1:$I$100,2,0),"")</f>
        <v/>
      </c>
      <c r="N1436" s="323" t="str">
        <f ca="1">IFERROR(IF(VLOOKUP(F1436,Kostentypen!$A$3:$E$21,3,0)=0,"",IF(OR(F1436="Arbeidskosten",F1436="Vergoeding"),VLOOKUP(G1436,Tb_KostenTypen[],2,0),VLOOKUP(F1436,Kostentypen!$A$3:$E$20,3,0))),"")</f>
        <v/>
      </c>
      <c r="O1436" s="324"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4"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3"/>
      <c r="R1436" s="363"/>
      <c r="S1436" s="325"/>
      <c r="T1436" s="325"/>
      <c r="U1436" s="317" t="str" cm="1">
        <f t="array" aca="1" ref="U1436" ca="1">IFERROR(IF(AA1436&lt;&gt;"ja",_xlfn.IFNA(_xlfn.IFS(AND(O1436&lt;&gt;"",F1436&lt;&gt;"",RIGHT($N1436,6)="tarief",F1436="Vergoeding"),SUM(O1436)*FLOOR(SUM(Q1436),0.0001),AND(O1436&lt;&gt;"",F1436&lt;&gt;"",RIGHT($N1436,6)="tarief"),SUM(O1436)*FLOOR(SUM(Q1436),0.01),S1436&gt;0,IF(F1436&lt;&gt;"",FLOOR(SUM(S1436),0.01),"")),""),""),"")</f>
        <v/>
      </c>
      <c r="V1436" s="317" t="str" cm="1">
        <f t="array" aca="1" ref="V1436" ca="1">IFERROR(IF(AA1436&lt;&gt;"ja",_xlfn.IFNA(_xlfn.IFS(AND(P1436&lt;&gt;"",R1436&lt;&gt;"",RIGHT($N1436,6)="tarief",F1436="Vergoeding"),SUM(P1436)*FLOOR(SUM(R1436),0.0001),AND(P1436&lt;&gt;"",R1436&lt;&gt;"",RIGHT($N1436,6)="tarief"),P1436*FLOOR(R1436,0.01),T1436&gt;0,FLOOR(SUM(T1436),0.01)),""),""),"")</f>
        <v/>
      </c>
      <c r="W1436" s="317" t="str" cm="1">
        <f t="array" aca="1" ref="W1436" ca="1">IFERROR(_xlfn.IFS(OR(F1436="",LEFT(Methode_Keuze,4)="Geen",Methode_Keuze=""),"",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17" t="str" cm="1">
        <f t="array" aca="1" ref="X1436" ca="1">IFERROR(_xlfn.IFS(OR(F1436="",LEFT(Methode_Keuze,4)="Geen",Methode_Keuze=""),"",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26"/>
      <c r="Z1436" s="319"/>
      <c r="AA1436" s="32" t="str" cm="1">
        <f t="array" ref="AA1436">IFERROR(IF(INDEX(SubsidieTabel!$AD$1:$AG$12,MATCH($F1436,SubsidieTabel!$AD$1:$AD$12,0),IFERROR(MATCH(Methode_Keuze,SubsidieTabel!$AD$1:$AG$1,0),2))&lt;&gt;1=TRUE,"ja",""),"")</f>
        <v/>
      </c>
    </row>
    <row r="1437" spans="1:27" x14ac:dyDescent="0.25">
      <c r="A1437" s="320"/>
      <c r="B1437" s="321" t="str">
        <f>IF(A1437&lt;&gt;"",_xlfn.MAXIFS($B$1:B1436,$A$1:A1436,A1437)+1,"")</f>
        <v/>
      </c>
      <c r="C1437" s="299"/>
      <c r="D1437" s="299"/>
      <c r="E1437" s="299"/>
      <c r="F1437" s="299"/>
      <c r="G1437" s="330"/>
      <c r="H1437" s="328"/>
      <c r="I1437" s="329"/>
      <c r="J1437" s="329"/>
      <c r="K1437" s="322"/>
      <c r="L1437" s="322"/>
      <c r="M1437" s="323" t="str">
        <f>IFERROR(VLOOKUP(H1437,Lijsten!$H$1:$I$100,2,0),"")</f>
        <v/>
      </c>
      <c r="N1437" s="323" t="str">
        <f ca="1">IFERROR(IF(VLOOKUP(F1437,Kostentypen!$A$3:$E$21,3,0)=0,"",IF(OR(F1437="Arbeidskosten",F1437="Vergoeding"),VLOOKUP(G1437,Tb_KostenTypen[],2,0),VLOOKUP(F1437,Kostentypen!$A$3:$E$20,3,0))),"")</f>
        <v/>
      </c>
      <c r="O1437" s="324"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4"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3"/>
      <c r="R1437" s="363"/>
      <c r="S1437" s="325"/>
      <c r="T1437" s="325"/>
      <c r="U1437" s="317" t="str" cm="1">
        <f t="array" aca="1" ref="U1437" ca="1">IFERROR(IF(AA1437&lt;&gt;"ja",_xlfn.IFNA(_xlfn.IFS(AND(O1437&lt;&gt;"",F1437&lt;&gt;"",RIGHT($N1437,6)="tarief",F1437="Vergoeding"),SUM(O1437)*FLOOR(SUM(Q1437),0.0001),AND(O1437&lt;&gt;"",F1437&lt;&gt;"",RIGHT($N1437,6)="tarief"),SUM(O1437)*FLOOR(SUM(Q1437),0.01),S1437&gt;0,IF(F1437&lt;&gt;"",FLOOR(SUM(S1437),0.01),"")),""),""),"")</f>
        <v/>
      </c>
      <c r="V1437" s="317" t="str" cm="1">
        <f t="array" aca="1" ref="V1437" ca="1">IFERROR(IF(AA1437&lt;&gt;"ja",_xlfn.IFNA(_xlfn.IFS(AND(P1437&lt;&gt;"",R1437&lt;&gt;"",RIGHT($N1437,6)="tarief",F1437="Vergoeding"),SUM(P1437)*FLOOR(SUM(R1437),0.0001),AND(P1437&lt;&gt;"",R1437&lt;&gt;"",RIGHT($N1437,6)="tarief"),P1437*FLOOR(R1437,0.01),T1437&gt;0,FLOOR(SUM(T1437),0.01)),""),""),"")</f>
        <v/>
      </c>
      <c r="W1437" s="317" t="str" cm="1">
        <f t="array" aca="1" ref="W1437" ca="1">IFERROR(_xlfn.IFS(OR(F1437="",LEFT(Methode_Keuze,4)="Geen",Methode_Keuze=""),"",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17" t="str" cm="1">
        <f t="array" aca="1" ref="X1437" ca="1">IFERROR(_xlfn.IFS(OR(F1437="",LEFT(Methode_Keuze,4)="Geen",Methode_Keuze=""),"",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26"/>
      <c r="Z1437" s="319"/>
      <c r="AA1437" s="32" t="str" cm="1">
        <f t="array" ref="AA1437">IFERROR(IF(INDEX(SubsidieTabel!$AD$1:$AG$12,MATCH($F1437,SubsidieTabel!$AD$1:$AD$12,0),IFERROR(MATCH(Methode_Keuze,SubsidieTabel!$AD$1:$AG$1,0),2))&lt;&gt;1=TRUE,"ja",""),"")</f>
        <v/>
      </c>
    </row>
    <row r="1438" spans="1:27" x14ac:dyDescent="0.25">
      <c r="A1438" s="320"/>
      <c r="B1438" s="321" t="str">
        <f>IF(A1438&lt;&gt;"",_xlfn.MAXIFS($B$1:B1437,$A$1:A1437,A1438)+1,"")</f>
        <v/>
      </c>
      <c r="C1438" s="299"/>
      <c r="D1438" s="299"/>
      <c r="E1438" s="299"/>
      <c r="F1438" s="299"/>
      <c r="G1438" s="330"/>
      <c r="H1438" s="328"/>
      <c r="I1438" s="329"/>
      <c r="J1438" s="329"/>
      <c r="K1438" s="322"/>
      <c r="L1438" s="322"/>
      <c r="M1438" s="323" t="str">
        <f>IFERROR(VLOOKUP(H1438,Lijsten!$H$1:$I$100,2,0),"")</f>
        <v/>
      </c>
      <c r="N1438" s="323" t="str">
        <f ca="1">IFERROR(IF(VLOOKUP(F1438,Kostentypen!$A$3:$E$21,3,0)=0,"",IF(OR(F1438="Arbeidskosten",F1438="Vergoeding"),VLOOKUP(G1438,Tb_KostenTypen[],2,0),VLOOKUP(F1438,Kostentypen!$A$3:$E$20,3,0))),"")</f>
        <v/>
      </c>
      <c r="O1438" s="324"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4"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3"/>
      <c r="R1438" s="363"/>
      <c r="S1438" s="325"/>
      <c r="T1438" s="325"/>
      <c r="U1438" s="317" t="str" cm="1">
        <f t="array" aca="1" ref="U1438" ca="1">IFERROR(IF(AA1438&lt;&gt;"ja",_xlfn.IFNA(_xlfn.IFS(AND(O1438&lt;&gt;"",F1438&lt;&gt;"",RIGHT($N1438,6)="tarief",F1438="Vergoeding"),SUM(O1438)*FLOOR(SUM(Q1438),0.0001),AND(O1438&lt;&gt;"",F1438&lt;&gt;"",RIGHT($N1438,6)="tarief"),SUM(O1438)*FLOOR(SUM(Q1438),0.01),S1438&gt;0,IF(F1438&lt;&gt;"",FLOOR(SUM(S1438),0.01),"")),""),""),"")</f>
        <v/>
      </c>
      <c r="V1438" s="317" t="str" cm="1">
        <f t="array" aca="1" ref="V1438" ca="1">IFERROR(IF(AA1438&lt;&gt;"ja",_xlfn.IFNA(_xlfn.IFS(AND(P1438&lt;&gt;"",R1438&lt;&gt;"",RIGHT($N1438,6)="tarief",F1438="Vergoeding"),SUM(P1438)*FLOOR(SUM(R1438),0.0001),AND(P1438&lt;&gt;"",R1438&lt;&gt;"",RIGHT($N1438,6)="tarief"),P1438*FLOOR(R1438,0.01),T1438&gt;0,FLOOR(SUM(T1438),0.01)),""),""),"")</f>
        <v/>
      </c>
      <c r="W1438" s="317" t="str" cm="1">
        <f t="array" aca="1" ref="W1438" ca="1">IFERROR(_xlfn.IFS(OR(F1438="",LEFT(Methode_Keuze,4)="Geen",Methode_Keuze=""),"",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17" t="str" cm="1">
        <f t="array" aca="1" ref="X1438" ca="1">IFERROR(_xlfn.IFS(OR(F1438="",LEFT(Methode_Keuze,4)="Geen",Methode_Keuze=""),"",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26"/>
      <c r="Z1438" s="319"/>
      <c r="AA1438" s="32" t="str" cm="1">
        <f t="array" ref="AA1438">IFERROR(IF(INDEX(SubsidieTabel!$AD$1:$AG$12,MATCH($F1438,SubsidieTabel!$AD$1:$AD$12,0),IFERROR(MATCH(Methode_Keuze,SubsidieTabel!$AD$1:$AG$1,0),2))&lt;&gt;1=TRUE,"ja",""),"")</f>
        <v/>
      </c>
    </row>
    <row r="1439" spans="1:27" x14ac:dyDescent="0.25">
      <c r="A1439" s="320"/>
      <c r="B1439" s="321" t="str">
        <f>IF(A1439&lt;&gt;"",_xlfn.MAXIFS($B$1:B1438,$A$1:A1438,A1439)+1,"")</f>
        <v/>
      </c>
      <c r="C1439" s="299"/>
      <c r="D1439" s="299"/>
      <c r="E1439" s="299"/>
      <c r="F1439" s="299"/>
      <c r="G1439" s="330"/>
      <c r="H1439" s="328"/>
      <c r="I1439" s="329"/>
      <c r="J1439" s="329"/>
      <c r="K1439" s="322"/>
      <c r="L1439" s="322"/>
      <c r="M1439" s="323" t="str">
        <f>IFERROR(VLOOKUP(H1439,Lijsten!$H$1:$I$100,2,0),"")</f>
        <v/>
      </c>
      <c r="N1439" s="323" t="str">
        <f ca="1">IFERROR(IF(VLOOKUP(F1439,Kostentypen!$A$3:$E$21,3,0)=0,"",IF(OR(F1439="Arbeidskosten",F1439="Vergoeding"),VLOOKUP(G1439,Tb_KostenTypen[],2,0),VLOOKUP(F1439,Kostentypen!$A$3:$E$20,3,0))),"")</f>
        <v/>
      </c>
      <c r="O1439" s="324"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4"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3"/>
      <c r="R1439" s="363"/>
      <c r="S1439" s="325"/>
      <c r="T1439" s="325"/>
      <c r="U1439" s="317" t="str" cm="1">
        <f t="array" aca="1" ref="U1439" ca="1">IFERROR(IF(AA1439&lt;&gt;"ja",_xlfn.IFNA(_xlfn.IFS(AND(O1439&lt;&gt;"",F1439&lt;&gt;"",RIGHT($N1439,6)="tarief",F1439="Vergoeding"),SUM(O1439)*FLOOR(SUM(Q1439),0.0001),AND(O1439&lt;&gt;"",F1439&lt;&gt;"",RIGHT($N1439,6)="tarief"),SUM(O1439)*FLOOR(SUM(Q1439),0.01),S1439&gt;0,IF(F1439&lt;&gt;"",FLOOR(SUM(S1439),0.01),"")),""),""),"")</f>
        <v/>
      </c>
      <c r="V1439" s="317" t="str" cm="1">
        <f t="array" aca="1" ref="V1439" ca="1">IFERROR(IF(AA1439&lt;&gt;"ja",_xlfn.IFNA(_xlfn.IFS(AND(P1439&lt;&gt;"",R1439&lt;&gt;"",RIGHT($N1439,6)="tarief",F1439="Vergoeding"),SUM(P1439)*FLOOR(SUM(R1439),0.0001),AND(P1439&lt;&gt;"",R1439&lt;&gt;"",RIGHT($N1439,6)="tarief"),P1439*FLOOR(R1439,0.01),T1439&gt;0,FLOOR(SUM(T1439),0.01)),""),""),"")</f>
        <v/>
      </c>
      <c r="W1439" s="317" t="str" cm="1">
        <f t="array" aca="1" ref="W1439" ca="1">IFERROR(_xlfn.IFS(OR(F1439="",LEFT(Methode_Keuze,4)="Geen",Methode_Keuze=""),"",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17" t="str" cm="1">
        <f t="array" aca="1" ref="X1439" ca="1">IFERROR(_xlfn.IFS(OR(F1439="",LEFT(Methode_Keuze,4)="Geen",Methode_Keuze=""),"",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26"/>
      <c r="Z1439" s="319"/>
      <c r="AA1439" s="32" t="str" cm="1">
        <f t="array" ref="AA1439">IFERROR(IF(INDEX(SubsidieTabel!$AD$1:$AG$12,MATCH($F1439,SubsidieTabel!$AD$1:$AD$12,0),IFERROR(MATCH(Methode_Keuze,SubsidieTabel!$AD$1:$AG$1,0),2))&lt;&gt;1=TRUE,"ja",""),"")</f>
        <v/>
      </c>
    </row>
    <row r="1440" spans="1:27" x14ac:dyDescent="0.25">
      <c r="A1440" s="320"/>
      <c r="B1440" s="321" t="str">
        <f>IF(A1440&lt;&gt;"",_xlfn.MAXIFS($B$1:B1439,$A$1:A1439,A1440)+1,"")</f>
        <v/>
      </c>
      <c r="C1440" s="299"/>
      <c r="D1440" s="299"/>
      <c r="E1440" s="299"/>
      <c r="F1440" s="299"/>
      <c r="G1440" s="330"/>
      <c r="H1440" s="328"/>
      <c r="I1440" s="329"/>
      <c r="J1440" s="329"/>
      <c r="K1440" s="322"/>
      <c r="L1440" s="322"/>
      <c r="M1440" s="323" t="str">
        <f>IFERROR(VLOOKUP(H1440,Lijsten!$H$1:$I$100,2,0),"")</f>
        <v/>
      </c>
      <c r="N1440" s="323" t="str">
        <f ca="1">IFERROR(IF(VLOOKUP(F1440,Kostentypen!$A$3:$E$21,3,0)=0,"",IF(OR(F1440="Arbeidskosten",F1440="Vergoeding"),VLOOKUP(G1440,Tb_KostenTypen[],2,0),VLOOKUP(F1440,Kostentypen!$A$3:$E$20,3,0))),"")</f>
        <v/>
      </c>
      <c r="O1440" s="324"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4"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3"/>
      <c r="R1440" s="363"/>
      <c r="S1440" s="325"/>
      <c r="T1440" s="325"/>
      <c r="U1440" s="317" t="str" cm="1">
        <f t="array" aca="1" ref="U1440" ca="1">IFERROR(IF(AA1440&lt;&gt;"ja",_xlfn.IFNA(_xlfn.IFS(AND(O1440&lt;&gt;"",F1440&lt;&gt;"",RIGHT($N1440,6)="tarief",F1440="Vergoeding"),SUM(O1440)*FLOOR(SUM(Q1440),0.0001),AND(O1440&lt;&gt;"",F1440&lt;&gt;"",RIGHT($N1440,6)="tarief"),SUM(O1440)*FLOOR(SUM(Q1440),0.01),S1440&gt;0,IF(F1440&lt;&gt;"",FLOOR(SUM(S1440),0.01),"")),""),""),"")</f>
        <v/>
      </c>
      <c r="V1440" s="317" t="str" cm="1">
        <f t="array" aca="1" ref="V1440" ca="1">IFERROR(IF(AA1440&lt;&gt;"ja",_xlfn.IFNA(_xlfn.IFS(AND(P1440&lt;&gt;"",R1440&lt;&gt;"",RIGHT($N1440,6)="tarief",F1440="Vergoeding"),SUM(P1440)*FLOOR(SUM(R1440),0.0001),AND(P1440&lt;&gt;"",R1440&lt;&gt;"",RIGHT($N1440,6)="tarief"),P1440*FLOOR(R1440,0.01),T1440&gt;0,FLOOR(SUM(T1440),0.01)),""),""),"")</f>
        <v/>
      </c>
      <c r="W1440" s="317" t="str" cm="1">
        <f t="array" aca="1" ref="W1440" ca="1">IFERROR(_xlfn.IFS(OR(F1440="",LEFT(Methode_Keuze,4)="Geen",Methode_Keuze=""),"",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17" t="str" cm="1">
        <f t="array" aca="1" ref="X1440" ca="1">IFERROR(_xlfn.IFS(OR(F1440="",LEFT(Methode_Keuze,4)="Geen",Methode_Keuze=""),"",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26"/>
      <c r="Z1440" s="319"/>
      <c r="AA1440" s="32" t="str" cm="1">
        <f t="array" ref="AA1440">IFERROR(IF(INDEX(SubsidieTabel!$AD$1:$AG$12,MATCH($F1440,SubsidieTabel!$AD$1:$AD$12,0),IFERROR(MATCH(Methode_Keuze,SubsidieTabel!$AD$1:$AG$1,0),2))&lt;&gt;1=TRUE,"ja",""),"")</f>
        <v/>
      </c>
    </row>
    <row r="1441" spans="1:27" x14ac:dyDescent="0.25">
      <c r="A1441" s="320"/>
      <c r="B1441" s="321" t="str">
        <f>IF(A1441&lt;&gt;"",_xlfn.MAXIFS($B$1:B1440,$A$1:A1440,A1441)+1,"")</f>
        <v/>
      </c>
      <c r="C1441" s="299"/>
      <c r="D1441" s="299"/>
      <c r="E1441" s="299"/>
      <c r="F1441" s="299"/>
      <c r="G1441" s="330"/>
      <c r="H1441" s="328"/>
      <c r="I1441" s="329"/>
      <c r="J1441" s="329"/>
      <c r="K1441" s="322"/>
      <c r="L1441" s="322"/>
      <c r="M1441" s="323" t="str">
        <f>IFERROR(VLOOKUP(H1441,Lijsten!$H$1:$I$100,2,0),"")</f>
        <v/>
      </c>
      <c r="N1441" s="323" t="str">
        <f ca="1">IFERROR(IF(VLOOKUP(F1441,Kostentypen!$A$3:$E$21,3,0)=0,"",IF(OR(F1441="Arbeidskosten",F1441="Vergoeding"),VLOOKUP(G1441,Tb_KostenTypen[],2,0),VLOOKUP(F1441,Kostentypen!$A$3:$E$20,3,0))),"")</f>
        <v/>
      </c>
      <c r="O1441" s="324"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4"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3"/>
      <c r="R1441" s="363"/>
      <c r="S1441" s="325"/>
      <c r="T1441" s="325"/>
      <c r="U1441" s="317" t="str" cm="1">
        <f t="array" aca="1" ref="U1441" ca="1">IFERROR(IF(AA1441&lt;&gt;"ja",_xlfn.IFNA(_xlfn.IFS(AND(O1441&lt;&gt;"",F1441&lt;&gt;"",RIGHT($N1441,6)="tarief",F1441="Vergoeding"),SUM(O1441)*FLOOR(SUM(Q1441),0.0001),AND(O1441&lt;&gt;"",F1441&lt;&gt;"",RIGHT($N1441,6)="tarief"),SUM(O1441)*FLOOR(SUM(Q1441),0.01),S1441&gt;0,IF(F1441&lt;&gt;"",FLOOR(SUM(S1441),0.01),"")),""),""),"")</f>
        <v/>
      </c>
      <c r="V1441" s="317" t="str" cm="1">
        <f t="array" aca="1" ref="V1441" ca="1">IFERROR(IF(AA1441&lt;&gt;"ja",_xlfn.IFNA(_xlfn.IFS(AND(P1441&lt;&gt;"",R1441&lt;&gt;"",RIGHT($N1441,6)="tarief",F1441="Vergoeding"),SUM(P1441)*FLOOR(SUM(R1441),0.0001),AND(P1441&lt;&gt;"",R1441&lt;&gt;"",RIGHT($N1441,6)="tarief"),P1441*FLOOR(R1441,0.01),T1441&gt;0,FLOOR(SUM(T1441),0.01)),""),""),"")</f>
        <v/>
      </c>
      <c r="W1441" s="317" t="str" cm="1">
        <f t="array" aca="1" ref="W1441" ca="1">IFERROR(_xlfn.IFS(OR(F1441="",LEFT(Methode_Keuze,4)="Geen",Methode_Keuze=""),"",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17" t="str" cm="1">
        <f t="array" aca="1" ref="X1441" ca="1">IFERROR(_xlfn.IFS(OR(F1441="",LEFT(Methode_Keuze,4)="Geen",Methode_Keuze=""),"",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26"/>
      <c r="Z1441" s="319"/>
      <c r="AA1441" s="32" t="str" cm="1">
        <f t="array" ref="AA1441">IFERROR(IF(INDEX(SubsidieTabel!$AD$1:$AG$12,MATCH($F1441,SubsidieTabel!$AD$1:$AD$12,0),IFERROR(MATCH(Methode_Keuze,SubsidieTabel!$AD$1:$AG$1,0),2))&lt;&gt;1=TRUE,"ja",""),"")</f>
        <v/>
      </c>
    </row>
    <row r="1442" spans="1:27" x14ac:dyDescent="0.25">
      <c r="A1442" s="320"/>
      <c r="B1442" s="321" t="str">
        <f>IF(A1442&lt;&gt;"",_xlfn.MAXIFS($B$1:B1441,$A$1:A1441,A1442)+1,"")</f>
        <v/>
      </c>
      <c r="C1442" s="299"/>
      <c r="D1442" s="299"/>
      <c r="E1442" s="299"/>
      <c r="F1442" s="299"/>
      <c r="G1442" s="330"/>
      <c r="H1442" s="328"/>
      <c r="I1442" s="329"/>
      <c r="J1442" s="329"/>
      <c r="K1442" s="322"/>
      <c r="L1442" s="322"/>
      <c r="M1442" s="323" t="str">
        <f>IFERROR(VLOOKUP(H1442,Lijsten!$H$1:$I$100,2,0),"")</f>
        <v/>
      </c>
      <c r="N1442" s="323" t="str">
        <f ca="1">IFERROR(IF(VLOOKUP(F1442,Kostentypen!$A$3:$E$21,3,0)=0,"",IF(OR(F1442="Arbeidskosten",F1442="Vergoeding"),VLOOKUP(G1442,Tb_KostenTypen[],2,0),VLOOKUP(F1442,Kostentypen!$A$3:$E$20,3,0))),"")</f>
        <v/>
      </c>
      <c r="O1442" s="324"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4"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3"/>
      <c r="R1442" s="363"/>
      <c r="S1442" s="325"/>
      <c r="T1442" s="325"/>
      <c r="U1442" s="317" t="str" cm="1">
        <f t="array" aca="1" ref="U1442" ca="1">IFERROR(IF(AA1442&lt;&gt;"ja",_xlfn.IFNA(_xlfn.IFS(AND(O1442&lt;&gt;"",F1442&lt;&gt;"",RIGHT($N1442,6)="tarief",F1442="Vergoeding"),SUM(O1442)*FLOOR(SUM(Q1442),0.0001),AND(O1442&lt;&gt;"",F1442&lt;&gt;"",RIGHT($N1442,6)="tarief"),SUM(O1442)*FLOOR(SUM(Q1442),0.01),S1442&gt;0,IF(F1442&lt;&gt;"",FLOOR(SUM(S1442),0.01),"")),""),""),"")</f>
        <v/>
      </c>
      <c r="V1442" s="317" t="str" cm="1">
        <f t="array" aca="1" ref="V1442" ca="1">IFERROR(IF(AA1442&lt;&gt;"ja",_xlfn.IFNA(_xlfn.IFS(AND(P1442&lt;&gt;"",R1442&lt;&gt;"",RIGHT($N1442,6)="tarief",F1442="Vergoeding"),SUM(P1442)*FLOOR(SUM(R1442),0.0001),AND(P1442&lt;&gt;"",R1442&lt;&gt;"",RIGHT($N1442,6)="tarief"),P1442*FLOOR(R1442,0.01),T1442&gt;0,FLOOR(SUM(T1442),0.01)),""),""),"")</f>
        <v/>
      </c>
      <c r="W1442" s="317" t="str" cm="1">
        <f t="array" aca="1" ref="W1442" ca="1">IFERROR(_xlfn.IFS(OR(F1442="",LEFT(Methode_Keuze,4)="Geen",Methode_Keuze=""),"",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17" t="str" cm="1">
        <f t="array" aca="1" ref="X1442" ca="1">IFERROR(_xlfn.IFS(OR(F1442="",LEFT(Methode_Keuze,4)="Geen",Methode_Keuze=""),"",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26"/>
      <c r="Z1442" s="319"/>
      <c r="AA1442" s="32" t="str" cm="1">
        <f t="array" ref="AA1442">IFERROR(IF(INDEX(SubsidieTabel!$AD$1:$AG$12,MATCH($F1442,SubsidieTabel!$AD$1:$AD$12,0),IFERROR(MATCH(Methode_Keuze,SubsidieTabel!$AD$1:$AG$1,0),2))&lt;&gt;1=TRUE,"ja",""),"")</f>
        <v/>
      </c>
    </row>
    <row r="1443" spans="1:27" x14ac:dyDescent="0.25">
      <c r="A1443" s="320"/>
      <c r="B1443" s="321" t="str">
        <f>IF(A1443&lt;&gt;"",_xlfn.MAXIFS($B$1:B1442,$A$1:A1442,A1443)+1,"")</f>
        <v/>
      </c>
      <c r="C1443" s="299"/>
      <c r="D1443" s="299"/>
      <c r="E1443" s="299"/>
      <c r="F1443" s="299"/>
      <c r="G1443" s="330"/>
      <c r="H1443" s="328"/>
      <c r="I1443" s="329"/>
      <c r="J1443" s="329"/>
      <c r="K1443" s="322"/>
      <c r="L1443" s="322"/>
      <c r="M1443" s="323" t="str">
        <f>IFERROR(VLOOKUP(H1443,Lijsten!$H$1:$I$100,2,0),"")</f>
        <v/>
      </c>
      <c r="N1443" s="323" t="str">
        <f ca="1">IFERROR(IF(VLOOKUP(F1443,Kostentypen!$A$3:$E$21,3,0)=0,"",IF(OR(F1443="Arbeidskosten",F1443="Vergoeding"),VLOOKUP(G1443,Tb_KostenTypen[],2,0),VLOOKUP(F1443,Kostentypen!$A$3:$E$20,3,0))),"")</f>
        <v/>
      </c>
      <c r="O1443" s="324"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4"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3"/>
      <c r="R1443" s="363"/>
      <c r="S1443" s="325"/>
      <c r="T1443" s="325"/>
      <c r="U1443" s="317" t="str" cm="1">
        <f t="array" aca="1" ref="U1443" ca="1">IFERROR(IF(AA1443&lt;&gt;"ja",_xlfn.IFNA(_xlfn.IFS(AND(O1443&lt;&gt;"",F1443&lt;&gt;"",RIGHT($N1443,6)="tarief",F1443="Vergoeding"),SUM(O1443)*FLOOR(SUM(Q1443),0.0001),AND(O1443&lt;&gt;"",F1443&lt;&gt;"",RIGHT($N1443,6)="tarief"),SUM(O1443)*FLOOR(SUM(Q1443),0.01),S1443&gt;0,IF(F1443&lt;&gt;"",FLOOR(SUM(S1443),0.01),"")),""),""),"")</f>
        <v/>
      </c>
      <c r="V1443" s="317" t="str" cm="1">
        <f t="array" aca="1" ref="V1443" ca="1">IFERROR(IF(AA1443&lt;&gt;"ja",_xlfn.IFNA(_xlfn.IFS(AND(P1443&lt;&gt;"",R1443&lt;&gt;"",RIGHT($N1443,6)="tarief",F1443="Vergoeding"),SUM(P1443)*FLOOR(SUM(R1443),0.0001),AND(P1443&lt;&gt;"",R1443&lt;&gt;"",RIGHT($N1443,6)="tarief"),P1443*FLOOR(R1443,0.01),T1443&gt;0,FLOOR(SUM(T1443),0.01)),""),""),"")</f>
        <v/>
      </c>
      <c r="W1443" s="317" t="str" cm="1">
        <f t="array" aca="1" ref="W1443" ca="1">IFERROR(_xlfn.IFS(OR(F1443="",LEFT(Methode_Keuze,4)="Geen",Methode_Keuze=""),"",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17" t="str" cm="1">
        <f t="array" aca="1" ref="X1443" ca="1">IFERROR(_xlfn.IFS(OR(F1443="",LEFT(Methode_Keuze,4)="Geen",Methode_Keuze=""),"",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26"/>
      <c r="Z1443" s="319"/>
      <c r="AA1443" s="32" t="str" cm="1">
        <f t="array" ref="AA1443">IFERROR(IF(INDEX(SubsidieTabel!$AD$1:$AG$12,MATCH($F1443,SubsidieTabel!$AD$1:$AD$12,0),IFERROR(MATCH(Methode_Keuze,SubsidieTabel!$AD$1:$AG$1,0),2))&lt;&gt;1=TRUE,"ja",""),"")</f>
        <v/>
      </c>
    </row>
    <row r="1444" spans="1:27" x14ac:dyDescent="0.25">
      <c r="A1444" s="320"/>
      <c r="B1444" s="321" t="str">
        <f>IF(A1444&lt;&gt;"",_xlfn.MAXIFS($B$1:B1443,$A$1:A1443,A1444)+1,"")</f>
        <v/>
      </c>
      <c r="C1444" s="299"/>
      <c r="D1444" s="299"/>
      <c r="E1444" s="299"/>
      <c r="F1444" s="299"/>
      <c r="G1444" s="330"/>
      <c r="H1444" s="328"/>
      <c r="I1444" s="329"/>
      <c r="J1444" s="329"/>
      <c r="K1444" s="322"/>
      <c r="L1444" s="322"/>
      <c r="M1444" s="323" t="str">
        <f>IFERROR(VLOOKUP(H1444,Lijsten!$H$1:$I$100,2,0),"")</f>
        <v/>
      </c>
      <c r="N1444" s="323" t="str">
        <f ca="1">IFERROR(IF(VLOOKUP(F1444,Kostentypen!$A$3:$E$21,3,0)=0,"",IF(OR(F1444="Arbeidskosten",F1444="Vergoeding"),VLOOKUP(G1444,Tb_KostenTypen[],2,0),VLOOKUP(F1444,Kostentypen!$A$3:$E$20,3,0))),"")</f>
        <v/>
      </c>
      <c r="O1444" s="324"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4"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3"/>
      <c r="R1444" s="363"/>
      <c r="S1444" s="325"/>
      <c r="T1444" s="325"/>
      <c r="U1444" s="317" t="str" cm="1">
        <f t="array" aca="1" ref="U1444" ca="1">IFERROR(IF(AA1444&lt;&gt;"ja",_xlfn.IFNA(_xlfn.IFS(AND(O1444&lt;&gt;"",F1444&lt;&gt;"",RIGHT($N1444,6)="tarief",F1444="Vergoeding"),SUM(O1444)*FLOOR(SUM(Q1444),0.0001),AND(O1444&lt;&gt;"",F1444&lt;&gt;"",RIGHT($N1444,6)="tarief"),SUM(O1444)*FLOOR(SUM(Q1444),0.01),S1444&gt;0,IF(F1444&lt;&gt;"",FLOOR(SUM(S1444),0.01),"")),""),""),"")</f>
        <v/>
      </c>
      <c r="V1444" s="317" t="str" cm="1">
        <f t="array" aca="1" ref="V1444" ca="1">IFERROR(IF(AA1444&lt;&gt;"ja",_xlfn.IFNA(_xlfn.IFS(AND(P1444&lt;&gt;"",R1444&lt;&gt;"",RIGHT($N1444,6)="tarief",F1444="Vergoeding"),SUM(P1444)*FLOOR(SUM(R1444),0.0001),AND(P1444&lt;&gt;"",R1444&lt;&gt;"",RIGHT($N1444,6)="tarief"),P1444*FLOOR(R1444,0.01),T1444&gt;0,FLOOR(SUM(T1444),0.01)),""),""),"")</f>
        <v/>
      </c>
      <c r="W1444" s="317" t="str" cm="1">
        <f t="array" aca="1" ref="W1444" ca="1">IFERROR(_xlfn.IFS(OR(F1444="",LEFT(Methode_Keuze,4)="Geen",Methode_Keuze=""),"",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17" t="str" cm="1">
        <f t="array" aca="1" ref="X1444" ca="1">IFERROR(_xlfn.IFS(OR(F1444="",LEFT(Methode_Keuze,4)="Geen",Methode_Keuze=""),"",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26"/>
      <c r="Z1444" s="319"/>
      <c r="AA1444" s="32" t="str" cm="1">
        <f t="array" ref="AA1444">IFERROR(IF(INDEX(SubsidieTabel!$AD$1:$AG$12,MATCH($F1444,SubsidieTabel!$AD$1:$AD$12,0),IFERROR(MATCH(Methode_Keuze,SubsidieTabel!$AD$1:$AG$1,0),2))&lt;&gt;1=TRUE,"ja",""),"")</f>
        <v/>
      </c>
    </row>
    <row r="1445" spans="1:27" x14ac:dyDescent="0.25">
      <c r="A1445" s="320"/>
      <c r="B1445" s="321" t="str">
        <f>IF(A1445&lt;&gt;"",_xlfn.MAXIFS($B$1:B1444,$A$1:A1444,A1445)+1,"")</f>
        <v/>
      </c>
      <c r="C1445" s="299"/>
      <c r="D1445" s="299"/>
      <c r="E1445" s="299"/>
      <c r="F1445" s="299"/>
      <c r="G1445" s="330"/>
      <c r="H1445" s="328"/>
      <c r="I1445" s="329"/>
      <c r="J1445" s="329"/>
      <c r="K1445" s="322"/>
      <c r="L1445" s="322"/>
      <c r="M1445" s="323" t="str">
        <f>IFERROR(VLOOKUP(H1445,Lijsten!$H$1:$I$100,2,0),"")</f>
        <v/>
      </c>
      <c r="N1445" s="323" t="str">
        <f ca="1">IFERROR(IF(VLOOKUP(F1445,Kostentypen!$A$3:$E$21,3,0)=0,"",IF(OR(F1445="Arbeidskosten",F1445="Vergoeding"),VLOOKUP(G1445,Tb_KostenTypen[],2,0),VLOOKUP(F1445,Kostentypen!$A$3:$E$20,3,0))),"")</f>
        <v/>
      </c>
      <c r="O1445" s="324"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4"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3"/>
      <c r="R1445" s="363"/>
      <c r="S1445" s="325"/>
      <c r="T1445" s="325"/>
      <c r="U1445" s="317" t="str" cm="1">
        <f t="array" aca="1" ref="U1445" ca="1">IFERROR(IF(AA1445&lt;&gt;"ja",_xlfn.IFNA(_xlfn.IFS(AND(O1445&lt;&gt;"",F1445&lt;&gt;"",RIGHT($N1445,6)="tarief",F1445="Vergoeding"),SUM(O1445)*FLOOR(SUM(Q1445),0.0001),AND(O1445&lt;&gt;"",F1445&lt;&gt;"",RIGHT($N1445,6)="tarief"),SUM(O1445)*FLOOR(SUM(Q1445),0.01),S1445&gt;0,IF(F1445&lt;&gt;"",FLOOR(SUM(S1445),0.01),"")),""),""),"")</f>
        <v/>
      </c>
      <c r="V1445" s="317" t="str" cm="1">
        <f t="array" aca="1" ref="V1445" ca="1">IFERROR(IF(AA1445&lt;&gt;"ja",_xlfn.IFNA(_xlfn.IFS(AND(P1445&lt;&gt;"",R1445&lt;&gt;"",RIGHT($N1445,6)="tarief",F1445="Vergoeding"),SUM(P1445)*FLOOR(SUM(R1445),0.0001),AND(P1445&lt;&gt;"",R1445&lt;&gt;"",RIGHT($N1445,6)="tarief"),P1445*FLOOR(R1445,0.01),T1445&gt;0,FLOOR(SUM(T1445),0.01)),""),""),"")</f>
        <v/>
      </c>
      <c r="W1445" s="317" t="str" cm="1">
        <f t="array" aca="1" ref="W1445" ca="1">IFERROR(_xlfn.IFS(OR(F1445="",LEFT(Methode_Keuze,4)="Geen",Methode_Keuze=""),"",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17" t="str" cm="1">
        <f t="array" aca="1" ref="X1445" ca="1">IFERROR(_xlfn.IFS(OR(F1445="",LEFT(Methode_Keuze,4)="Geen",Methode_Keuze=""),"",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26"/>
      <c r="Z1445" s="319"/>
      <c r="AA1445" s="32" t="str" cm="1">
        <f t="array" ref="AA1445">IFERROR(IF(INDEX(SubsidieTabel!$AD$1:$AG$12,MATCH($F1445,SubsidieTabel!$AD$1:$AD$12,0),IFERROR(MATCH(Methode_Keuze,SubsidieTabel!$AD$1:$AG$1,0),2))&lt;&gt;1=TRUE,"ja",""),"")</f>
        <v/>
      </c>
    </row>
    <row r="1446" spans="1:27" x14ac:dyDescent="0.25">
      <c r="A1446" s="320"/>
      <c r="B1446" s="321" t="str">
        <f>IF(A1446&lt;&gt;"",_xlfn.MAXIFS($B$1:B1445,$A$1:A1445,A1446)+1,"")</f>
        <v/>
      </c>
      <c r="C1446" s="299"/>
      <c r="D1446" s="299"/>
      <c r="E1446" s="299"/>
      <c r="F1446" s="299"/>
      <c r="G1446" s="330"/>
      <c r="H1446" s="328"/>
      <c r="I1446" s="329"/>
      <c r="J1446" s="329"/>
      <c r="K1446" s="322"/>
      <c r="L1446" s="322"/>
      <c r="M1446" s="323" t="str">
        <f>IFERROR(VLOOKUP(H1446,Lijsten!$H$1:$I$100,2,0),"")</f>
        <v/>
      </c>
      <c r="N1446" s="323" t="str">
        <f ca="1">IFERROR(IF(VLOOKUP(F1446,Kostentypen!$A$3:$E$21,3,0)=0,"",IF(OR(F1446="Arbeidskosten",F1446="Vergoeding"),VLOOKUP(G1446,Tb_KostenTypen[],2,0),VLOOKUP(F1446,Kostentypen!$A$3:$E$20,3,0))),"")</f>
        <v/>
      </c>
      <c r="O1446" s="324"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4"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3"/>
      <c r="R1446" s="363"/>
      <c r="S1446" s="325"/>
      <c r="T1446" s="325"/>
      <c r="U1446" s="317" t="str" cm="1">
        <f t="array" aca="1" ref="U1446" ca="1">IFERROR(IF(AA1446&lt;&gt;"ja",_xlfn.IFNA(_xlfn.IFS(AND(O1446&lt;&gt;"",F1446&lt;&gt;"",RIGHT($N1446,6)="tarief",F1446="Vergoeding"),SUM(O1446)*FLOOR(SUM(Q1446),0.0001),AND(O1446&lt;&gt;"",F1446&lt;&gt;"",RIGHT($N1446,6)="tarief"),SUM(O1446)*FLOOR(SUM(Q1446),0.01),S1446&gt;0,IF(F1446&lt;&gt;"",FLOOR(SUM(S1446),0.01),"")),""),""),"")</f>
        <v/>
      </c>
      <c r="V1446" s="317" t="str" cm="1">
        <f t="array" aca="1" ref="V1446" ca="1">IFERROR(IF(AA1446&lt;&gt;"ja",_xlfn.IFNA(_xlfn.IFS(AND(P1446&lt;&gt;"",R1446&lt;&gt;"",RIGHT($N1446,6)="tarief",F1446="Vergoeding"),SUM(P1446)*FLOOR(SUM(R1446),0.0001),AND(P1446&lt;&gt;"",R1446&lt;&gt;"",RIGHT($N1446,6)="tarief"),P1446*FLOOR(R1446,0.01),T1446&gt;0,FLOOR(SUM(T1446),0.01)),""),""),"")</f>
        <v/>
      </c>
      <c r="W1446" s="317" t="str" cm="1">
        <f t="array" aca="1" ref="W1446" ca="1">IFERROR(_xlfn.IFS(OR(F1446="",LEFT(Methode_Keuze,4)="Geen",Methode_Keuze=""),"",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17" t="str" cm="1">
        <f t="array" aca="1" ref="X1446" ca="1">IFERROR(_xlfn.IFS(OR(F1446="",LEFT(Methode_Keuze,4)="Geen",Methode_Keuze=""),"",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26"/>
      <c r="Z1446" s="319"/>
      <c r="AA1446" s="32" t="str" cm="1">
        <f t="array" ref="AA1446">IFERROR(IF(INDEX(SubsidieTabel!$AD$1:$AG$12,MATCH($F1446,SubsidieTabel!$AD$1:$AD$12,0),IFERROR(MATCH(Methode_Keuze,SubsidieTabel!$AD$1:$AG$1,0),2))&lt;&gt;1=TRUE,"ja",""),"")</f>
        <v/>
      </c>
    </row>
    <row r="1447" spans="1:27" x14ac:dyDescent="0.25">
      <c r="A1447" s="320"/>
      <c r="B1447" s="321" t="str">
        <f>IF(A1447&lt;&gt;"",_xlfn.MAXIFS($B$1:B1446,$A$1:A1446,A1447)+1,"")</f>
        <v/>
      </c>
      <c r="C1447" s="299"/>
      <c r="D1447" s="299"/>
      <c r="E1447" s="299"/>
      <c r="F1447" s="299"/>
      <c r="G1447" s="330"/>
      <c r="H1447" s="328"/>
      <c r="I1447" s="329"/>
      <c r="J1447" s="329"/>
      <c r="K1447" s="322"/>
      <c r="L1447" s="322"/>
      <c r="M1447" s="323" t="str">
        <f>IFERROR(VLOOKUP(H1447,Lijsten!$H$1:$I$100,2,0),"")</f>
        <v/>
      </c>
      <c r="N1447" s="323" t="str">
        <f ca="1">IFERROR(IF(VLOOKUP(F1447,Kostentypen!$A$3:$E$21,3,0)=0,"",IF(OR(F1447="Arbeidskosten",F1447="Vergoeding"),VLOOKUP(G1447,Tb_KostenTypen[],2,0),VLOOKUP(F1447,Kostentypen!$A$3:$E$20,3,0))),"")</f>
        <v/>
      </c>
      <c r="O1447" s="324"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4"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3"/>
      <c r="R1447" s="363"/>
      <c r="S1447" s="325"/>
      <c r="T1447" s="325"/>
      <c r="U1447" s="317" t="str" cm="1">
        <f t="array" aca="1" ref="U1447" ca="1">IFERROR(IF(AA1447&lt;&gt;"ja",_xlfn.IFNA(_xlfn.IFS(AND(O1447&lt;&gt;"",F1447&lt;&gt;"",RIGHT($N1447,6)="tarief",F1447="Vergoeding"),SUM(O1447)*FLOOR(SUM(Q1447),0.0001),AND(O1447&lt;&gt;"",F1447&lt;&gt;"",RIGHT($N1447,6)="tarief"),SUM(O1447)*FLOOR(SUM(Q1447),0.01),S1447&gt;0,IF(F1447&lt;&gt;"",FLOOR(SUM(S1447),0.01),"")),""),""),"")</f>
        <v/>
      </c>
      <c r="V1447" s="317" t="str" cm="1">
        <f t="array" aca="1" ref="V1447" ca="1">IFERROR(IF(AA1447&lt;&gt;"ja",_xlfn.IFNA(_xlfn.IFS(AND(P1447&lt;&gt;"",R1447&lt;&gt;"",RIGHT($N1447,6)="tarief",F1447="Vergoeding"),SUM(P1447)*FLOOR(SUM(R1447),0.0001),AND(P1447&lt;&gt;"",R1447&lt;&gt;"",RIGHT($N1447,6)="tarief"),P1447*FLOOR(R1447,0.01),T1447&gt;0,FLOOR(SUM(T1447),0.01)),""),""),"")</f>
        <v/>
      </c>
      <c r="W1447" s="317" t="str" cm="1">
        <f t="array" aca="1" ref="W1447" ca="1">IFERROR(_xlfn.IFS(OR(F1447="",LEFT(Methode_Keuze,4)="Geen",Methode_Keuze=""),"",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17" t="str" cm="1">
        <f t="array" aca="1" ref="X1447" ca="1">IFERROR(_xlfn.IFS(OR(F1447="",LEFT(Methode_Keuze,4)="Geen",Methode_Keuze=""),"",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26"/>
      <c r="Z1447" s="319"/>
      <c r="AA1447" s="32" t="str" cm="1">
        <f t="array" ref="AA1447">IFERROR(IF(INDEX(SubsidieTabel!$AD$1:$AG$12,MATCH($F1447,SubsidieTabel!$AD$1:$AD$12,0),IFERROR(MATCH(Methode_Keuze,SubsidieTabel!$AD$1:$AG$1,0),2))&lt;&gt;1=TRUE,"ja",""),"")</f>
        <v/>
      </c>
    </row>
    <row r="1448" spans="1:27" x14ac:dyDescent="0.25">
      <c r="A1448" s="320"/>
      <c r="B1448" s="321" t="str">
        <f>IF(A1448&lt;&gt;"",_xlfn.MAXIFS($B$1:B1447,$A$1:A1447,A1448)+1,"")</f>
        <v/>
      </c>
      <c r="C1448" s="299"/>
      <c r="D1448" s="299"/>
      <c r="E1448" s="299"/>
      <c r="F1448" s="299"/>
      <c r="G1448" s="330"/>
      <c r="H1448" s="328"/>
      <c r="I1448" s="329"/>
      <c r="J1448" s="329"/>
      <c r="K1448" s="322"/>
      <c r="L1448" s="322"/>
      <c r="M1448" s="323" t="str">
        <f>IFERROR(VLOOKUP(H1448,Lijsten!$H$1:$I$100,2,0),"")</f>
        <v/>
      </c>
      <c r="N1448" s="323" t="str">
        <f ca="1">IFERROR(IF(VLOOKUP(F1448,Kostentypen!$A$3:$E$21,3,0)=0,"",IF(OR(F1448="Arbeidskosten",F1448="Vergoeding"),VLOOKUP(G1448,Tb_KostenTypen[],2,0),VLOOKUP(F1448,Kostentypen!$A$3:$E$20,3,0))),"")</f>
        <v/>
      </c>
      <c r="O1448" s="324"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4"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3"/>
      <c r="R1448" s="363"/>
      <c r="S1448" s="325"/>
      <c r="T1448" s="325"/>
      <c r="U1448" s="317" t="str" cm="1">
        <f t="array" aca="1" ref="U1448" ca="1">IFERROR(IF(AA1448&lt;&gt;"ja",_xlfn.IFNA(_xlfn.IFS(AND(O1448&lt;&gt;"",F1448&lt;&gt;"",RIGHT($N1448,6)="tarief",F1448="Vergoeding"),SUM(O1448)*FLOOR(SUM(Q1448),0.0001),AND(O1448&lt;&gt;"",F1448&lt;&gt;"",RIGHT($N1448,6)="tarief"),SUM(O1448)*FLOOR(SUM(Q1448),0.01),S1448&gt;0,IF(F1448&lt;&gt;"",FLOOR(SUM(S1448),0.01),"")),""),""),"")</f>
        <v/>
      </c>
      <c r="V1448" s="317" t="str" cm="1">
        <f t="array" aca="1" ref="V1448" ca="1">IFERROR(IF(AA1448&lt;&gt;"ja",_xlfn.IFNA(_xlfn.IFS(AND(P1448&lt;&gt;"",R1448&lt;&gt;"",RIGHT($N1448,6)="tarief",F1448="Vergoeding"),SUM(P1448)*FLOOR(SUM(R1448),0.0001),AND(P1448&lt;&gt;"",R1448&lt;&gt;"",RIGHT($N1448,6)="tarief"),P1448*FLOOR(R1448,0.01),T1448&gt;0,FLOOR(SUM(T1448),0.01)),""),""),"")</f>
        <v/>
      </c>
      <c r="W1448" s="317" t="str" cm="1">
        <f t="array" aca="1" ref="W1448" ca="1">IFERROR(_xlfn.IFS(OR(F1448="",LEFT(Methode_Keuze,4)="Geen",Methode_Keuze=""),"",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17" t="str" cm="1">
        <f t="array" aca="1" ref="X1448" ca="1">IFERROR(_xlfn.IFS(OR(F1448="",LEFT(Methode_Keuze,4)="Geen",Methode_Keuze=""),"",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26"/>
      <c r="Z1448" s="319"/>
      <c r="AA1448" s="32" t="str" cm="1">
        <f t="array" ref="AA1448">IFERROR(IF(INDEX(SubsidieTabel!$AD$1:$AG$12,MATCH($F1448,SubsidieTabel!$AD$1:$AD$12,0),IFERROR(MATCH(Methode_Keuze,SubsidieTabel!$AD$1:$AG$1,0),2))&lt;&gt;1=TRUE,"ja",""),"")</f>
        <v/>
      </c>
    </row>
    <row r="1449" spans="1:27" x14ac:dyDescent="0.25">
      <c r="A1449" s="320"/>
      <c r="B1449" s="321" t="str">
        <f>IF(A1449&lt;&gt;"",_xlfn.MAXIFS($B$1:B1448,$A$1:A1448,A1449)+1,"")</f>
        <v/>
      </c>
      <c r="C1449" s="299"/>
      <c r="D1449" s="299"/>
      <c r="E1449" s="299"/>
      <c r="F1449" s="299"/>
      <c r="G1449" s="330"/>
      <c r="H1449" s="328"/>
      <c r="I1449" s="329"/>
      <c r="J1449" s="329"/>
      <c r="K1449" s="322"/>
      <c r="L1449" s="322"/>
      <c r="M1449" s="323" t="str">
        <f>IFERROR(VLOOKUP(H1449,Lijsten!$H$1:$I$100,2,0),"")</f>
        <v/>
      </c>
      <c r="N1449" s="323" t="str">
        <f ca="1">IFERROR(IF(VLOOKUP(F1449,Kostentypen!$A$3:$E$21,3,0)=0,"",IF(OR(F1449="Arbeidskosten",F1449="Vergoeding"),VLOOKUP(G1449,Tb_KostenTypen[],2,0),VLOOKUP(F1449,Kostentypen!$A$3:$E$20,3,0))),"")</f>
        <v/>
      </c>
      <c r="O1449" s="324"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4"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3"/>
      <c r="R1449" s="363"/>
      <c r="S1449" s="325"/>
      <c r="T1449" s="325"/>
      <c r="U1449" s="317" t="str" cm="1">
        <f t="array" aca="1" ref="U1449" ca="1">IFERROR(IF(AA1449&lt;&gt;"ja",_xlfn.IFNA(_xlfn.IFS(AND(O1449&lt;&gt;"",F1449&lt;&gt;"",RIGHT($N1449,6)="tarief",F1449="Vergoeding"),SUM(O1449)*FLOOR(SUM(Q1449),0.0001),AND(O1449&lt;&gt;"",F1449&lt;&gt;"",RIGHT($N1449,6)="tarief"),SUM(O1449)*FLOOR(SUM(Q1449),0.01),S1449&gt;0,IF(F1449&lt;&gt;"",FLOOR(SUM(S1449),0.01),"")),""),""),"")</f>
        <v/>
      </c>
      <c r="V1449" s="317" t="str" cm="1">
        <f t="array" aca="1" ref="V1449" ca="1">IFERROR(IF(AA1449&lt;&gt;"ja",_xlfn.IFNA(_xlfn.IFS(AND(P1449&lt;&gt;"",R1449&lt;&gt;"",RIGHT($N1449,6)="tarief",F1449="Vergoeding"),SUM(P1449)*FLOOR(SUM(R1449),0.0001),AND(P1449&lt;&gt;"",R1449&lt;&gt;"",RIGHT($N1449,6)="tarief"),P1449*FLOOR(R1449,0.01),T1449&gt;0,FLOOR(SUM(T1449),0.01)),""),""),"")</f>
        <v/>
      </c>
      <c r="W1449" s="317" t="str" cm="1">
        <f t="array" aca="1" ref="W1449" ca="1">IFERROR(_xlfn.IFS(OR(F1449="",LEFT(Methode_Keuze,4)="Geen",Methode_Keuze=""),"",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17" t="str" cm="1">
        <f t="array" aca="1" ref="X1449" ca="1">IFERROR(_xlfn.IFS(OR(F1449="",LEFT(Methode_Keuze,4)="Geen",Methode_Keuze=""),"",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26"/>
      <c r="Z1449" s="319"/>
      <c r="AA1449" s="32" t="str" cm="1">
        <f t="array" ref="AA1449">IFERROR(IF(INDEX(SubsidieTabel!$AD$1:$AG$12,MATCH($F1449,SubsidieTabel!$AD$1:$AD$12,0),IFERROR(MATCH(Methode_Keuze,SubsidieTabel!$AD$1:$AG$1,0),2))&lt;&gt;1=TRUE,"ja",""),"")</f>
        <v/>
      </c>
    </row>
    <row r="1450" spans="1:27" x14ac:dyDescent="0.25">
      <c r="A1450" s="320"/>
      <c r="B1450" s="321" t="str">
        <f>IF(A1450&lt;&gt;"",_xlfn.MAXIFS($B$1:B1449,$A$1:A1449,A1450)+1,"")</f>
        <v/>
      </c>
      <c r="C1450" s="299"/>
      <c r="D1450" s="299"/>
      <c r="E1450" s="299"/>
      <c r="F1450" s="299"/>
      <c r="G1450" s="330"/>
      <c r="H1450" s="328"/>
      <c r="I1450" s="329"/>
      <c r="J1450" s="329"/>
      <c r="K1450" s="322"/>
      <c r="L1450" s="322"/>
      <c r="M1450" s="323" t="str">
        <f>IFERROR(VLOOKUP(H1450,Lijsten!$H$1:$I$100,2,0),"")</f>
        <v/>
      </c>
      <c r="N1450" s="323" t="str">
        <f ca="1">IFERROR(IF(VLOOKUP(F1450,Kostentypen!$A$3:$E$21,3,0)=0,"",IF(OR(F1450="Arbeidskosten",F1450="Vergoeding"),VLOOKUP(G1450,Tb_KostenTypen[],2,0),VLOOKUP(F1450,Kostentypen!$A$3:$E$20,3,0))),"")</f>
        <v/>
      </c>
      <c r="O1450" s="324"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4"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3"/>
      <c r="R1450" s="363"/>
      <c r="S1450" s="325"/>
      <c r="T1450" s="325"/>
      <c r="U1450" s="317" t="str" cm="1">
        <f t="array" aca="1" ref="U1450" ca="1">IFERROR(IF(AA1450&lt;&gt;"ja",_xlfn.IFNA(_xlfn.IFS(AND(O1450&lt;&gt;"",F1450&lt;&gt;"",RIGHT($N1450,6)="tarief",F1450="Vergoeding"),SUM(O1450)*FLOOR(SUM(Q1450),0.0001),AND(O1450&lt;&gt;"",F1450&lt;&gt;"",RIGHT($N1450,6)="tarief"),SUM(O1450)*FLOOR(SUM(Q1450),0.01),S1450&gt;0,IF(F1450&lt;&gt;"",FLOOR(SUM(S1450),0.01),"")),""),""),"")</f>
        <v/>
      </c>
      <c r="V1450" s="317" t="str" cm="1">
        <f t="array" aca="1" ref="V1450" ca="1">IFERROR(IF(AA1450&lt;&gt;"ja",_xlfn.IFNA(_xlfn.IFS(AND(P1450&lt;&gt;"",R1450&lt;&gt;"",RIGHT($N1450,6)="tarief",F1450="Vergoeding"),SUM(P1450)*FLOOR(SUM(R1450),0.0001),AND(P1450&lt;&gt;"",R1450&lt;&gt;"",RIGHT($N1450,6)="tarief"),P1450*FLOOR(R1450,0.01),T1450&gt;0,FLOOR(SUM(T1450),0.01)),""),""),"")</f>
        <v/>
      </c>
      <c r="W1450" s="317" t="str" cm="1">
        <f t="array" aca="1" ref="W1450" ca="1">IFERROR(_xlfn.IFS(OR(F1450="",LEFT(Methode_Keuze,4)="Geen",Methode_Keuze=""),"",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17" t="str" cm="1">
        <f t="array" aca="1" ref="X1450" ca="1">IFERROR(_xlfn.IFS(OR(F1450="",LEFT(Methode_Keuze,4)="Geen",Methode_Keuze=""),"",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26"/>
      <c r="Z1450" s="319"/>
      <c r="AA1450" s="32" t="str" cm="1">
        <f t="array" ref="AA1450">IFERROR(IF(INDEX(SubsidieTabel!$AD$1:$AG$12,MATCH($F1450,SubsidieTabel!$AD$1:$AD$12,0),IFERROR(MATCH(Methode_Keuze,SubsidieTabel!$AD$1:$AG$1,0),2))&lt;&gt;1=TRUE,"ja",""),"")</f>
        <v/>
      </c>
    </row>
    <row r="1451" spans="1:27" x14ac:dyDescent="0.25">
      <c r="A1451" s="320"/>
      <c r="B1451" s="321" t="str">
        <f>IF(A1451&lt;&gt;"",_xlfn.MAXIFS($B$1:B1450,$A$1:A1450,A1451)+1,"")</f>
        <v/>
      </c>
      <c r="C1451" s="299"/>
      <c r="D1451" s="299"/>
      <c r="E1451" s="299"/>
      <c r="F1451" s="299"/>
      <c r="G1451" s="330"/>
      <c r="H1451" s="328"/>
      <c r="I1451" s="329"/>
      <c r="J1451" s="329"/>
      <c r="K1451" s="322"/>
      <c r="L1451" s="322"/>
      <c r="M1451" s="323" t="str">
        <f>IFERROR(VLOOKUP(H1451,Lijsten!$H$1:$I$100,2,0),"")</f>
        <v/>
      </c>
      <c r="N1451" s="323" t="str">
        <f ca="1">IFERROR(IF(VLOOKUP(F1451,Kostentypen!$A$3:$E$21,3,0)=0,"",IF(OR(F1451="Arbeidskosten",F1451="Vergoeding"),VLOOKUP(G1451,Tb_KostenTypen[],2,0),VLOOKUP(F1451,Kostentypen!$A$3:$E$20,3,0))),"")</f>
        <v/>
      </c>
      <c r="O1451" s="324"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4"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3"/>
      <c r="R1451" s="363"/>
      <c r="S1451" s="325"/>
      <c r="T1451" s="325"/>
      <c r="U1451" s="317" t="str" cm="1">
        <f t="array" aca="1" ref="U1451" ca="1">IFERROR(IF(AA1451&lt;&gt;"ja",_xlfn.IFNA(_xlfn.IFS(AND(O1451&lt;&gt;"",F1451&lt;&gt;"",RIGHT($N1451,6)="tarief",F1451="Vergoeding"),SUM(O1451)*FLOOR(SUM(Q1451),0.0001),AND(O1451&lt;&gt;"",F1451&lt;&gt;"",RIGHT($N1451,6)="tarief"),SUM(O1451)*FLOOR(SUM(Q1451),0.01),S1451&gt;0,IF(F1451&lt;&gt;"",FLOOR(SUM(S1451),0.01),"")),""),""),"")</f>
        <v/>
      </c>
      <c r="V1451" s="317" t="str" cm="1">
        <f t="array" aca="1" ref="V1451" ca="1">IFERROR(IF(AA1451&lt;&gt;"ja",_xlfn.IFNA(_xlfn.IFS(AND(P1451&lt;&gt;"",R1451&lt;&gt;"",RIGHT($N1451,6)="tarief",F1451="Vergoeding"),SUM(P1451)*FLOOR(SUM(R1451),0.0001),AND(P1451&lt;&gt;"",R1451&lt;&gt;"",RIGHT($N1451,6)="tarief"),P1451*FLOOR(R1451,0.01),T1451&gt;0,FLOOR(SUM(T1451),0.01)),""),""),"")</f>
        <v/>
      </c>
      <c r="W1451" s="317" t="str" cm="1">
        <f t="array" aca="1" ref="W1451" ca="1">IFERROR(_xlfn.IFS(OR(F1451="",LEFT(Methode_Keuze,4)="Geen",Methode_Keuze=""),"",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17" t="str" cm="1">
        <f t="array" aca="1" ref="X1451" ca="1">IFERROR(_xlfn.IFS(OR(F1451="",LEFT(Methode_Keuze,4)="Geen",Methode_Keuze=""),"",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26"/>
      <c r="Z1451" s="319"/>
      <c r="AA1451" s="32" t="str" cm="1">
        <f t="array" ref="AA1451">IFERROR(IF(INDEX(SubsidieTabel!$AD$1:$AG$12,MATCH($F1451,SubsidieTabel!$AD$1:$AD$12,0),IFERROR(MATCH(Methode_Keuze,SubsidieTabel!$AD$1:$AG$1,0),2))&lt;&gt;1=TRUE,"ja",""),"")</f>
        <v/>
      </c>
    </row>
    <row r="1452" spans="1:27" x14ac:dyDescent="0.25">
      <c r="A1452" s="320"/>
      <c r="B1452" s="321" t="str">
        <f>IF(A1452&lt;&gt;"",_xlfn.MAXIFS($B$1:B1451,$A$1:A1451,A1452)+1,"")</f>
        <v/>
      </c>
      <c r="C1452" s="299"/>
      <c r="D1452" s="299"/>
      <c r="E1452" s="299"/>
      <c r="F1452" s="299"/>
      <c r="G1452" s="330"/>
      <c r="H1452" s="328"/>
      <c r="I1452" s="329"/>
      <c r="J1452" s="329"/>
      <c r="K1452" s="322"/>
      <c r="L1452" s="322"/>
      <c r="M1452" s="323" t="str">
        <f>IFERROR(VLOOKUP(H1452,Lijsten!$H$1:$I$100,2,0),"")</f>
        <v/>
      </c>
      <c r="N1452" s="323" t="str">
        <f ca="1">IFERROR(IF(VLOOKUP(F1452,Kostentypen!$A$3:$E$21,3,0)=0,"",IF(OR(F1452="Arbeidskosten",F1452="Vergoeding"),VLOOKUP(G1452,Tb_KostenTypen[],2,0),VLOOKUP(F1452,Kostentypen!$A$3:$E$20,3,0))),"")</f>
        <v/>
      </c>
      <c r="O1452" s="324"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4"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3"/>
      <c r="R1452" s="363"/>
      <c r="S1452" s="325"/>
      <c r="T1452" s="325"/>
      <c r="U1452" s="317" t="str" cm="1">
        <f t="array" aca="1" ref="U1452" ca="1">IFERROR(IF(AA1452&lt;&gt;"ja",_xlfn.IFNA(_xlfn.IFS(AND(O1452&lt;&gt;"",F1452&lt;&gt;"",RIGHT($N1452,6)="tarief",F1452="Vergoeding"),SUM(O1452)*FLOOR(SUM(Q1452),0.0001),AND(O1452&lt;&gt;"",F1452&lt;&gt;"",RIGHT($N1452,6)="tarief"),SUM(O1452)*FLOOR(SUM(Q1452),0.01),S1452&gt;0,IF(F1452&lt;&gt;"",FLOOR(SUM(S1452),0.01),"")),""),""),"")</f>
        <v/>
      </c>
      <c r="V1452" s="317" t="str" cm="1">
        <f t="array" aca="1" ref="V1452" ca="1">IFERROR(IF(AA1452&lt;&gt;"ja",_xlfn.IFNA(_xlfn.IFS(AND(P1452&lt;&gt;"",R1452&lt;&gt;"",RIGHT($N1452,6)="tarief",F1452="Vergoeding"),SUM(P1452)*FLOOR(SUM(R1452),0.0001),AND(P1452&lt;&gt;"",R1452&lt;&gt;"",RIGHT($N1452,6)="tarief"),P1452*FLOOR(R1452,0.01),T1452&gt;0,FLOOR(SUM(T1452),0.01)),""),""),"")</f>
        <v/>
      </c>
      <c r="W1452" s="317" t="str" cm="1">
        <f t="array" aca="1" ref="W1452" ca="1">IFERROR(_xlfn.IFS(OR(F1452="",LEFT(Methode_Keuze,4)="Geen",Methode_Keuze=""),"",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17" t="str" cm="1">
        <f t="array" aca="1" ref="X1452" ca="1">IFERROR(_xlfn.IFS(OR(F1452="",LEFT(Methode_Keuze,4)="Geen",Methode_Keuze=""),"",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26"/>
      <c r="Z1452" s="319"/>
      <c r="AA1452" s="32" t="str" cm="1">
        <f t="array" ref="AA1452">IFERROR(IF(INDEX(SubsidieTabel!$AD$1:$AG$12,MATCH($F1452,SubsidieTabel!$AD$1:$AD$12,0),IFERROR(MATCH(Methode_Keuze,SubsidieTabel!$AD$1:$AG$1,0),2))&lt;&gt;1=TRUE,"ja",""),"")</f>
        <v/>
      </c>
    </row>
    <row r="1453" spans="1:27" x14ac:dyDescent="0.25">
      <c r="A1453" s="320"/>
      <c r="B1453" s="321" t="str">
        <f>IF(A1453&lt;&gt;"",_xlfn.MAXIFS($B$1:B1452,$A$1:A1452,A1453)+1,"")</f>
        <v/>
      </c>
      <c r="C1453" s="299"/>
      <c r="D1453" s="299"/>
      <c r="E1453" s="299"/>
      <c r="F1453" s="299"/>
      <c r="G1453" s="330"/>
      <c r="H1453" s="328"/>
      <c r="I1453" s="329"/>
      <c r="J1453" s="329"/>
      <c r="K1453" s="322"/>
      <c r="L1453" s="322"/>
      <c r="M1453" s="323" t="str">
        <f>IFERROR(VLOOKUP(H1453,Lijsten!$H$1:$I$100,2,0),"")</f>
        <v/>
      </c>
      <c r="N1453" s="323" t="str">
        <f ca="1">IFERROR(IF(VLOOKUP(F1453,Kostentypen!$A$3:$E$21,3,0)=0,"",IF(OR(F1453="Arbeidskosten",F1453="Vergoeding"),VLOOKUP(G1453,Tb_KostenTypen[],2,0),VLOOKUP(F1453,Kostentypen!$A$3:$E$20,3,0))),"")</f>
        <v/>
      </c>
      <c r="O1453" s="324"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4"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3"/>
      <c r="R1453" s="363"/>
      <c r="S1453" s="325"/>
      <c r="T1453" s="325"/>
      <c r="U1453" s="317" t="str" cm="1">
        <f t="array" aca="1" ref="U1453" ca="1">IFERROR(IF(AA1453&lt;&gt;"ja",_xlfn.IFNA(_xlfn.IFS(AND(O1453&lt;&gt;"",F1453&lt;&gt;"",RIGHT($N1453,6)="tarief",F1453="Vergoeding"),SUM(O1453)*FLOOR(SUM(Q1453),0.0001),AND(O1453&lt;&gt;"",F1453&lt;&gt;"",RIGHT($N1453,6)="tarief"),SUM(O1453)*FLOOR(SUM(Q1453),0.01),S1453&gt;0,IF(F1453&lt;&gt;"",FLOOR(SUM(S1453),0.01),"")),""),""),"")</f>
        <v/>
      </c>
      <c r="V1453" s="317" t="str" cm="1">
        <f t="array" aca="1" ref="V1453" ca="1">IFERROR(IF(AA1453&lt;&gt;"ja",_xlfn.IFNA(_xlfn.IFS(AND(P1453&lt;&gt;"",R1453&lt;&gt;"",RIGHT($N1453,6)="tarief",F1453="Vergoeding"),SUM(P1453)*FLOOR(SUM(R1453),0.0001),AND(P1453&lt;&gt;"",R1453&lt;&gt;"",RIGHT($N1453,6)="tarief"),P1453*FLOOR(R1453,0.01),T1453&gt;0,FLOOR(SUM(T1453),0.01)),""),""),"")</f>
        <v/>
      </c>
      <c r="W1453" s="317" t="str" cm="1">
        <f t="array" aca="1" ref="W1453" ca="1">IFERROR(_xlfn.IFS(OR(F1453="",LEFT(Methode_Keuze,4)="Geen",Methode_Keuze=""),"",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17" t="str" cm="1">
        <f t="array" aca="1" ref="X1453" ca="1">IFERROR(_xlfn.IFS(OR(F1453="",LEFT(Methode_Keuze,4)="Geen",Methode_Keuze=""),"",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26"/>
      <c r="Z1453" s="319"/>
      <c r="AA1453" s="32" t="str" cm="1">
        <f t="array" ref="AA1453">IFERROR(IF(INDEX(SubsidieTabel!$AD$1:$AG$12,MATCH($F1453,SubsidieTabel!$AD$1:$AD$12,0),IFERROR(MATCH(Methode_Keuze,SubsidieTabel!$AD$1:$AG$1,0),2))&lt;&gt;1=TRUE,"ja",""),"")</f>
        <v/>
      </c>
    </row>
    <row r="1454" spans="1:27" x14ac:dyDescent="0.25">
      <c r="A1454" s="320"/>
      <c r="B1454" s="321" t="str">
        <f>IF(A1454&lt;&gt;"",_xlfn.MAXIFS($B$1:B1453,$A$1:A1453,A1454)+1,"")</f>
        <v/>
      </c>
      <c r="C1454" s="299"/>
      <c r="D1454" s="299"/>
      <c r="E1454" s="299"/>
      <c r="F1454" s="299"/>
      <c r="G1454" s="330"/>
      <c r="H1454" s="328"/>
      <c r="I1454" s="329"/>
      <c r="J1454" s="329"/>
      <c r="K1454" s="322"/>
      <c r="L1454" s="322"/>
      <c r="M1454" s="323" t="str">
        <f>IFERROR(VLOOKUP(H1454,Lijsten!$H$1:$I$100,2,0),"")</f>
        <v/>
      </c>
      <c r="N1454" s="323" t="str">
        <f ca="1">IFERROR(IF(VLOOKUP(F1454,Kostentypen!$A$3:$E$21,3,0)=0,"",IF(OR(F1454="Arbeidskosten",F1454="Vergoeding"),VLOOKUP(G1454,Tb_KostenTypen[],2,0),VLOOKUP(F1454,Kostentypen!$A$3:$E$20,3,0))),"")</f>
        <v/>
      </c>
      <c r="O1454" s="324"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4"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3"/>
      <c r="R1454" s="363"/>
      <c r="S1454" s="325"/>
      <c r="T1454" s="325"/>
      <c r="U1454" s="317" t="str" cm="1">
        <f t="array" aca="1" ref="U1454" ca="1">IFERROR(IF(AA1454&lt;&gt;"ja",_xlfn.IFNA(_xlfn.IFS(AND(O1454&lt;&gt;"",F1454&lt;&gt;"",RIGHT($N1454,6)="tarief",F1454="Vergoeding"),SUM(O1454)*FLOOR(SUM(Q1454),0.0001),AND(O1454&lt;&gt;"",F1454&lt;&gt;"",RIGHT($N1454,6)="tarief"),SUM(O1454)*FLOOR(SUM(Q1454),0.01),S1454&gt;0,IF(F1454&lt;&gt;"",FLOOR(SUM(S1454),0.01),"")),""),""),"")</f>
        <v/>
      </c>
      <c r="V1454" s="317" t="str" cm="1">
        <f t="array" aca="1" ref="V1454" ca="1">IFERROR(IF(AA1454&lt;&gt;"ja",_xlfn.IFNA(_xlfn.IFS(AND(P1454&lt;&gt;"",R1454&lt;&gt;"",RIGHT($N1454,6)="tarief",F1454="Vergoeding"),SUM(P1454)*FLOOR(SUM(R1454),0.0001),AND(P1454&lt;&gt;"",R1454&lt;&gt;"",RIGHT($N1454,6)="tarief"),P1454*FLOOR(R1454,0.01),T1454&gt;0,FLOOR(SUM(T1454),0.01)),""),""),"")</f>
        <v/>
      </c>
      <c r="W1454" s="317" t="str" cm="1">
        <f t="array" aca="1" ref="W1454" ca="1">IFERROR(_xlfn.IFS(OR(F1454="",LEFT(Methode_Keuze,4)="Geen",Methode_Keuze=""),"",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17" t="str" cm="1">
        <f t="array" aca="1" ref="X1454" ca="1">IFERROR(_xlfn.IFS(OR(F1454="",LEFT(Methode_Keuze,4)="Geen",Methode_Keuze=""),"",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26"/>
      <c r="Z1454" s="319"/>
      <c r="AA1454" s="32" t="str" cm="1">
        <f t="array" ref="AA1454">IFERROR(IF(INDEX(SubsidieTabel!$AD$1:$AG$12,MATCH($F1454,SubsidieTabel!$AD$1:$AD$12,0),IFERROR(MATCH(Methode_Keuze,SubsidieTabel!$AD$1:$AG$1,0),2))&lt;&gt;1=TRUE,"ja",""),"")</f>
        <v/>
      </c>
    </row>
    <row r="1455" spans="1:27" x14ac:dyDescent="0.25">
      <c r="A1455" s="320"/>
      <c r="B1455" s="321" t="str">
        <f>IF(A1455&lt;&gt;"",_xlfn.MAXIFS($B$1:B1454,$A$1:A1454,A1455)+1,"")</f>
        <v/>
      </c>
      <c r="C1455" s="299"/>
      <c r="D1455" s="299"/>
      <c r="E1455" s="299"/>
      <c r="F1455" s="299"/>
      <c r="G1455" s="330"/>
      <c r="H1455" s="328"/>
      <c r="I1455" s="329"/>
      <c r="J1455" s="329"/>
      <c r="K1455" s="322"/>
      <c r="L1455" s="322"/>
      <c r="M1455" s="323" t="str">
        <f>IFERROR(VLOOKUP(H1455,Lijsten!$H$1:$I$100,2,0),"")</f>
        <v/>
      </c>
      <c r="N1455" s="323" t="str">
        <f ca="1">IFERROR(IF(VLOOKUP(F1455,Kostentypen!$A$3:$E$21,3,0)=0,"",IF(OR(F1455="Arbeidskosten",F1455="Vergoeding"),VLOOKUP(G1455,Tb_KostenTypen[],2,0),VLOOKUP(F1455,Kostentypen!$A$3:$E$20,3,0))),"")</f>
        <v/>
      </c>
      <c r="O1455" s="324"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4"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3"/>
      <c r="R1455" s="363"/>
      <c r="S1455" s="325"/>
      <c r="T1455" s="325"/>
      <c r="U1455" s="317" t="str" cm="1">
        <f t="array" aca="1" ref="U1455" ca="1">IFERROR(IF(AA1455&lt;&gt;"ja",_xlfn.IFNA(_xlfn.IFS(AND(O1455&lt;&gt;"",F1455&lt;&gt;"",RIGHT($N1455,6)="tarief",F1455="Vergoeding"),SUM(O1455)*FLOOR(SUM(Q1455),0.0001),AND(O1455&lt;&gt;"",F1455&lt;&gt;"",RIGHT($N1455,6)="tarief"),SUM(O1455)*FLOOR(SUM(Q1455),0.01),S1455&gt;0,IF(F1455&lt;&gt;"",FLOOR(SUM(S1455),0.01),"")),""),""),"")</f>
        <v/>
      </c>
      <c r="V1455" s="317" t="str" cm="1">
        <f t="array" aca="1" ref="V1455" ca="1">IFERROR(IF(AA1455&lt;&gt;"ja",_xlfn.IFNA(_xlfn.IFS(AND(P1455&lt;&gt;"",R1455&lt;&gt;"",RIGHT($N1455,6)="tarief",F1455="Vergoeding"),SUM(P1455)*FLOOR(SUM(R1455),0.0001),AND(P1455&lt;&gt;"",R1455&lt;&gt;"",RIGHT($N1455,6)="tarief"),P1455*FLOOR(R1455,0.01),T1455&gt;0,FLOOR(SUM(T1455),0.01)),""),""),"")</f>
        <v/>
      </c>
      <c r="W1455" s="317" t="str" cm="1">
        <f t="array" aca="1" ref="W1455" ca="1">IFERROR(_xlfn.IFS(OR(F1455="",LEFT(Methode_Keuze,4)="Geen",Methode_Keuze=""),"",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17" t="str" cm="1">
        <f t="array" aca="1" ref="X1455" ca="1">IFERROR(_xlfn.IFS(OR(F1455="",LEFT(Methode_Keuze,4)="Geen",Methode_Keuze=""),"",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26"/>
      <c r="Z1455" s="319"/>
      <c r="AA1455" s="32" t="str" cm="1">
        <f t="array" ref="AA1455">IFERROR(IF(INDEX(SubsidieTabel!$AD$1:$AG$12,MATCH($F1455,SubsidieTabel!$AD$1:$AD$12,0),IFERROR(MATCH(Methode_Keuze,SubsidieTabel!$AD$1:$AG$1,0),2))&lt;&gt;1=TRUE,"ja",""),"")</f>
        <v/>
      </c>
    </row>
    <row r="1456" spans="1:27" x14ac:dyDescent="0.25">
      <c r="A1456" s="320"/>
      <c r="B1456" s="321" t="str">
        <f>IF(A1456&lt;&gt;"",_xlfn.MAXIFS($B$1:B1455,$A$1:A1455,A1456)+1,"")</f>
        <v/>
      </c>
      <c r="C1456" s="299"/>
      <c r="D1456" s="299"/>
      <c r="E1456" s="299"/>
      <c r="F1456" s="299"/>
      <c r="G1456" s="330"/>
      <c r="H1456" s="328"/>
      <c r="I1456" s="329"/>
      <c r="J1456" s="329"/>
      <c r="K1456" s="322"/>
      <c r="L1456" s="322"/>
      <c r="M1456" s="323" t="str">
        <f>IFERROR(VLOOKUP(H1456,Lijsten!$H$1:$I$100,2,0),"")</f>
        <v/>
      </c>
      <c r="N1456" s="323" t="str">
        <f ca="1">IFERROR(IF(VLOOKUP(F1456,Kostentypen!$A$3:$E$21,3,0)=0,"",IF(OR(F1456="Arbeidskosten",F1456="Vergoeding"),VLOOKUP(G1456,Tb_KostenTypen[],2,0),VLOOKUP(F1456,Kostentypen!$A$3:$E$20,3,0))),"")</f>
        <v/>
      </c>
      <c r="O1456" s="324"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4"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3"/>
      <c r="R1456" s="363"/>
      <c r="S1456" s="325"/>
      <c r="T1456" s="325"/>
      <c r="U1456" s="317" t="str" cm="1">
        <f t="array" aca="1" ref="U1456" ca="1">IFERROR(IF(AA1456&lt;&gt;"ja",_xlfn.IFNA(_xlfn.IFS(AND(O1456&lt;&gt;"",F1456&lt;&gt;"",RIGHT($N1456,6)="tarief",F1456="Vergoeding"),SUM(O1456)*FLOOR(SUM(Q1456),0.0001),AND(O1456&lt;&gt;"",F1456&lt;&gt;"",RIGHT($N1456,6)="tarief"),SUM(O1456)*FLOOR(SUM(Q1456),0.01),S1456&gt;0,IF(F1456&lt;&gt;"",FLOOR(SUM(S1456),0.01),"")),""),""),"")</f>
        <v/>
      </c>
      <c r="V1456" s="317" t="str" cm="1">
        <f t="array" aca="1" ref="V1456" ca="1">IFERROR(IF(AA1456&lt;&gt;"ja",_xlfn.IFNA(_xlfn.IFS(AND(P1456&lt;&gt;"",R1456&lt;&gt;"",RIGHT($N1456,6)="tarief",F1456="Vergoeding"),SUM(P1456)*FLOOR(SUM(R1456),0.0001),AND(P1456&lt;&gt;"",R1456&lt;&gt;"",RIGHT($N1456,6)="tarief"),P1456*FLOOR(R1456,0.01),T1456&gt;0,FLOOR(SUM(T1456),0.01)),""),""),"")</f>
        <v/>
      </c>
      <c r="W1456" s="317" t="str" cm="1">
        <f t="array" aca="1" ref="W1456" ca="1">IFERROR(_xlfn.IFS(OR(F1456="",LEFT(Methode_Keuze,4)="Geen",Methode_Keuze=""),"",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17" t="str" cm="1">
        <f t="array" aca="1" ref="X1456" ca="1">IFERROR(_xlfn.IFS(OR(F1456="",LEFT(Methode_Keuze,4)="Geen",Methode_Keuze=""),"",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26"/>
      <c r="Z1456" s="319"/>
      <c r="AA1456" s="32" t="str" cm="1">
        <f t="array" ref="AA1456">IFERROR(IF(INDEX(SubsidieTabel!$AD$1:$AG$12,MATCH($F1456,SubsidieTabel!$AD$1:$AD$12,0),IFERROR(MATCH(Methode_Keuze,SubsidieTabel!$AD$1:$AG$1,0),2))&lt;&gt;1=TRUE,"ja",""),"")</f>
        <v/>
      </c>
    </row>
    <row r="1457" spans="1:27" x14ac:dyDescent="0.25">
      <c r="A1457" s="320"/>
      <c r="B1457" s="321" t="str">
        <f>IF(A1457&lt;&gt;"",_xlfn.MAXIFS($B$1:B1456,$A$1:A1456,A1457)+1,"")</f>
        <v/>
      </c>
      <c r="C1457" s="299"/>
      <c r="D1457" s="299"/>
      <c r="E1457" s="299"/>
      <c r="F1457" s="299"/>
      <c r="G1457" s="330"/>
      <c r="H1457" s="328"/>
      <c r="I1457" s="329"/>
      <c r="J1457" s="329"/>
      <c r="K1457" s="322"/>
      <c r="L1457" s="322"/>
      <c r="M1457" s="323" t="str">
        <f>IFERROR(VLOOKUP(H1457,Lijsten!$H$1:$I$100,2,0),"")</f>
        <v/>
      </c>
      <c r="N1457" s="323" t="str">
        <f ca="1">IFERROR(IF(VLOOKUP(F1457,Kostentypen!$A$3:$E$21,3,0)=0,"",IF(OR(F1457="Arbeidskosten",F1457="Vergoeding"),VLOOKUP(G1457,Tb_KostenTypen[],2,0),VLOOKUP(F1457,Kostentypen!$A$3:$E$20,3,0))),"")</f>
        <v/>
      </c>
      <c r="O1457" s="324"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4"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3"/>
      <c r="R1457" s="363"/>
      <c r="S1457" s="325"/>
      <c r="T1457" s="325"/>
      <c r="U1457" s="317" t="str" cm="1">
        <f t="array" aca="1" ref="U1457" ca="1">IFERROR(IF(AA1457&lt;&gt;"ja",_xlfn.IFNA(_xlfn.IFS(AND(O1457&lt;&gt;"",F1457&lt;&gt;"",RIGHT($N1457,6)="tarief",F1457="Vergoeding"),SUM(O1457)*FLOOR(SUM(Q1457),0.0001),AND(O1457&lt;&gt;"",F1457&lt;&gt;"",RIGHT($N1457,6)="tarief"),SUM(O1457)*FLOOR(SUM(Q1457),0.01),S1457&gt;0,IF(F1457&lt;&gt;"",FLOOR(SUM(S1457),0.01),"")),""),""),"")</f>
        <v/>
      </c>
      <c r="V1457" s="317" t="str" cm="1">
        <f t="array" aca="1" ref="V1457" ca="1">IFERROR(IF(AA1457&lt;&gt;"ja",_xlfn.IFNA(_xlfn.IFS(AND(P1457&lt;&gt;"",R1457&lt;&gt;"",RIGHT($N1457,6)="tarief",F1457="Vergoeding"),SUM(P1457)*FLOOR(SUM(R1457),0.0001),AND(P1457&lt;&gt;"",R1457&lt;&gt;"",RIGHT($N1457,6)="tarief"),P1457*FLOOR(R1457,0.01),T1457&gt;0,FLOOR(SUM(T1457),0.01)),""),""),"")</f>
        <v/>
      </c>
      <c r="W1457" s="317" t="str" cm="1">
        <f t="array" aca="1" ref="W1457" ca="1">IFERROR(_xlfn.IFS(OR(F1457="",LEFT(Methode_Keuze,4)="Geen",Methode_Keuze=""),"",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17" t="str" cm="1">
        <f t="array" aca="1" ref="X1457" ca="1">IFERROR(_xlfn.IFS(OR(F1457="",LEFT(Methode_Keuze,4)="Geen",Methode_Keuze=""),"",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26"/>
      <c r="Z1457" s="319"/>
      <c r="AA1457" s="32" t="str" cm="1">
        <f t="array" ref="AA1457">IFERROR(IF(INDEX(SubsidieTabel!$AD$1:$AG$12,MATCH($F1457,SubsidieTabel!$AD$1:$AD$12,0),IFERROR(MATCH(Methode_Keuze,SubsidieTabel!$AD$1:$AG$1,0),2))&lt;&gt;1=TRUE,"ja",""),"")</f>
        <v/>
      </c>
    </row>
    <row r="1458" spans="1:27" x14ac:dyDescent="0.25">
      <c r="A1458" s="320"/>
      <c r="B1458" s="321" t="str">
        <f>IF(A1458&lt;&gt;"",_xlfn.MAXIFS($B$1:B1457,$A$1:A1457,A1458)+1,"")</f>
        <v/>
      </c>
      <c r="C1458" s="299"/>
      <c r="D1458" s="299"/>
      <c r="E1458" s="299"/>
      <c r="F1458" s="299"/>
      <c r="G1458" s="330"/>
      <c r="H1458" s="328"/>
      <c r="I1458" s="329"/>
      <c r="J1458" s="329"/>
      <c r="K1458" s="322"/>
      <c r="L1458" s="322"/>
      <c r="M1458" s="323" t="str">
        <f>IFERROR(VLOOKUP(H1458,Lijsten!$H$1:$I$100,2,0),"")</f>
        <v/>
      </c>
      <c r="N1458" s="323" t="str">
        <f ca="1">IFERROR(IF(VLOOKUP(F1458,Kostentypen!$A$3:$E$21,3,0)=0,"",IF(OR(F1458="Arbeidskosten",F1458="Vergoeding"),VLOOKUP(G1458,Tb_KostenTypen[],2,0),VLOOKUP(F1458,Kostentypen!$A$3:$E$20,3,0))),"")</f>
        <v/>
      </c>
      <c r="O1458" s="324"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4"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3"/>
      <c r="R1458" s="363"/>
      <c r="S1458" s="325"/>
      <c r="T1458" s="325"/>
      <c r="U1458" s="317" t="str" cm="1">
        <f t="array" aca="1" ref="U1458" ca="1">IFERROR(IF(AA1458&lt;&gt;"ja",_xlfn.IFNA(_xlfn.IFS(AND(O1458&lt;&gt;"",F1458&lt;&gt;"",RIGHT($N1458,6)="tarief",F1458="Vergoeding"),SUM(O1458)*FLOOR(SUM(Q1458),0.0001),AND(O1458&lt;&gt;"",F1458&lt;&gt;"",RIGHT($N1458,6)="tarief"),SUM(O1458)*FLOOR(SUM(Q1458),0.01),S1458&gt;0,IF(F1458&lt;&gt;"",FLOOR(SUM(S1458),0.01),"")),""),""),"")</f>
        <v/>
      </c>
      <c r="V1458" s="317" t="str" cm="1">
        <f t="array" aca="1" ref="V1458" ca="1">IFERROR(IF(AA1458&lt;&gt;"ja",_xlfn.IFNA(_xlfn.IFS(AND(P1458&lt;&gt;"",R1458&lt;&gt;"",RIGHT($N1458,6)="tarief",F1458="Vergoeding"),SUM(P1458)*FLOOR(SUM(R1458),0.0001),AND(P1458&lt;&gt;"",R1458&lt;&gt;"",RIGHT($N1458,6)="tarief"),P1458*FLOOR(R1458,0.01),T1458&gt;0,FLOOR(SUM(T1458),0.01)),""),""),"")</f>
        <v/>
      </c>
      <c r="W1458" s="317" t="str" cm="1">
        <f t="array" aca="1" ref="W1458" ca="1">IFERROR(_xlfn.IFS(OR(F1458="",LEFT(Methode_Keuze,4)="Geen",Methode_Keuze=""),"",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17" t="str" cm="1">
        <f t="array" aca="1" ref="X1458" ca="1">IFERROR(_xlfn.IFS(OR(F1458="",LEFT(Methode_Keuze,4)="Geen",Methode_Keuze=""),"",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26"/>
      <c r="Z1458" s="319"/>
      <c r="AA1458" s="32" t="str" cm="1">
        <f t="array" ref="AA1458">IFERROR(IF(INDEX(SubsidieTabel!$AD$1:$AG$12,MATCH($F1458,SubsidieTabel!$AD$1:$AD$12,0),IFERROR(MATCH(Methode_Keuze,SubsidieTabel!$AD$1:$AG$1,0),2))&lt;&gt;1=TRUE,"ja",""),"")</f>
        <v/>
      </c>
    </row>
    <row r="1459" spans="1:27" x14ac:dyDescent="0.25">
      <c r="A1459" s="320"/>
      <c r="B1459" s="321" t="str">
        <f>IF(A1459&lt;&gt;"",_xlfn.MAXIFS($B$1:B1458,$A$1:A1458,A1459)+1,"")</f>
        <v/>
      </c>
      <c r="C1459" s="299"/>
      <c r="D1459" s="299"/>
      <c r="E1459" s="299"/>
      <c r="F1459" s="299"/>
      <c r="G1459" s="330"/>
      <c r="H1459" s="328"/>
      <c r="I1459" s="329"/>
      <c r="J1459" s="329"/>
      <c r="K1459" s="322"/>
      <c r="L1459" s="322"/>
      <c r="M1459" s="323" t="str">
        <f>IFERROR(VLOOKUP(H1459,Lijsten!$H$1:$I$100,2,0),"")</f>
        <v/>
      </c>
      <c r="N1459" s="323" t="str">
        <f ca="1">IFERROR(IF(VLOOKUP(F1459,Kostentypen!$A$3:$E$21,3,0)=0,"",IF(OR(F1459="Arbeidskosten",F1459="Vergoeding"),VLOOKUP(G1459,Tb_KostenTypen[],2,0),VLOOKUP(F1459,Kostentypen!$A$3:$E$20,3,0))),"")</f>
        <v/>
      </c>
      <c r="O1459" s="324"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4"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3"/>
      <c r="R1459" s="363"/>
      <c r="S1459" s="325"/>
      <c r="T1459" s="325"/>
      <c r="U1459" s="317" t="str" cm="1">
        <f t="array" aca="1" ref="U1459" ca="1">IFERROR(IF(AA1459&lt;&gt;"ja",_xlfn.IFNA(_xlfn.IFS(AND(O1459&lt;&gt;"",F1459&lt;&gt;"",RIGHT($N1459,6)="tarief",F1459="Vergoeding"),SUM(O1459)*FLOOR(SUM(Q1459),0.0001),AND(O1459&lt;&gt;"",F1459&lt;&gt;"",RIGHT($N1459,6)="tarief"),SUM(O1459)*FLOOR(SUM(Q1459),0.01),S1459&gt;0,IF(F1459&lt;&gt;"",FLOOR(SUM(S1459),0.01),"")),""),""),"")</f>
        <v/>
      </c>
      <c r="V1459" s="317" t="str" cm="1">
        <f t="array" aca="1" ref="V1459" ca="1">IFERROR(IF(AA1459&lt;&gt;"ja",_xlfn.IFNA(_xlfn.IFS(AND(P1459&lt;&gt;"",R1459&lt;&gt;"",RIGHT($N1459,6)="tarief",F1459="Vergoeding"),SUM(P1459)*FLOOR(SUM(R1459),0.0001),AND(P1459&lt;&gt;"",R1459&lt;&gt;"",RIGHT($N1459,6)="tarief"),P1459*FLOOR(R1459,0.01),T1459&gt;0,FLOOR(SUM(T1459),0.01)),""),""),"")</f>
        <v/>
      </c>
      <c r="W1459" s="317" t="str" cm="1">
        <f t="array" aca="1" ref="W1459" ca="1">IFERROR(_xlfn.IFS(OR(F1459="",LEFT(Methode_Keuze,4)="Geen",Methode_Keuze=""),"",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17" t="str" cm="1">
        <f t="array" aca="1" ref="X1459" ca="1">IFERROR(_xlfn.IFS(OR(F1459="",LEFT(Methode_Keuze,4)="Geen",Methode_Keuze=""),"",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26"/>
      <c r="Z1459" s="319"/>
      <c r="AA1459" s="32" t="str" cm="1">
        <f t="array" ref="AA1459">IFERROR(IF(INDEX(SubsidieTabel!$AD$1:$AG$12,MATCH($F1459,SubsidieTabel!$AD$1:$AD$12,0),IFERROR(MATCH(Methode_Keuze,SubsidieTabel!$AD$1:$AG$1,0),2))&lt;&gt;1=TRUE,"ja",""),"")</f>
        <v/>
      </c>
    </row>
    <row r="1460" spans="1:27" x14ac:dyDescent="0.25">
      <c r="A1460" s="320"/>
      <c r="B1460" s="321" t="str">
        <f>IF(A1460&lt;&gt;"",_xlfn.MAXIFS($B$1:B1459,$A$1:A1459,A1460)+1,"")</f>
        <v/>
      </c>
      <c r="C1460" s="299"/>
      <c r="D1460" s="299"/>
      <c r="E1460" s="299"/>
      <c r="F1460" s="299"/>
      <c r="G1460" s="330"/>
      <c r="H1460" s="328"/>
      <c r="I1460" s="329"/>
      <c r="J1460" s="329"/>
      <c r="K1460" s="322"/>
      <c r="L1460" s="322"/>
      <c r="M1460" s="323" t="str">
        <f>IFERROR(VLOOKUP(H1460,Lijsten!$H$1:$I$100,2,0),"")</f>
        <v/>
      </c>
      <c r="N1460" s="323" t="str">
        <f ca="1">IFERROR(IF(VLOOKUP(F1460,Kostentypen!$A$3:$E$21,3,0)=0,"",IF(OR(F1460="Arbeidskosten",F1460="Vergoeding"),VLOOKUP(G1460,Tb_KostenTypen[],2,0),VLOOKUP(F1460,Kostentypen!$A$3:$E$20,3,0))),"")</f>
        <v/>
      </c>
      <c r="O1460" s="324"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4"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3"/>
      <c r="R1460" s="363"/>
      <c r="S1460" s="325"/>
      <c r="T1460" s="325"/>
      <c r="U1460" s="317" t="str" cm="1">
        <f t="array" aca="1" ref="U1460" ca="1">IFERROR(IF(AA1460&lt;&gt;"ja",_xlfn.IFNA(_xlfn.IFS(AND(O1460&lt;&gt;"",F1460&lt;&gt;"",RIGHT($N1460,6)="tarief",F1460="Vergoeding"),SUM(O1460)*FLOOR(SUM(Q1460),0.0001),AND(O1460&lt;&gt;"",F1460&lt;&gt;"",RIGHT($N1460,6)="tarief"),SUM(O1460)*FLOOR(SUM(Q1460),0.01),S1460&gt;0,IF(F1460&lt;&gt;"",FLOOR(SUM(S1460),0.01),"")),""),""),"")</f>
        <v/>
      </c>
      <c r="V1460" s="317" t="str" cm="1">
        <f t="array" aca="1" ref="V1460" ca="1">IFERROR(IF(AA1460&lt;&gt;"ja",_xlfn.IFNA(_xlfn.IFS(AND(P1460&lt;&gt;"",R1460&lt;&gt;"",RIGHT($N1460,6)="tarief",F1460="Vergoeding"),SUM(P1460)*FLOOR(SUM(R1460),0.0001),AND(P1460&lt;&gt;"",R1460&lt;&gt;"",RIGHT($N1460,6)="tarief"),P1460*FLOOR(R1460,0.01),T1460&gt;0,FLOOR(SUM(T1460),0.01)),""),""),"")</f>
        <v/>
      </c>
      <c r="W1460" s="317" t="str" cm="1">
        <f t="array" aca="1" ref="W1460" ca="1">IFERROR(_xlfn.IFS(OR(F1460="",LEFT(Methode_Keuze,4)="Geen",Methode_Keuze=""),"",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17" t="str" cm="1">
        <f t="array" aca="1" ref="X1460" ca="1">IFERROR(_xlfn.IFS(OR(F1460="",LEFT(Methode_Keuze,4)="Geen",Methode_Keuze=""),"",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26"/>
      <c r="Z1460" s="319"/>
      <c r="AA1460" s="32" t="str" cm="1">
        <f t="array" ref="AA1460">IFERROR(IF(INDEX(SubsidieTabel!$AD$1:$AG$12,MATCH($F1460,SubsidieTabel!$AD$1:$AD$12,0),IFERROR(MATCH(Methode_Keuze,SubsidieTabel!$AD$1:$AG$1,0),2))&lt;&gt;1=TRUE,"ja",""),"")</f>
        <v/>
      </c>
    </row>
    <row r="1461" spans="1:27" x14ac:dyDescent="0.25">
      <c r="A1461" s="320"/>
      <c r="B1461" s="321" t="str">
        <f>IF(A1461&lt;&gt;"",_xlfn.MAXIFS($B$1:B1460,$A$1:A1460,A1461)+1,"")</f>
        <v/>
      </c>
      <c r="C1461" s="299"/>
      <c r="D1461" s="299"/>
      <c r="E1461" s="299"/>
      <c r="F1461" s="299"/>
      <c r="G1461" s="330"/>
      <c r="H1461" s="328"/>
      <c r="I1461" s="329"/>
      <c r="J1461" s="329"/>
      <c r="K1461" s="322"/>
      <c r="L1461" s="322"/>
      <c r="M1461" s="323" t="str">
        <f>IFERROR(VLOOKUP(H1461,Lijsten!$H$1:$I$100,2,0),"")</f>
        <v/>
      </c>
      <c r="N1461" s="323" t="str">
        <f ca="1">IFERROR(IF(VLOOKUP(F1461,Kostentypen!$A$3:$E$21,3,0)=0,"",IF(OR(F1461="Arbeidskosten",F1461="Vergoeding"),VLOOKUP(G1461,Tb_KostenTypen[],2,0),VLOOKUP(F1461,Kostentypen!$A$3:$E$20,3,0))),"")</f>
        <v/>
      </c>
      <c r="O1461" s="324"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4"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3"/>
      <c r="R1461" s="363"/>
      <c r="S1461" s="325"/>
      <c r="T1461" s="325"/>
      <c r="U1461" s="317" t="str" cm="1">
        <f t="array" aca="1" ref="U1461" ca="1">IFERROR(IF(AA1461&lt;&gt;"ja",_xlfn.IFNA(_xlfn.IFS(AND(O1461&lt;&gt;"",F1461&lt;&gt;"",RIGHT($N1461,6)="tarief",F1461="Vergoeding"),SUM(O1461)*FLOOR(SUM(Q1461),0.0001),AND(O1461&lt;&gt;"",F1461&lt;&gt;"",RIGHT($N1461,6)="tarief"),SUM(O1461)*FLOOR(SUM(Q1461),0.01),S1461&gt;0,IF(F1461&lt;&gt;"",FLOOR(SUM(S1461),0.01),"")),""),""),"")</f>
        <v/>
      </c>
      <c r="V1461" s="317" t="str" cm="1">
        <f t="array" aca="1" ref="V1461" ca="1">IFERROR(IF(AA1461&lt;&gt;"ja",_xlfn.IFNA(_xlfn.IFS(AND(P1461&lt;&gt;"",R1461&lt;&gt;"",RIGHT($N1461,6)="tarief",F1461="Vergoeding"),SUM(P1461)*FLOOR(SUM(R1461),0.0001),AND(P1461&lt;&gt;"",R1461&lt;&gt;"",RIGHT($N1461,6)="tarief"),P1461*FLOOR(R1461,0.01),T1461&gt;0,FLOOR(SUM(T1461),0.01)),""),""),"")</f>
        <v/>
      </c>
      <c r="W1461" s="317" t="str" cm="1">
        <f t="array" aca="1" ref="W1461" ca="1">IFERROR(_xlfn.IFS(OR(F1461="",LEFT(Methode_Keuze,4)="Geen",Methode_Keuze=""),"",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17" t="str" cm="1">
        <f t="array" aca="1" ref="X1461" ca="1">IFERROR(_xlfn.IFS(OR(F1461="",LEFT(Methode_Keuze,4)="Geen",Methode_Keuze=""),"",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26"/>
      <c r="Z1461" s="319"/>
      <c r="AA1461" s="32" t="str" cm="1">
        <f t="array" ref="AA1461">IFERROR(IF(INDEX(SubsidieTabel!$AD$1:$AG$12,MATCH($F1461,SubsidieTabel!$AD$1:$AD$12,0),IFERROR(MATCH(Methode_Keuze,SubsidieTabel!$AD$1:$AG$1,0),2))&lt;&gt;1=TRUE,"ja",""),"")</f>
        <v/>
      </c>
    </row>
    <row r="1462" spans="1:27" x14ac:dyDescent="0.25">
      <c r="A1462" s="320"/>
      <c r="B1462" s="321" t="str">
        <f>IF(A1462&lt;&gt;"",_xlfn.MAXIFS($B$1:B1461,$A$1:A1461,A1462)+1,"")</f>
        <v/>
      </c>
      <c r="C1462" s="299"/>
      <c r="D1462" s="299"/>
      <c r="E1462" s="299"/>
      <c r="F1462" s="299"/>
      <c r="G1462" s="330"/>
      <c r="H1462" s="328"/>
      <c r="I1462" s="329"/>
      <c r="J1462" s="329"/>
      <c r="K1462" s="322"/>
      <c r="L1462" s="322"/>
      <c r="M1462" s="323" t="str">
        <f>IFERROR(VLOOKUP(H1462,Lijsten!$H$1:$I$100,2,0),"")</f>
        <v/>
      </c>
      <c r="N1462" s="323" t="str">
        <f ca="1">IFERROR(IF(VLOOKUP(F1462,Kostentypen!$A$3:$E$21,3,0)=0,"",IF(OR(F1462="Arbeidskosten",F1462="Vergoeding"),VLOOKUP(G1462,Tb_KostenTypen[],2,0),VLOOKUP(F1462,Kostentypen!$A$3:$E$20,3,0))),"")</f>
        <v/>
      </c>
      <c r="O1462" s="324"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4"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3"/>
      <c r="R1462" s="363"/>
      <c r="S1462" s="325"/>
      <c r="T1462" s="325"/>
      <c r="U1462" s="317" t="str" cm="1">
        <f t="array" aca="1" ref="U1462" ca="1">IFERROR(IF(AA1462&lt;&gt;"ja",_xlfn.IFNA(_xlfn.IFS(AND(O1462&lt;&gt;"",F1462&lt;&gt;"",RIGHT($N1462,6)="tarief",F1462="Vergoeding"),SUM(O1462)*FLOOR(SUM(Q1462),0.0001),AND(O1462&lt;&gt;"",F1462&lt;&gt;"",RIGHT($N1462,6)="tarief"),SUM(O1462)*FLOOR(SUM(Q1462),0.01),S1462&gt;0,IF(F1462&lt;&gt;"",FLOOR(SUM(S1462),0.01),"")),""),""),"")</f>
        <v/>
      </c>
      <c r="V1462" s="317" t="str" cm="1">
        <f t="array" aca="1" ref="V1462" ca="1">IFERROR(IF(AA1462&lt;&gt;"ja",_xlfn.IFNA(_xlfn.IFS(AND(P1462&lt;&gt;"",R1462&lt;&gt;"",RIGHT($N1462,6)="tarief",F1462="Vergoeding"),SUM(P1462)*FLOOR(SUM(R1462),0.0001),AND(P1462&lt;&gt;"",R1462&lt;&gt;"",RIGHT($N1462,6)="tarief"),P1462*FLOOR(R1462,0.01),T1462&gt;0,FLOOR(SUM(T1462),0.01)),""),""),"")</f>
        <v/>
      </c>
      <c r="W1462" s="317" t="str" cm="1">
        <f t="array" aca="1" ref="W1462" ca="1">IFERROR(_xlfn.IFS(OR(F1462="",LEFT(Methode_Keuze,4)="Geen",Methode_Keuze=""),"",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17" t="str" cm="1">
        <f t="array" aca="1" ref="X1462" ca="1">IFERROR(_xlfn.IFS(OR(F1462="",LEFT(Methode_Keuze,4)="Geen",Methode_Keuze=""),"",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26"/>
      <c r="Z1462" s="319"/>
      <c r="AA1462" s="32" t="str" cm="1">
        <f t="array" ref="AA1462">IFERROR(IF(INDEX(SubsidieTabel!$AD$1:$AG$12,MATCH($F1462,SubsidieTabel!$AD$1:$AD$12,0),IFERROR(MATCH(Methode_Keuze,SubsidieTabel!$AD$1:$AG$1,0),2))&lt;&gt;1=TRUE,"ja",""),"")</f>
        <v/>
      </c>
    </row>
    <row r="1463" spans="1:27" x14ac:dyDescent="0.25">
      <c r="A1463" s="320"/>
      <c r="B1463" s="321" t="str">
        <f>IF(A1463&lt;&gt;"",_xlfn.MAXIFS($B$1:B1462,$A$1:A1462,A1463)+1,"")</f>
        <v/>
      </c>
      <c r="C1463" s="299"/>
      <c r="D1463" s="299"/>
      <c r="E1463" s="299"/>
      <c r="F1463" s="299"/>
      <c r="G1463" s="330"/>
      <c r="H1463" s="328"/>
      <c r="I1463" s="329"/>
      <c r="J1463" s="329"/>
      <c r="K1463" s="322"/>
      <c r="L1463" s="322"/>
      <c r="M1463" s="323" t="str">
        <f>IFERROR(VLOOKUP(H1463,Lijsten!$H$1:$I$100,2,0),"")</f>
        <v/>
      </c>
      <c r="N1463" s="323" t="str">
        <f ca="1">IFERROR(IF(VLOOKUP(F1463,Kostentypen!$A$3:$E$21,3,0)=0,"",IF(OR(F1463="Arbeidskosten",F1463="Vergoeding"),VLOOKUP(G1463,Tb_KostenTypen[],2,0),VLOOKUP(F1463,Kostentypen!$A$3:$E$20,3,0))),"")</f>
        <v/>
      </c>
      <c r="O1463" s="324"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4"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3"/>
      <c r="R1463" s="363"/>
      <c r="S1463" s="325"/>
      <c r="T1463" s="325"/>
      <c r="U1463" s="317" t="str" cm="1">
        <f t="array" aca="1" ref="U1463" ca="1">IFERROR(IF(AA1463&lt;&gt;"ja",_xlfn.IFNA(_xlfn.IFS(AND(O1463&lt;&gt;"",F1463&lt;&gt;"",RIGHT($N1463,6)="tarief",F1463="Vergoeding"),SUM(O1463)*FLOOR(SUM(Q1463),0.0001),AND(O1463&lt;&gt;"",F1463&lt;&gt;"",RIGHT($N1463,6)="tarief"),SUM(O1463)*FLOOR(SUM(Q1463),0.01),S1463&gt;0,IF(F1463&lt;&gt;"",FLOOR(SUM(S1463),0.01),"")),""),""),"")</f>
        <v/>
      </c>
      <c r="V1463" s="317" t="str" cm="1">
        <f t="array" aca="1" ref="V1463" ca="1">IFERROR(IF(AA1463&lt;&gt;"ja",_xlfn.IFNA(_xlfn.IFS(AND(P1463&lt;&gt;"",R1463&lt;&gt;"",RIGHT($N1463,6)="tarief",F1463="Vergoeding"),SUM(P1463)*FLOOR(SUM(R1463),0.0001),AND(P1463&lt;&gt;"",R1463&lt;&gt;"",RIGHT($N1463,6)="tarief"),P1463*FLOOR(R1463,0.01),T1463&gt;0,FLOOR(SUM(T1463),0.01)),""),""),"")</f>
        <v/>
      </c>
      <c r="W1463" s="317" t="str" cm="1">
        <f t="array" aca="1" ref="W1463" ca="1">IFERROR(_xlfn.IFS(OR(F1463="",LEFT(Methode_Keuze,4)="Geen",Methode_Keuze=""),"",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17" t="str" cm="1">
        <f t="array" aca="1" ref="X1463" ca="1">IFERROR(_xlfn.IFS(OR(F1463="",LEFT(Methode_Keuze,4)="Geen",Methode_Keuze=""),"",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26"/>
      <c r="Z1463" s="319"/>
      <c r="AA1463" s="32" t="str" cm="1">
        <f t="array" ref="AA1463">IFERROR(IF(INDEX(SubsidieTabel!$AD$1:$AG$12,MATCH($F1463,SubsidieTabel!$AD$1:$AD$12,0),IFERROR(MATCH(Methode_Keuze,SubsidieTabel!$AD$1:$AG$1,0),2))&lt;&gt;1=TRUE,"ja",""),"")</f>
        <v/>
      </c>
    </row>
    <row r="1464" spans="1:27" x14ac:dyDescent="0.25">
      <c r="A1464" s="320"/>
      <c r="B1464" s="321" t="str">
        <f>IF(A1464&lt;&gt;"",_xlfn.MAXIFS($B$1:B1463,$A$1:A1463,A1464)+1,"")</f>
        <v/>
      </c>
      <c r="C1464" s="299"/>
      <c r="D1464" s="299"/>
      <c r="E1464" s="299"/>
      <c r="F1464" s="299"/>
      <c r="G1464" s="330"/>
      <c r="H1464" s="328"/>
      <c r="I1464" s="329"/>
      <c r="J1464" s="329"/>
      <c r="K1464" s="322"/>
      <c r="L1464" s="322"/>
      <c r="M1464" s="323" t="str">
        <f>IFERROR(VLOOKUP(H1464,Lijsten!$H$1:$I$100,2,0),"")</f>
        <v/>
      </c>
      <c r="N1464" s="323" t="str">
        <f ca="1">IFERROR(IF(VLOOKUP(F1464,Kostentypen!$A$3:$E$21,3,0)=0,"",IF(OR(F1464="Arbeidskosten",F1464="Vergoeding"),VLOOKUP(G1464,Tb_KostenTypen[],2,0),VLOOKUP(F1464,Kostentypen!$A$3:$E$20,3,0))),"")</f>
        <v/>
      </c>
      <c r="O1464" s="324"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4"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3"/>
      <c r="R1464" s="363"/>
      <c r="S1464" s="325"/>
      <c r="T1464" s="325"/>
      <c r="U1464" s="317" t="str" cm="1">
        <f t="array" aca="1" ref="U1464" ca="1">IFERROR(IF(AA1464&lt;&gt;"ja",_xlfn.IFNA(_xlfn.IFS(AND(O1464&lt;&gt;"",F1464&lt;&gt;"",RIGHT($N1464,6)="tarief",F1464="Vergoeding"),SUM(O1464)*FLOOR(SUM(Q1464),0.0001),AND(O1464&lt;&gt;"",F1464&lt;&gt;"",RIGHT($N1464,6)="tarief"),SUM(O1464)*FLOOR(SUM(Q1464),0.01),S1464&gt;0,IF(F1464&lt;&gt;"",FLOOR(SUM(S1464),0.01),"")),""),""),"")</f>
        <v/>
      </c>
      <c r="V1464" s="317" t="str" cm="1">
        <f t="array" aca="1" ref="V1464" ca="1">IFERROR(IF(AA1464&lt;&gt;"ja",_xlfn.IFNA(_xlfn.IFS(AND(P1464&lt;&gt;"",R1464&lt;&gt;"",RIGHT($N1464,6)="tarief",F1464="Vergoeding"),SUM(P1464)*FLOOR(SUM(R1464),0.0001),AND(P1464&lt;&gt;"",R1464&lt;&gt;"",RIGHT($N1464,6)="tarief"),P1464*FLOOR(R1464,0.01),T1464&gt;0,FLOOR(SUM(T1464),0.01)),""),""),"")</f>
        <v/>
      </c>
      <c r="W1464" s="317" t="str" cm="1">
        <f t="array" aca="1" ref="W1464" ca="1">IFERROR(_xlfn.IFS(OR(F1464="",LEFT(Methode_Keuze,4)="Geen",Methode_Keuze=""),"",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17" t="str" cm="1">
        <f t="array" aca="1" ref="X1464" ca="1">IFERROR(_xlfn.IFS(OR(F1464="",LEFT(Methode_Keuze,4)="Geen",Methode_Keuze=""),"",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26"/>
      <c r="Z1464" s="319"/>
      <c r="AA1464" s="32" t="str" cm="1">
        <f t="array" ref="AA1464">IFERROR(IF(INDEX(SubsidieTabel!$AD$1:$AG$12,MATCH($F1464,SubsidieTabel!$AD$1:$AD$12,0),IFERROR(MATCH(Methode_Keuze,SubsidieTabel!$AD$1:$AG$1,0),2))&lt;&gt;1=TRUE,"ja",""),"")</f>
        <v/>
      </c>
    </row>
    <row r="1465" spans="1:27" x14ac:dyDescent="0.25">
      <c r="A1465" s="320"/>
      <c r="B1465" s="321" t="str">
        <f>IF(A1465&lt;&gt;"",_xlfn.MAXIFS($B$1:B1464,$A$1:A1464,A1465)+1,"")</f>
        <v/>
      </c>
      <c r="C1465" s="299"/>
      <c r="D1465" s="299"/>
      <c r="E1465" s="299"/>
      <c r="F1465" s="299"/>
      <c r="G1465" s="330"/>
      <c r="H1465" s="328"/>
      <c r="I1465" s="329"/>
      <c r="J1465" s="329"/>
      <c r="K1465" s="322"/>
      <c r="L1465" s="322"/>
      <c r="M1465" s="323" t="str">
        <f>IFERROR(VLOOKUP(H1465,Lijsten!$H$1:$I$100,2,0),"")</f>
        <v/>
      </c>
      <c r="N1465" s="323" t="str">
        <f ca="1">IFERROR(IF(VLOOKUP(F1465,Kostentypen!$A$3:$E$21,3,0)=0,"",IF(OR(F1465="Arbeidskosten",F1465="Vergoeding"),VLOOKUP(G1465,Tb_KostenTypen[],2,0),VLOOKUP(F1465,Kostentypen!$A$3:$E$20,3,0))),"")</f>
        <v/>
      </c>
      <c r="O1465" s="324"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4"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3"/>
      <c r="R1465" s="363"/>
      <c r="S1465" s="325"/>
      <c r="T1465" s="325"/>
      <c r="U1465" s="317" t="str" cm="1">
        <f t="array" aca="1" ref="U1465" ca="1">IFERROR(IF(AA1465&lt;&gt;"ja",_xlfn.IFNA(_xlfn.IFS(AND(O1465&lt;&gt;"",F1465&lt;&gt;"",RIGHT($N1465,6)="tarief",F1465="Vergoeding"),SUM(O1465)*FLOOR(SUM(Q1465),0.0001),AND(O1465&lt;&gt;"",F1465&lt;&gt;"",RIGHT($N1465,6)="tarief"),SUM(O1465)*FLOOR(SUM(Q1465),0.01),S1465&gt;0,IF(F1465&lt;&gt;"",FLOOR(SUM(S1465),0.01),"")),""),""),"")</f>
        <v/>
      </c>
      <c r="V1465" s="317" t="str" cm="1">
        <f t="array" aca="1" ref="V1465" ca="1">IFERROR(IF(AA1465&lt;&gt;"ja",_xlfn.IFNA(_xlfn.IFS(AND(P1465&lt;&gt;"",R1465&lt;&gt;"",RIGHT($N1465,6)="tarief",F1465="Vergoeding"),SUM(P1465)*FLOOR(SUM(R1465),0.0001),AND(P1465&lt;&gt;"",R1465&lt;&gt;"",RIGHT($N1465,6)="tarief"),P1465*FLOOR(R1465,0.01),T1465&gt;0,FLOOR(SUM(T1465),0.01)),""),""),"")</f>
        <v/>
      </c>
      <c r="W1465" s="317" t="str" cm="1">
        <f t="array" aca="1" ref="W1465" ca="1">IFERROR(_xlfn.IFS(OR(F1465="",LEFT(Methode_Keuze,4)="Geen",Methode_Keuze=""),"",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17" t="str" cm="1">
        <f t="array" aca="1" ref="X1465" ca="1">IFERROR(_xlfn.IFS(OR(F1465="",LEFT(Methode_Keuze,4)="Geen",Methode_Keuze=""),"",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26"/>
      <c r="Z1465" s="319"/>
      <c r="AA1465" s="32" t="str" cm="1">
        <f t="array" ref="AA1465">IFERROR(IF(INDEX(SubsidieTabel!$AD$1:$AG$12,MATCH($F1465,SubsidieTabel!$AD$1:$AD$12,0),IFERROR(MATCH(Methode_Keuze,SubsidieTabel!$AD$1:$AG$1,0),2))&lt;&gt;1=TRUE,"ja",""),"")</f>
        <v/>
      </c>
    </row>
    <row r="1466" spans="1:27" x14ac:dyDescent="0.25">
      <c r="A1466" s="320"/>
      <c r="B1466" s="321" t="str">
        <f>IF(A1466&lt;&gt;"",_xlfn.MAXIFS($B$1:B1465,$A$1:A1465,A1466)+1,"")</f>
        <v/>
      </c>
      <c r="C1466" s="299"/>
      <c r="D1466" s="299"/>
      <c r="E1466" s="299"/>
      <c r="F1466" s="299"/>
      <c r="G1466" s="330"/>
      <c r="H1466" s="328"/>
      <c r="I1466" s="329"/>
      <c r="J1466" s="329"/>
      <c r="K1466" s="322"/>
      <c r="L1466" s="322"/>
      <c r="M1466" s="323" t="str">
        <f>IFERROR(VLOOKUP(H1466,Lijsten!$H$1:$I$100,2,0),"")</f>
        <v/>
      </c>
      <c r="N1466" s="323" t="str">
        <f ca="1">IFERROR(IF(VLOOKUP(F1466,Kostentypen!$A$3:$E$21,3,0)=0,"",IF(OR(F1466="Arbeidskosten",F1466="Vergoeding"),VLOOKUP(G1466,Tb_KostenTypen[],2,0),VLOOKUP(F1466,Kostentypen!$A$3:$E$20,3,0))),"")</f>
        <v/>
      </c>
      <c r="O1466" s="324"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4"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3"/>
      <c r="R1466" s="363"/>
      <c r="S1466" s="325"/>
      <c r="T1466" s="325"/>
      <c r="U1466" s="317" t="str" cm="1">
        <f t="array" aca="1" ref="U1466" ca="1">IFERROR(IF(AA1466&lt;&gt;"ja",_xlfn.IFNA(_xlfn.IFS(AND(O1466&lt;&gt;"",F1466&lt;&gt;"",RIGHT($N1466,6)="tarief",F1466="Vergoeding"),SUM(O1466)*FLOOR(SUM(Q1466),0.0001),AND(O1466&lt;&gt;"",F1466&lt;&gt;"",RIGHT($N1466,6)="tarief"),SUM(O1466)*FLOOR(SUM(Q1466),0.01),S1466&gt;0,IF(F1466&lt;&gt;"",FLOOR(SUM(S1466),0.01),"")),""),""),"")</f>
        <v/>
      </c>
      <c r="V1466" s="317" t="str" cm="1">
        <f t="array" aca="1" ref="V1466" ca="1">IFERROR(IF(AA1466&lt;&gt;"ja",_xlfn.IFNA(_xlfn.IFS(AND(P1466&lt;&gt;"",R1466&lt;&gt;"",RIGHT($N1466,6)="tarief",F1466="Vergoeding"),SUM(P1466)*FLOOR(SUM(R1466),0.0001),AND(P1466&lt;&gt;"",R1466&lt;&gt;"",RIGHT($N1466,6)="tarief"),P1466*FLOOR(R1466,0.01),T1466&gt;0,FLOOR(SUM(T1466),0.01)),""),""),"")</f>
        <v/>
      </c>
      <c r="W1466" s="317" t="str" cm="1">
        <f t="array" aca="1" ref="W1466" ca="1">IFERROR(_xlfn.IFS(OR(F1466="",LEFT(Methode_Keuze,4)="Geen",Methode_Keuze=""),"",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17" t="str" cm="1">
        <f t="array" aca="1" ref="X1466" ca="1">IFERROR(_xlfn.IFS(OR(F1466="",LEFT(Methode_Keuze,4)="Geen",Methode_Keuze=""),"",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26"/>
      <c r="Z1466" s="319"/>
      <c r="AA1466" s="32" t="str" cm="1">
        <f t="array" ref="AA1466">IFERROR(IF(INDEX(SubsidieTabel!$AD$1:$AG$12,MATCH($F1466,SubsidieTabel!$AD$1:$AD$12,0),IFERROR(MATCH(Methode_Keuze,SubsidieTabel!$AD$1:$AG$1,0),2))&lt;&gt;1=TRUE,"ja",""),"")</f>
        <v/>
      </c>
    </row>
    <row r="1467" spans="1:27" x14ac:dyDescent="0.25">
      <c r="A1467" s="320"/>
      <c r="B1467" s="321" t="str">
        <f>IF(A1467&lt;&gt;"",_xlfn.MAXIFS($B$1:B1466,$A$1:A1466,A1467)+1,"")</f>
        <v/>
      </c>
      <c r="C1467" s="299"/>
      <c r="D1467" s="299"/>
      <c r="E1467" s="299"/>
      <c r="F1467" s="299"/>
      <c r="G1467" s="330"/>
      <c r="H1467" s="328"/>
      <c r="I1467" s="329"/>
      <c r="J1467" s="329"/>
      <c r="K1467" s="322"/>
      <c r="L1467" s="322"/>
      <c r="M1467" s="323" t="str">
        <f>IFERROR(VLOOKUP(H1467,Lijsten!$H$1:$I$100,2,0),"")</f>
        <v/>
      </c>
      <c r="N1467" s="323" t="str">
        <f ca="1">IFERROR(IF(VLOOKUP(F1467,Kostentypen!$A$3:$E$21,3,0)=0,"",IF(OR(F1467="Arbeidskosten",F1467="Vergoeding"),VLOOKUP(G1467,Tb_KostenTypen[],2,0),VLOOKUP(F1467,Kostentypen!$A$3:$E$20,3,0))),"")</f>
        <v/>
      </c>
      <c r="O1467" s="324"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4"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3"/>
      <c r="R1467" s="363"/>
      <c r="S1467" s="325"/>
      <c r="T1467" s="325"/>
      <c r="U1467" s="317" t="str" cm="1">
        <f t="array" aca="1" ref="U1467" ca="1">IFERROR(IF(AA1467&lt;&gt;"ja",_xlfn.IFNA(_xlfn.IFS(AND(O1467&lt;&gt;"",F1467&lt;&gt;"",RIGHT($N1467,6)="tarief",F1467="Vergoeding"),SUM(O1467)*FLOOR(SUM(Q1467),0.0001),AND(O1467&lt;&gt;"",F1467&lt;&gt;"",RIGHT($N1467,6)="tarief"),SUM(O1467)*FLOOR(SUM(Q1467),0.01),S1467&gt;0,IF(F1467&lt;&gt;"",FLOOR(SUM(S1467),0.01),"")),""),""),"")</f>
        <v/>
      </c>
      <c r="V1467" s="317" t="str" cm="1">
        <f t="array" aca="1" ref="V1467" ca="1">IFERROR(IF(AA1467&lt;&gt;"ja",_xlfn.IFNA(_xlfn.IFS(AND(P1467&lt;&gt;"",R1467&lt;&gt;"",RIGHT($N1467,6)="tarief",F1467="Vergoeding"),SUM(P1467)*FLOOR(SUM(R1467),0.0001),AND(P1467&lt;&gt;"",R1467&lt;&gt;"",RIGHT($N1467,6)="tarief"),P1467*FLOOR(R1467,0.01),T1467&gt;0,FLOOR(SUM(T1467),0.01)),""),""),"")</f>
        <v/>
      </c>
      <c r="W1467" s="317" t="str" cm="1">
        <f t="array" aca="1" ref="W1467" ca="1">IFERROR(_xlfn.IFS(OR(F1467="",LEFT(Methode_Keuze,4)="Geen",Methode_Keuze=""),"",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17" t="str" cm="1">
        <f t="array" aca="1" ref="X1467" ca="1">IFERROR(_xlfn.IFS(OR(F1467="",LEFT(Methode_Keuze,4)="Geen",Methode_Keuze=""),"",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26"/>
      <c r="Z1467" s="319"/>
      <c r="AA1467" s="32" t="str" cm="1">
        <f t="array" ref="AA1467">IFERROR(IF(INDEX(SubsidieTabel!$AD$1:$AG$12,MATCH($F1467,SubsidieTabel!$AD$1:$AD$12,0),IFERROR(MATCH(Methode_Keuze,SubsidieTabel!$AD$1:$AG$1,0),2))&lt;&gt;1=TRUE,"ja",""),"")</f>
        <v/>
      </c>
    </row>
    <row r="1468" spans="1:27" x14ac:dyDescent="0.25">
      <c r="A1468" s="320"/>
      <c r="B1468" s="321" t="str">
        <f>IF(A1468&lt;&gt;"",_xlfn.MAXIFS($B$1:B1467,$A$1:A1467,A1468)+1,"")</f>
        <v/>
      </c>
      <c r="C1468" s="299"/>
      <c r="D1468" s="299"/>
      <c r="E1468" s="299"/>
      <c r="F1468" s="299"/>
      <c r="G1468" s="330"/>
      <c r="H1468" s="328"/>
      <c r="I1468" s="329"/>
      <c r="J1468" s="329"/>
      <c r="K1468" s="322"/>
      <c r="L1468" s="322"/>
      <c r="M1468" s="323" t="str">
        <f>IFERROR(VLOOKUP(H1468,Lijsten!$H$1:$I$100,2,0),"")</f>
        <v/>
      </c>
      <c r="N1468" s="323" t="str">
        <f ca="1">IFERROR(IF(VLOOKUP(F1468,Kostentypen!$A$3:$E$21,3,0)=0,"",IF(OR(F1468="Arbeidskosten",F1468="Vergoeding"),VLOOKUP(G1468,Tb_KostenTypen[],2,0),VLOOKUP(F1468,Kostentypen!$A$3:$E$20,3,0))),"")</f>
        <v/>
      </c>
      <c r="O1468" s="324"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4"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3"/>
      <c r="R1468" s="363"/>
      <c r="S1468" s="325"/>
      <c r="T1468" s="325"/>
      <c r="U1468" s="317" t="str" cm="1">
        <f t="array" aca="1" ref="U1468" ca="1">IFERROR(IF(AA1468&lt;&gt;"ja",_xlfn.IFNA(_xlfn.IFS(AND(O1468&lt;&gt;"",F1468&lt;&gt;"",RIGHT($N1468,6)="tarief",F1468="Vergoeding"),SUM(O1468)*FLOOR(SUM(Q1468),0.0001),AND(O1468&lt;&gt;"",F1468&lt;&gt;"",RIGHT($N1468,6)="tarief"),SUM(O1468)*FLOOR(SUM(Q1468),0.01),S1468&gt;0,IF(F1468&lt;&gt;"",FLOOR(SUM(S1468),0.01),"")),""),""),"")</f>
        <v/>
      </c>
      <c r="V1468" s="317" t="str" cm="1">
        <f t="array" aca="1" ref="V1468" ca="1">IFERROR(IF(AA1468&lt;&gt;"ja",_xlfn.IFNA(_xlfn.IFS(AND(P1468&lt;&gt;"",R1468&lt;&gt;"",RIGHT($N1468,6)="tarief",F1468="Vergoeding"),SUM(P1468)*FLOOR(SUM(R1468),0.0001),AND(P1468&lt;&gt;"",R1468&lt;&gt;"",RIGHT($N1468,6)="tarief"),P1468*FLOOR(R1468,0.01),T1468&gt;0,FLOOR(SUM(T1468),0.01)),""),""),"")</f>
        <v/>
      </c>
      <c r="W1468" s="317" t="str" cm="1">
        <f t="array" aca="1" ref="W1468" ca="1">IFERROR(_xlfn.IFS(OR(F1468="",LEFT(Methode_Keuze,4)="Geen",Methode_Keuze=""),"",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17" t="str" cm="1">
        <f t="array" aca="1" ref="X1468" ca="1">IFERROR(_xlfn.IFS(OR(F1468="",LEFT(Methode_Keuze,4)="Geen",Methode_Keuze=""),"",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26"/>
      <c r="Z1468" s="319"/>
      <c r="AA1468" s="32" t="str" cm="1">
        <f t="array" ref="AA1468">IFERROR(IF(INDEX(SubsidieTabel!$AD$1:$AG$12,MATCH($F1468,SubsidieTabel!$AD$1:$AD$12,0),IFERROR(MATCH(Methode_Keuze,SubsidieTabel!$AD$1:$AG$1,0),2))&lt;&gt;1=TRUE,"ja",""),"")</f>
        <v/>
      </c>
    </row>
    <row r="1469" spans="1:27" x14ac:dyDescent="0.25">
      <c r="A1469" s="320"/>
      <c r="B1469" s="321" t="str">
        <f>IF(A1469&lt;&gt;"",_xlfn.MAXIFS($B$1:B1468,$A$1:A1468,A1469)+1,"")</f>
        <v/>
      </c>
      <c r="C1469" s="299"/>
      <c r="D1469" s="299"/>
      <c r="E1469" s="299"/>
      <c r="F1469" s="299"/>
      <c r="G1469" s="330"/>
      <c r="H1469" s="328"/>
      <c r="I1469" s="329"/>
      <c r="J1469" s="329"/>
      <c r="K1469" s="322"/>
      <c r="L1469" s="322"/>
      <c r="M1469" s="323" t="str">
        <f>IFERROR(VLOOKUP(H1469,Lijsten!$H$1:$I$100,2,0),"")</f>
        <v/>
      </c>
      <c r="N1469" s="323" t="str">
        <f ca="1">IFERROR(IF(VLOOKUP(F1469,Kostentypen!$A$3:$E$21,3,0)=0,"",IF(OR(F1469="Arbeidskosten",F1469="Vergoeding"),VLOOKUP(G1469,Tb_KostenTypen[],2,0),VLOOKUP(F1469,Kostentypen!$A$3:$E$20,3,0))),"")</f>
        <v/>
      </c>
      <c r="O1469" s="324"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4"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3"/>
      <c r="R1469" s="363"/>
      <c r="S1469" s="325"/>
      <c r="T1469" s="325"/>
      <c r="U1469" s="317" t="str" cm="1">
        <f t="array" aca="1" ref="U1469" ca="1">IFERROR(IF(AA1469&lt;&gt;"ja",_xlfn.IFNA(_xlfn.IFS(AND(O1469&lt;&gt;"",F1469&lt;&gt;"",RIGHT($N1469,6)="tarief",F1469="Vergoeding"),SUM(O1469)*FLOOR(SUM(Q1469),0.0001),AND(O1469&lt;&gt;"",F1469&lt;&gt;"",RIGHT($N1469,6)="tarief"),SUM(O1469)*FLOOR(SUM(Q1469),0.01),S1469&gt;0,IF(F1469&lt;&gt;"",FLOOR(SUM(S1469),0.01),"")),""),""),"")</f>
        <v/>
      </c>
      <c r="V1469" s="317" t="str" cm="1">
        <f t="array" aca="1" ref="V1469" ca="1">IFERROR(IF(AA1469&lt;&gt;"ja",_xlfn.IFNA(_xlfn.IFS(AND(P1469&lt;&gt;"",R1469&lt;&gt;"",RIGHT($N1469,6)="tarief",F1469="Vergoeding"),SUM(P1469)*FLOOR(SUM(R1469),0.0001),AND(P1469&lt;&gt;"",R1469&lt;&gt;"",RIGHT($N1469,6)="tarief"),P1469*FLOOR(R1469,0.01),T1469&gt;0,FLOOR(SUM(T1469),0.01)),""),""),"")</f>
        <v/>
      </c>
      <c r="W1469" s="317" t="str" cm="1">
        <f t="array" aca="1" ref="W1469" ca="1">IFERROR(_xlfn.IFS(OR(F1469="",LEFT(Methode_Keuze,4)="Geen",Methode_Keuze=""),"",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17" t="str" cm="1">
        <f t="array" aca="1" ref="X1469" ca="1">IFERROR(_xlfn.IFS(OR(F1469="",LEFT(Methode_Keuze,4)="Geen",Methode_Keuze=""),"",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26"/>
      <c r="Z1469" s="319"/>
      <c r="AA1469" s="32" t="str" cm="1">
        <f t="array" ref="AA1469">IFERROR(IF(INDEX(SubsidieTabel!$AD$1:$AG$12,MATCH($F1469,SubsidieTabel!$AD$1:$AD$12,0),IFERROR(MATCH(Methode_Keuze,SubsidieTabel!$AD$1:$AG$1,0),2))&lt;&gt;1=TRUE,"ja",""),"")</f>
        <v/>
      </c>
    </row>
    <row r="1470" spans="1:27" x14ac:dyDescent="0.25">
      <c r="A1470" s="320"/>
      <c r="B1470" s="321" t="str">
        <f>IF(A1470&lt;&gt;"",_xlfn.MAXIFS($B$1:B1469,$A$1:A1469,A1470)+1,"")</f>
        <v/>
      </c>
      <c r="C1470" s="299"/>
      <c r="D1470" s="299"/>
      <c r="E1470" s="299"/>
      <c r="F1470" s="299"/>
      <c r="G1470" s="330"/>
      <c r="H1470" s="328"/>
      <c r="I1470" s="329"/>
      <c r="J1470" s="329"/>
      <c r="K1470" s="322"/>
      <c r="L1470" s="322"/>
      <c r="M1470" s="323" t="str">
        <f>IFERROR(VLOOKUP(H1470,Lijsten!$H$1:$I$100,2,0),"")</f>
        <v/>
      </c>
      <c r="N1470" s="323" t="str">
        <f ca="1">IFERROR(IF(VLOOKUP(F1470,Kostentypen!$A$3:$E$21,3,0)=0,"",IF(OR(F1470="Arbeidskosten",F1470="Vergoeding"),VLOOKUP(G1470,Tb_KostenTypen[],2,0),VLOOKUP(F1470,Kostentypen!$A$3:$E$20,3,0))),"")</f>
        <v/>
      </c>
      <c r="O1470" s="324"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4"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3"/>
      <c r="R1470" s="363"/>
      <c r="S1470" s="325"/>
      <c r="T1470" s="325"/>
      <c r="U1470" s="317" t="str" cm="1">
        <f t="array" aca="1" ref="U1470" ca="1">IFERROR(IF(AA1470&lt;&gt;"ja",_xlfn.IFNA(_xlfn.IFS(AND(O1470&lt;&gt;"",F1470&lt;&gt;"",RIGHT($N1470,6)="tarief",F1470="Vergoeding"),SUM(O1470)*FLOOR(SUM(Q1470),0.0001),AND(O1470&lt;&gt;"",F1470&lt;&gt;"",RIGHT($N1470,6)="tarief"),SUM(O1470)*FLOOR(SUM(Q1470),0.01),S1470&gt;0,IF(F1470&lt;&gt;"",FLOOR(SUM(S1470),0.01),"")),""),""),"")</f>
        <v/>
      </c>
      <c r="V1470" s="317" t="str" cm="1">
        <f t="array" aca="1" ref="V1470" ca="1">IFERROR(IF(AA1470&lt;&gt;"ja",_xlfn.IFNA(_xlfn.IFS(AND(P1470&lt;&gt;"",R1470&lt;&gt;"",RIGHT($N1470,6)="tarief",F1470="Vergoeding"),SUM(P1470)*FLOOR(SUM(R1470),0.0001),AND(P1470&lt;&gt;"",R1470&lt;&gt;"",RIGHT($N1470,6)="tarief"),P1470*FLOOR(R1470,0.01),T1470&gt;0,FLOOR(SUM(T1470),0.01)),""),""),"")</f>
        <v/>
      </c>
      <c r="W1470" s="317" t="str" cm="1">
        <f t="array" aca="1" ref="W1470" ca="1">IFERROR(_xlfn.IFS(OR(F1470="",LEFT(Methode_Keuze,4)="Geen",Methode_Keuze=""),"",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17" t="str" cm="1">
        <f t="array" aca="1" ref="X1470" ca="1">IFERROR(_xlfn.IFS(OR(F1470="",LEFT(Methode_Keuze,4)="Geen",Methode_Keuze=""),"",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26"/>
      <c r="Z1470" s="319"/>
      <c r="AA1470" s="32" t="str" cm="1">
        <f t="array" ref="AA1470">IFERROR(IF(INDEX(SubsidieTabel!$AD$1:$AG$12,MATCH($F1470,SubsidieTabel!$AD$1:$AD$12,0),IFERROR(MATCH(Methode_Keuze,SubsidieTabel!$AD$1:$AG$1,0),2))&lt;&gt;1=TRUE,"ja",""),"")</f>
        <v/>
      </c>
    </row>
    <row r="1471" spans="1:27" x14ac:dyDescent="0.25">
      <c r="A1471" s="320"/>
      <c r="B1471" s="321" t="str">
        <f>IF(A1471&lt;&gt;"",_xlfn.MAXIFS($B$1:B1470,$A$1:A1470,A1471)+1,"")</f>
        <v/>
      </c>
      <c r="C1471" s="299"/>
      <c r="D1471" s="299"/>
      <c r="E1471" s="299"/>
      <c r="F1471" s="299"/>
      <c r="G1471" s="330"/>
      <c r="H1471" s="328"/>
      <c r="I1471" s="329"/>
      <c r="J1471" s="329"/>
      <c r="K1471" s="322"/>
      <c r="L1471" s="322"/>
      <c r="M1471" s="323" t="str">
        <f>IFERROR(VLOOKUP(H1471,Lijsten!$H$1:$I$100,2,0),"")</f>
        <v/>
      </c>
      <c r="N1471" s="323" t="str">
        <f ca="1">IFERROR(IF(VLOOKUP(F1471,Kostentypen!$A$3:$E$21,3,0)=0,"",IF(OR(F1471="Arbeidskosten",F1471="Vergoeding"),VLOOKUP(G1471,Tb_KostenTypen[],2,0),VLOOKUP(F1471,Kostentypen!$A$3:$E$20,3,0))),"")</f>
        <v/>
      </c>
      <c r="O1471" s="324"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4"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3"/>
      <c r="R1471" s="363"/>
      <c r="S1471" s="325"/>
      <c r="T1471" s="325"/>
      <c r="U1471" s="317" t="str" cm="1">
        <f t="array" aca="1" ref="U1471" ca="1">IFERROR(IF(AA1471&lt;&gt;"ja",_xlfn.IFNA(_xlfn.IFS(AND(O1471&lt;&gt;"",F1471&lt;&gt;"",RIGHT($N1471,6)="tarief",F1471="Vergoeding"),SUM(O1471)*FLOOR(SUM(Q1471),0.0001),AND(O1471&lt;&gt;"",F1471&lt;&gt;"",RIGHT($N1471,6)="tarief"),SUM(O1471)*FLOOR(SUM(Q1471),0.01),S1471&gt;0,IF(F1471&lt;&gt;"",FLOOR(SUM(S1471),0.01),"")),""),""),"")</f>
        <v/>
      </c>
      <c r="V1471" s="317" t="str" cm="1">
        <f t="array" aca="1" ref="V1471" ca="1">IFERROR(IF(AA1471&lt;&gt;"ja",_xlfn.IFNA(_xlfn.IFS(AND(P1471&lt;&gt;"",R1471&lt;&gt;"",RIGHT($N1471,6)="tarief",F1471="Vergoeding"),SUM(P1471)*FLOOR(SUM(R1471),0.0001),AND(P1471&lt;&gt;"",R1471&lt;&gt;"",RIGHT($N1471,6)="tarief"),P1471*FLOOR(R1471,0.01),T1471&gt;0,FLOOR(SUM(T1471),0.01)),""),""),"")</f>
        <v/>
      </c>
      <c r="W1471" s="317" t="str" cm="1">
        <f t="array" aca="1" ref="W1471" ca="1">IFERROR(_xlfn.IFS(OR(F1471="",LEFT(Methode_Keuze,4)="Geen",Methode_Keuze=""),"",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17" t="str" cm="1">
        <f t="array" aca="1" ref="X1471" ca="1">IFERROR(_xlfn.IFS(OR(F1471="",LEFT(Methode_Keuze,4)="Geen",Methode_Keuze=""),"",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26"/>
      <c r="Z1471" s="319"/>
      <c r="AA1471" s="32" t="str" cm="1">
        <f t="array" ref="AA1471">IFERROR(IF(INDEX(SubsidieTabel!$AD$1:$AG$12,MATCH($F1471,SubsidieTabel!$AD$1:$AD$12,0),IFERROR(MATCH(Methode_Keuze,SubsidieTabel!$AD$1:$AG$1,0),2))&lt;&gt;1=TRUE,"ja",""),"")</f>
        <v/>
      </c>
    </row>
    <row r="1472" spans="1:27" x14ac:dyDescent="0.25">
      <c r="A1472" s="320"/>
      <c r="B1472" s="321" t="str">
        <f>IF(A1472&lt;&gt;"",_xlfn.MAXIFS($B$1:B1471,$A$1:A1471,A1472)+1,"")</f>
        <v/>
      </c>
      <c r="C1472" s="299"/>
      <c r="D1472" s="299"/>
      <c r="E1472" s="299"/>
      <c r="F1472" s="299"/>
      <c r="G1472" s="330"/>
      <c r="H1472" s="328"/>
      <c r="I1472" s="329"/>
      <c r="J1472" s="329"/>
      <c r="K1472" s="322"/>
      <c r="L1472" s="322"/>
      <c r="M1472" s="323" t="str">
        <f>IFERROR(VLOOKUP(H1472,Lijsten!$H$1:$I$100,2,0),"")</f>
        <v/>
      </c>
      <c r="N1472" s="323" t="str">
        <f ca="1">IFERROR(IF(VLOOKUP(F1472,Kostentypen!$A$3:$E$21,3,0)=0,"",IF(OR(F1472="Arbeidskosten",F1472="Vergoeding"),VLOOKUP(G1472,Tb_KostenTypen[],2,0),VLOOKUP(F1472,Kostentypen!$A$3:$E$20,3,0))),"")</f>
        <v/>
      </c>
      <c r="O1472" s="324"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4"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3"/>
      <c r="R1472" s="363"/>
      <c r="S1472" s="325"/>
      <c r="T1472" s="325"/>
      <c r="U1472" s="317" t="str" cm="1">
        <f t="array" aca="1" ref="U1472" ca="1">IFERROR(IF(AA1472&lt;&gt;"ja",_xlfn.IFNA(_xlfn.IFS(AND(O1472&lt;&gt;"",F1472&lt;&gt;"",RIGHT($N1472,6)="tarief",F1472="Vergoeding"),SUM(O1472)*FLOOR(SUM(Q1472),0.0001),AND(O1472&lt;&gt;"",F1472&lt;&gt;"",RIGHT($N1472,6)="tarief"),SUM(O1472)*FLOOR(SUM(Q1472),0.01),S1472&gt;0,IF(F1472&lt;&gt;"",FLOOR(SUM(S1472),0.01),"")),""),""),"")</f>
        <v/>
      </c>
      <c r="V1472" s="317" t="str" cm="1">
        <f t="array" aca="1" ref="V1472" ca="1">IFERROR(IF(AA1472&lt;&gt;"ja",_xlfn.IFNA(_xlfn.IFS(AND(P1472&lt;&gt;"",R1472&lt;&gt;"",RIGHT($N1472,6)="tarief",F1472="Vergoeding"),SUM(P1472)*FLOOR(SUM(R1472),0.0001),AND(P1472&lt;&gt;"",R1472&lt;&gt;"",RIGHT($N1472,6)="tarief"),P1472*FLOOR(R1472,0.01),T1472&gt;0,FLOOR(SUM(T1472),0.01)),""),""),"")</f>
        <v/>
      </c>
      <c r="W1472" s="317" t="str" cm="1">
        <f t="array" aca="1" ref="W1472" ca="1">IFERROR(_xlfn.IFS(OR(F1472="",LEFT(Methode_Keuze,4)="Geen",Methode_Keuze=""),"",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17" t="str" cm="1">
        <f t="array" aca="1" ref="X1472" ca="1">IFERROR(_xlfn.IFS(OR(F1472="",LEFT(Methode_Keuze,4)="Geen",Methode_Keuze=""),"",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26"/>
      <c r="Z1472" s="319"/>
      <c r="AA1472" s="32" t="str" cm="1">
        <f t="array" ref="AA1472">IFERROR(IF(INDEX(SubsidieTabel!$AD$1:$AG$12,MATCH($F1472,SubsidieTabel!$AD$1:$AD$12,0),IFERROR(MATCH(Methode_Keuze,SubsidieTabel!$AD$1:$AG$1,0),2))&lt;&gt;1=TRUE,"ja",""),"")</f>
        <v/>
      </c>
    </row>
    <row r="1473" spans="1:27" x14ac:dyDescent="0.25">
      <c r="A1473" s="320"/>
      <c r="B1473" s="321" t="str">
        <f>IF(A1473&lt;&gt;"",_xlfn.MAXIFS($B$1:B1472,$A$1:A1472,A1473)+1,"")</f>
        <v/>
      </c>
      <c r="C1473" s="299"/>
      <c r="D1473" s="299"/>
      <c r="E1473" s="299"/>
      <c r="F1473" s="299"/>
      <c r="G1473" s="330"/>
      <c r="H1473" s="328"/>
      <c r="I1473" s="329"/>
      <c r="J1473" s="329"/>
      <c r="K1473" s="322"/>
      <c r="L1473" s="322"/>
      <c r="M1473" s="323" t="str">
        <f>IFERROR(VLOOKUP(H1473,Lijsten!$H$1:$I$100,2,0),"")</f>
        <v/>
      </c>
      <c r="N1473" s="323" t="str">
        <f ca="1">IFERROR(IF(VLOOKUP(F1473,Kostentypen!$A$3:$E$21,3,0)=0,"",IF(OR(F1473="Arbeidskosten",F1473="Vergoeding"),VLOOKUP(G1473,Tb_KostenTypen[],2,0),VLOOKUP(F1473,Kostentypen!$A$3:$E$20,3,0))),"")</f>
        <v/>
      </c>
      <c r="O1473" s="324"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4"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3"/>
      <c r="R1473" s="363"/>
      <c r="S1473" s="325"/>
      <c r="T1473" s="325"/>
      <c r="U1473" s="317" t="str" cm="1">
        <f t="array" aca="1" ref="U1473" ca="1">IFERROR(IF(AA1473&lt;&gt;"ja",_xlfn.IFNA(_xlfn.IFS(AND(O1473&lt;&gt;"",F1473&lt;&gt;"",RIGHT($N1473,6)="tarief",F1473="Vergoeding"),SUM(O1473)*FLOOR(SUM(Q1473),0.0001),AND(O1473&lt;&gt;"",F1473&lt;&gt;"",RIGHT($N1473,6)="tarief"),SUM(O1473)*FLOOR(SUM(Q1473),0.01),S1473&gt;0,IF(F1473&lt;&gt;"",FLOOR(SUM(S1473),0.01),"")),""),""),"")</f>
        <v/>
      </c>
      <c r="V1473" s="317" t="str" cm="1">
        <f t="array" aca="1" ref="V1473" ca="1">IFERROR(IF(AA1473&lt;&gt;"ja",_xlfn.IFNA(_xlfn.IFS(AND(P1473&lt;&gt;"",R1473&lt;&gt;"",RIGHT($N1473,6)="tarief",F1473="Vergoeding"),SUM(P1473)*FLOOR(SUM(R1473),0.0001),AND(P1473&lt;&gt;"",R1473&lt;&gt;"",RIGHT($N1473,6)="tarief"),P1473*FLOOR(R1473,0.01),T1473&gt;0,FLOOR(SUM(T1473),0.01)),""),""),"")</f>
        <v/>
      </c>
      <c r="W1473" s="317" t="str" cm="1">
        <f t="array" aca="1" ref="W1473" ca="1">IFERROR(_xlfn.IFS(OR(F1473="",LEFT(Methode_Keuze,4)="Geen",Methode_Keuze=""),"",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17" t="str" cm="1">
        <f t="array" aca="1" ref="X1473" ca="1">IFERROR(_xlfn.IFS(OR(F1473="",LEFT(Methode_Keuze,4)="Geen",Methode_Keuze=""),"",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26"/>
      <c r="Z1473" s="319"/>
      <c r="AA1473" s="32" t="str" cm="1">
        <f t="array" ref="AA1473">IFERROR(IF(INDEX(SubsidieTabel!$AD$1:$AG$12,MATCH($F1473,SubsidieTabel!$AD$1:$AD$12,0),IFERROR(MATCH(Methode_Keuze,SubsidieTabel!$AD$1:$AG$1,0),2))&lt;&gt;1=TRUE,"ja",""),"")</f>
        <v/>
      </c>
    </row>
    <row r="1474" spans="1:27" x14ac:dyDescent="0.25">
      <c r="A1474" s="320"/>
      <c r="B1474" s="321" t="str">
        <f>IF(A1474&lt;&gt;"",_xlfn.MAXIFS($B$1:B1473,$A$1:A1473,A1474)+1,"")</f>
        <v/>
      </c>
      <c r="C1474" s="299"/>
      <c r="D1474" s="299"/>
      <c r="E1474" s="299"/>
      <c r="F1474" s="299"/>
      <c r="G1474" s="330"/>
      <c r="H1474" s="328"/>
      <c r="I1474" s="329"/>
      <c r="J1474" s="329"/>
      <c r="K1474" s="322"/>
      <c r="L1474" s="322"/>
      <c r="M1474" s="323" t="str">
        <f>IFERROR(VLOOKUP(H1474,Lijsten!$H$1:$I$100,2,0),"")</f>
        <v/>
      </c>
      <c r="N1474" s="323" t="str">
        <f ca="1">IFERROR(IF(VLOOKUP(F1474,Kostentypen!$A$3:$E$21,3,0)=0,"",IF(OR(F1474="Arbeidskosten",F1474="Vergoeding"),VLOOKUP(G1474,Tb_KostenTypen[],2,0),VLOOKUP(F1474,Kostentypen!$A$3:$E$20,3,0))),"")</f>
        <v/>
      </c>
      <c r="O1474" s="324"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4"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3"/>
      <c r="R1474" s="363"/>
      <c r="S1474" s="325"/>
      <c r="T1474" s="325"/>
      <c r="U1474" s="317" t="str" cm="1">
        <f t="array" aca="1" ref="U1474" ca="1">IFERROR(IF(AA1474&lt;&gt;"ja",_xlfn.IFNA(_xlfn.IFS(AND(O1474&lt;&gt;"",F1474&lt;&gt;"",RIGHT($N1474,6)="tarief",F1474="Vergoeding"),SUM(O1474)*FLOOR(SUM(Q1474),0.0001),AND(O1474&lt;&gt;"",F1474&lt;&gt;"",RIGHT($N1474,6)="tarief"),SUM(O1474)*FLOOR(SUM(Q1474),0.01),S1474&gt;0,IF(F1474&lt;&gt;"",FLOOR(SUM(S1474),0.01),"")),""),""),"")</f>
        <v/>
      </c>
      <c r="V1474" s="317" t="str" cm="1">
        <f t="array" aca="1" ref="V1474" ca="1">IFERROR(IF(AA1474&lt;&gt;"ja",_xlfn.IFNA(_xlfn.IFS(AND(P1474&lt;&gt;"",R1474&lt;&gt;"",RIGHT($N1474,6)="tarief",F1474="Vergoeding"),SUM(P1474)*FLOOR(SUM(R1474),0.0001),AND(P1474&lt;&gt;"",R1474&lt;&gt;"",RIGHT($N1474,6)="tarief"),P1474*FLOOR(R1474,0.01),T1474&gt;0,FLOOR(SUM(T1474),0.01)),""),""),"")</f>
        <v/>
      </c>
      <c r="W1474" s="317" t="str" cm="1">
        <f t="array" aca="1" ref="W1474" ca="1">IFERROR(_xlfn.IFS(OR(F1474="",LEFT(Methode_Keuze,4)="Geen",Methode_Keuze=""),"",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17" t="str" cm="1">
        <f t="array" aca="1" ref="X1474" ca="1">IFERROR(_xlfn.IFS(OR(F1474="",LEFT(Methode_Keuze,4)="Geen",Methode_Keuze=""),"",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26"/>
      <c r="Z1474" s="319"/>
      <c r="AA1474" s="32" t="str" cm="1">
        <f t="array" ref="AA1474">IFERROR(IF(INDEX(SubsidieTabel!$AD$1:$AG$12,MATCH($F1474,SubsidieTabel!$AD$1:$AD$12,0),IFERROR(MATCH(Methode_Keuze,SubsidieTabel!$AD$1:$AG$1,0),2))&lt;&gt;1=TRUE,"ja",""),"")</f>
        <v/>
      </c>
    </row>
    <row r="1475" spans="1:27" x14ac:dyDescent="0.25">
      <c r="A1475" s="320"/>
      <c r="B1475" s="321" t="str">
        <f>IF(A1475&lt;&gt;"",_xlfn.MAXIFS($B$1:B1474,$A$1:A1474,A1475)+1,"")</f>
        <v/>
      </c>
      <c r="C1475" s="299"/>
      <c r="D1475" s="299"/>
      <c r="E1475" s="299"/>
      <c r="F1475" s="299"/>
      <c r="G1475" s="330"/>
      <c r="H1475" s="328"/>
      <c r="I1475" s="329"/>
      <c r="J1475" s="329"/>
      <c r="K1475" s="322"/>
      <c r="L1475" s="322"/>
      <c r="M1475" s="323" t="str">
        <f>IFERROR(VLOOKUP(H1475,Lijsten!$H$1:$I$100,2,0),"")</f>
        <v/>
      </c>
      <c r="N1475" s="323" t="str">
        <f ca="1">IFERROR(IF(VLOOKUP(F1475,Kostentypen!$A$3:$E$21,3,0)=0,"",IF(OR(F1475="Arbeidskosten",F1475="Vergoeding"),VLOOKUP(G1475,Tb_KostenTypen[],2,0),VLOOKUP(F1475,Kostentypen!$A$3:$E$20,3,0))),"")</f>
        <v/>
      </c>
      <c r="O1475" s="324"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4"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3"/>
      <c r="R1475" s="363"/>
      <c r="S1475" s="325"/>
      <c r="T1475" s="325"/>
      <c r="U1475" s="317" t="str" cm="1">
        <f t="array" aca="1" ref="U1475" ca="1">IFERROR(IF(AA1475&lt;&gt;"ja",_xlfn.IFNA(_xlfn.IFS(AND(O1475&lt;&gt;"",F1475&lt;&gt;"",RIGHT($N1475,6)="tarief",F1475="Vergoeding"),SUM(O1475)*FLOOR(SUM(Q1475),0.0001),AND(O1475&lt;&gt;"",F1475&lt;&gt;"",RIGHT($N1475,6)="tarief"),SUM(O1475)*FLOOR(SUM(Q1475),0.01),S1475&gt;0,IF(F1475&lt;&gt;"",FLOOR(SUM(S1475),0.01),"")),""),""),"")</f>
        <v/>
      </c>
      <c r="V1475" s="317" t="str" cm="1">
        <f t="array" aca="1" ref="V1475" ca="1">IFERROR(IF(AA1475&lt;&gt;"ja",_xlfn.IFNA(_xlfn.IFS(AND(P1475&lt;&gt;"",R1475&lt;&gt;"",RIGHT($N1475,6)="tarief",F1475="Vergoeding"),SUM(P1475)*FLOOR(SUM(R1475),0.0001),AND(P1475&lt;&gt;"",R1475&lt;&gt;"",RIGHT($N1475,6)="tarief"),P1475*FLOOR(R1475,0.01),T1475&gt;0,FLOOR(SUM(T1475),0.01)),""),""),"")</f>
        <v/>
      </c>
      <c r="W1475" s="317" t="str" cm="1">
        <f t="array" aca="1" ref="W1475" ca="1">IFERROR(_xlfn.IFS(OR(F1475="",LEFT(Methode_Keuze,4)="Geen",Methode_Keuze=""),"",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17" t="str" cm="1">
        <f t="array" aca="1" ref="X1475" ca="1">IFERROR(_xlfn.IFS(OR(F1475="",LEFT(Methode_Keuze,4)="Geen",Methode_Keuze=""),"",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26"/>
      <c r="Z1475" s="319"/>
      <c r="AA1475" s="32" t="str" cm="1">
        <f t="array" ref="AA1475">IFERROR(IF(INDEX(SubsidieTabel!$AD$1:$AG$12,MATCH($F1475,SubsidieTabel!$AD$1:$AD$12,0),IFERROR(MATCH(Methode_Keuze,SubsidieTabel!$AD$1:$AG$1,0),2))&lt;&gt;1=TRUE,"ja",""),"")</f>
        <v/>
      </c>
    </row>
    <row r="1476" spans="1:27" x14ac:dyDescent="0.25">
      <c r="A1476" s="320"/>
      <c r="B1476" s="321" t="str">
        <f>IF(A1476&lt;&gt;"",_xlfn.MAXIFS($B$1:B1475,$A$1:A1475,A1476)+1,"")</f>
        <v/>
      </c>
      <c r="C1476" s="299"/>
      <c r="D1476" s="299"/>
      <c r="E1476" s="299"/>
      <c r="F1476" s="299"/>
      <c r="G1476" s="330"/>
      <c r="H1476" s="328"/>
      <c r="I1476" s="329"/>
      <c r="J1476" s="329"/>
      <c r="K1476" s="322"/>
      <c r="L1476" s="322"/>
      <c r="M1476" s="323" t="str">
        <f>IFERROR(VLOOKUP(H1476,Lijsten!$H$1:$I$100,2,0),"")</f>
        <v/>
      </c>
      <c r="N1476" s="323" t="str">
        <f ca="1">IFERROR(IF(VLOOKUP(F1476,Kostentypen!$A$3:$E$21,3,0)=0,"",IF(OR(F1476="Arbeidskosten",F1476="Vergoeding"),VLOOKUP(G1476,Tb_KostenTypen[],2,0),VLOOKUP(F1476,Kostentypen!$A$3:$E$20,3,0))),"")</f>
        <v/>
      </c>
      <c r="O1476" s="324"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4"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3"/>
      <c r="R1476" s="363"/>
      <c r="S1476" s="325"/>
      <c r="T1476" s="325"/>
      <c r="U1476" s="317" t="str" cm="1">
        <f t="array" aca="1" ref="U1476" ca="1">IFERROR(IF(AA1476&lt;&gt;"ja",_xlfn.IFNA(_xlfn.IFS(AND(O1476&lt;&gt;"",F1476&lt;&gt;"",RIGHT($N1476,6)="tarief",F1476="Vergoeding"),SUM(O1476)*FLOOR(SUM(Q1476),0.0001),AND(O1476&lt;&gt;"",F1476&lt;&gt;"",RIGHT($N1476,6)="tarief"),SUM(O1476)*FLOOR(SUM(Q1476),0.01),S1476&gt;0,IF(F1476&lt;&gt;"",FLOOR(SUM(S1476),0.01),"")),""),""),"")</f>
        <v/>
      </c>
      <c r="V1476" s="317" t="str" cm="1">
        <f t="array" aca="1" ref="V1476" ca="1">IFERROR(IF(AA1476&lt;&gt;"ja",_xlfn.IFNA(_xlfn.IFS(AND(P1476&lt;&gt;"",R1476&lt;&gt;"",RIGHT($N1476,6)="tarief",F1476="Vergoeding"),SUM(P1476)*FLOOR(SUM(R1476),0.0001),AND(P1476&lt;&gt;"",R1476&lt;&gt;"",RIGHT($N1476,6)="tarief"),P1476*FLOOR(R1476,0.01),T1476&gt;0,FLOOR(SUM(T1476),0.01)),""),""),"")</f>
        <v/>
      </c>
      <c r="W1476" s="317" t="str" cm="1">
        <f t="array" aca="1" ref="W1476" ca="1">IFERROR(_xlfn.IFS(OR(F1476="",LEFT(Methode_Keuze,4)="Geen",Methode_Keuze=""),"",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17" t="str" cm="1">
        <f t="array" aca="1" ref="X1476" ca="1">IFERROR(_xlfn.IFS(OR(F1476="",LEFT(Methode_Keuze,4)="Geen",Methode_Keuze=""),"",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26"/>
      <c r="Z1476" s="319"/>
      <c r="AA1476" s="32" t="str" cm="1">
        <f t="array" ref="AA1476">IFERROR(IF(INDEX(SubsidieTabel!$AD$1:$AG$12,MATCH($F1476,SubsidieTabel!$AD$1:$AD$12,0),IFERROR(MATCH(Methode_Keuze,SubsidieTabel!$AD$1:$AG$1,0),2))&lt;&gt;1=TRUE,"ja",""),"")</f>
        <v/>
      </c>
    </row>
    <row r="1477" spans="1:27" x14ac:dyDescent="0.25">
      <c r="A1477" s="320"/>
      <c r="B1477" s="321" t="str">
        <f>IF(A1477&lt;&gt;"",_xlfn.MAXIFS($B$1:B1476,$A$1:A1476,A1477)+1,"")</f>
        <v/>
      </c>
      <c r="C1477" s="299"/>
      <c r="D1477" s="299"/>
      <c r="E1477" s="299"/>
      <c r="F1477" s="299"/>
      <c r="G1477" s="330"/>
      <c r="H1477" s="328"/>
      <c r="I1477" s="329"/>
      <c r="J1477" s="329"/>
      <c r="K1477" s="322"/>
      <c r="L1477" s="322"/>
      <c r="M1477" s="323" t="str">
        <f>IFERROR(VLOOKUP(H1477,Lijsten!$H$1:$I$100,2,0),"")</f>
        <v/>
      </c>
      <c r="N1477" s="323" t="str">
        <f ca="1">IFERROR(IF(VLOOKUP(F1477,Kostentypen!$A$3:$E$21,3,0)=0,"",IF(OR(F1477="Arbeidskosten",F1477="Vergoeding"),VLOOKUP(G1477,Tb_KostenTypen[],2,0),VLOOKUP(F1477,Kostentypen!$A$3:$E$20,3,0))),"")</f>
        <v/>
      </c>
      <c r="O1477" s="324"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4"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3"/>
      <c r="R1477" s="363"/>
      <c r="S1477" s="325"/>
      <c r="T1477" s="325"/>
      <c r="U1477" s="317" t="str" cm="1">
        <f t="array" aca="1" ref="U1477" ca="1">IFERROR(IF(AA1477&lt;&gt;"ja",_xlfn.IFNA(_xlfn.IFS(AND(O1477&lt;&gt;"",F1477&lt;&gt;"",RIGHT($N1477,6)="tarief",F1477="Vergoeding"),SUM(O1477)*FLOOR(SUM(Q1477),0.0001),AND(O1477&lt;&gt;"",F1477&lt;&gt;"",RIGHT($N1477,6)="tarief"),SUM(O1477)*FLOOR(SUM(Q1477),0.01),S1477&gt;0,IF(F1477&lt;&gt;"",FLOOR(SUM(S1477),0.01),"")),""),""),"")</f>
        <v/>
      </c>
      <c r="V1477" s="317" t="str" cm="1">
        <f t="array" aca="1" ref="V1477" ca="1">IFERROR(IF(AA1477&lt;&gt;"ja",_xlfn.IFNA(_xlfn.IFS(AND(P1477&lt;&gt;"",R1477&lt;&gt;"",RIGHT($N1477,6)="tarief",F1477="Vergoeding"),SUM(P1477)*FLOOR(SUM(R1477),0.0001),AND(P1477&lt;&gt;"",R1477&lt;&gt;"",RIGHT($N1477,6)="tarief"),P1477*FLOOR(R1477,0.01),T1477&gt;0,FLOOR(SUM(T1477),0.01)),""),""),"")</f>
        <v/>
      </c>
      <c r="W1477" s="317" t="str" cm="1">
        <f t="array" aca="1" ref="W1477" ca="1">IFERROR(_xlfn.IFS(OR(F1477="",LEFT(Methode_Keuze,4)="Geen",Methode_Keuze=""),"",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17" t="str" cm="1">
        <f t="array" aca="1" ref="X1477" ca="1">IFERROR(_xlfn.IFS(OR(F1477="",LEFT(Methode_Keuze,4)="Geen",Methode_Keuze=""),"",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26"/>
      <c r="Z1477" s="319"/>
      <c r="AA1477" s="32" t="str" cm="1">
        <f t="array" ref="AA1477">IFERROR(IF(INDEX(SubsidieTabel!$AD$1:$AG$12,MATCH($F1477,SubsidieTabel!$AD$1:$AD$12,0),IFERROR(MATCH(Methode_Keuze,SubsidieTabel!$AD$1:$AG$1,0),2))&lt;&gt;1=TRUE,"ja",""),"")</f>
        <v/>
      </c>
    </row>
    <row r="1478" spans="1:27" x14ac:dyDescent="0.25">
      <c r="A1478" s="320"/>
      <c r="B1478" s="321" t="str">
        <f>IF(A1478&lt;&gt;"",_xlfn.MAXIFS($B$1:B1477,$A$1:A1477,A1478)+1,"")</f>
        <v/>
      </c>
      <c r="C1478" s="299"/>
      <c r="D1478" s="299"/>
      <c r="E1478" s="299"/>
      <c r="F1478" s="299"/>
      <c r="G1478" s="330"/>
      <c r="H1478" s="328"/>
      <c r="I1478" s="329"/>
      <c r="J1478" s="329"/>
      <c r="K1478" s="322"/>
      <c r="L1478" s="322"/>
      <c r="M1478" s="323" t="str">
        <f>IFERROR(VLOOKUP(H1478,Lijsten!$H$1:$I$100,2,0),"")</f>
        <v/>
      </c>
      <c r="N1478" s="323" t="str">
        <f ca="1">IFERROR(IF(VLOOKUP(F1478,Kostentypen!$A$3:$E$21,3,0)=0,"",IF(OR(F1478="Arbeidskosten",F1478="Vergoeding"),VLOOKUP(G1478,Tb_KostenTypen[],2,0),VLOOKUP(F1478,Kostentypen!$A$3:$E$20,3,0))),"")</f>
        <v/>
      </c>
      <c r="O1478" s="324"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4"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3"/>
      <c r="R1478" s="363"/>
      <c r="S1478" s="325"/>
      <c r="T1478" s="325"/>
      <c r="U1478" s="317" t="str" cm="1">
        <f t="array" aca="1" ref="U1478" ca="1">IFERROR(IF(AA1478&lt;&gt;"ja",_xlfn.IFNA(_xlfn.IFS(AND(O1478&lt;&gt;"",F1478&lt;&gt;"",RIGHT($N1478,6)="tarief",F1478="Vergoeding"),SUM(O1478)*FLOOR(SUM(Q1478),0.0001),AND(O1478&lt;&gt;"",F1478&lt;&gt;"",RIGHT($N1478,6)="tarief"),SUM(O1478)*FLOOR(SUM(Q1478),0.01),S1478&gt;0,IF(F1478&lt;&gt;"",FLOOR(SUM(S1478),0.01),"")),""),""),"")</f>
        <v/>
      </c>
      <c r="V1478" s="317" t="str" cm="1">
        <f t="array" aca="1" ref="V1478" ca="1">IFERROR(IF(AA1478&lt;&gt;"ja",_xlfn.IFNA(_xlfn.IFS(AND(P1478&lt;&gt;"",R1478&lt;&gt;"",RIGHT($N1478,6)="tarief",F1478="Vergoeding"),SUM(P1478)*FLOOR(SUM(R1478),0.0001),AND(P1478&lt;&gt;"",R1478&lt;&gt;"",RIGHT($N1478,6)="tarief"),P1478*FLOOR(R1478,0.01),T1478&gt;0,FLOOR(SUM(T1478),0.01)),""),""),"")</f>
        <v/>
      </c>
      <c r="W1478" s="317" t="str" cm="1">
        <f t="array" aca="1" ref="W1478" ca="1">IFERROR(_xlfn.IFS(OR(F1478="",LEFT(Methode_Keuze,4)="Geen",Methode_Keuze=""),"",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17" t="str" cm="1">
        <f t="array" aca="1" ref="X1478" ca="1">IFERROR(_xlfn.IFS(OR(F1478="",LEFT(Methode_Keuze,4)="Geen",Methode_Keuze=""),"",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26"/>
      <c r="Z1478" s="319"/>
      <c r="AA1478" s="32" t="str" cm="1">
        <f t="array" ref="AA1478">IFERROR(IF(INDEX(SubsidieTabel!$AD$1:$AG$12,MATCH($F1478,SubsidieTabel!$AD$1:$AD$12,0),IFERROR(MATCH(Methode_Keuze,SubsidieTabel!$AD$1:$AG$1,0),2))&lt;&gt;1=TRUE,"ja",""),"")</f>
        <v/>
      </c>
    </row>
    <row r="1479" spans="1:27" x14ac:dyDescent="0.25">
      <c r="A1479" s="320"/>
      <c r="B1479" s="321" t="str">
        <f>IF(A1479&lt;&gt;"",_xlfn.MAXIFS($B$1:B1478,$A$1:A1478,A1479)+1,"")</f>
        <v/>
      </c>
      <c r="C1479" s="299"/>
      <c r="D1479" s="299"/>
      <c r="E1479" s="299"/>
      <c r="F1479" s="299"/>
      <c r="G1479" s="330"/>
      <c r="H1479" s="328"/>
      <c r="I1479" s="329"/>
      <c r="J1479" s="329"/>
      <c r="K1479" s="322"/>
      <c r="L1479" s="322"/>
      <c r="M1479" s="323" t="str">
        <f>IFERROR(VLOOKUP(H1479,Lijsten!$H$1:$I$100,2,0),"")</f>
        <v/>
      </c>
      <c r="N1479" s="323" t="str">
        <f ca="1">IFERROR(IF(VLOOKUP(F1479,Kostentypen!$A$3:$E$21,3,0)=0,"",IF(OR(F1479="Arbeidskosten",F1479="Vergoeding"),VLOOKUP(G1479,Tb_KostenTypen[],2,0),VLOOKUP(F1479,Kostentypen!$A$3:$E$20,3,0))),"")</f>
        <v/>
      </c>
      <c r="O1479" s="324"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4"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3"/>
      <c r="R1479" s="363"/>
      <c r="S1479" s="325"/>
      <c r="T1479" s="325"/>
      <c r="U1479" s="317" t="str" cm="1">
        <f t="array" aca="1" ref="U1479" ca="1">IFERROR(IF(AA1479&lt;&gt;"ja",_xlfn.IFNA(_xlfn.IFS(AND(O1479&lt;&gt;"",F1479&lt;&gt;"",RIGHT($N1479,6)="tarief",F1479="Vergoeding"),SUM(O1479)*FLOOR(SUM(Q1479),0.0001),AND(O1479&lt;&gt;"",F1479&lt;&gt;"",RIGHT($N1479,6)="tarief"),SUM(O1479)*FLOOR(SUM(Q1479),0.01),S1479&gt;0,IF(F1479&lt;&gt;"",FLOOR(SUM(S1479),0.01),"")),""),""),"")</f>
        <v/>
      </c>
      <c r="V1479" s="317" t="str" cm="1">
        <f t="array" aca="1" ref="V1479" ca="1">IFERROR(IF(AA1479&lt;&gt;"ja",_xlfn.IFNA(_xlfn.IFS(AND(P1479&lt;&gt;"",R1479&lt;&gt;"",RIGHT($N1479,6)="tarief",F1479="Vergoeding"),SUM(P1479)*FLOOR(SUM(R1479),0.0001),AND(P1479&lt;&gt;"",R1479&lt;&gt;"",RIGHT($N1479,6)="tarief"),P1479*FLOOR(R1479,0.01),T1479&gt;0,FLOOR(SUM(T1479),0.01)),""),""),"")</f>
        <v/>
      </c>
      <c r="W1479" s="317" t="str" cm="1">
        <f t="array" aca="1" ref="W1479" ca="1">IFERROR(_xlfn.IFS(OR(F1479="",LEFT(Methode_Keuze,4)="Geen",Methode_Keuze=""),"",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17" t="str" cm="1">
        <f t="array" aca="1" ref="X1479" ca="1">IFERROR(_xlfn.IFS(OR(F1479="",LEFT(Methode_Keuze,4)="Geen",Methode_Keuze=""),"",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26"/>
      <c r="Z1479" s="319"/>
      <c r="AA1479" s="32" t="str" cm="1">
        <f t="array" ref="AA1479">IFERROR(IF(INDEX(SubsidieTabel!$AD$1:$AG$12,MATCH($F1479,SubsidieTabel!$AD$1:$AD$12,0),IFERROR(MATCH(Methode_Keuze,SubsidieTabel!$AD$1:$AG$1,0),2))&lt;&gt;1=TRUE,"ja",""),"")</f>
        <v/>
      </c>
    </row>
    <row r="1480" spans="1:27" x14ac:dyDescent="0.25">
      <c r="A1480" s="320"/>
      <c r="B1480" s="321" t="str">
        <f>IF(A1480&lt;&gt;"",_xlfn.MAXIFS($B$1:B1479,$A$1:A1479,A1480)+1,"")</f>
        <v/>
      </c>
      <c r="C1480" s="299"/>
      <c r="D1480" s="299"/>
      <c r="E1480" s="299"/>
      <c r="F1480" s="299"/>
      <c r="G1480" s="330"/>
      <c r="H1480" s="328"/>
      <c r="I1480" s="329"/>
      <c r="J1480" s="329"/>
      <c r="K1480" s="322"/>
      <c r="L1480" s="322"/>
      <c r="M1480" s="323" t="str">
        <f>IFERROR(VLOOKUP(H1480,Lijsten!$H$1:$I$100,2,0),"")</f>
        <v/>
      </c>
      <c r="N1480" s="323" t="str">
        <f ca="1">IFERROR(IF(VLOOKUP(F1480,Kostentypen!$A$3:$E$21,3,0)=0,"",IF(OR(F1480="Arbeidskosten",F1480="Vergoeding"),VLOOKUP(G1480,Tb_KostenTypen[],2,0),VLOOKUP(F1480,Kostentypen!$A$3:$E$20,3,0))),"")</f>
        <v/>
      </c>
      <c r="O1480" s="324"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4"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3"/>
      <c r="R1480" s="363"/>
      <c r="S1480" s="325"/>
      <c r="T1480" s="325"/>
      <c r="U1480" s="317" t="str" cm="1">
        <f t="array" aca="1" ref="U1480" ca="1">IFERROR(IF(AA1480&lt;&gt;"ja",_xlfn.IFNA(_xlfn.IFS(AND(O1480&lt;&gt;"",F1480&lt;&gt;"",RIGHT($N1480,6)="tarief",F1480="Vergoeding"),SUM(O1480)*FLOOR(SUM(Q1480),0.0001),AND(O1480&lt;&gt;"",F1480&lt;&gt;"",RIGHT($N1480,6)="tarief"),SUM(O1480)*FLOOR(SUM(Q1480),0.01),S1480&gt;0,IF(F1480&lt;&gt;"",FLOOR(SUM(S1480),0.01),"")),""),""),"")</f>
        <v/>
      </c>
      <c r="V1480" s="317" t="str" cm="1">
        <f t="array" aca="1" ref="V1480" ca="1">IFERROR(IF(AA1480&lt;&gt;"ja",_xlfn.IFNA(_xlfn.IFS(AND(P1480&lt;&gt;"",R1480&lt;&gt;"",RIGHT($N1480,6)="tarief",F1480="Vergoeding"),SUM(P1480)*FLOOR(SUM(R1480),0.0001),AND(P1480&lt;&gt;"",R1480&lt;&gt;"",RIGHT($N1480,6)="tarief"),P1480*FLOOR(R1480,0.01),T1480&gt;0,FLOOR(SUM(T1480),0.01)),""),""),"")</f>
        <v/>
      </c>
      <c r="W1480" s="317" t="str" cm="1">
        <f t="array" aca="1" ref="W1480" ca="1">IFERROR(_xlfn.IFS(OR(F1480="",LEFT(Methode_Keuze,4)="Geen",Methode_Keuze=""),"",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17" t="str" cm="1">
        <f t="array" aca="1" ref="X1480" ca="1">IFERROR(_xlfn.IFS(OR(F1480="",LEFT(Methode_Keuze,4)="Geen",Methode_Keuze=""),"",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26"/>
      <c r="Z1480" s="319"/>
      <c r="AA1480" s="32" t="str" cm="1">
        <f t="array" ref="AA1480">IFERROR(IF(INDEX(SubsidieTabel!$AD$1:$AG$12,MATCH($F1480,SubsidieTabel!$AD$1:$AD$12,0),IFERROR(MATCH(Methode_Keuze,SubsidieTabel!$AD$1:$AG$1,0),2))&lt;&gt;1=TRUE,"ja",""),"")</f>
        <v/>
      </c>
    </row>
    <row r="1481" spans="1:27" x14ac:dyDescent="0.25">
      <c r="A1481" s="320"/>
      <c r="B1481" s="321" t="str">
        <f>IF(A1481&lt;&gt;"",_xlfn.MAXIFS($B$1:B1480,$A$1:A1480,A1481)+1,"")</f>
        <v/>
      </c>
      <c r="C1481" s="299"/>
      <c r="D1481" s="299"/>
      <c r="E1481" s="299"/>
      <c r="F1481" s="299"/>
      <c r="G1481" s="330"/>
      <c r="H1481" s="328"/>
      <c r="I1481" s="329"/>
      <c r="J1481" s="329"/>
      <c r="K1481" s="322"/>
      <c r="L1481" s="322"/>
      <c r="M1481" s="323" t="str">
        <f>IFERROR(VLOOKUP(H1481,Lijsten!$H$1:$I$100,2,0),"")</f>
        <v/>
      </c>
      <c r="N1481" s="323" t="str">
        <f ca="1">IFERROR(IF(VLOOKUP(F1481,Kostentypen!$A$3:$E$21,3,0)=0,"",IF(OR(F1481="Arbeidskosten",F1481="Vergoeding"),VLOOKUP(G1481,Tb_KostenTypen[],2,0),VLOOKUP(F1481,Kostentypen!$A$3:$E$20,3,0))),"")</f>
        <v/>
      </c>
      <c r="O1481" s="324"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4"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3"/>
      <c r="R1481" s="363"/>
      <c r="S1481" s="325"/>
      <c r="T1481" s="325"/>
      <c r="U1481" s="317" t="str" cm="1">
        <f t="array" aca="1" ref="U1481" ca="1">IFERROR(IF(AA1481&lt;&gt;"ja",_xlfn.IFNA(_xlfn.IFS(AND(O1481&lt;&gt;"",F1481&lt;&gt;"",RIGHT($N1481,6)="tarief",F1481="Vergoeding"),SUM(O1481)*FLOOR(SUM(Q1481),0.0001),AND(O1481&lt;&gt;"",F1481&lt;&gt;"",RIGHT($N1481,6)="tarief"),SUM(O1481)*FLOOR(SUM(Q1481),0.01),S1481&gt;0,IF(F1481&lt;&gt;"",FLOOR(SUM(S1481),0.01),"")),""),""),"")</f>
        <v/>
      </c>
      <c r="V1481" s="317" t="str" cm="1">
        <f t="array" aca="1" ref="V1481" ca="1">IFERROR(IF(AA1481&lt;&gt;"ja",_xlfn.IFNA(_xlfn.IFS(AND(P1481&lt;&gt;"",R1481&lt;&gt;"",RIGHT($N1481,6)="tarief",F1481="Vergoeding"),SUM(P1481)*FLOOR(SUM(R1481),0.0001),AND(P1481&lt;&gt;"",R1481&lt;&gt;"",RIGHT($N1481,6)="tarief"),P1481*FLOOR(R1481,0.01),T1481&gt;0,FLOOR(SUM(T1481),0.01)),""),""),"")</f>
        <v/>
      </c>
      <c r="W1481" s="317" t="str" cm="1">
        <f t="array" aca="1" ref="W1481" ca="1">IFERROR(_xlfn.IFS(OR(F1481="",LEFT(Methode_Keuze,4)="Geen",Methode_Keuze=""),"",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17" t="str" cm="1">
        <f t="array" aca="1" ref="X1481" ca="1">IFERROR(_xlfn.IFS(OR(F1481="",LEFT(Methode_Keuze,4)="Geen",Methode_Keuze=""),"",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26"/>
      <c r="Z1481" s="319"/>
      <c r="AA1481" s="32" t="str" cm="1">
        <f t="array" ref="AA1481">IFERROR(IF(INDEX(SubsidieTabel!$AD$1:$AG$12,MATCH($F1481,SubsidieTabel!$AD$1:$AD$12,0),IFERROR(MATCH(Methode_Keuze,SubsidieTabel!$AD$1:$AG$1,0),2))&lt;&gt;1=TRUE,"ja",""),"")</f>
        <v/>
      </c>
    </row>
    <row r="1482" spans="1:27" x14ac:dyDescent="0.25">
      <c r="A1482" s="320"/>
      <c r="B1482" s="321" t="str">
        <f>IF(A1482&lt;&gt;"",_xlfn.MAXIFS($B$1:B1481,$A$1:A1481,A1482)+1,"")</f>
        <v/>
      </c>
      <c r="C1482" s="299"/>
      <c r="D1482" s="299"/>
      <c r="E1482" s="299"/>
      <c r="F1482" s="299"/>
      <c r="G1482" s="330"/>
      <c r="H1482" s="328"/>
      <c r="I1482" s="329"/>
      <c r="J1482" s="329"/>
      <c r="K1482" s="322"/>
      <c r="L1482" s="322"/>
      <c r="M1482" s="323" t="str">
        <f>IFERROR(VLOOKUP(H1482,Lijsten!$H$1:$I$100,2,0),"")</f>
        <v/>
      </c>
      <c r="N1482" s="323" t="str">
        <f ca="1">IFERROR(IF(VLOOKUP(F1482,Kostentypen!$A$3:$E$21,3,0)=0,"",IF(OR(F1482="Arbeidskosten",F1482="Vergoeding"),VLOOKUP(G1482,Tb_KostenTypen[],2,0),VLOOKUP(F1482,Kostentypen!$A$3:$E$20,3,0))),"")</f>
        <v/>
      </c>
      <c r="O1482" s="324"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4"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3"/>
      <c r="R1482" s="363"/>
      <c r="S1482" s="325"/>
      <c r="T1482" s="325"/>
      <c r="U1482" s="317" t="str" cm="1">
        <f t="array" aca="1" ref="U1482" ca="1">IFERROR(IF(AA1482&lt;&gt;"ja",_xlfn.IFNA(_xlfn.IFS(AND(O1482&lt;&gt;"",F1482&lt;&gt;"",RIGHT($N1482,6)="tarief",F1482="Vergoeding"),SUM(O1482)*FLOOR(SUM(Q1482),0.0001),AND(O1482&lt;&gt;"",F1482&lt;&gt;"",RIGHT($N1482,6)="tarief"),SUM(O1482)*FLOOR(SUM(Q1482),0.01),S1482&gt;0,IF(F1482&lt;&gt;"",FLOOR(SUM(S1482),0.01),"")),""),""),"")</f>
        <v/>
      </c>
      <c r="V1482" s="317" t="str" cm="1">
        <f t="array" aca="1" ref="V1482" ca="1">IFERROR(IF(AA1482&lt;&gt;"ja",_xlfn.IFNA(_xlfn.IFS(AND(P1482&lt;&gt;"",R1482&lt;&gt;"",RIGHT($N1482,6)="tarief",F1482="Vergoeding"),SUM(P1482)*FLOOR(SUM(R1482),0.0001),AND(P1482&lt;&gt;"",R1482&lt;&gt;"",RIGHT($N1482,6)="tarief"),P1482*FLOOR(R1482,0.01),T1482&gt;0,FLOOR(SUM(T1482),0.01)),""),""),"")</f>
        <v/>
      </c>
      <c r="W1482" s="317" t="str" cm="1">
        <f t="array" aca="1" ref="W1482" ca="1">IFERROR(_xlfn.IFS(OR(F1482="",LEFT(Methode_Keuze,4)="Geen",Methode_Keuze=""),"",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17" t="str" cm="1">
        <f t="array" aca="1" ref="X1482" ca="1">IFERROR(_xlfn.IFS(OR(F1482="",LEFT(Methode_Keuze,4)="Geen",Methode_Keuze=""),"",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26"/>
      <c r="Z1482" s="319"/>
      <c r="AA1482" s="32" t="str" cm="1">
        <f t="array" ref="AA1482">IFERROR(IF(INDEX(SubsidieTabel!$AD$1:$AG$12,MATCH($F1482,SubsidieTabel!$AD$1:$AD$12,0),IFERROR(MATCH(Methode_Keuze,SubsidieTabel!$AD$1:$AG$1,0),2))&lt;&gt;1=TRUE,"ja",""),"")</f>
        <v/>
      </c>
    </row>
    <row r="1483" spans="1:27" x14ac:dyDescent="0.25">
      <c r="A1483" s="320"/>
      <c r="B1483" s="321" t="str">
        <f>IF(A1483&lt;&gt;"",_xlfn.MAXIFS($B$1:B1482,$A$1:A1482,A1483)+1,"")</f>
        <v/>
      </c>
      <c r="C1483" s="299"/>
      <c r="D1483" s="299"/>
      <c r="E1483" s="299"/>
      <c r="F1483" s="299"/>
      <c r="G1483" s="330"/>
      <c r="H1483" s="328"/>
      <c r="I1483" s="329"/>
      <c r="J1483" s="329"/>
      <c r="K1483" s="322"/>
      <c r="L1483" s="322"/>
      <c r="M1483" s="323" t="str">
        <f>IFERROR(VLOOKUP(H1483,Lijsten!$H$1:$I$100,2,0),"")</f>
        <v/>
      </c>
      <c r="N1483" s="323" t="str">
        <f ca="1">IFERROR(IF(VLOOKUP(F1483,Kostentypen!$A$3:$E$21,3,0)=0,"",IF(OR(F1483="Arbeidskosten",F1483="Vergoeding"),VLOOKUP(G1483,Tb_KostenTypen[],2,0),VLOOKUP(F1483,Kostentypen!$A$3:$E$20,3,0))),"")</f>
        <v/>
      </c>
      <c r="O1483" s="324"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4"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3"/>
      <c r="R1483" s="363"/>
      <c r="S1483" s="325"/>
      <c r="T1483" s="325"/>
      <c r="U1483" s="317" t="str" cm="1">
        <f t="array" aca="1" ref="U1483" ca="1">IFERROR(IF(AA1483&lt;&gt;"ja",_xlfn.IFNA(_xlfn.IFS(AND(O1483&lt;&gt;"",F1483&lt;&gt;"",RIGHT($N1483,6)="tarief",F1483="Vergoeding"),SUM(O1483)*FLOOR(SUM(Q1483),0.0001),AND(O1483&lt;&gt;"",F1483&lt;&gt;"",RIGHT($N1483,6)="tarief"),SUM(O1483)*FLOOR(SUM(Q1483),0.01),S1483&gt;0,IF(F1483&lt;&gt;"",FLOOR(SUM(S1483),0.01),"")),""),""),"")</f>
        <v/>
      </c>
      <c r="V1483" s="317" t="str" cm="1">
        <f t="array" aca="1" ref="V1483" ca="1">IFERROR(IF(AA1483&lt;&gt;"ja",_xlfn.IFNA(_xlfn.IFS(AND(P1483&lt;&gt;"",R1483&lt;&gt;"",RIGHT($N1483,6)="tarief",F1483="Vergoeding"),SUM(P1483)*FLOOR(SUM(R1483),0.0001),AND(P1483&lt;&gt;"",R1483&lt;&gt;"",RIGHT($N1483,6)="tarief"),P1483*FLOOR(R1483,0.01),T1483&gt;0,FLOOR(SUM(T1483),0.01)),""),""),"")</f>
        <v/>
      </c>
      <c r="W1483" s="317" t="str" cm="1">
        <f t="array" aca="1" ref="W1483" ca="1">IFERROR(_xlfn.IFS(OR(F1483="",LEFT(Methode_Keuze,4)="Geen",Methode_Keuze=""),"",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17" t="str" cm="1">
        <f t="array" aca="1" ref="X1483" ca="1">IFERROR(_xlfn.IFS(OR(F1483="",LEFT(Methode_Keuze,4)="Geen",Methode_Keuze=""),"",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26"/>
      <c r="Z1483" s="319"/>
      <c r="AA1483" s="32" t="str" cm="1">
        <f t="array" ref="AA1483">IFERROR(IF(INDEX(SubsidieTabel!$AD$1:$AG$12,MATCH($F1483,SubsidieTabel!$AD$1:$AD$12,0),IFERROR(MATCH(Methode_Keuze,SubsidieTabel!$AD$1:$AG$1,0),2))&lt;&gt;1=TRUE,"ja",""),"")</f>
        <v/>
      </c>
    </row>
    <row r="1484" spans="1:27" x14ac:dyDescent="0.25">
      <c r="A1484" s="320"/>
      <c r="B1484" s="321" t="str">
        <f>IF(A1484&lt;&gt;"",_xlfn.MAXIFS($B$1:B1483,$A$1:A1483,A1484)+1,"")</f>
        <v/>
      </c>
      <c r="C1484" s="299"/>
      <c r="D1484" s="299"/>
      <c r="E1484" s="299"/>
      <c r="F1484" s="299"/>
      <c r="G1484" s="330"/>
      <c r="H1484" s="328"/>
      <c r="I1484" s="329"/>
      <c r="J1484" s="329"/>
      <c r="K1484" s="322"/>
      <c r="L1484" s="322"/>
      <c r="M1484" s="323" t="str">
        <f>IFERROR(VLOOKUP(H1484,Lijsten!$H$1:$I$100,2,0),"")</f>
        <v/>
      </c>
      <c r="N1484" s="323" t="str">
        <f ca="1">IFERROR(IF(VLOOKUP(F1484,Kostentypen!$A$3:$E$21,3,0)=0,"",IF(OR(F1484="Arbeidskosten",F1484="Vergoeding"),VLOOKUP(G1484,Tb_KostenTypen[],2,0),VLOOKUP(F1484,Kostentypen!$A$3:$E$20,3,0))),"")</f>
        <v/>
      </c>
      <c r="O1484" s="324"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4"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3"/>
      <c r="R1484" s="363"/>
      <c r="S1484" s="325"/>
      <c r="T1484" s="325"/>
      <c r="U1484" s="317" t="str" cm="1">
        <f t="array" aca="1" ref="U1484" ca="1">IFERROR(IF(AA1484&lt;&gt;"ja",_xlfn.IFNA(_xlfn.IFS(AND(O1484&lt;&gt;"",F1484&lt;&gt;"",RIGHT($N1484,6)="tarief",F1484="Vergoeding"),SUM(O1484)*FLOOR(SUM(Q1484),0.0001),AND(O1484&lt;&gt;"",F1484&lt;&gt;"",RIGHT($N1484,6)="tarief"),SUM(O1484)*FLOOR(SUM(Q1484),0.01),S1484&gt;0,IF(F1484&lt;&gt;"",FLOOR(SUM(S1484),0.01),"")),""),""),"")</f>
        <v/>
      </c>
      <c r="V1484" s="317" t="str" cm="1">
        <f t="array" aca="1" ref="V1484" ca="1">IFERROR(IF(AA1484&lt;&gt;"ja",_xlfn.IFNA(_xlfn.IFS(AND(P1484&lt;&gt;"",R1484&lt;&gt;"",RIGHT($N1484,6)="tarief",F1484="Vergoeding"),SUM(P1484)*FLOOR(SUM(R1484),0.0001),AND(P1484&lt;&gt;"",R1484&lt;&gt;"",RIGHT($N1484,6)="tarief"),P1484*FLOOR(R1484,0.01),T1484&gt;0,FLOOR(SUM(T1484),0.01)),""),""),"")</f>
        <v/>
      </c>
      <c r="W1484" s="317" t="str" cm="1">
        <f t="array" aca="1" ref="W1484" ca="1">IFERROR(_xlfn.IFS(OR(F1484="",LEFT(Methode_Keuze,4)="Geen",Methode_Keuze=""),"",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17" t="str" cm="1">
        <f t="array" aca="1" ref="X1484" ca="1">IFERROR(_xlfn.IFS(OR(F1484="",LEFT(Methode_Keuze,4)="Geen",Methode_Keuze=""),"",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26"/>
      <c r="Z1484" s="319"/>
      <c r="AA1484" s="32" t="str" cm="1">
        <f t="array" ref="AA1484">IFERROR(IF(INDEX(SubsidieTabel!$AD$1:$AG$12,MATCH($F1484,SubsidieTabel!$AD$1:$AD$12,0),IFERROR(MATCH(Methode_Keuze,SubsidieTabel!$AD$1:$AG$1,0),2))&lt;&gt;1=TRUE,"ja",""),"")</f>
        <v/>
      </c>
    </row>
    <row r="1485" spans="1:27" x14ac:dyDescent="0.25">
      <c r="A1485" s="320"/>
      <c r="B1485" s="321" t="str">
        <f>IF(A1485&lt;&gt;"",_xlfn.MAXIFS($B$1:B1484,$A$1:A1484,A1485)+1,"")</f>
        <v/>
      </c>
      <c r="C1485" s="299"/>
      <c r="D1485" s="299"/>
      <c r="E1485" s="299"/>
      <c r="F1485" s="299"/>
      <c r="G1485" s="330"/>
      <c r="H1485" s="328"/>
      <c r="I1485" s="329"/>
      <c r="J1485" s="329"/>
      <c r="K1485" s="322"/>
      <c r="L1485" s="322"/>
      <c r="M1485" s="323" t="str">
        <f>IFERROR(VLOOKUP(H1485,Lijsten!$H$1:$I$100,2,0),"")</f>
        <v/>
      </c>
      <c r="N1485" s="323" t="str">
        <f ca="1">IFERROR(IF(VLOOKUP(F1485,Kostentypen!$A$3:$E$21,3,0)=0,"",IF(OR(F1485="Arbeidskosten",F1485="Vergoeding"),VLOOKUP(G1485,Tb_KostenTypen[],2,0),VLOOKUP(F1485,Kostentypen!$A$3:$E$20,3,0))),"")</f>
        <v/>
      </c>
      <c r="O1485" s="324"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4"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3"/>
      <c r="R1485" s="363"/>
      <c r="S1485" s="325"/>
      <c r="T1485" s="325"/>
      <c r="U1485" s="317" t="str" cm="1">
        <f t="array" aca="1" ref="U1485" ca="1">IFERROR(IF(AA1485&lt;&gt;"ja",_xlfn.IFNA(_xlfn.IFS(AND(O1485&lt;&gt;"",F1485&lt;&gt;"",RIGHT($N1485,6)="tarief",F1485="Vergoeding"),SUM(O1485)*FLOOR(SUM(Q1485),0.0001),AND(O1485&lt;&gt;"",F1485&lt;&gt;"",RIGHT($N1485,6)="tarief"),SUM(O1485)*FLOOR(SUM(Q1485),0.01),S1485&gt;0,IF(F1485&lt;&gt;"",FLOOR(SUM(S1485),0.01),"")),""),""),"")</f>
        <v/>
      </c>
      <c r="V1485" s="317" t="str" cm="1">
        <f t="array" aca="1" ref="V1485" ca="1">IFERROR(IF(AA1485&lt;&gt;"ja",_xlfn.IFNA(_xlfn.IFS(AND(P1485&lt;&gt;"",R1485&lt;&gt;"",RIGHT($N1485,6)="tarief",F1485="Vergoeding"),SUM(P1485)*FLOOR(SUM(R1485),0.0001),AND(P1485&lt;&gt;"",R1485&lt;&gt;"",RIGHT($N1485,6)="tarief"),P1485*FLOOR(R1485,0.01),T1485&gt;0,FLOOR(SUM(T1485),0.01)),""),""),"")</f>
        <v/>
      </c>
      <c r="W1485" s="317" t="str" cm="1">
        <f t="array" aca="1" ref="W1485" ca="1">IFERROR(_xlfn.IFS(OR(F1485="",LEFT(Methode_Keuze,4)="Geen",Methode_Keuze=""),"",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17" t="str" cm="1">
        <f t="array" aca="1" ref="X1485" ca="1">IFERROR(_xlfn.IFS(OR(F1485="",LEFT(Methode_Keuze,4)="Geen",Methode_Keuze=""),"",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26"/>
      <c r="Z1485" s="319"/>
      <c r="AA1485" s="32" t="str" cm="1">
        <f t="array" ref="AA1485">IFERROR(IF(INDEX(SubsidieTabel!$AD$1:$AG$12,MATCH($F1485,SubsidieTabel!$AD$1:$AD$12,0),IFERROR(MATCH(Methode_Keuze,SubsidieTabel!$AD$1:$AG$1,0),2))&lt;&gt;1=TRUE,"ja",""),"")</f>
        <v/>
      </c>
    </row>
    <row r="1486" spans="1:27" x14ac:dyDescent="0.25">
      <c r="A1486" s="320"/>
      <c r="B1486" s="321" t="str">
        <f>IF(A1486&lt;&gt;"",_xlfn.MAXIFS($B$1:B1485,$A$1:A1485,A1486)+1,"")</f>
        <v/>
      </c>
      <c r="C1486" s="299"/>
      <c r="D1486" s="299"/>
      <c r="E1486" s="299"/>
      <c r="F1486" s="299"/>
      <c r="G1486" s="330"/>
      <c r="H1486" s="328"/>
      <c r="I1486" s="329"/>
      <c r="J1486" s="329"/>
      <c r="K1486" s="322"/>
      <c r="L1486" s="322"/>
      <c r="M1486" s="323" t="str">
        <f>IFERROR(VLOOKUP(H1486,Lijsten!$H$1:$I$100,2,0),"")</f>
        <v/>
      </c>
      <c r="N1486" s="323" t="str">
        <f ca="1">IFERROR(IF(VLOOKUP(F1486,Kostentypen!$A$3:$E$21,3,0)=0,"",IF(OR(F1486="Arbeidskosten",F1486="Vergoeding"),VLOOKUP(G1486,Tb_KostenTypen[],2,0),VLOOKUP(F1486,Kostentypen!$A$3:$E$20,3,0))),"")</f>
        <v/>
      </c>
      <c r="O1486" s="324"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4"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3"/>
      <c r="R1486" s="363"/>
      <c r="S1486" s="325"/>
      <c r="T1486" s="325"/>
      <c r="U1486" s="317" t="str" cm="1">
        <f t="array" aca="1" ref="U1486" ca="1">IFERROR(IF(AA1486&lt;&gt;"ja",_xlfn.IFNA(_xlfn.IFS(AND(O1486&lt;&gt;"",F1486&lt;&gt;"",RIGHT($N1486,6)="tarief",F1486="Vergoeding"),SUM(O1486)*FLOOR(SUM(Q1486),0.0001),AND(O1486&lt;&gt;"",F1486&lt;&gt;"",RIGHT($N1486,6)="tarief"),SUM(O1486)*FLOOR(SUM(Q1486),0.01),S1486&gt;0,IF(F1486&lt;&gt;"",FLOOR(SUM(S1486),0.01),"")),""),""),"")</f>
        <v/>
      </c>
      <c r="V1486" s="317" t="str" cm="1">
        <f t="array" aca="1" ref="V1486" ca="1">IFERROR(IF(AA1486&lt;&gt;"ja",_xlfn.IFNA(_xlfn.IFS(AND(P1486&lt;&gt;"",R1486&lt;&gt;"",RIGHT($N1486,6)="tarief",F1486="Vergoeding"),SUM(P1486)*FLOOR(SUM(R1486),0.0001),AND(P1486&lt;&gt;"",R1486&lt;&gt;"",RIGHT($N1486,6)="tarief"),P1486*FLOOR(R1486,0.01),T1486&gt;0,FLOOR(SUM(T1486),0.01)),""),""),"")</f>
        <v/>
      </c>
      <c r="W1486" s="317" t="str" cm="1">
        <f t="array" aca="1" ref="W1486" ca="1">IFERROR(_xlfn.IFS(OR(F1486="",LEFT(Methode_Keuze,4)="Geen",Methode_Keuze=""),"",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17" t="str" cm="1">
        <f t="array" aca="1" ref="X1486" ca="1">IFERROR(_xlfn.IFS(OR(F1486="",LEFT(Methode_Keuze,4)="Geen",Methode_Keuze=""),"",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26"/>
      <c r="Z1486" s="319"/>
      <c r="AA1486" s="32" t="str" cm="1">
        <f t="array" ref="AA1486">IFERROR(IF(INDEX(SubsidieTabel!$AD$1:$AG$12,MATCH($F1486,SubsidieTabel!$AD$1:$AD$12,0),IFERROR(MATCH(Methode_Keuze,SubsidieTabel!$AD$1:$AG$1,0),2))&lt;&gt;1=TRUE,"ja",""),"")</f>
        <v/>
      </c>
    </row>
    <row r="1487" spans="1:27" x14ac:dyDescent="0.25">
      <c r="A1487" s="320"/>
      <c r="B1487" s="321" t="str">
        <f>IF(A1487&lt;&gt;"",_xlfn.MAXIFS($B$1:B1486,$A$1:A1486,A1487)+1,"")</f>
        <v/>
      </c>
      <c r="C1487" s="299"/>
      <c r="D1487" s="299"/>
      <c r="E1487" s="299"/>
      <c r="F1487" s="299"/>
      <c r="G1487" s="330"/>
      <c r="H1487" s="328"/>
      <c r="I1487" s="329"/>
      <c r="J1487" s="329"/>
      <c r="K1487" s="322"/>
      <c r="L1487" s="322"/>
      <c r="M1487" s="323" t="str">
        <f>IFERROR(VLOOKUP(H1487,Lijsten!$H$1:$I$100,2,0),"")</f>
        <v/>
      </c>
      <c r="N1487" s="323" t="str">
        <f ca="1">IFERROR(IF(VLOOKUP(F1487,Kostentypen!$A$3:$E$21,3,0)=0,"",IF(OR(F1487="Arbeidskosten",F1487="Vergoeding"),VLOOKUP(G1487,Tb_KostenTypen[],2,0),VLOOKUP(F1487,Kostentypen!$A$3:$E$20,3,0))),"")</f>
        <v/>
      </c>
      <c r="O1487" s="324"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4"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3"/>
      <c r="R1487" s="363"/>
      <c r="S1487" s="325"/>
      <c r="T1487" s="325"/>
      <c r="U1487" s="317" t="str" cm="1">
        <f t="array" aca="1" ref="U1487" ca="1">IFERROR(IF(AA1487&lt;&gt;"ja",_xlfn.IFNA(_xlfn.IFS(AND(O1487&lt;&gt;"",F1487&lt;&gt;"",RIGHT($N1487,6)="tarief",F1487="Vergoeding"),SUM(O1487)*FLOOR(SUM(Q1487),0.0001),AND(O1487&lt;&gt;"",F1487&lt;&gt;"",RIGHT($N1487,6)="tarief"),SUM(O1487)*FLOOR(SUM(Q1487),0.01),S1487&gt;0,IF(F1487&lt;&gt;"",FLOOR(SUM(S1487),0.01),"")),""),""),"")</f>
        <v/>
      </c>
      <c r="V1487" s="317" t="str" cm="1">
        <f t="array" aca="1" ref="V1487" ca="1">IFERROR(IF(AA1487&lt;&gt;"ja",_xlfn.IFNA(_xlfn.IFS(AND(P1487&lt;&gt;"",R1487&lt;&gt;"",RIGHT($N1487,6)="tarief",F1487="Vergoeding"),SUM(P1487)*FLOOR(SUM(R1487),0.0001),AND(P1487&lt;&gt;"",R1487&lt;&gt;"",RIGHT($N1487,6)="tarief"),P1487*FLOOR(R1487,0.01),T1487&gt;0,FLOOR(SUM(T1487),0.01)),""),""),"")</f>
        <v/>
      </c>
      <c r="W1487" s="317" t="str" cm="1">
        <f t="array" aca="1" ref="W1487" ca="1">IFERROR(_xlfn.IFS(OR(F1487="",LEFT(Methode_Keuze,4)="Geen",Methode_Keuze=""),"",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17" t="str" cm="1">
        <f t="array" aca="1" ref="X1487" ca="1">IFERROR(_xlfn.IFS(OR(F1487="",LEFT(Methode_Keuze,4)="Geen",Methode_Keuze=""),"",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26"/>
      <c r="Z1487" s="319"/>
      <c r="AA1487" s="32" t="str" cm="1">
        <f t="array" ref="AA1487">IFERROR(IF(INDEX(SubsidieTabel!$AD$1:$AG$12,MATCH($F1487,SubsidieTabel!$AD$1:$AD$12,0),IFERROR(MATCH(Methode_Keuze,SubsidieTabel!$AD$1:$AG$1,0),2))&lt;&gt;1=TRUE,"ja",""),"")</f>
        <v/>
      </c>
    </row>
    <row r="1488" spans="1:27" x14ac:dyDescent="0.25">
      <c r="A1488" s="320"/>
      <c r="B1488" s="321" t="str">
        <f>IF(A1488&lt;&gt;"",_xlfn.MAXIFS($B$1:B1487,$A$1:A1487,A1488)+1,"")</f>
        <v/>
      </c>
      <c r="C1488" s="299"/>
      <c r="D1488" s="299"/>
      <c r="E1488" s="299"/>
      <c r="F1488" s="299"/>
      <c r="G1488" s="330"/>
      <c r="H1488" s="328"/>
      <c r="I1488" s="329"/>
      <c r="J1488" s="329"/>
      <c r="K1488" s="322"/>
      <c r="L1488" s="322"/>
      <c r="M1488" s="323" t="str">
        <f>IFERROR(VLOOKUP(H1488,Lijsten!$H$1:$I$100,2,0),"")</f>
        <v/>
      </c>
      <c r="N1488" s="323" t="str">
        <f ca="1">IFERROR(IF(VLOOKUP(F1488,Kostentypen!$A$3:$E$21,3,0)=0,"",IF(OR(F1488="Arbeidskosten",F1488="Vergoeding"),VLOOKUP(G1488,Tb_KostenTypen[],2,0),VLOOKUP(F1488,Kostentypen!$A$3:$E$20,3,0))),"")</f>
        <v/>
      </c>
      <c r="O1488" s="324"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4"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3"/>
      <c r="R1488" s="363"/>
      <c r="S1488" s="325"/>
      <c r="T1488" s="325"/>
      <c r="U1488" s="317" t="str" cm="1">
        <f t="array" aca="1" ref="U1488" ca="1">IFERROR(IF(AA1488&lt;&gt;"ja",_xlfn.IFNA(_xlfn.IFS(AND(O1488&lt;&gt;"",F1488&lt;&gt;"",RIGHT($N1488,6)="tarief",F1488="Vergoeding"),SUM(O1488)*FLOOR(SUM(Q1488),0.0001),AND(O1488&lt;&gt;"",F1488&lt;&gt;"",RIGHT($N1488,6)="tarief"),SUM(O1488)*FLOOR(SUM(Q1488),0.01),S1488&gt;0,IF(F1488&lt;&gt;"",FLOOR(SUM(S1488),0.01),"")),""),""),"")</f>
        <v/>
      </c>
      <c r="V1488" s="317" t="str" cm="1">
        <f t="array" aca="1" ref="V1488" ca="1">IFERROR(IF(AA1488&lt;&gt;"ja",_xlfn.IFNA(_xlfn.IFS(AND(P1488&lt;&gt;"",R1488&lt;&gt;"",RIGHT($N1488,6)="tarief",F1488="Vergoeding"),SUM(P1488)*FLOOR(SUM(R1488),0.0001),AND(P1488&lt;&gt;"",R1488&lt;&gt;"",RIGHT($N1488,6)="tarief"),P1488*FLOOR(R1488,0.01),T1488&gt;0,FLOOR(SUM(T1488),0.01)),""),""),"")</f>
        <v/>
      </c>
      <c r="W1488" s="317" t="str" cm="1">
        <f t="array" aca="1" ref="W1488" ca="1">IFERROR(_xlfn.IFS(OR(F1488="",LEFT(Methode_Keuze,4)="Geen",Methode_Keuze=""),"",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17" t="str" cm="1">
        <f t="array" aca="1" ref="X1488" ca="1">IFERROR(_xlfn.IFS(OR(F1488="",LEFT(Methode_Keuze,4)="Geen",Methode_Keuze=""),"",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26"/>
      <c r="Z1488" s="319"/>
      <c r="AA1488" s="32" t="str" cm="1">
        <f t="array" ref="AA1488">IFERROR(IF(INDEX(SubsidieTabel!$AD$1:$AG$12,MATCH($F1488,SubsidieTabel!$AD$1:$AD$12,0),IFERROR(MATCH(Methode_Keuze,SubsidieTabel!$AD$1:$AG$1,0),2))&lt;&gt;1=TRUE,"ja",""),"")</f>
        <v/>
      </c>
    </row>
    <row r="1489" spans="1:27" x14ac:dyDescent="0.25">
      <c r="A1489" s="320"/>
      <c r="B1489" s="321" t="str">
        <f>IF(A1489&lt;&gt;"",_xlfn.MAXIFS($B$1:B1488,$A$1:A1488,A1489)+1,"")</f>
        <v/>
      </c>
      <c r="C1489" s="299"/>
      <c r="D1489" s="299"/>
      <c r="E1489" s="299"/>
      <c r="F1489" s="299"/>
      <c r="G1489" s="330"/>
      <c r="H1489" s="328"/>
      <c r="I1489" s="329"/>
      <c r="J1489" s="329"/>
      <c r="K1489" s="322"/>
      <c r="L1489" s="322"/>
      <c r="M1489" s="323" t="str">
        <f>IFERROR(VLOOKUP(H1489,Lijsten!$H$1:$I$100,2,0),"")</f>
        <v/>
      </c>
      <c r="N1489" s="323" t="str">
        <f ca="1">IFERROR(IF(VLOOKUP(F1489,Kostentypen!$A$3:$E$21,3,0)=0,"",IF(OR(F1489="Arbeidskosten",F1489="Vergoeding"),VLOOKUP(G1489,Tb_KostenTypen[],2,0),VLOOKUP(F1489,Kostentypen!$A$3:$E$20,3,0))),"")</f>
        <v/>
      </c>
      <c r="O1489" s="324"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4"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3"/>
      <c r="R1489" s="363"/>
      <c r="S1489" s="325"/>
      <c r="T1489" s="325"/>
      <c r="U1489" s="317" t="str" cm="1">
        <f t="array" aca="1" ref="U1489" ca="1">IFERROR(IF(AA1489&lt;&gt;"ja",_xlfn.IFNA(_xlfn.IFS(AND(O1489&lt;&gt;"",F1489&lt;&gt;"",RIGHT($N1489,6)="tarief",F1489="Vergoeding"),SUM(O1489)*FLOOR(SUM(Q1489),0.0001),AND(O1489&lt;&gt;"",F1489&lt;&gt;"",RIGHT($N1489,6)="tarief"),SUM(O1489)*FLOOR(SUM(Q1489),0.01),S1489&gt;0,IF(F1489&lt;&gt;"",FLOOR(SUM(S1489),0.01),"")),""),""),"")</f>
        <v/>
      </c>
      <c r="V1489" s="317" t="str" cm="1">
        <f t="array" aca="1" ref="V1489" ca="1">IFERROR(IF(AA1489&lt;&gt;"ja",_xlfn.IFNA(_xlfn.IFS(AND(P1489&lt;&gt;"",R1489&lt;&gt;"",RIGHT($N1489,6)="tarief",F1489="Vergoeding"),SUM(P1489)*FLOOR(SUM(R1489),0.0001),AND(P1489&lt;&gt;"",R1489&lt;&gt;"",RIGHT($N1489,6)="tarief"),P1489*FLOOR(R1489,0.01),T1489&gt;0,FLOOR(SUM(T1489),0.01)),""),""),"")</f>
        <v/>
      </c>
      <c r="W1489" s="317" t="str" cm="1">
        <f t="array" aca="1" ref="W1489" ca="1">IFERROR(_xlfn.IFS(OR(F1489="",LEFT(Methode_Keuze,4)="Geen",Methode_Keuze=""),"",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17" t="str" cm="1">
        <f t="array" aca="1" ref="X1489" ca="1">IFERROR(_xlfn.IFS(OR(F1489="",LEFT(Methode_Keuze,4)="Geen",Methode_Keuze=""),"",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26"/>
      <c r="Z1489" s="319"/>
      <c r="AA1489" s="32" t="str" cm="1">
        <f t="array" ref="AA1489">IFERROR(IF(INDEX(SubsidieTabel!$AD$1:$AG$12,MATCH($F1489,SubsidieTabel!$AD$1:$AD$12,0),IFERROR(MATCH(Methode_Keuze,SubsidieTabel!$AD$1:$AG$1,0),2))&lt;&gt;1=TRUE,"ja",""),"")</f>
        <v/>
      </c>
    </row>
    <row r="1490" spans="1:27" x14ac:dyDescent="0.25">
      <c r="A1490" s="320"/>
      <c r="B1490" s="321" t="str">
        <f>IF(A1490&lt;&gt;"",_xlfn.MAXIFS($B$1:B1489,$A$1:A1489,A1490)+1,"")</f>
        <v/>
      </c>
      <c r="C1490" s="299"/>
      <c r="D1490" s="299"/>
      <c r="E1490" s="299"/>
      <c r="F1490" s="299"/>
      <c r="G1490" s="330"/>
      <c r="H1490" s="328"/>
      <c r="I1490" s="329"/>
      <c r="J1490" s="329"/>
      <c r="K1490" s="322"/>
      <c r="L1490" s="322"/>
      <c r="M1490" s="323" t="str">
        <f>IFERROR(VLOOKUP(H1490,Lijsten!$H$1:$I$100,2,0),"")</f>
        <v/>
      </c>
      <c r="N1490" s="323" t="str">
        <f ca="1">IFERROR(IF(VLOOKUP(F1490,Kostentypen!$A$3:$E$21,3,0)=0,"",IF(OR(F1490="Arbeidskosten",F1490="Vergoeding"),VLOOKUP(G1490,Tb_KostenTypen[],2,0),VLOOKUP(F1490,Kostentypen!$A$3:$E$20,3,0))),"")</f>
        <v/>
      </c>
      <c r="O1490" s="324"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4"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3"/>
      <c r="R1490" s="363"/>
      <c r="S1490" s="325"/>
      <c r="T1490" s="325"/>
      <c r="U1490" s="317" t="str" cm="1">
        <f t="array" aca="1" ref="U1490" ca="1">IFERROR(IF(AA1490&lt;&gt;"ja",_xlfn.IFNA(_xlfn.IFS(AND(O1490&lt;&gt;"",F1490&lt;&gt;"",RIGHT($N1490,6)="tarief",F1490="Vergoeding"),SUM(O1490)*FLOOR(SUM(Q1490),0.0001),AND(O1490&lt;&gt;"",F1490&lt;&gt;"",RIGHT($N1490,6)="tarief"),SUM(O1490)*FLOOR(SUM(Q1490),0.01),S1490&gt;0,IF(F1490&lt;&gt;"",FLOOR(SUM(S1490),0.01),"")),""),""),"")</f>
        <v/>
      </c>
      <c r="V1490" s="317" t="str" cm="1">
        <f t="array" aca="1" ref="V1490" ca="1">IFERROR(IF(AA1490&lt;&gt;"ja",_xlfn.IFNA(_xlfn.IFS(AND(P1490&lt;&gt;"",R1490&lt;&gt;"",RIGHT($N1490,6)="tarief",F1490="Vergoeding"),SUM(P1490)*FLOOR(SUM(R1490),0.0001),AND(P1490&lt;&gt;"",R1490&lt;&gt;"",RIGHT($N1490,6)="tarief"),P1490*FLOOR(R1490,0.01),T1490&gt;0,FLOOR(SUM(T1490),0.01)),""),""),"")</f>
        <v/>
      </c>
      <c r="W1490" s="317" t="str" cm="1">
        <f t="array" aca="1" ref="W1490" ca="1">IFERROR(_xlfn.IFS(OR(F1490="",LEFT(Methode_Keuze,4)="Geen",Methode_Keuze=""),"",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17" t="str" cm="1">
        <f t="array" aca="1" ref="X1490" ca="1">IFERROR(_xlfn.IFS(OR(F1490="",LEFT(Methode_Keuze,4)="Geen",Methode_Keuze=""),"",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26"/>
      <c r="Z1490" s="319"/>
      <c r="AA1490" s="32" t="str" cm="1">
        <f t="array" ref="AA1490">IFERROR(IF(INDEX(SubsidieTabel!$AD$1:$AG$12,MATCH($F1490,SubsidieTabel!$AD$1:$AD$12,0),IFERROR(MATCH(Methode_Keuze,SubsidieTabel!$AD$1:$AG$1,0),2))&lt;&gt;1=TRUE,"ja",""),"")</f>
        <v/>
      </c>
    </row>
    <row r="1491" spans="1:27" x14ac:dyDescent="0.25">
      <c r="A1491" s="320"/>
      <c r="B1491" s="321" t="str">
        <f>IF(A1491&lt;&gt;"",_xlfn.MAXIFS($B$1:B1490,$A$1:A1490,A1491)+1,"")</f>
        <v/>
      </c>
      <c r="C1491" s="299"/>
      <c r="D1491" s="299"/>
      <c r="E1491" s="299"/>
      <c r="F1491" s="299"/>
      <c r="G1491" s="330"/>
      <c r="H1491" s="328"/>
      <c r="I1491" s="329"/>
      <c r="J1491" s="329"/>
      <c r="K1491" s="322"/>
      <c r="L1491" s="322"/>
      <c r="M1491" s="323" t="str">
        <f>IFERROR(VLOOKUP(H1491,Lijsten!$H$1:$I$100,2,0),"")</f>
        <v/>
      </c>
      <c r="N1491" s="323" t="str">
        <f ca="1">IFERROR(IF(VLOOKUP(F1491,Kostentypen!$A$3:$E$21,3,0)=0,"",IF(OR(F1491="Arbeidskosten",F1491="Vergoeding"),VLOOKUP(G1491,Tb_KostenTypen[],2,0),VLOOKUP(F1491,Kostentypen!$A$3:$E$20,3,0))),"")</f>
        <v/>
      </c>
      <c r="O1491" s="324"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4"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3"/>
      <c r="R1491" s="363"/>
      <c r="S1491" s="325"/>
      <c r="T1491" s="325"/>
      <c r="U1491" s="317" t="str" cm="1">
        <f t="array" aca="1" ref="U1491" ca="1">IFERROR(IF(AA1491&lt;&gt;"ja",_xlfn.IFNA(_xlfn.IFS(AND(O1491&lt;&gt;"",F1491&lt;&gt;"",RIGHT($N1491,6)="tarief",F1491="Vergoeding"),SUM(O1491)*FLOOR(SUM(Q1491),0.0001),AND(O1491&lt;&gt;"",F1491&lt;&gt;"",RIGHT($N1491,6)="tarief"),SUM(O1491)*FLOOR(SUM(Q1491),0.01),S1491&gt;0,IF(F1491&lt;&gt;"",FLOOR(SUM(S1491),0.01),"")),""),""),"")</f>
        <v/>
      </c>
      <c r="V1491" s="317" t="str" cm="1">
        <f t="array" aca="1" ref="V1491" ca="1">IFERROR(IF(AA1491&lt;&gt;"ja",_xlfn.IFNA(_xlfn.IFS(AND(P1491&lt;&gt;"",R1491&lt;&gt;"",RIGHT($N1491,6)="tarief",F1491="Vergoeding"),SUM(P1491)*FLOOR(SUM(R1491),0.0001),AND(P1491&lt;&gt;"",R1491&lt;&gt;"",RIGHT($N1491,6)="tarief"),P1491*FLOOR(R1491,0.01),T1491&gt;0,FLOOR(SUM(T1491),0.01)),""),""),"")</f>
        <v/>
      </c>
      <c r="W1491" s="317" t="str" cm="1">
        <f t="array" aca="1" ref="W1491" ca="1">IFERROR(_xlfn.IFS(OR(F1491="",LEFT(Methode_Keuze,4)="Geen",Methode_Keuze=""),"",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17" t="str" cm="1">
        <f t="array" aca="1" ref="X1491" ca="1">IFERROR(_xlfn.IFS(OR(F1491="",LEFT(Methode_Keuze,4)="Geen",Methode_Keuze=""),"",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26"/>
      <c r="Z1491" s="319"/>
      <c r="AA1491" s="32" t="str" cm="1">
        <f t="array" ref="AA1491">IFERROR(IF(INDEX(SubsidieTabel!$AD$1:$AG$12,MATCH($F1491,SubsidieTabel!$AD$1:$AD$12,0),IFERROR(MATCH(Methode_Keuze,SubsidieTabel!$AD$1:$AG$1,0),2))&lt;&gt;1=TRUE,"ja",""),"")</f>
        <v/>
      </c>
    </row>
    <row r="1492" spans="1:27" x14ac:dyDescent="0.25">
      <c r="A1492" s="320"/>
      <c r="B1492" s="321" t="str">
        <f>IF(A1492&lt;&gt;"",_xlfn.MAXIFS($B$1:B1491,$A$1:A1491,A1492)+1,"")</f>
        <v/>
      </c>
      <c r="C1492" s="299"/>
      <c r="D1492" s="299"/>
      <c r="E1492" s="299"/>
      <c r="F1492" s="299"/>
      <c r="G1492" s="330"/>
      <c r="H1492" s="328"/>
      <c r="I1492" s="329"/>
      <c r="J1492" s="329"/>
      <c r="K1492" s="322"/>
      <c r="L1492" s="322"/>
      <c r="M1492" s="323" t="str">
        <f>IFERROR(VLOOKUP(H1492,Lijsten!$H$1:$I$100,2,0),"")</f>
        <v/>
      </c>
      <c r="N1492" s="323" t="str">
        <f ca="1">IFERROR(IF(VLOOKUP(F1492,Kostentypen!$A$3:$E$21,3,0)=0,"",IF(OR(F1492="Arbeidskosten",F1492="Vergoeding"),VLOOKUP(G1492,Tb_KostenTypen[],2,0),VLOOKUP(F1492,Kostentypen!$A$3:$E$20,3,0))),"")</f>
        <v/>
      </c>
      <c r="O1492" s="324"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4"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3"/>
      <c r="R1492" s="363"/>
      <c r="S1492" s="325"/>
      <c r="T1492" s="325"/>
      <c r="U1492" s="317" t="str" cm="1">
        <f t="array" aca="1" ref="U1492" ca="1">IFERROR(IF(AA1492&lt;&gt;"ja",_xlfn.IFNA(_xlfn.IFS(AND(O1492&lt;&gt;"",F1492&lt;&gt;"",RIGHT($N1492,6)="tarief",F1492="Vergoeding"),SUM(O1492)*FLOOR(SUM(Q1492),0.0001),AND(O1492&lt;&gt;"",F1492&lt;&gt;"",RIGHT($N1492,6)="tarief"),SUM(O1492)*FLOOR(SUM(Q1492),0.01),S1492&gt;0,IF(F1492&lt;&gt;"",FLOOR(SUM(S1492),0.01),"")),""),""),"")</f>
        <v/>
      </c>
      <c r="V1492" s="317" t="str" cm="1">
        <f t="array" aca="1" ref="V1492" ca="1">IFERROR(IF(AA1492&lt;&gt;"ja",_xlfn.IFNA(_xlfn.IFS(AND(P1492&lt;&gt;"",R1492&lt;&gt;"",RIGHT($N1492,6)="tarief",F1492="Vergoeding"),SUM(P1492)*FLOOR(SUM(R1492),0.0001),AND(P1492&lt;&gt;"",R1492&lt;&gt;"",RIGHT($N1492,6)="tarief"),P1492*FLOOR(R1492,0.01),T1492&gt;0,FLOOR(SUM(T1492),0.01)),""),""),"")</f>
        <v/>
      </c>
      <c r="W1492" s="317" t="str" cm="1">
        <f t="array" aca="1" ref="W1492" ca="1">IFERROR(_xlfn.IFS(OR(F1492="",LEFT(Methode_Keuze,4)="Geen",Methode_Keuze=""),"",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17" t="str" cm="1">
        <f t="array" aca="1" ref="X1492" ca="1">IFERROR(_xlfn.IFS(OR(F1492="",LEFT(Methode_Keuze,4)="Geen",Methode_Keuze=""),"",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26"/>
      <c r="Z1492" s="319"/>
      <c r="AA1492" s="32" t="str" cm="1">
        <f t="array" ref="AA1492">IFERROR(IF(INDEX(SubsidieTabel!$AD$1:$AG$12,MATCH($F1492,SubsidieTabel!$AD$1:$AD$12,0),IFERROR(MATCH(Methode_Keuze,SubsidieTabel!$AD$1:$AG$1,0),2))&lt;&gt;1=TRUE,"ja",""),"")</f>
        <v/>
      </c>
    </row>
    <row r="1493" spans="1:27" x14ac:dyDescent="0.25">
      <c r="A1493" s="320"/>
      <c r="B1493" s="321" t="str">
        <f>IF(A1493&lt;&gt;"",_xlfn.MAXIFS($B$1:B1492,$A$1:A1492,A1493)+1,"")</f>
        <v/>
      </c>
      <c r="C1493" s="299"/>
      <c r="D1493" s="299"/>
      <c r="E1493" s="299"/>
      <c r="F1493" s="299"/>
      <c r="G1493" s="330"/>
      <c r="H1493" s="328"/>
      <c r="I1493" s="329"/>
      <c r="J1493" s="329"/>
      <c r="K1493" s="322"/>
      <c r="L1493" s="322"/>
      <c r="M1493" s="323" t="str">
        <f>IFERROR(VLOOKUP(H1493,Lijsten!$H$1:$I$100,2,0),"")</f>
        <v/>
      </c>
      <c r="N1493" s="323" t="str">
        <f ca="1">IFERROR(IF(VLOOKUP(F1493,Kostentypen!$A$3:$E$21,3,0)=0,"",IF(OR(F1493="Arbeidskosten",F1493="Vergoeding"),VLOOKUP(G1493,Tb_KostenTypen[],2,0),VLOOKUP(F1493,Kostentypen!$A$3:$E$20,3,0))),"")</f>
        <v/>
      </c>
      <c r="O1493" s="324"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4"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3"/>
      <c r="R1493" s="363"/>
      <c r="S1493" s="325"/>
      <c r="T1493" s="325"/>
      <c r="U1493" s="317" t="str" cm="1">
        <f t="array" aca="1" ref="U1493" ca="1">IFERROR(IF(AA1493&lt;&gt;"ja",_xlfn.IFNA(_xlfn.IFS(AND(O1493&lt;&gt;"",F1493&lt;&gt;"",RIGHT($N1493,6)="tarief",F1493="Vergoeding"),SUM(O1493)*FLOOR(SUM(Q1493),0.0001),AND(O1493&lt;&gt;"",F1493&lt;&gt;"",RIGHT($N1493,6)="tarief"),SUM(O1493)*FLOOR(SUM(Q1493),0.01),S1493&gt;0,IF(F1493&lt;&gt;"",FLOOR(SUM(S1493),0.01),"")),""),""),"")</f>
        <v/>
      </c>
      <c r="V1493" s="317" t="str" cm="1">
        <f t="array" aca="1" ref="V1493" ca="1">IFERROR(IF(AA1493&lt;&gt;"ja",_xlfn.IFNA(_xlfn.IFS(AND(P1493&lt;&gt;"",R1493&lt;&gt;"",RIGHT($N1493,6)="tarief",F1493="Vergoeding"),SUM(P1493)*FLOOR(SUM(R1493),0.0001),AND(P1493&lt;&gt;"",R1493&lt;&gt;"",RIGHT($N1493,6)="tarief"),P1493*FLOOR(R1493,0.01),T1493&gt;0,FLOOR(SUM(T1493),0.01)),""),""),"")</f>
        <v/>
      </c>
      <c r="W1493" s="317" t="str" cm="1">
        <f t="array" aca="1" ref="W1493" ca="1">IFERROR(_xlfn.IFS(OR(F1493="",LEFT(Methode_Keuze,4)="Geen",Methode_Keuze=""),"",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17" t="str" cm="1">
        <f t="array" aca="1" ref="X1493" ca="1">IFERROR(_xlfn.IFS(OR(F1493="",LEFT(Methode_Keuze,4)="Geen",Methode_Keuze=""),"",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26"/>
      <c r="Z1493" s="319"/>
      <c r="AA1493" s="32" t="str" cm="1">
        <f t="array" ref="AA1493">IFERROR(IF(INDEX(SubsidieTabel!$AD$1:$AG$12,MATCH($F1493,SubsidieTabel!$AD$1:$AD$12,0),IFERROR(MATCH(Methode_Keuze,SubsidieTabel!$AD$1:$AG$1,0),2))&lt;&gt;1=TRUE,"ja",""),"")</f>
        <v/>
      </c>
    </row>
    <row r="1494" spans="1:27" x14ac:dyDescent="0.25">
      <c r="A1494" s="320"/>
      <c r="B1494" s="321" t="str">
        <f>IF(A1494&lt;&gt;"",_xlfn.MAXIFS($B$1:B1493,$A$1:A1493,A1494)+1,"")</f>
        <v/>
      </c>
      <c r="C1494" s="299"/>
      <c r="D1494" s="299"/>
      <c r="E1494" s="299"/>
      <c r="F1494" s="299"/>
      <c r="G1494" s="330"/>
      <c r="H1494" s="328"/>
      <c r="I1494" s="329"/>
      <c r="J1494" s="329"/>
      <c r="K1494" s="322"/>
      <c r="L1494" s="322"/>
      <c r="M1494" s="323" t="str">
        <f>IFERROR(VLOOKUP(H1494,Lijsten!$H$1:$I$100,2,0),"")</f>
        <v/>
      </c>
      <c r="N1494" s="323" t="str">
        <f ca="1">IFERROR(IF(VLOOKUP(F1494,Kostentypen!$A$3:$E$21,3,0)=0,"",IF(OR(F1494="Arbeidskosten",F1494="Vergoeding"),VLOOKUP(G1494,Tb_KostenTypen[],2,0),VLOOKUP(F1494,Kostentypen!$A$3:$E$20,3,0))),"")</f>
        <v/>
      </c>
      <c r="O1494" s="324"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4"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3"/>
      <c r="R1494" s="363"/>
      <c r="S1494" s="325"/>
      <c r="T1494" s="325"/>
      <c r="U1494" s="317" t="str" cm="1">
        <f t="array" aca="1" ref="U1494" ca="1">IFERROR(IF(AA1494&lt;&gt;"ja",_xlfn.IFNA(_xlfn.IFS(AND(O1494&lt;&gt;"",F1494&lt;&gt;"",RIGHT($N1494,6)="tarief",F1494="Vergoeding"),SUM(O1494)*FLOOR(SUM(Q1494),0.0001),AND(O1494&lt;&gt;"",F1494&lt;&gt;"",RIGHT($N1494,6)="tarief"),SUM(O1494)*FLOOR(SUM(Q1494),0.01),S1494&gt;0,IF(F1494&lt;&gt;"",FLOOR(SUM(S1494),0.01),"")),""),""),"")</f>
        <v/>
      </c>
      <c r="V1494" s="317" t="str" cm="1">
        <f t="array" aca="1" ref="V1494" ca="1">IFERROR(IF(AA1494&lt;&gt;"ja",_xlfn.IFNA(_xlfn.IFS(AND(P1494&lt;&gt;"",R1494&lt;&gt;"",RIGHT($N1494,6)="tarief",F1494="Vergoeding"),SUM(P1494)*FLOOR(SUM(R1494),0.0001),AND(P1494&lt;&gt;"",R1494&lt;&gt;"",RIGHT($N1494,6)="tarief"),P1494*FLOOR(R1494,0.01),T1494&gt;0,FLOOR(SUM(T1494),0.01)),""),""),"")</f>
        <v/>
      </c>
      <c r="W1494" s="317" t="str" cm="1">
        <f t="array" aca="1" ref="W1494" ca="1">IFERROR(_xlfn.IFS(OR(F1494="",LEFT(Methode_Keuze,4)="Geen",Methode_Keuze=""),"",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17" t="str" cm="1">
        <f t="array" aca="1" ref="X1494" ca="1">IFERROR(_xlfn.IFS(OR(F1494="",LEFT(Methode_Keuze,4)="Geen",Methode_Keuze=""),"",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26"/>
      <c r="Z1494" s="319"/>
      <c r="AA1494" s="32" t="str" cm="1">
        <f t="array" ref="AA1494">IFERROR(IF(INDEX(SubsidieTabel!$AD$1:$AG$12,MATCH($F1494,SubsidieTabel!$AD$1:$AD$12,0),IFERROR(MATCH(Methode_Keuze,SubsidieTabel!$AD$1:$AG$1,0),2))&lt;&gt;1=TRUE,"ja",""),"")</f>
        <v/>
      </c>
    </row>
    <row r="1495" spans="1:27" x14ac:dyDescent="0.25">
      <c r="A1495" s="320"/>
      <c r="B1495" s="321" t="str">
        <f>IF(A1495&lt;&gt;"",_xlfn.MAXIFS($B$1:B1494,$A$1:A1494,A1495)+1,"")</f>
        <v/>
      </c>
      <c r="C1495" s="299"/>
      <c r="D1495" s="299"/>
      <c r="E1495" s="299"/>
      <c r="F1495" s="299"/>
      <c r="G1495" s="330"/>
      <c r="H1495" s="328"/>
      <c r="I1495" s="329"/>
      <c r="J1495" s="329"/>
      <c r="K1495" s="322"/>
      <c r="L1495" s="322"/>
      <c r="M1495" s="323" t="str">
        <f>IFERROR(VLOOKUP(H1495,Lijsten!$H$1:$I$100,2,0),"")</f>
        <v/>
      </c>
      <c r="N1495" s="323" t="str">
        <f ca="1">IFERROR(IF(VLOOKUP(F1495,Kostentypen!$A$3:$E$21,3,0)=0,"",IF(OR(F1495="Arbeidskosten",F1495="Vergoeding"),VLOOKUP(G1495,Tb_KostenTypen[],2,0),VLOOKUP(F1495,Kostentypen!$A$3:$E$20,3,0))),"")</f>
        <v/>
      </c>
      <c r="O1495" s="324"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4"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3"/>
      <c r="R1495" s="363"/>
      <c r="S1495" s="325"/>
      <c r="T1495" s="325"/>
      <c r="U1495" s="317" t="str" cm="1">
        <f t="array" aca="1" ref="U1495" ca="1">IFERROR(IF(AA1495&lt;&gt;"ja",_xlfn.IFNA(_xlfn.IFS(AND(O1495&lt;&gt;"",F1495&lt;&gt;"",RIGHT($N1495,6)="tarief",F1495="Vergoeding"),SUM(O1495)*FLOOR(SUM(Q1495),0.0001),AND(O1495&lt;&gt;"",F1495&lt;&gt;"",RIGHT($N1495,6)="tarief"),SUM(O1495)*FLOOR(SUM(Q1495),0.01),S1495&gt;0,IF(F1495&lt;&gt;"",FLOOR(SUM(S1495),0.01),"")),""),""),"")</f>
        <v/>
      </c>
      <c r="V1495" s="317" t="str" cm="1">
        <f t="array" aca="1" ref="V1495" ca="1">IFERROR(IF(AA1495&lt;&gt;"ja",_xlfn.IFNA(_xlfn.IFS(AND(P1495&lt;&gt;"",R1495&lt;&gt;"",RIGHT($N1495,6)="tarief",F1495="Vergoeding"),SUM(P1495)*FLOOR(SUM(R1495),0.0001),AND(P1495&lt;&gt;"",R1495&lt;&gt;"",RIGHT($N1495,6)="tarief"),P1495*FLOOR(R1495,0.01),T1495&gt;0,FLOOR(SUM(T1495),0.01)),""),""),"")</f>
        <v/>
      </c>
      <c r="W1495" s="317" t="str" cm="1">
        <f t="array" aca="1" ref="W1495" ca="1">IFERROR(_xlfn.IFS(OR(F1495="",LEFT(Methode_Keuze,4)="Geen",Methode_Keuze=""),"",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17" t="str" cm="1">
        <f t="array" aca="1" ref="X1495" ca="1">IFERROR(_xlfn.IFS(OR(F1495="",LEFT(Methode_Keuze,4)="Geen",Methode_Keuze=""),"",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26"/>
      <c r="Z1495" s="319"/>
      <c r="AA1495" s="32" t="str" cm="1">
        <f t="array" ref="AA1495">IFERROR(IF(INDEX(SubsidieTabel!$AD$1:$AG$12,MATCH($F1495,SubsidieTabel!$AD$1:$AD$12,0),IFERROR(MATCH(Methode_Keuze,SubsidieTabel!$AD$1:$AG$1,0),2))&lt;&gt;1=TRUE,"ja",""),"")</f>
        <v/>
      </c>
    </row>
    <row r="1496" spans="1:27" x14ac:dyDescent="0.25">
      <c r="A1496" s="320"/>
      <c r="B1496" s="321" t="str">
        <f>IF(A1496&lt;&gt;"",_xlfn.MAXIFS($B$1:B1495,$A$1:A1495,A1496)+1,"")</f>
        <v/>
      </c>
      <c r="C1496" s="299"/>
      <c r="D1496" s="299"/>
      <c r="E1496" s="299"/>
      <c r="F1496" s="299"/>
      <c r="G1496" s="330"/>
      <c r="H1496" s="328"/>
      <c r="I1496" s="329"/>
      <c r="J1496" s="329"/>
      <c r="K1496" s="322"/>
      <c r="L1496" s="322"/>
      <c r="M1496" s="323" t="str">
        <f>IFERROR(VLOOKUP(H1496,Lijsten!$H$1:$I$100,2,0),"")</f>
        <v/>
      </c>
      <c r="N1496" s="323" t="str">
        <f ca="1">IFERROR(IF(VLOOKUP(F1496,Kostentypen!$A$3:$E$21,3,0)=0,"",IF(OR(F1496="Arbeidskosten",F1496="Vergoeding"),VLOOKUP(G1496,Tb_KostenTypen[],2,0),VLOOKUP(F1496,Kostentypen!$A$3:$E$20,3,0))),"")</f>
        <v/>
      </c>
      <c r="O1496" s="324"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4"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3"/>
      <c r="R1496" s="363"/>
      <c r="S1496" s="325"/>
      <c r="T1496" s="325"/>
      <c r="U1496" s="317" t="str" cm="1">
        <f t="array" aca="1" ref="U1496" ca="1">IFERROR(IF(AA1496&lt;&gt;"ja",_xlfn.IFNA(_xlfn.IFS(AND(O1496&lt;&gt;"",F1496&lt;&gt;"",RIGHT($N1496,6)="tarief",F1496="Vergoeding"),SUM(O1496)*FLOOR(SUM(Q1496),0.0001),AND(O1496&lt;&gt;"",F1496&lt;&gt;"",RIGHT($N1496,6)="tarief"),SUM(O1496)*FLOOR(SUM(Q1496),0.01),S1496&gt;0,IF(F1496&lt;&gt;"",FLOOR(SUM(S1496),0.01),"")),""),""),"")</f>
        <v/>
      </c>
      <c r="V1496" s="317" t="str" cm="1">
        <f t="array" aca="1" ref="V1496" ca="1">IFERROR(IF(AA1496&lt;&gt;"ja",_xlfn.IFNA(_xlfn.IFS(AND(P1496&lt;&gt;"",R1496&lt;&gt;"",RIGHT($N1496,6)="tarief",F1496="Vergoeding"),SUM(P1496)*FLOOR(SUM(R1496),0.0001),AND(P1496&lt;&gt;"",R1496&lt;&gt;"",RIGHT($N1496,6)="tarief"),P1496*FLOOR(R1496,0.01),T1496&gt;0,FLOOR(SUM(T1496),0.01)),""),""),"")</f>
        <v/>
      </c>
      <c r="W1496" s="317" t="str" cm="1">
        <f t="array" aca="1" ref="W1496" ca="1">IFERROR(_xlfn.IFS(OR(F1496="",LEFT(Methode_Keuze,4)="Geen",Methode_Keuze=""),"",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17" t="str" cm="1">
        <f t="array" aca="1" ref="X1496" ca="1">IFERROR(_xlfn.IFS(OR(F1496="",LEFT(Methode_Keuze,4)="Geen",Methode_Keuze=""),"",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26"/>
      <c r="Z1496" s="319"/>
      <c r="AA1496" s="32" t="str" cm="1">
        <f t="array" ref="AA1496">IFERROR(IF(INDEX(SubsidieTabel!$AD$1:$AG$12,MATCH($F1496,SubsidieTabel!$AD$1:$AD$12,0),IFERROR(MATCH(Methode_Keuze,SubsidieTabel!$AD$1:$AG$1,0),2))&lt;&gt;1=TRUE,"ja",""),"")</f>
        <v/>
      </c>
    </row>
    <row r="1497" spans="1:27" x14ac:dyDescent="0.25">
      <c r="A1497" s="320"/>
      <c r="B1497" s="321" t="str">
        <f>IF(A1497&lt;&gt;"",_xlfn.MAXIFS($B$1:B1496,$A$1:A1496,A1497)+1,"")</f>
        <v/>
      </c>
      <c r="C1497" s="299"/>
      <c r="D1497" s="299"/>
      <c r="E1497" s="299"/>
      <c r="F1497" s="299"/>
      <c r="G1497" s="330"/>
      <c r="H1497" s="328"/>
      <c r="I1497" s="329"/>
      <c r="J1497" s="329"/>
      <c r="K1497" s="322"/>
      <c r="L1497" s="322"/>
      <c r="M1497" s="323" t="str">
        <f>IFERROR(VLOOKUP(H1497,Lijsten!$H$1:$I$100,2,0),"")</f>
        <v/>
      </c>
      <c r="N1497" s="323" t="str">
        <f ca="1">IFERROR(IF(VLOOKUP(F1497,Kostentypen!$A$3:$E$21,3,0)=0,"",IF(OR(F1497="Arbeidskosten",F1497="Vergoeding"),VLOOKUP(G1497,Tb_KostenTypen[],2,0),VLOOKUP(F1497,Kostentypen!$A$3:$E$20,3,0))),"")</f>
        <v/>
      </c>
      <c r="O1497" s="324"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4"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3"/>
      <c r="R1497" s="363"/>
      <c r="S1497" s="325"/>
      <c r="T1497" s="325"/>
      <c r="U1497" s="317" t="str" cm="1">
        <f t="array" aca="1" ref="U1497" ca="1">IFERROR(IF(AA1497&lt;&gt;"ja",_xlfn.IFNA(_xlfn.IFS(AND(O1497&lt;&gt;"",F1497&lt;&gt;"",RIGHT($N1497,6)="tarief",F1497="Vergoeding"),SUM(O1497)*FLOOR(SUM(Q1497),0.0001),AND(O1497&lt;&gt;"",F1497&lt;&gt;"",RIGHT($N1497,6)="tarief"),SUM(O1497)*FLOOR(SUM(Q1497),0.01),S1497&gt;0,IF(F1497&lt;&gt;"",FLOOR(SUM(S1497),0.01),"")),""),""),"")</f>
        <v/>
      </c>
      <c r="V1497" s="317" t="str" cm="1">
        <f t="array" aca="1" ref="V1497" ca="1">IFERROR(IF(AA1497&lt;&gt;"ja",_xlfn.IFNA(_xlfn.IFS(AND(P1497&lt;&gt;"",R1497&lt;&gt;"",RIGHT($N1497,6)="tarief",F1497="Vergoeding"),SUM(P1497)*FLOOR(SUM(R1497),0.0001),AND(P1497&lt;&gt;"",R1497&lt;&gt;"",RIGHT($N1497,6)="tarief"),P1497*FLOOR(R1497,0.01),T1497&gt;0,FLOOR(SUM(T1497),0.01)),""),""),"")</f>
        <v/>
      </c>
      <c r="W1497" s="317" t="str" cm="1">
        <f t="array" aca="1" ref="W1497" ca="1">IFERROR(_xlfn.IFS(OR(F1497="",LEFT(Methode_Keuze,4)="Geen",Methode_Keuze=""),"",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17" t="str" cm="1">
        <f t="array" aca="1" ref="X1497" ca="1">IFERROR(_xlfn.IFS(OR(F1497="",LEFT(Methode_Keuze,4)="Geen",Methode_Keuze=""),"",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26"/>
      <c r="Z1497" s="319"/>
      <c r="AA1497" s="32" t="str" cm="1">
        <f t="array" ref="AA1497">IFERROR(IF(INDEX(SubsidieTabel!$AD$1:$AG$12,MATCH($F1497,SubsidieTabel!$AD$1:$AD$12,0),IFERROR(MATCH(Methode_Keuze,SubsidieTabel!$AD$1:$AG$1,0),2))&lt;&gt;1=TRUE,"ja",""),"")</f>
        <v/>
      </c>
    </row>
    <row r="1498" spans="1:27" x14ac:dyDescent="0.25">
      <c r="A1498" s="320"/>
      <c r="B1498" s="321" t="str">
        <f>IF(A1498&lt;&gt;"",_xlfn.MAXIFS($B$1:B1497,$A$1:A1497,A1498)+1,"")</f>
        <v/>
      </c>
      <c r="C1498" s="299"/>
      <c r="D1498" s="299"/>
      <c r="E1498" s="299"/>
      <c r="F1498" s="299"/>
      <c r="G1498" s="330"/>
      <c r="H1498" s="328"/>
      <c r="I1498" s="329"/>
      <c r="J1498" s="329"/>
      <c r="K1498" s="322"/>
      <c r="L1498" s="322"/>
      <c r="M1498" s="323" t="str">
        <f>IFERROR(VLOOKUP(H1498,Lijsten!$H$1:$I$100,2,0),"")</f>
        <v/>
      </c>
      <c r="N1498" s="323" t="str">
        <f ca="1">IFERROR(IF(VLOOKUP(F1498,Kostentypen!$A$3:$E$21,3,0)=0,"",IF(OR(F1498="Arbeidskosten",F1498="Vergoeding"),VLOOKUP(G1498,Tb_KostenTypen[],2,0),VLOOKUP(F1498,Kostentypen!$A$3:$E$20,3,0))),"")</f>
        <v/>
      </c>
      <c r="O1498" s="324"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4"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3"/>
      <c r="R1498" s="363"/>
      <c r="S1498" s="325"/>
      <c r="T1498" s="325"/>
      <c r="U1498" s="317" t="str" cm="1">
        <f t="array" aca="1" ref="U1498" ca="1">IFERROR(IF(AA1498&lt;&gt;"ja",_xlfn.IFNA(_xlfn.IFS(AND(O1498&lt;&gt;"",F1498&lt;&gt;"",RIGHT($N1498,6)="tarief",F1498="Vergoeding"),SUM(O1498)*FLOOR(SUM(Q1498),0.0001),AND(O1498&lt;&gt;"",F1498&lt;&gt;"",RIGHT($N1498,6)="tarief"),SUM(O1498)*FLOOR(SUM(Q1498),0.01),S1498&gt;0,IF(F1498&lt;&gt;"",FLOOR(SUM(S1498),0.01),"")),""),""),"")</f>
        <v/>
      </c>
      <c r="V1498" s="317" t="str" cm="1">
        <f t="array" aca="1" ref="V1498" ca="1">IFERROR(IF(AA1498&lt;&gt;"ja",_xlfn.IFNA(_xlfn.IFS(AND(P1498&lt;&gt;"",R1498&lt;&gt;"",RIGHT($N1498,6)="tarief",F1498="Vergoeding"),SUM(P1498)*FLOOR(SUM(R1498),0.0001),AND(P1498&lt;&gt;"",R1498&lt;&gt;"",RIGHT($N1498,6)="tarief"),P1498*FLOOR(R1498,0.01),T1498&gt;0,FLOOR(SUM(T1498),0.01)),""),""),"")</f>
        <v/>
      </c>
      <c r="W1498" s="317" t="str" cm="1">
        <f t="array" aca="1" ref="W1498" ca="1">IFERROR(_xlfn.IFS(OR(F1498="",LEFT(Methode_Keuze,4)="Geen",Methode_Keuze=""),"",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17" t="str" cm="1">
        <f t="array" aca="1" ref="X1498" ca="1">IFERROR(_xlfn.IFS(OR(F1498="",LEFT(Methode_Keuze,4)="Geen",Methode_Keuze=""),"",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26"/>
      <c r="Z1498" s="319"/>
      <c r="AA1498" s="32" t="str" cm="1">
        <f t="array" ref="AA1498">IFERROR(IF(INDEX(SubsidieTabel!$AD$1:$AG$12,MATCH($F1498,SubsidieTabel!$AD$1:$AD$12,0),IFERROR(MATCH(Methode_Keuze,SubsidieTabel!$AD$1:$AG$1,0),2))&lt;&gt;1=TRUE,"ja",""),"")</f>
        <v/>
      </c>
    </row>
    <row r="1499" spans="1:27" x14ac:dyDescent="0.25">
      <c r="A1499" s="320"/>
      <c r="B1499" s="321" t="str">
        <f>IF(A1499&lt;&gt;"",_xlfn.MAXIFS($B$1:B1498,$A$1:A1498,A1499)+1,"")</f>
        <v/>
      </c>
      <c r="C1499" s="299"/>
      <c r="D1499" s="299"/>
      <c r="E1499" s="299"/>
      <c r="F1499" s="299"/>
      <c r="G1499" s="330"/>
      <c r="H1499" s="328"/>
      <c r="I1499" s="329"/>
      <c r="J1499" s="329"/>
      <c r="K1499" s="322"/>
      <c r="L1499" s="322"/>
      <c r="M1499" s="323" t="str">
        <f>IFERROR(VLOOKUP(H1499,Lijsten!$H$1:$I$100,2,0),"")</f>
        <v/>
      </c>
      <c r="N1499" s="323" t="str">
        <f ca="1">IFERROR(IF(VLOOKUP(F1499,Kostentypen!$A$3:$E$21,3,0)=0,"",IF(OR(F1499="Arbeidskosten",F1499="Vergoeding"),VLOOKUP(G1499,Tb_KostenTypen[],2,0),VLOOKUP(F1499,Kostentypen!$A$3:$E$20,3,0))),"")</f>
        <v/>
      </c>
      <c r="O1499" s="324"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4"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3"/>
      <c r="R1499" s="363"/>
      <c r="S1499" s="325"/>
      <c r="T1499" s="325"/>
      <c r="U1499" s="317" t="str" cm="1">
        <f t="array" aca="1" ref="U1499" ca="1">IFERROR(IF(AA1499&lt;&gt;"ja",_xlfn.IFNA(_xlfn.IFS(AND(O1499&lt;&gt;"",F1499&lt;&gt;"",RIGHT($N1499,6)="tarief",F1499="Vergoeding"),SUM(O1499)*FLOOR(SUM(Q1499),0.0001),AND(O1499&lt;&gt;"",F1499&lt;&gt;"",RIGHT($N1499,6)="tarief"),SUM(O1499)*FLOOR(SUM(Q1499),0.01),S1499&gt;0,IF(F1499&lt;&gt;"",FLOOR(SUM(S1499),0.01),"")),""),""),"")</f>
        <v/>
      </c>
      <c r="V1499" s="317" t="str" cm="1">
        <f t="array" aca="1" ref="V1499" ca="1">IFERROR(IF(AA1499&lt;&gt;"ja",_xlfn.IFNA(_xlfn.IFS(AND(P1499&lt;&gt;"",R1499&lt;&gt;"",RIGHT($N1499,6)="tarief",F1499="Vergoeding"),SUM(P1499)*FLOOR(SUM(R1499),0.0001),AND(P1499&lt;&gt;"",R1499&lt;&gt;"",RIGHT($N1499,6)="tarief"),P1499*FLOOR(R1499,0.01),T1499&gt;0,FLOOR(SUM(T1499),0.01)),""),""),"")</f>
        <v/>
      </c>
      <c r="W1499" s="317" t="str" cm="1">
        <f t="array" aca="1" ref="W1499" ca="1">IFERROR(_xlfn.IFS(OR(F1499="",LEFT(Methode_Keuze,4)="Geen",Methode_Keuze=""),"",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17" t="str" cm="1">
        <f t="array" aca="1" ref="X1499" ca="1">IFERROR(_xlfn.IFS(OR(F1499="",LEFT(Methode_Keuze,4)="Geen",Methode_Keuze=""),"",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26"/>
      <c r="Z1499" s="319"/>
      <c r="AA1499" s="32" t="str" cm="1">
        <f t="array" ref="AA1499">IFERROR(IF(INDEX(SubsidieTabel!$AD$1:$AG$12,MATCH($F1499,SubsidieTabel!$AD$1:$AD$12,0),IFERROR(MATCH(Methode_Keuze,SubsidieTabel!$AD$1:$AG$1,0),2))&lt;&gt;1=TRUE,"ja",""),"")</f>
        <v/>
      </c>
    </row>
    <row r="1500" spans="1:27" x14ac:dyDescent="0.25">
      <c r="A1500" s="320"/>
      <c r="B1500" s="321" t="str">
        <f>IF(A1500&lt;&gt;"",_xlfn.MAXIFS($B$1:B1499,$A$1:A1499,A1500)+1,"")</f>
        <v/>
      </c>
      <c r="C1500" s="299"/>
      <c r="D1500" s="299"/>
      <c r="E1500" s="299"/>
      <c r="F1500" s="299"/>
      <c r="G1500" s="330"/>
      <c r="H1500" s="328"/>
      <c r="I1500" s="329"/>
      <c r="J1500" s="329"/>
      <c r="K1500" s="322"/>
      <c r="L1500" s="322"/>
      <c r="M1500" s="323" t="str">
        <f>IFERROR(VLOOKUP(H1500,Lijsten!$H$1:$I$100,2,0),"")</f>
        <v/>
      </c>
      <c r="N1500" s="323" t="str">
        <f ca="1">IFERROR(IF(VLOOKUP(F1500,Kostentypen!$A$3:$E$21,3,0)=0,"",IF(OR(F1500="Arbeidskosten",F1500="Vergoeding"),VLOOKUP(G1500,Tb_KostenTypen[],2,0),VLOOKUP(F1500,Kostentypen!$A$3:$E$20,3,0))),"")</f>
        <v/>
      </c>
      <c r="O1500" s="324"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4"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3"/>
      <c r="R1500" s="363"/>
      <c r="S1500" s="325"/>
      <c r="T1500" s="325"/>
      <c r="U1500" s="317" t="str" cm="1">
        <f t="array" aca="1" ref="U1500" ca="1">IFERROR(IF(AA1500&lt;&gt;"ja",_xlfn.IFNA(_xlfn.IFS(AND(O1500&lt;&gt;"",F1500&lt;&gt;"",RIGHT($N1500,6)="tarief",F1500="Vergoeding"),SUM(O1500)*FLOOR(SUM(Q1500),0.0001),AND(O1500&lt;&gt;"",F1500&lt;&gt;"",RIGHT($N1500,6)="tarief"),SUM(O1500)*FLOOR(SUM(Q1500),0.01),S1500&gt;0,IF(F1500&lt;&gt;"",FLOOR(SUM(S1500),0.01),"")),""),""),"")</f>
        <v/>
      </c>
      <c r="V1500" s="317" t="str" cm="1">
        <f t="array" aca="1" ref="V1500" ca="1">IFERROR(IF(AA1500&lt;&gt;"ja",_xlfn.IFNA(_xlfn.IFS(AND(P1500&lt;&gt;"",R1500&lt;&gt;"",RIGHT($N1500,6)="tarief",F1500="Vergoeding"),SUM(P1500)*FLOOR(SUM(R1500),0.0001),AND(P1500&lt;&gt;"",R1500&lt;&gt;"",RIGHT($N1500,6)="tarief"),P1500*FLOOR(R1500,0.01),T1500&gt;0,FLOOR(SUM(T1500),0.01)),""),""),"")</f>
        <v/>
      </c>
      <c r="W1500" s="317" t="str" cm="1">
        <f t="array" aca="1" ref="W1500" ca="1">IFERROR(_xlfn.IFS(OR(F1500="",LEFT(Methode_Keuze,4)="Geen",Methode_Keuze=""),"",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17" t="str" cm="1">
        <f t="array" aca="1" ref="X1500" ca="1">IFERROR(_xlfn.IFS(OR(F1500="",LEFT(Methode_Keuze,4)="Geen",Methode_Keuze=""),"",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26"/>
      <c r="Z1500" s="319"/>
      <c r="AA1500" s="32" t="str" cm="1">
        <f t="array" ref="AA1500">IFERROR(IF(INDEX(SubsidieTabel!$AD$1:$AG$12,MATCH($F1500,SubsidieTabel!$AD$1:$AD$12,0),IFERROR(MATCH(Methode_Keuze,SubsidieTabel!$AD$1:$AG$1,0),2))&lt;&gt;1=TRUE,"ja",""),"")</f>
        <v/>
      </c>
    </row>
    <row r="1501" spans="1:27" x14ac:dyDescent="0.25">
      <c r="A1501" s="320"/>
      <c r="B1501" s="321" t="str">
        <f>IF(A1501&lt;&gt;"",_xlfn.MAXIFS($B$1:B1500,$A$1:A1500,A1501)+1,"")</f>
        <v/>
      </c>
      <c r="C1501" s="299"/>
      <c r="D1501" s="299"/>
      <c r="E1501" s="299"/>
      <c r="F1501" s="299"/>
      <c r="G1501" s="330"/>
      <c r="H1501" s="328"/>
      <c r="I1501" s="329"/>
      <c r="J1501" s="329"/>
      <c r="K1501" s="322"/>
      <c r="L1501" s="322"/>
      <c r="M1501" s="323" t="str">
        <f>IFERROR(VLOOKUP(H1501,Lijsten!$H$1:$I$100,2,0),"")</f>
        <v/>
      </c>
      <c r="N1501" s="323" t="str">
        <f ca="1">IFERROR(IF(VLOOKUP(F1501,Kostentypen!$A$3:$E$21,3,0)=0,"",IF(OR(F1501="Arbeidskosten",F1501="Vergoeding"),VLOOKUP(G1501,Tb_KostenTypen[],2,0),VLOOKUP(F1501,Kostentypen!$A$3:$E$20,3,0))),"")</f>
        <v/>
      </c>
      <c r="O1501" s="324"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4"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3"/>
      <c r="R1501" s="363"/>
      <c r="S1501" s="325"/>
      <c r="T1501" s="325"/>
      <c r="U1501" s="317" t="str" cm="1">
        <f t="array" aca="1" ref="U1501" ca="1">IFERROR(IF(AA1501&lt;&gt;"ja",_xlfn.IFNA(_xlfn.IFS(AND(O1501&lt;&gt;"",F1501&lt;&gt;"",RIGHT($N1501,6)="tarief",F1501="Vergoeding"),SUM(O1501)*FLOOR(SUM(Q1501),0.0001),AND(O1501&lt;&gt;"",F1501&lt;&gt;"",RIGHT($N1501,6)="tarief"),SUM(O1501)*FLOOR(SUM(Q1501),0.01),S1501&gt;0,IF(F1501&lt;&gt;"",FLOOR(SUM(S1501),0.01),"")),""),""),"")</f>
        <v/>
      </c>
      <c r="V1501" s="317" t="str" cm="1">
        <f t="array" aca="1" ref="V1501" ca="1">IFERROR(IF(AA1501&lt;&gt;"ja",_xlfn.IFNA(_xlfn.IFS(AND(P1501&lt;&gt;"",R1501&lt;&gt;"",RIGHT($N1501,6)="tarief",F1501="Vergoeding"),SUM(P1501)*FLOOR(SUM(R1501),0.0001),AND(P1501&lt;&gt;"",R1501&lt;&gt;"",RIGHT($N1501,6)="tarief"),P1501*FLOOR(R1501,0.01),T1501&gt;0,FLOOR(SUM(T1501),0.01)),""),""),"")</f>
        <v/>
      </c>
      <c r="W1501" s="317" t="str" cm="1">
        <f t="array" aca="1" ref="W1501" ca="1">IFERROR(_xlfn.IFS(OR(F1501="",LEFT(Methode_Keuze,4)="Geen",Methode_Keuze=""),"",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17" t="str" cm="1">
        <f t="array" aca="1" ref="X1501" ca="1">IFERROR(_xlfn.IFS(OR(F1501="",LEFT(Methode_Keuze,4)="Geen",Methode_Keuze=""),"",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26"/>
      <c r="Z1501" s="319"/>
      <c r="AA1501" s="32" t="str" cm="1">
        <f t="array" ref="AA1501">IFERROR(IF(INDEX(SubsidieTabel!$AD$1:$AG$12,MATCH($F1501,SubsidieTabel!$AD$1:$AD$12,0),IFERROR(MATCH(Methode_Keuze,SubsidieTabel!$AD$1:$AG$1,0),2))&lt;&gt;1=TRUE,"ja",""),"")</f>
        <v/>
      </c>
    </row>
    <row r="1502" spans="1:27" x14ac:dyDescent="0.25">
      <c r="A1502" s="320"/>
      <c r="B1502" s="321" t="str">
        <f>IF(A1502&lt;&gt;"",_xlfn.MAXIFS($B$1:B1501,$A$1:A1501,A1502)+1,"")</f>
        <v/>
      </c>
      <c r="C1502" s="299"/>
      <c r="D1502" s="299"/>
      <c r="E1502" s="299"/>
      <c r="F1502" s="299"/>
      <c r="G1502" s="330"/>
      <c r="H1502" s="328"/>
      <c r="I1502" s="329"/>
      <c r="J1502" s="329"/>
      <c r="K1502" s="322"/>
      <c r="L1502" s="322"/>
      <c r="M1502" s="323" t="str">
        <f>IFERROR(VLOOKUP(H1502,Lijsten!$H$1:$I$100,2,0),"")</f>
        <v/>
      </c>
      <c r="N1502" s="323" t="str">
        <f ca="1">IFERROR(IF(VLOOKUP(F1502,Kostentypen!$A$3:$E$21,3,0)=0,"",IF(OR(F1502="Arbeidskosten",F1502="Vergoeding"),VLOOKUP(G1502,Tb_KostenTypen[],2,0),VLOOKUP(F1502,Kostentypen!$A$3:$E$20,3,0))),"")</f>
        <v/>
      </c>
      <c r="O1502" s="324"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4"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3"/>
      <c r="R1502" s="363"/>
      <c r="S1502" s="325"/>
      <c r="T1502" s="325"/>
      <c r="U1502" s="317" t="str" cm="1">
        <f t="array" aca="1" ref="U1502" ca="1">IFERROR(IF(AA1502&lt;&gt;"ja",_xlfn.IFNA(_xlfn.IFS(AND(O1502&lt;&gt;"",F1502&lt;&gt;"",RIGHT($N1502,6)="tarief",F1502="Vergoeding"),SUM(O1502)*FLOOR(SUM(Q1502),0.0001),AND(O1502&lt;&gt;"",F1502&lt;&gt;"",RIGHT($N1502,6)="tarief"),SUM(O1502)*FLOOR(SUM(Q1502),0.01),S1502&gt;0,IF(F1502&lt;&gt;"",FLOOR(SUM(S1502),0.01),"")),""),""),"")</f>
        <v/>
      </c>
      <c r="V1502" s="317" t="str" cm="1">
        <f t="array" aca="1" ref="V1502" ca="1">IFERROR(IF(AA1502&lt;&gt;"ja",_xlfn.IFNA(_xlfn.IFS(AND(P1502&lt;&gt;"",R1502&lt;&gt;"",RIGHT($N1502,6)="tarief",F1502="Vergoeding"),SUM(P1502)*FLOOR(SUM(R1502),0.0001),AND(P1502&lt;&gt;"",R1502&lt;&gt;"",RIGHT($N1502,6)="tarief"),P1502*FLOOR(R1502,0.01),T1502&gt;0,FLOOR(SUM(T1502),0.01)),""),""),"")</f>
        <v/>
      </c>
      <c r="W1502" s="317" t="str" cm="1">
        <f t="array" aca="1" ref="W1502" ca="1">IFERROR(_xlfn.IFS(OR(F1502="",LEFT(Methode_Keuze,4)="Geen",Methode_Keuze=""),"",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17" t="str" cm="1">
        <f t="array" aca="1" ref="X1502" ca="1">IFERROR(_xlfn.IFS(OR(F1502="",LEFT(Methode_Keuze,4)="Geen",Methode_Keuze=""),"",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26"/>
      <c r="Z1502" s="319"/>
      <c r="AA1502" s="32" t="str" cm="1">
        <f t="array" ref="AA1502">IFERROR(IF(INDEX(SubsidieTabel!$AD$1:$AG$12,MATCH($F1502,SubsidieTabel!$AD$1:$AD$12,0),IFERROR(MATCH(Methode_Keuze,SubsidieTabel!$AD$1:$AG$1,0),2))&lt;&gt;1=TRUE,"ja",""),"")</f>
        <v/>
      </c>
    </row>
    <row r="1503" spans="1:27" x14ac:dyDescent="0.25">
      <c r="A1503" s="320"/>
      <c r="B1503" s="321" t="str">
        <f>IF(A1503&lt;&gt;"",_xlfn.MAXIFS($B$1:B1502,$A$1:A1502,A1503)+1,"")</f>
        <v/>
      </c>
      <c r="C1503" s="299"/>
      <c r="D1503" s="299"/>
      <c r="E1503" s="299"/>
      <c r="F1503" s="299"/>
      <c r="G1503" s="330"/>
      <c r="H1503" s="328"/>
      <c r="I1503" s="329"/>
      <c r="J1503" s="329"/>
      <c r="K1503" s="322"/>
      <c r="L1503" s="322"/>
      <c r="M1503" s="323" t="str">
        <f>IFERROR(VLOOKUP(H1503,Lijsten!$H$1:$I$100,2,0),"")</f>
        <v/>
      </c>
      <c r="N1503" s="323" t="str">
        <f ca="1">IFERROR(IF(VLOOKUP(F1503,Kostentypen!$A$3:$E$21,3,0)=0,"",IF(OR(F1503="Arbeidskosten",F1503="Vergoeding"),VLOOKUP(G1503,Tb_KostenTypen[],2,0),VLOOKUP(F1503,Kostentypen!$A$3:$E$20,3,0))),"")</f>
        <v/>
      </c>
      <c r="O1503" s="324"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4"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3"/>
      <c r="R1503" s="363"/>
      <c r="S1503" s="325"/>
      <c r="T1503" s="325"/>
      <c r="U1503" s="317" t="str" cm="1">
        <f t="array" aca="1" ref="U1503" ca="1">IFERROR(IF(AA1503&lt;&gt;"ja",_xlfn.IFNA(_xlfn.IFS(AND(O1503&lt;&gt;"",F1503&lt;&gt;"",RIGHT($N1503,6)="tarief",F1503="Vergoeding"),SUM(O1503)*FLOOR(SUM(Q1503),0.0001),AND(O1503&lt;&gt;"",F1503&lt;&gt;"",RIGHT($N1503,6)="tarief"),SUM(O1503)*FLOOR(SUM(Q1503),0.01),S1503&gt;0,IF(F1503&lt;&gt;"",FLOOR(SUM(S1503),0.01),"")),""),""),"")</f>
        <v/>
      </c>
      <c r="V1503" s="317" t="str" cm="1">
        <f t="array" aca="1" ref="V1503" ca="1">IFERROR(IF(AA1503&lt;&gt;"ja",_xlfn.IFNA(_xlfn.IFS(AND(P1503&lt;&gt;"",R1503&lt;&gt;"",RIGHT($N1503,6)="tarief",F1503="Vergoeding"),SUM(P1503)*FLOOR(SUM(R1503),0.0001),AND(P1503&lt;&gt;"",R1503&lt;&gt;"",RIGHT($N1503,6)="tarief"),P1503*FLOOR(R1503,0.01),T1503&gt;0,FLOOR(SUM(T1503),0.01)),""),""),"")</f>
        <v/>
      </c>
      <c r="W1503" s="317" t="str" cm="1">
        <f t="array" aca="1" ref="W1503" ca="1">IFERROR(_xlfn.IFS(OR(F1503="",LEFT(Methode_Keuze,4)="Geen",Methode_Keuze=""),"",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17" t="str" cm="1">
        <f t="array" aca="1" ref="X1503" ca="1">IFERROR(_xlfn.IFS(OR(F1503="",LEFT(Methode_Keuze,4)="Geen",Methode_Keuze=""),"",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26"/>
      <c r="Z1503" s="319"/>
      <c r="AA1503" s="32" t="str" cm="1">
        <f t="array" ref="AA1503">IFERROR(IF(INDEX(SubsidieTabel!$AD$1:$AG$12,MATCH($F1503,SubsidieTabel!$AD$1:$AD$12,0),IFERROR(MATCH(Methode_Keuze,SubsidieTabel!$AD$1:$AG$1,0),2))&lt;&gt;1=TRUE,"ja",""),"")</f>
        <v/>
      </c>
    </row>
    <row r="1504" spans="1:27" x14ac:dyDescent="0.25">
      <c r="A1504" s="320"/>
      <c r="B1504" s="321" t="str">
        <f>IF(A1504&lt;&gt;"",_xlfn.MAXIFS($B$1:B1503,$A$1:A1503,A1504)+1,"")</f>
        <v/>
      </c>
      <c r="C1504" s="299"/>
      <c r="D1504" s="299"/>
      <c r="E1504" s="299"/>
      <c r="F1504" s="299"/>
      <c r="G1504" s="330"/>
      <c r="H1504" s="328"/>
      <c r="I1504" s="329"/>
      <c r="J1504" s="329"/>
      <c r="K1504" s="322"/>
      <c r="L1504" s="322"/>
      <c r="M1504" s="323" t="str">
        <f>IFERROR(VLOOKUP(H1504,Lijsten!$H$1:$I$100,2,0),"")</f>
        <v/>
      </c>
      <c r="N1504" s="323" t="str">
        <f ca="1">IFERROR(IF(VLOOKUP(F1504,Kostentypen!$A$3:$E$21,3,0)=0,"",IF(OR(F1504="Arbeidskosten",F1504="Vergoeding"),VLOOKUP(G1504,Tb_KostenTypen[],2,0),VLOOKUP(F1504,Kostentypen!$A$3:$E$20,3,0))),"")</f>
        <v/>
      </c>
      <c r="O1504" s="324"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4"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3"/>
      <c r="R1504" s="363"/>
      <c r="S1504" s="325"/>
      <c r="T1504" s="325"/>
      <c r="U1504" s="317" t="str" cm="1">
        <f t="array" aca="1" ref="U1504" ca="1">IFERROR(IF(AA1504&lt;&gt;"ja",_xlfn.IFNA(_xlfn.IFS(AND(O1504&lt;&gt;"",F1504&lt;&gt;"",RIGHT($N1504,6)="tarief",F1504="Vergoeding"),SUM(O1504)*FLOOR(SUM(Q1504),0.0001),AND(O1504&lt;&gt;"",F1504&lt;&gt;"",RIGHT($N1504,6)="tarief"),SUM(O1504)*FLOOR(SUM(Q1504),0.01),S1504&gt;0,IF(F1504&lt;&gt;"",FLOOR(SUM(S1504),0.01),"")),""),""),"")</f>
        <v/>
      </c>
      <c r="V1504" s="317" t="str" cm="1">
        <f t="array" aca="1" ref="V1504" ca="1">IFERROR(IF(AA1504&lt;&gt;"ja",_xlfn.IFNA(_xlfn.IFS(AND(P1504&lt;&gt;"",R1504&lt;&gt;"",RIGHT($N1504,6)="tarief",F1504="Vergoeding"),SUM(P1504)*FLOOR(SUM(R1504),0.0001),AND(P1504&lt;&gt;"",R1504&lt;&gt;"",RIGHT($N1504,6)="tarief"),P1504*FLOOR(R1504,0.01),T1504&gt;0,FLOOR(SUM(T1504),0.01)),""),""),"")</f>
        <v/>
      </c>
      <c r="W1504" s="317" t="str" cm="1">
        <f t="array" aca="1" ref="W1504" ca="1">IFERROR(_xlfn.IFS(OR(F1504="",LEFT(Methode_Keuze,4)="Geen",Methode_Keuze=""),"",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17" t="str" cm="1">
        <f t="array" aca="1" ref="X1504" ca="1">IFERROR(_xlfn.IFS(OR(F1504="",LEFT(Methode_Keuze,4)="Geen",Methode_Keuze=""),"",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26"/>
      <c r="Z1504" s="319"/>
      <c r="AA1504" s="32" t="str" cm="1">
        <f t="array" ref="AA1504">IFERROR(IF(INDEX(SubsidieTabel!$AD$1:$AG$12,MATCH($F1504,SubsidieTabel!$AD$1:$AD$12,0),IFERROR(MATCH(Methode_Keuze,SubsidieTabel!$AD$1:$AG$1,0),2))&lt;&gt;1=TRUE,"ja",""),"")</f>
        <v/>
      </c>
    </row>
    <row r="1505" spans="1:27" x14ac:dyDescent="0.25">
      <c r="A1505" s="320"/>
      <c r="B1505" s="321" t="str">
        <f>IF(A1505&lt;&gt;"",_xlfn.MAXIFS($B$1:B1504,$A$1:A1504,A1505)+1,"")</f>
        <v/>
      </c>
      <c r="C1505" s="299"/>
      <c r="D1505" s="299"/>
      <c r="E1505" s="299"/>
      <c r="F1505" s="299"/>
      <c r="G1505" s="330"/>
      <c r="H1505" s="328"/>
      <c r="I1505" s="329"/>
      <c r="J1505" s="329"/>
      <c r="K1505" s="322"/>
      <c r="L1505" s="322"/>
      <c r="M1505" s="323" t="str">
        <f>IFERROR(VLOOKUP(H1505,Lijsten!$H$1:$I$100,2,0),"")</f>
        <v/>
      </c>
      <c r="N1505" s="323" t="str">
        <f ca="1">IFERROR(IF(VLOOKUP(F1505,Kostentypen!$A$3:$E$21,3,0)=0,"",IF(OR(F1505="Arbeidskosten",F1505="Vergoeding"),VLOOKUP(G1505,Tb_KostenTypen[],2,0),VLOOKUP(F1505,Kostentypen!$A$3:$E$20,3,0))),"")</f>
        <v/>
      </c>
      <c r="O1505" s="324"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4"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3"/>
      <c r="R1505" s="363"/>
      <c r="S1505" s="325"/>
      <c r="T1505" s="325"/>
      <c r="U1505" s="317" t="str" cm="1">
        <f t="array" aca="1" ref="U1505" ca="1">IFERROR(IF(AA1505&lt;&gt;"ja",_xlfn.IFNA(_xlfn.IFS(AND(O1505&lt;&gt;"",F1505&lt;&gt;"",RIGHT($N1505,6)="tarief",F1505="Vergoeding"),SUM(O1505)*FLOOR(SUM(Q1505),0.0001),AND(O1505&lt;&gt;"",F1505&lt;&gt;"",RIGHT($N1505,6)="tarief"),SUM(O1505)*FLOOR(SUM(Q1505),0.01),S1505&gt;0,IF(F1505&lt;&gt;"",FLOOR(SUM(S1505),0.01),"")),""),""),"")</f>
        <v/>
      </c>
      <c r="V1505" s="317" t="str" cm="1">
        <f t="array" aca="1" ref="V1505" ca="1">IFERROR(IF(AA1505&lt;&gt;"ja",_xlfn.IFNA(_xlfn.IFS(AND(P1505&lt;&gt;"",R1505&lt;&gt;"",RIGHT($N1505,6)="tarief",F1505="Vergoeding"),SUM(P1505)*FLOOR(SUM(R1505),0.0001),AND(P1505&lt;&gt;"",R1505&lt;&gt;"",RIGHT($N1505,6)="tarief"),P1505*FLOOR(R1505,0.01),T1505&gt;0,FLOOR(SUM(T1505),0.01)),""),""),"")</f>
        <v/>
      </c>
      <c r="W1505" s="317" t="str" cm="1">
        <f t="array" aca="1" ref="W1505" ca="1">IFERROR(_xlfn.IFS(OR(F1505="",LEFT(Methode_Keuze,4)="Geen",Methode_Keuze=""),"",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17" t="str" cm="1">
        <f t="array" aca="1" ref="X1505" ca="1">IFERROR(_xlfn.IFS(OR(F1505="",LEFT(Methode_Keuze,4)="Geen",Methode_Keuze=""),"",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26"/>
      <c r="Z1505" s="319"/>
      <c r="AA1505" s="32" t="str" cm="1">
        <f t="array" ref="AA1505">IFERROR(IF(INDEX(SubsidieTabel!$AD$1:$AG$12,MATCH($F1505,SubsidieTabel!$AD$1:$AD$12,0),IFERROR(MATCH(Methode_Keuze,SubsidieTabel!$AD$1:$AG$1,0),2))&lt;&gt;1=TRUE,"ja",""),"")</f>
        <v/>
      </c>
    </row>
    <row r="1506" spans="1:27" x14ac:dyDescent="0.25">
      <c r="A1506" s="320"/>
      <c r="B1506" s="321" t="str">
        <f>IF(A1506&lt;&gt;"",_xlfn.MAXIFS($B$1:B1505,$A$1:A1505,A1506)+1,"")</f>
        <v/>
      </c>
      <c r="C1506" s="299"/>
      <c r="D1506" s="299"/>
      <c r="E1506" s="299"/>
      <c r="F1506" s="299"/>
      <c r="G1506" s="330"/>
      <c r="H1506" s="328"/>
      <c r="I1506" s="329"/>
      <c r="J1506" s="329"/>
      <c r="K1506" s="322"/>
      <c r="L1506" s="322"/>
      <c r="M1506" s="323" t="str">
        <f>IFERROR(VLOOKUP(H1506,Lijsten!$H$1:$I$100,2,0),"")</f>
        <v/>
      </c>
      <c r="N1506" s="323" t="str">
        <f ca="1">IFERROR(IF(VLOOKUP(F1506,Kostentypen!$A$3:$E$21,3,0)=0,"",IF(OR(F1506="Arbeidskosten",F1506="Vergoeding"),VLOOKUP(G1506,Tb_KostenTypen[],2,0),VLOOKUP(F1506,Kostentypen!$A$3:$E$20,3,0))),"")</f>
        <v/>
      </c>
      <c r="O1506" s="324"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4"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3"/>
      <c r="R1506" s="363"/>
      <c r="S1506" s="325"/>
      <c r="T1506" s="325"/>
      <c r="U1506" s="317" t="str" cm="1">
        <f t="array" aca="1" ref="U1506" ca="1">IFERROR(IF(AA1506&lt;&gt;"ja",_xlfn.IFNA(_xlfn.IFS(AND(O1506&lt;&gt;"",F1506&lt;&gt;"",RIGHT($N1506,6)="tarief",F1506="Vergoeding"),SUM(O1506)*FLOOR(SUM(Q1506),0.0001),AND(O1506&lt;&gt;"",F1506&lt;&gt;"",RIGHT($N1506,6)="tarief"),SUM(O1506)*FLOOR(SUM(Q1506),0.01),S1506&gt;0,IF(F1506&lt;&gt;"",FLOOR(SUM(S1506),0.01),"")),""),""),"")</f>
        <v/>
      </c>
      <c r="V1506" s="317" t="str" cm="1">
        <f t="array" aca="1" ref="V1506" ca="1">IFERROR(IF(AA1506&lt;&gt;"ja",_xlfn.IFNA(_xlfn.IFS(AND(P1506&lt;&gt;"",R1506&lt;&gt;"",RIGHT($N1506,6)="tarief",F1506="Vergoeding"),SUM(P1506)*FLOOR(SUM(R1506),0.0001),AND(P1506&lt;&gt;"",R1506&lt;&gt;"",RIGHT($N1506,6)="tarief"),P1506*FLOOR(R1506,0.01),T1506&gt;0,FLOOR(SUM(T1506),0.01)),""),""),"")</f>
        <v/>
      </c>
      <c r="W1506" s="317" t="str" cm="1">
        <f t="array" aca="1" ref="W1506" ca="1">IFERROR(_xlfn.IFS(OR(F1506="",LEFT(Methode_Keuze,4)="Geen",Methode_Keuze=""),"",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17" t="str" cm="1">
        <f t="array" aca="1" ref="X1506" ca="1">IFERROR(_xlfn.IFS(OR(F1506="",LEFT(Methode_Keuze,4)="Geen",Methode_Keuze=""),"",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26"/>
      <c r="Z1506" s="319"/>
      <c r="AA1506" s="32" t="str" cm="1">
        <f t="array" ref="AA1506">IFERROR(IF(INDEX(SubsidieTabel!$AD$1:$AG$12,MATCH($F1506,SubsidieTabel!$AD$1:$AD$12,0),IFERROR(MATCH(Methode_Keuze,SubsidieTabel!$AD$1:$AG$1,0),2))&lt;&gt;1=TRUE,"ja",""),"")</f>
        <v/>
      </c>
    </row>
    <row r="1507" spans="1:27" x14ac:dyDescent="0.25">
      <c r="A1507" s="320"/>
      <c r="B1507" s="321" t="str">
        <f>IF(A1507&lt;&gt;"",_xlfn.MAXIFS($B$1:B1506,$A$1:A1506,A1507)+1,"")</f>
        <v/>
      </c>
      <c r="C1507" s="299"/>
      <c r="D1507" s="299"/>
      <c r="E1507" s="299"/>
      <c r="F1507" s="299"/>
      <c r="G1507" s="330"/>
      <c r="H1507" s="328"/>
      <c r="I1507" s="329"/>
      <c r="J1507" s="329"/>
      <c r="K1507" s="322"/>
      <c r="L1507" s="322"/>
      <c r="M1507" s="323" t="str">
        <f>IFERROR(VLOOKUP(H1507,Lijsten!$H$1:$I$100,2,0),"")</f>
        <v/>
      </c>
      <c r="N1507" s="323" t="str">
        <f ca="1">IFERROR(IF(VLOOKUP(F1507,Kostentypen!$A$3:$E$21,3,0)=0,"",IF(OR(F1507="Arbeidskosten",F1507="Vergoeding"),VLOOKUP(G1507,Tb_KostenTypen[],2,0),VLOOKUP(F1507,Kostentypen!$A$3:$E$20,3,0))),"")</f>
        <v/>
      </c>
      <c r="O1507" s="324"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4"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3"/>
      <c r="R1507" s="363"/>
      <c r="S1507" s="325"/>
      <c r="T1507" s="325"/>
      <c r="U1507" s="317" t="str" cm="1">
        <f t="array" aca="1" ref="U1507" ca="1">IFERROR(IF(AA1507&lt;&gt;"ja",_xlfn.IFNA(_xlfn.IFS(AND(O1507&lt;&gt;"",F1507&lt;&gt;"",RIGHT($N1507,6)="tarief",F1507="Vergoeding"),SUM(O1507)*FLOOR(SUM(Q1507),0.0001),AND(O1507&lt;&gt;"",F1507&lt;&gt;"",RIGHT($N1507,6)="tarief"),SUM(O1507)*FLOOR(SUM(Q1507),0.01),S1507&gt;0,IF(F1507&lt;&gt;"",FLOOR(SUM(S1507),0.01),"")),""),""),"")</f>
        <v/>
      </c>
      <c r="V1507" s="317" t="str" cm="1">
        <f t="array" aca="1" ref="V1507" ca="1">IFERROR(IF(AA1507&lt;&gt;"ja",_xlfn.IFNA(_xlfn.IFS(AND(P1507&lt;&gt;"",R1507&lt;&gt;"",RIGHT($N1507,6)="tarief",F1507="Vergoeding"),SUM(P1507)*FLOOR(SUM(R1507),0.0001),AND(P1507&lt;&gt;"",R1507&lt;&gt;"",RIGHT($N1507,6)="tarief"),P1507*FLOOR(R1507,0.01),T1507&gt;0,FLOOR(SUM(T1507),0.01)),""),""),"")</f>
        <v/>
      </c>
      <c r="W1507" s="317" t="str" cm="1">
        <f t="array" aca="1" ref="W1507" ca="1">IFERROR(_xlfn.IFS(OR(F1507="",LEFT(Methode_Keuze,4)="Geen",Methode_Keuze=""),"",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17" t="str" cm="1">
        <f t="array" aca="1" ref="X1507" ca="1">IFERROR(_xlfn.IFS(OR(F1507="",LEFT(Methode_Keuze,4)="Geen",Methode_Keuze=""),"",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26"/>
      <c r="Z1507" s="319"/>
      <c r="AA1507" s="32" t="str" cm="1">
        <f t="array" ref="AA1507">IFERROR(IF(INDEX(SubsidieTabel!$AD$1:$AG$12,MATCH($F1507,SubsidieTabel!$AD$1:$AD$12,0),IFERROR(MATCH(Methode_Keuze,SubsidieTabel!$AD$1:$AG$1,0),2))&lt;&gt;1=TRUE,"ja",""),"")</f>
        <v/>
      </c>
    </row>
    <row r="1508" spans="1:27" x14ac:dyDescent="0.25">
      <c r="A1508" s="320"/>
      <c r="B1508" s="321" t="str">
        <f>IF(A1508&lt;&gt;"",_xlfn.MAXIFS($B$1:B1507,$A$1:A1507,A1508)+1,"")</f>
        <v/>
      </c>
      <c r="C1508" s="299"/>
      <c r="D1508" s="299"/>
      <c r="E1508" s="299"/>
      <c r="F1508" s="299"/>
      <c r="G1508" s="330"/>
      <c r="H1508" s="328"/>
      <c r="I1508" s="329"/>
      <c r="J1508" s="329"/>
      <c r="K1508" s="322"/>
      <c r="L1508" s="322"/>
      <c r="M1508" s="323" t="str">
        <f>IFERROR(VLOOKUP(H1508,Lijsten!$H$1:$I$100,2,0),"")</f>
        <v/>
      </c>
      <c r="N1508" s="323" t="str">
        <f ca="1">IFERROR(IF(VLOOKUP(F1508,Kostentypen!$A$3:$E$21,3,0)=0,"",IF(OR(F1508="Arbeidskosten",F1508="Vergoeding"),VLOOKUP(G1508,Tb_KostenTypen[],2,0),VLOOKUP(F1508,Kostentypen!$A$3:$E$20,3,0))),"")</f>
        <v/>
      </c>
      <c r="O1508" s="324"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4"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3"/>
      <c r="R1508" s="363"/>
      <c r="S1508" s="325"/>
      <c r="T1508" s="325"/>
      <c r="U1508" s="317" t="str" cm="1">
        <f t="array" aca="1" ref="U1508" ca="1">IFERROR(IF(AA1508&lt;&gt;"ja",_xlfn.IFNA(_xlfn.IFS(AND(O1508&lt;&gt;"",F1508&lt;&gt;"",RIGHT($N1508,6)="tarief",F1508="Vergoeding"),SUM(O1508)*FLOOR(SUM(Q1508),0.0001),AND(O1508&lt;&gt;"",F1508&lt;&gt;"",RIGHT($N1508,6)="tarief"),SUM(O1508)*FLOOR(SUM(Q1508),0.01),S1508&gt;0,IF(F1508&lt;&gt;"",FLOOR(SUM(S1508),0.01),"")),""),""),"")</f>
        <v/>
      </c>
      <c r="V1508" s="317" t="str" cm="1">
        <f t="array" aca="1" ref="V1508" ca="1">IFERROR(IF(AA1508&lt;&gt;"ja",_xlfn.IFNA(_xlfn.IFS(AND(P1508&lt;&gt;"",R1508&lt;&gt;"",RIGHT($N1508,6)="tarief",F1508="Vergoeding"),SUM(P1508)*FLOOR(SUM(R1508),0.0001),AND(P1508&lt;&gt;"",R1508&lt;&gt;"",RIGHT($N1508,6)="tarief"),P1508*FLOOR(R1508,0.01),T1508&gt;0,FLOOR(SUM(T1508),0.01)),""),""),"")</f>
        <v/>
      </c>
      <c r="W1508" s="317" t="str" cm="1">
        <f t="array" aca="1" ref="W1508" ca="1">IFERROR(_xlfn.IFS(OR(F1508="",LEFT(Methode_Keuze,4)="Geen",Methode_Keuze=""),"",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17" t="str" cm="1">
        <f t="array" aca="1" ref="X1508" ca="1">IFERROR(_xlfn.IFS(OR(F1508="",LEFT(Methode_Keuze,4)="Geen",Methode_Keuze=""),"",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26"/>
      <c r="Z1508" s="319"/>
      <c r="AA1508" s="32" t="str" cm="1">
        <f t="array" ref="AA1508">IFERROR(IF(INDEX(SubsidieTabel!$AD$1:$AG$12,MATCH($F1508,SubsidieTabel!$AD$1:$AD$12,0),IFERROR(MATCH(Methode_Keuze,SubsidieTabel!$AD$1:$AG$1,0),2))&lt;&gt;1=TRUE,"ja",""),"")</f>
        <v/>
      </c>
    </row>
    <row r="1509" spans="1:27" x14ac:dyDescent="0.25">
      <c r="A1509" s="320"/>
      <c r="B1509" s="321" t="str">
        <f>IF(A1509&lt;&gt;"",_xlfn.MAXIFS($B$1:B1508,$A$1:A1508,A1509)+1,"")</f>
        <v/>
      </c>
      <c r="C1509" s="299"/>
      <c r="D1509" s="299"/>
      <c r="E1509" s="299"/>
      <c r="F1509" s="299"/>
      <c r="G1509" s="330"/>
      <c r="H1509" s="328"/>
      <c r="I1509" s="329"/>
      <c r="J1509" s="329"/>
      <c r="K1509" s="322"/>
      <c r="L1509" s="322"/>
      <c r="M1509" s="323" t="str">
        <f>IFERROR(VLOOKUP(H1509,Lijsten!$H$1:$I$100,2,0),"")</f>
        <v/>
      </c>
      <c r="N1509" s="323" t="str">
        <f ca="1">IFERROR(IF(VLOOKUP(F1509,Kostentypen!$A$3:$E$21,3,0)=0,"",IF(OR(F1509="Arbeidskosten",F1509="Vergoeding"),VLOOKUP(G1509,Tb_KostenTypen[],2,0),VLOOKUP(F1509,Kostentypen!$A$3:$E$20,3,0))),"")</f>
        <v/>
      </c>
      <c r="O1509" s="324"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4"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3"/>
      <c r="R1509" s="363"/>
      <c r="S1509" s="325"/>
      <c r="T1509" s="325"/>
      <c r="U1509" s="317" t="str" cm="1">
        <f t="array" aca="1" ref="U1509" ca="1">IFERROR(IF(AA1509&lt;&gt;"ja",_xlfn.IFNA(_xlfn.IFS(AND(O1509&lt;&gt;"",F1509&lt;&gt;"",RIGHT($N1509,6)="tarief",F1509="Vergoeding"),SUM(O1509)*FLOOR(SUM(Q1509),0.0001),AND(O1509&lt;&gt;"",F1509&lt;&gt;"",RIGHT($N1509,6)="tarief"),SUM(O1509)*FLOOR(SUM(Q1509),0.01),S1509&gt;0,IF(F1509&lt;&gt;"",FLOOR(SUM(S1509),0.01),"")),""),""),"")</f>
        <v/>
      </c>
      <c r="V1509" s="317" t="str" cm="1">
        <f t="array" aca="1" ref="V1509" ca="1">IFERROR(IF(AA1509&lt;&gt;"ja",_xlfn.IFNA(_xlfn.IFS(AND(P1509&lt;&gt;"",R1509&lt;&gt;"",RIGHT($N1509,6)="tarief",F1509="Vergoeding"),SUM(P1509)*FLOOR(SUM(R1509),0.0001),AND(P1509&lt;&gt;"",R1509&lt;&gt;"",RIGHT($N1509,6)="tarief"),P1509*FLOOR(R1509,0.01),T1509&gt;0,FLOOR(SUM(T1509),0.01)),""),""),"")</f>
        <v/>
      </c>
      <c r="W1509" s="317" t="str" cm="1">
        <f t="array" aca="1" ref="W1509" ca="1">IFERROR(_xlfn.IFS(OR(F1509="",LEFT(Methode_Keuze,4)="Geen",Methode_Keuze=""),"",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17" t="str" cm="1">
        <f t="array" aca="1" ref="X1509" ca="1">IFERROR(_xlfn.IFS(OR(F1509="",LEFT(Methode_Keuze,4)="Geen",Methode_Keuze=""),"",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26"/>
      <c r="Z1509" s="319"/>
      <c r="AA1509" s="32" t="str" cm="1">
        <f t="array" ref="AA1509">IFERROR(IF(INDEX(SubsidieTabel!$AD$1:$AG$12,MATCH($F1509,SubsidieTabel!$AD$1:$AD$12,0),IFERROR(MATCH(Methode_Keuze,SubsidieTabel!$AD$1:$AG$1,0),2))&lt;&gt;1=TRUE,"ja",""),"")</f>
        <v/>
      </c>
    </row>
    <row r="1510" spans="1:27" x14ac:dyDescent="0.25">
      <c r="A1510" s="320"/>
      <c r="B1510" s="321" t="str">
        <f>IF(A1510&lt;&gt;"",_xlfn.MAXIFS($B$1:B1509,$A$1:A1509,A1510)+1,"")</f>
        <v/>
      </c>
      <c r="C1510" s="299"/>
      <c r="D1510" s="299"/>
      <c r="E1510" s="299"/>
      <c r="F1510" s="299"/>
      <c r="G1510" s="330"/>
      <c r="H1510" s="328"/>
      <c r="I1510" s="329"/>
      <c r="J1510" s="329"/>
      <c r="K1510" s="322"/>
      <c r="L1510" s="322"/>
      <c r="M1510" s="323" t="str">
        <f>IFERROR(VLOOKUP(H1510,Lijsten!$H$1:$I$100,2,0),"")</f>
        <v/>
      </c>
      <c r="N1510" s="323" t="str">
        <f ca="1">IFERROR(IF(VLOOKUP(F1510,Kostentypen!$A$3:$E$21,3,0)=0,"",IF(OR(F1510="Arbeidskosten",F1510="Vergoeding"),VLOOKUP(G1510,Tb_KostenTypen[],2,0),VLOOKUP(F1510,Kostentypen!$A$3:$E$20,3,0))),"")</f>
        <v/>
      </c>
      <c r="O1510" s="324"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4"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3"/>
      <c r="R1510" s="363"/>
      <c r="S1510" s="325"/>
      <c r="T1510" s="325"/>
      <c r="U1510" s="317" t="str" cm="1">
        <f t="array" aca="1" ref="U1510" ca="1">IFERROR(IF(AA1510&lt;&gt;"ja",_xlfn.IFNA(_xlfn.IFS(AND(O1510&lt;&gt;"",F1510&lt;&gt;"",RIGHT($N1510,6)="tarief",F1510="Vergoeding"),SUM(O1510)*FLOOR(SUM(Q1510),0.0001),AND(O1510&lt;&gt;"",F1510&lt;&gt;"",RIGHT($N1510,6)="tarief"),SUM(O1510)*FLOOR(SUM(Q1510),0.01),S1510&gt;0,IF(F1510&lt;&gt;"",FLOOR(SUM(S1510),0.01),"")),""),""),"")</f>
        <v/>
      </c>
      <c r="V1510" s="317" t="str" cm="1">
        <f t="array" aca="1" ref="V1510" ca="1">IFERROR(IF(AA1510&lt;&gt;"ja",_xlfn.IFNA(_xlfn.IFS(AND(P1510&lt;&gt;"",R1510&lt;&gt;"",RIGHT($N1510,6)="tarief",F1510="Vergoeding"),SUM(P1510)*FLOOR(SUM(R1510),0.0001),AND(P1510&lt;&gt;"",R1510&lt;&gt;"",RIGHT($N1510,6)="tarief"),P1510*FLOOR(R1510,0.01),T1510&gt;0,FLOOR(SUM(T1510),0.01)),""),""),"")</f>
        <v/>
      </c>
      <c r="W1510" s="317" t="str" cm="1">
        <f t="array" aca="1" ref="W1510" ca="1">IFERROR(_xlfn.IFS(OR(F1510="",LEFT(Methode_Keuze,4)="Geen",Methode_Keuze=""),"",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17" t="str" cm="1">
        <f t="array" aca="1" ref="X1510" ca="1">IFERROR(_xlfn.IFS(OR(F1510="",LEFT(Methode_Keuze,4)="Geen",Methode_Keuze=""),"",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26"/>
      <c r="Z1510" s="319"/>
      <c r="AA1510" s="32" t="str" cm="1">
        <f t="array" ref="AA1510">IFERROR(IF(INDEX(SubsidieTabel!$AD$1:$AG$12,MATCH($F1510,SubsidieTabel!$AD$1:$AD$12,0),IFERROR(MATCH(Methode_Keuze,SubsidieTabel!$AD$1:$AG$1,0),2))&lt;&gt;1=TRUE,"ja",""),"")</f>
        <v/>
      </c>
    </row>
    <row r="1511" spans="1:27" x14ac:dyDescent="0.25">
      <c r="A1511" s="320"/>
      <c r="B1511" s="321" t="str">
        <f>IF(A1511&lt;&gt;"",_xlfn.MAXIFS($B$1:B1510,$A$1:A1510,A1511)+1,"")</f>
        <v/>
      </c>
      <c r="C1511" s="299"/>
      <c r="D1511" s="299"/>
      <c r="E1511" s="299"/>
      <c r="F1511" s="299"/>
      <c r="G1511" s="330"/>
      <c r="H1511" s="328"/>
      <c r="I1511" s="329"/>
      <c r="J1511" s="329"/>
      <c r="K1511" s="322"/>
      <c r="L1511" s="322"/>
      <c r="M1511" s="323" t="str">
        <f>IFERROR(VLOOKUP(H1511,Lijsten!$H$1:$I$100,2,0),"")</f>
        <v/>
      </c>
      <c r="N1511" s="323" t="str">
        <f ca="1">IFERROR(IF(VLOOKUP(F1511,Kostentypen!$A$3:$E$21,3,0)=0,"",IF(OR(F1511="Arbeidskosten",F1511="Vergoeding"),VLOOKUP(G1511,Tb_KostenTypen[],2,0),VLOOKUP(F1511,Kostentypen!$A$3:$E$20,3,0))),"")</f>
        <v/>
      </c>
      <c r="O1511" s="324"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4"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3"/>
      <c r="R1511" s="363"/>
      <c r="S1511" s="325"/>
      <c r="T1511" s="325"/>
      <c r="U1511" s="317" t="str" cm="1">
        <f t="array" aca="1" ref="U1511" ca="1">IFERROR(IF(AA1511&lt;&gt;"ja",_xlfn.IFNA(_xlfn.IFS(AND(O1511&lt;&gt;"",F1511&lt;&gt;"",RIGHT($N1511,6)="tarief",F1511="Vergoeding"),SUM(O1511)*FLOOR(SUM(Q1511),0.0001),AND(O1511&lt;&gt;"",F1511&lt;&gt;"",RIGHT($N1511,6)="tarief"),SUM(O1511)*FLOOR(SUM(Q1511),0.01),S1511&gt;0,IF(F1511&lt;&gt;"",FLOOR(SUM(S1511),0.01),"")),""),""),"")</f>
        <v/>
      </c>
      <c r="V1511" s="317" t="str" cm="1">
        <f t="array" aca="1" ref="V1511" ca="1">IFERROR(IF(AA1511&lt;&gt;"ja",_xlfn.IFNA(_xlfn.IFS(AND(P1511&lt;&gt;"",R1511&lt;&gt;"",RIGHT($N1511,6)="tarief",F1511="Vergoeding"),SUM(P1511)*FLOOR(SUM(R1511),0.0001),AND(P1511&lt;&gt;"",R1511&lt;&gt;"",RIGHT($N1511,6)="tarief"),P1511*FLOOR(R1511,0.01),T1511&gt;0,FLOOR(SUM(T1511),0.01)),""),""),"")</f>
        <v/>
      </c>
      <c r="W1511" s="317" t="str" cm="1">
        <f t="array" aca="1" ref="W1511" ca="1">IFERROR(_xlfn.IFS(OR(F1511="",LEFT(Methode_Keuze,4)="Geen",Methode_Keuze=""),"",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17" t="str" cm="1">
        <f t="array" aca="1" ref="X1511" ca="1">IFERROR(_xlfn.IFS(OR(F1511="",LEFT(Methode_Keuze,4)="Geen",Methode_Keuze=""),"",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26"/>
      <c r="Z1511" s="319"/>
      <c r="AA1511" s="32" t="str" cm="1">
        <f t="array" ref="AA1511">IFERROR(IF(INDEX(SubsidieTabel!$AD$1:$AG$12,MATCH($F1511,SubsidieTabel!$AD$1:$AD$12,0),IFERROR(MATCH(Methode_Keuze,SubsidieTabel!$AD$1:$AG$1,0),2))&lt;&gt;1=TRUE,"ja",""),"")</f>
        <v/>
      </c>
    </row>
    <row r="1512" spans="1:27" x14ac:dyDescent="0.25">
      <c r="A1512" s="320"/>
      <c r="B1512" s="321" t="str">
        <f>IF(A1512&lt;&gt;"",_xlfn.MAXIFS($B$1:B1511,$A$1:A1511,A1512)+1,"")</f>
        <v/>
      </c>
      <c r="C1512" s="299"/>
      <c r="D1512" s="299"/>
      <c r="E1512" s="299"/>
      <c r="F1512" s="299"/>
      <c r="G1512" s="330"/>
      <c r="H1512" s="328"/>
      <c r="I1512" s="329"/>
      <c r="J1512" s="329"/>
      <c r="K1512" s="322"/>
      <c r="L1512" s="322"/>
      <c r="M1512" s="323" t="str">
        <f>IFERROR(VLOOKUP(H1512,Lijsten!$H$1:$I$100,2,0),"")</f>
        <v/>
      </c>
      <c r="N1512" s="323" t="str">
        <f ca="1">IFERROR(IF(VLOOKUP(F1512,Kostentypen!$A$3:$E$21,3,0)=0,"",IF(OR(F1512="Arbeidskosten",F1512="Vergoeding"),VLOOKUP(G1512,Tb_KostenTypen[],2,0),VLOOKUP(F1512,Kostentypen!$A$3:$E$20,3,0))),"")</f>
        <v/>
      </c>
      <c r="O1512" s="324"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4"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3"/>
      <c r="R1512" s="363"/>
      <c r="S1512" s="325"/>
      <c r="T1512" s="325"/>
      <c r="U1512" s="317" t="str" cm="1">
        <f t="array" aca="1" ref="U1512" ca="1">IFERROR(IF(AA1512&lt;&gt;"ja",_xlfn.IFNA(_xlfn.IFS(AND(O1512&lt;&gt;"",F1512&lt;&gt;"",RIGHT($N1512,6)="tarief",F1512="Vergoeding"),SUM(O1512)*FLOOR(SUM(Q1512),0.0001),AND(O1512&lt;&gt;"",F1512&lt;&gt;"",RIGHT($N1512,6)="tarief"),SUM(O1512)*FLOOR(SUM(Q1512),0.01),S1512&gt;0,IF(F1512&lt;&gt;"",FLOOR(SUM(S1512),0.01),"")),""),""),"")</f>
        <v/>
      </c>
      <c r="V1512" s="317" t="str" cm="1">
        <f t="array" aca="1" ref="V1512" ca="1">IFERROR(IF(AA1512&lt;&gt;"ja",_xlfn.IFNA(_xlfn.IFS(AND(P1512&lt;&gt;"",R1512&lt;&gt;"",RIGHT($N1512,6)="tarief",F1512="Vergoeding"),SUM(P1512)*FLOOR(SUM(R1512),0.0001),AND(P1512&lt;&gt;"",R1512&lt;&gt;"",RIGHT($N1512,6)="tarief"),P1512*FLOOR(R1512,0.01),T1512&gt;0,FLOOR(SUM(T1512),0.01)),""),""),"")</f>
        <v/>
      </c>
      <c r="W1512" s="317" t="str" cm="1">
        <f t="array" aca="1" ref="W1512" ca="1">IFERROR(_xlfn.IFS(OR(F1512="",LEFT(Methode_Keuze,4)="Geen",Methode_Keuze=""),"",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17" t="str" cm="1">
        <f t="array" aca="1" ref="X1512" ca="1">IFERROR(_xlfn.IFS(OR(F1512="",LEFT(Methode_Keuze,4)="Geen",Methode_Keuze=""),"",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26"/>
      <c r="Z1512" s="319"/>
      <c r="AA1512" s="32" t="str" cm="1">
        <f t="array" ref="AA1512">IFERROR(IF(INDEX(SubsidieTabel!$AD$1:$AG$12,MATCH($F1512,SubsidieTabel!$AD$1:$AD$12,0),IFERROR(MATCH(Methode_Keuze,SubsidieTabel!$AD$1:$AG$1,0),2))&lt;&gt;1=TRUE,"ja",""),"")</f>
        <v/>
      </c>
    </row>
    <row r="1513" spans="1:27" x14ac:dyDescent="0.25">
      <c r="A1513" s="320"/>
      <c r="B1513" s="321" t="str">
        <f>IF(A1513&lt;&gt;"",_xlfn.MAXIFS($B$1:B1512,$A$1:A1512,A1513)+1,"")</f>
        <v/>
      </c>
      <c r="C1513" s="299"/>
      <c r="D1513" s="299"/>
      <c r="E1513" s="299"/>
      <c r="F1513" s="299"/>
      <c r="G1513" s="330"/>
      <c r="H1513" s="328"/>
      <c r="I1513" s="329"/>
      <c r="J1513" s="329"/>
      <c r="K1513" s="322"/>
      <c r="L1513" s="322"/>
      <c r="M1513" s="323" t="str">
        <f>IFERROR(VLOOKUP(H1513,Lijsten!$H$1:$I$100,2,0),"")</f>
        <v/>
      </c>
      <c r="N1513" s="323" t="str">
        <f ca="1">IFERROR(IF(VLOOKUP(F1513,Kostentypen!$A$3:$E$21,3,0)=0,"",IF(OR(F1513="Arbeidskosten",F1513="Vergoeding"),VLOOKUP(G1513,Tb_KostenTypen[],2,0),VLOOKUP(F1513,Kostentypen!$A$3:$E$20,3,0))),"")</f>
        <v/>
      </c>
      <c r="O1513" s="324"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4"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3"/>
      <c r="R1513" s="363"/>
      <c r="S1513" s="325"/>
      <c r="T1513" s="325"/>
      <c r="U1513" s="317" t="str" cm="1">
        <f t="array" aca="1" ref="U1513" ca="1">IFERROR(IF(AA1513&lt;&gt;"ja",_xlfn.IFNA(_xlfn.IFS(AND(O1513&lt;&gt;"",F1513&lt;&gt;"",RIGHT($N1513,6)="tarief",F1513="Vergoeding"),SUM(O1513)*FLOOR(SUM(Q1513),0.0001),AND(O1513&lt;&gt;"",F1513&lt;&gt;"",RIGHT($N1513,6)="tarief"),SUM(O1513)*FLOOR(SUM(Q1513),0.01),S1513&gt;0,IF(F1513&lt;&gt;"",FLOOR(SUM(S1513),0.01),"")),""),""),"")</f>
        <v/>
      </c>
      <c r="V1513" s="317" t="str" cm="1">
        <f t="array" aca="1" ref="V1513" ca="1">IFERROR(IF(AA1513&lt;&gt;"ja",_xlfn.IFNA(_xlfn.IFS(AND(P1513&lt;&gt;"",R1513&lt;&gt;"",RIGHT($N1513,6)="tarief",F1513="Vergoeding"),SUM(P1513)*FLOOR(SUM(R1513),0.0001),AND(P1513&lt;&gt;"",R1513&lt;&gt;"",RIGHT($N1513,6)="tarief"),P1513*FLOOR(R1513,0.01),T1513&gt;0,FLOOR(SUM(T1513),0.01)),""),""),"")</f>
        <v/>
      </c>
      <c r="W1513" s="317" t="str" cm="1">
        <f t="array" aca="1" ref="W1513" ca="1">IFERROR(_xlfn.IFS(OR(F1513="",LEFT(Methode_Keuze,4)="Geen",Methode_Keuze=""),"",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17" t="str" cm="1">
        <f t="array" aca="1" ref="X1513" ca="1">IFERROR(_xlfn.IFS(OR(F1513="",LEFT(Methode_Keuze,4)="Geen",Methode_Keuze=""),"",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26"/>
      <c r="Z1513" s="319"/>
      <c r="AA1513" s="32" t="str" cm="1">
        <f t="array" ref="AA1513">IFERROR(IF(INDEX(SubsidieTabel!$AD$1:$AG$12,MATCH($F1513,SubsidieTabel!$AD$1:$AD$12,0),IFERROR(MATCH(Methode_Keuze,SubsidieTabel!$AD$1:$AG$1,0),2))&lt;&gt;1=TRUE,"ja",""),"")</f>
        <v/>
      </c>
    </row>
    <row r="1514" spans="1:27" x14ac:dyDescent="0.25">
      <c r="A1514" s="320"/>
      <c r="B1514" s="321" t="str">
        <f>IF(A1514&lt;&gt;"",_xlfn.MAXIFS($B$1:B1513,$A$1:A1513,A1514)+1,"")</f>
        <v/>
      </c>
      <c r="C1514" s="299"/>
      <c r="D1514" s="299"/>
      <c r="E1514" s="299"/>
      <c r="F1514" s="299"/>
      <c r="G1514" s="330"/>
      <c r="H1514" s="328"/>
      <c r="I1514" s="329"/>
      <c r="J1514" s="329"/>
      <c r="K1514" s="322"/>
      <c r="L1514" s="322"/>
      <c r="M1514" s="323" t="str">
        <f>IFERROR(VLOOKUP(H1514,Lijsten!$H$1:$I$100,2,0),"")</f>
        <v/>
      </c>
      <c r="N1514" s="323" t="str">
        <f ca="1">IFERROR(IF(VLOOKUP(F1514,Kostentypen!$A$3:$E$21,3,0)=0,"",IF(OR(F1514="Arbeidskosten",F1514="Vergoeding"),VLOOKUP(G1514,Tb_KostenTypen[],2,0),VLOOKUP(F1514,Kostentypen!$A$3:$E$20,3,0))),"")</f>
        <v/>
      </c>
      <c r="O1514" s="324"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4"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3"/>
      <c r="R1514" s="363"/>
      <c r="S1514" s="325"/>
      <c r="T1514" s="325"/>
      <c r="U1514" s="317" t="str" cm="1">
        <f t="array" aca="1" ref="U1514" ca="1">IFERROR(IF(AA1514&lt;&gt;"ja",_xlfn.IFNA(_xlfn.IFS(AND(O1514&lt;&gt;"",F1514&lt;&gt;"",RIGHT($N1514,6)="tarief",F1514="Vergoeding"),SUM(O1514)*FLOOR(SUM(Q1514),0.0001),AND(O1514&lt;&gt;"",F1514&lt;&gt;"",RIGHT($N1514,6)="tarief"),SUM(O1514)*FLOOR(SUM(Q1514),0.01),S1514&gt;0,IF(F1514&lt;&gt;"",FLOOR(SUM(S1514),0.01),"")),""),""),"")</f>
        <v/>
      </c>
      <c r="V1514" s="317" t="str" cm="1">
        <f t="array" aca="1" ref="V1514" ca="1">IFERROR(IF(AA1514&lt;&gt;"ja",_xlfn.IFNA(_xlfn.IFS(AND(P1514&lt;&gt;"",R1514&lt;&gt;"",RIGHT($N1514,6)="tarief",F1514="Vergoeding"),SUM(P1514)*FLOOR(SUM(R1514),0.0001),AND(P1514&lt;&gt;"",R1514&lt;&gt;"",RIGHT($N1514,6)="tarief"),P1514*FLOOR(R1514,0.01),T1514&gt;0,FLOOR(SUM(T1514),0.01)),""),""),"")</f>
        <v/>
      </c>
      <c r="W1514" s="317" t="str" cm="1">
        <f t="array" aca="1" ref="W1514" ca="1">IFERROR(_xlfn.IFS(OR(F1514="",LEFT(Methode_Keuze,4)="Geen",Methode_Keuze=""),"",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17" t="str" cm="1">
        <f t="array" aca="1" ref="X1514" ca="1">IFERROR(_xlfn.IFS(OR(F1514="",LEFT(Methode_Keuze,4)="Geen",Methode_Keuze=""),"",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26"/>
      <c r="Z1514" s="319"/>
      <c r="AA1514" s="32" t="str" cm="1">
        <f t="array" ref="AA1514">IFERROR(IF(INDEX(SubsidieTabel!$AD$1:$AG$12,MATCH($F1514,SubsidieTabel!$AD$1:$AD$12,0),IFERROR(MATCH(Methode_Keuze,SubsidieTabel!$AD$1:$AG$1,0),2))&lt;&gt;1=TRUE,"ja",""),"")</f>
        <v/>
      </c>
    </row>
    <row r="1515" spans="1:27" x14ac:dyDescent="0.25">
      <c r="A1515" s="320"/>
      <c r="B1515" s="321" t="str">
        <f>IF(A1515&lt;&gt;"",_xlfn.MAXIFS($B$1:B1514,$A$1:A1514,A1515)+1,"")</f>
        <v/>
      </c>
      <c r="C1515" s="299"/>
      <c r="D1515" s="299"/>
      <c r="E1515" s="299"/>
      <c r="F1515" s="299"/>
      <c r="G1515" s="330"/>
      <c r="H1515" s="328"/>
      <c r="I1515" s="329"/>
      <c r="J1515" s="329"/>
      <c r="K1515" s="322"/>
      <c r="L1515" s="322"/>
      <c r="M1515" s="323" t="str">
        <f>IFERROR(VLOOKUP(H1515,Lijsten!$H$1:$I$100,2,0),"")</f>
        <v/>
      </c>
      <c r="N1515" s="323" t="str">
        <f ca="1">IFERROR(IF(VLOOKUP(F1515,Kostentypen!$A$3:$E$21,3,0)=0,"",IF(OR(F1515="Arbeidskosten",F1515="Vergoeding"),VLOOKUP(G1515,Tb_KostenTypen[],2,0),VLOOKUP(F1515,Kostentypen!$A$3:$E$20,3,0))),"")</f>
        <v/>
      </c>
      <c r="O1515" s="324"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4"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3"/>
      <c r="R1515" s="363"/>
      <c r="S1515" s="325"/>
      <c r="T1515" s="325"/>
      <c r="U1515" s="317" t="str" cm="1">
        <f t="array" aca="1" ref="U1515" ca="1">IFERROR(IF(AA1515&lt;&gt;"ja",_xlfn.IFNA(_xlfn.IFS(AND(O1515&lt;&gt;"",F1515&lt;&gt;"",RIGHT($N1515,6)="tarief",F1515="Vergoeding"),SUM(O1515)*FLOOR(SUM(Q1515),0.0001),AND(O1515&lt;&gt;"",F1515&lt;&gt;"",RIGHT($N1515,6)="tarief"),SUM(O1515)*FLOOR(SUM(Q1515),0.01),S1515&gt;0,IF(F1515&lt;&gt;"",FLOOR(SUM(S1515),0.01),"")),""),""),"")</f>
        <v/>
      </c>
      <c r="V1515" s="317" t="str" cm="1">
        <f t="array" aca="1" ref="V1515" ca="1">IFERROR(IF(AA1515&lt;&gt;"ja",_xlfn.IFNA(_xlfn.IFS(AND(P1515&lt;&gt;"",R1515&lt;&gt;"",RIGHT($N1515,6)="tarief",F1515="Vergoeding"),SUM(P1515)*FLOOR(SUM(R1515),0.0001),AND(P1515&lt;&gt;"",R1515&lt;&gt;"",RIGHT($N1515,6)="tarief"),P1515*FLOOR(R1515,0.01),T1515&gt;0,FLOOR(SUM(T1515),0.01)),""),""),"")</f>
        <v/>
      </c>
      <c r="W1515" s="317" t="str" cm="1">
        <f t="array" aca="1" ref="W1515" ca="1">IFERROR(_xlfn.IFS(OR(F1515="",LEFT(Methode_Keuze,4)="Geen",Methode_Keuze=""),"",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17" t="str" cm="1">
        <f t="array" aca="1" ref="X1515" ca="1">IFERROR(_xlfn.IFS(OR(F1515="",LEFT(Methode_Keuze,4)="Geen",Methode_Keuze=""),"",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26"/>
      <c r="Z1515" s="319"/>
      <c r="AA1515" s="32" t="str" cm="1">
        <f t="array" ref="AA1515">IFERROR(IF(INDEX(SubsidieTabel!$AD$1:$AG$12,MATCH($F1515,SubsidieTabel!$AD$1:$AD$12,0),IFERROR(MATCH(Methode_Keuze,SubsidieTabel!$AD$1:$AG$1,0),2))&lt;&gt;1=TRUE,"ja",""),"")</f>
        <v/>
      </c>
    </row>
    <row r="1516" spans="1:27" x14ac:dyDescent="0.25">
      <c r="A1516" s="320"/>
      <c r="B1516" s="321" t="str">
        <f>IF(A1516&lt;&gt;"",_xlfn.MAXIFS($B$1:B1515,$A$1:A1515,A1516)+1,"")</f>
        <v/>
      </c>
      <c r="C1516" s="299"/>
      <c r="D1516" s="299"/>
      <c r="E1516" s="299"/>
      <c r="F1516" s="299"/>
      <c r="G1516" s="330"/>
      <c r="H1516" s="328"/>
      <c r="I1516" s="329"/>
      <c r="J1516" s="329"/>
      <c r="K1516" s="322"/>
      <c r="L1516" s="322"/>
      <c r="M1516" s="323" t="str">
        <f>IFERROR(VLOOKUP(H1516,Lijsten!$H$1:$I$100,2,0),"")</f>
        <v/>
      </c>
      <c r="N1516" s="323" t="str">
        <f ca="1">IFERROR(IF(VLOOKUP(F1516,Kostentypen!$A$3:$E$21,3,0)=0,"",IF(OR(F1516="Arbeidskosten",F1516="Vergoeding"),VLOOKUP(G1516,Tb_KostenTypen[],2,0),VLOOKUP(F1516,Kostentypen!$A$3:$E$20,3,0))),"")</f>
        <v/>
      </c>
      <c r="O1516" s="324"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4"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3"/>
      <c r="R1516" s="363"/>
      <c r="S1516" s="325"/>
      <c r="T1516" s="325"/>
      <c r="U1516" s="317" t="str" cm="1">
        <f t="array" aca="1" ref="U1516" ca="1">IFERROR(IF(AA1516&lt;&gt;"ja",_xlfn.IFNA(_xlfn.IFS(AND(O1516&lt;&gt;"",F1516&lt;&gt;"",RIGHT($N1516,6)="tarief",F1516="Vergoeding"),SUM(O1516)*FLOOR(SUM(Q1516),0.0001),AND(O1516&lt;&gt;"",F1516&lt;&gt;"",RIGHT($N1516,6)="tarief"),SUM(O1516)*FLOOR(SUM(Q1516),0.01),S1516&gt;0,IF(F1516&lt;&gt;"",FLOOR(SUM(S1516),0.01),"")),""),""),"")</f>
        <v/>
      </c>
      <c r="V1516" s="317" t="str" cm="1">
        <f t="array" aca="1" ref="V1516" ca="1">IFERROR(IF(AA1516&lt;&gt;"ja",_xlfn.IFNA(_xlfn.IFS(AND(P1516&lt;&gt;"",R1516&lt;&gt;"",RIGHT($N1516,6)="tarief",F1516="Vergoeding"),SUM(P1516)*FLOOR(SUM(R1516),0.0001),AND(P1516&lt;&gt;"",R1516&lt;&gt;"",RIGHT($N1516,6)="tarief"),P1516*FLOOR(R1516,0.01),T1516&gt;0,FLOOR(SUM(T1516),0.01)),""),""),"")</f>
        <v/>
      </c>
      <c r="W1516" s="317" t="str" cm="1">
        <f t="array" aca="1" ref="W1516" ca="1">IFERROR(_xlfn.IFS(OR(F1516="",LEFT(Methode_Keuze,4)="Geen",Methode_Keuze=""),"",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17" t="str" cm="1">
        <f t="array" aca="1" ref="X1516" ca="1">IFERROR(_xlfn.IFS(OR(F1516="",LEFT(Methode_Keuze,4)="Geen",Methode_Keuze=""),"",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26"/>
      <c r="Z1516" s="319"/>
      <c r="AA1516" s="32" t="str" cm="1">
        <f t="array" ref="AA1516">IFERROR(IF(INDEX(SubsidieTabel!$AD$1:$AG$12,MATCH($F1516,SubsidieTabel!$AD$1:$AD$12,0),IFERROR(MATCH(Methode_Keuze,SubsidieTabel!$AD$1:$AG$1,0),2))&lt;&gt;1=TRUE,"ja",""),"")</f>
        <v/>
      </c>
    </row>
    <row r="1517" spans="1:27" x14ac:dyDescent="0.25">
      <c r="A1517" s="320"/>
      <c r="B1517" s="321" t="str">
        <f>IF(A1517&lt;&gt;"",_xlfn.MAXIFS($B$1:B1516,$A$1:A1516,A1517)+1,"")</f>
        <v/>
      </c>
      <c r="C1517" s="299"/>
      <c r="D1517" s="299"/>
      <c r="E1517" s="299"/>
      <c r="F1517" s="299"/>
      <c r="G1517" s="330"/>
      <c r="H1517" s="328"/>
      <c r="I1517" s="329"/>
      <c r="J1517" s="329"/>
      <c r="K1517" s="322"/>
      <c r="L1517" s="322"/>
      <c r="M1517" s="323" t="str">
        <f>IFERROR(VLOOKUP(H1517,Lijsten!$H$1:$I$100,2,0),"")</f>
        <v/>
      </c>
      <c r="N1517" s="323" t="str">
        <f ca="1">IFERROR(IF(VLOOKUP(F1517,Kostentypen!$A$3:$E$21,3,0)=0,"",IF(OR(F1517="Arbeidskosten",F1517="Vergoeding"),VLOOKUP(G1517,Tb_KostenTypen[],2,0),VLOOKUP(F1517,Kostentypen!$A$3:$E$20,3,0))),"")</f>
        <v/>
      </c>
      <c r="O1517" s="324"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4"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3"/>
      <c r="R1517" s="363"/>
      <c r="S1517" s="325"/>
      <c r="T1517" s="325"/>
      <c r="U1517" s="317" t="str" cm="1">
        <f t="array" aca="1" ref="U1517" ca="1">IFERROR(IF(AA1517&lt;&gt;"ja",_xlfn.IFNA(_xlfn.IFS(AND(O1517&lt;&gt;"",F1517&lt;&gt;"",RIGHT($N1517,6)="tarief",F1517="Vergoeding"),SUM(O1517)*FLOOR(SUM(Q1517),0.0001),AND(O1517&lt;&gt;"",F1517&lt;&gt;"",RIGHT($N1517,6)="tarief"),SUM(O1517)*FLOOR(SUM(Q1517),0.01),S1517&gt;0,IF(F1517&lt;&gt;"",FLOOR(SUM(S1517),0.01),"")),""),""),"")</f>
        <v/>
      </c>
      <c r="V1517" s="317" t="str" cm="1">
        <f t="array" aca="1" ref="V1517" ca="1">IFERROR(IF(AA1517&lt;&gt;"ja",_xlfn.IFNA(_xlfn.IFS(AND(P1517&lt;&gt;"",R1517&lt;&gt;"",RIGHT($N1517,6)="tarief",F1517="Vergoeding"),SUM(P1517)*FLOOR(SUM(R1517),0.0001),AND(P1517&lt;&gt;"",R1517&lt;&gt;"",RIGHT($N1517,6)="tarief"),P1517*FLOOR(R1517,0.01),T1517&gt;0,FLOOR(SUM(T1517),0.01)),""),""),"")</f>
        <v/>
      </c>
      <c r="W1517" s="317" t="str" cm="1">
        <f t="array" aca="1" ref="W1517" ca="1">IFERROR(_xlfn.IFS(OR(F1517="",LEFT(Methode_Keuze,4)="Geen",Methode_Keuze=""),"",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17" t="str" cm="1">
        <f t="array" aca="1" ref="X1517" ca="1">IFERROR(_xlfn.IFS(OR(F1517="",LEFT(Methode_Keuze,4)="Geen",Methode_Keuze=""),"",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26"/>
      <c r="Z1517" s="319"/>
      <c r="AA1517" s="32" t="str" cm="1">
        <f t="array" ref="AA1517">IFERROR(IF(INDEX(SubsidieTabel!$AD$1:$AG$12,MATCH($F1517,SubsidieTabel!$AD$1:$AD$12,0),IFERROR(MATCH(Methode_Keuze,SubsidieTabel!$AD$1:$AG$1,0),2))&lt;&gt;1=TRUE,"ja",""),"")</f>
        <v/>
      </c>
    </row>
    <row r="1518" spans="1:27" x14ac:dyDescent="0.25">
      <c r="A1518" s="320"/>
      <c r="B1518" s="321" t="str">
        <f>IF(A1518&lt;&gt;"",_xlfn.MAXIFS($B$1:B1517,$A$1:A1517,A1518)+1,"")</f>
        <v/>
      </c>
      <c r="C1518" s="299"/>
      <c r="D1518" s="299"/>
      <c r="E1518" s="299"/>
      <c r="F1518" s="299"/>
      <c r="G1518" s="330"/>
      <c r="H1518" s="328"/>
      <c r="I1518" s="329"/>
      <c r="J1518" s="329"/>
      <c r="K1518" s="322"/>
      <c r="L1518" s="322"/>
      <c r="M1518" s="323" t="str">
        <f>IFERROR(VLOOKUP(H1518,Lijsten!$H$1:$I$100,2,0),"")</f>
        <v/>
      </c>
      <c r="N1518" s="323" t="str">
        <f ca="1">IFERROR(IF(VLOOKUP(F1518,Kostentypen!$A$3:$E$21,3,0)=0,"",IF(OR(F1518="Arbeidskosten",F1518="Vergoeding"),VLOOKUP(G1518,Tb_KostenTypen[],2,0),VLOOKUP(F1518,Kostentypen!$A$3:$E$20,3,0))),"")</f>
        <v/>
      </c>
      <c r="O1518" s="324"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4"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3"/>
      <c r="R1518" s="363"/>
      <c r="S1518" s="325"/>
      <c r="T1518" s="325"/>
      <c r="U1518" s="317" t="str" cm="1">
        <f t="array" aca="1" ref="U1518" ca="1">IFERROR(IF(AA1518&lt;&gt;"ja",_xlfn.IFNA(_xlfn.IFS(AND(O1518&lt;&gt;"",F1518&lt;&gt;"",RIGHT($N1518,6)="tarief",F1518="Vergoeding"),SUM(O1518)*FLOOR(SUM(Q1518),0.0001),AND(O1518&lt;&gt;"",F1518&lt;&gt;"",RIGHT($N1518,6)="tarief"),SUM(O1518)*FLOOR(SUM(Q1518),0.01),S1518&gt;0,IF(F1518&lt;&gt;"",FLOOR(SUM(S1518),0.01),"")),""),""),"")</f>
        <v/>
      </c>
      <c r="V1518" s="317" t="str" cm="1">
        <f t="array" aca="1" ref="V1518" ca="1">IFERROR(IF(AA1518&lt;&gt;"ja",_xlfn.IFNA(_xlfn.IFS(AND(P1518&lt;&gt;"",R1518&lt;&gt;"",RIGHT($N1518,6)="tarief",F1518="Vergoeding"),SUM(P1518)*FLOOR(SUM(R1518),0.0001),AND(P1518&lt;&gt;"",R1518&lt;&gt;"",RIGHT($N1518,6)="tarief"),P1518*FLOOR(R1518,0.01),T1518&gt;0,FLOOR(SUM(T1518),0.01)),""),""),"")</f>
        <v/>
      </c>
      <c r="W1518" s="317" t="str" cm="1">
        <f t="array" aca="1" ref="W1518" ca="1">IFERROR(_xlfn.IFS(OR(F1518="",LEFT(Methode_Keuze,4)="Geen",Methode_Keuze=""),"",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17" t="str" cm="1">
        <f t="array" aca="1" ref="X1518" ca="1">IFERROR(_xlfn.IFS(OR(F1518="",LEFT(Methode_Keuze,4)="Geen",Methode_Keuze=""),"",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26"/>
      <c r="Z1518" s="319"/>
      <c r="AA1518" s="32" t="str" cm="1">
        <f t="array" ref="AA1518">IFERROR(IF(INDEX(SubsidieTabel!$AD$1:$AG$12,MATCH($F1518,SubsidieTabel!$AD$1:$AD$12,0),IFERROR(MATCH(Methode_Keuze,SubsidieTabel!$AD$1:$AG$1,0),2))&lt;&gt;1=TRUE,"ja",""),"")</f>
        <v/>
      </c>
    </row>
    <row r="1519" spans="1:27" x14ac:dyDescent="0.25">
      <c r="A1519" s="320"/>
      <c r="B1519" s="321" t="str">
        <f>IF(A1519&lt;&gt;"",_xlfn.MAXIFS($B$1:B1518,$A$1:A1518,A1519)+1,"")</f>
        <v/>
      </c>
      <c r="C1519" s="299"/>
      <c r="D1519" s="299"/>
      <c r="E1519" s="299"/>
      <c r="F1519" s="299"/>
      <c r="G1519" s="330"/>
      <c r="H1519" s="328"/>
      <c r="I1519" s="329"/>
      <c r="J1519" s="329"/>
      <c r="K1519" s="322"/>
      <c r="L1519" s="322"/>
      <c r="M1519" s="323" t="str">
        <f>IFERROR(VLOOKUP(H1519,Lijsten!$H$1:$I$100,2,0),"")</f>
        <v/>
      </c>
      <c r="N1519" s="323" t="str">
        <f ca="1">IFERROR(IF(VLOOKUP(F1519,Kostentypen!$A$3:$E$21,3,0)=0,"",IF(OR(F1519="Arbeidskosten",F1519="Vergoeding"),VLOOKUP(G1519,Tb_KostenTypen[],2,0),VLOOKUP(F1519,Kostentypen!$A$3:$E$20,3,0))),"")</f>
        <v/>
      </c>
      <c r="O1519" s="324"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4"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3"/>
      <c r="R1519" s="363"/>
      <c r="S1519" s="325"/>
      <c r="T1519" s="325"/>
      <c r="U1519" s="317" t="str" cm="1">
        <f t="array" aca="1" ref="U1519" ca="1">IFERROR(IF(AA1519&lt;&gt;"ja",_xlfn.IFNA(_xlfn.IFS(AND(O1519&lt;&gt;"",F1519&lt;&gt;"",RIGHT($N1519,6)="tarief",F1519="Vergoeding"),SUM(O1519)*FLOOR(SUM(Q1519),0.0001),AND(O1519&lt;&gt;"",F1519&lt;&gt;"",RIGHT($N1519,6)="tarief"),SUM(O1519)*FLOOR(SUM(Q1519),0.01),S1519&gt;0,IF(F1519&lt;&gt;"",FLOOR(SUM(S1519),0.01),"")),""),""),"")</f>
        <v/>
      </c>
      <c r="V1519" s="317" t="str" cm="1">
        <f t="array" aca="1" ref="V1519" ca="1">IFERROR(IF(AA1519&lt;&gt;"ja",_xlfn.IFNA(_xlfn.IFS(AND(P1519&lt;&gt;"",R1519&lt;&gt;"",RIGHT($N1519,6)="tarief",F1519="Vergoeding"),SUM(P1519)*FLOOR(SUM(R1519),0.0001),AND(P1519&lt;&gt;"",R1519&lt;&gt;"",RIGHT($N1519,6)="tarief"),P1519*FLOOR(R1519,0.01),T1519&gt;0,FLOOR(SUM(T1519),0.01)),""),""),"")</f>
        <v/>
      </c>
      <c r="W1519" s="317" t="str" cm="1">
        <f t="array" aca="1" ref="W1519" ca="1">IFERROR(_xlfn.IFS(OR(F1519="",LEFT(Methode_Keuze,4)="Geen",Methode_Keuze=""),"",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17" t="str" cm="1">
        <f t="array" aca="1" ref="X1519" ca="1">IFERROR(_xlfn.IFS(OR(F1519="",LEFT(Methode_Keuze,4)="Geen",Methode_Keuze=""),"",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26"/>
      <c r="Z1519" s="319"/>
      <c r="AA1519" s="32" t="str" cm="1">
        <f t="array" ref="AA1519">IFERROR(IF(INDEX(SubsidieTabel!$AD$1:$AG$12,MATCH($F1519,SubsidieTabel!$AD$1:$AD$12,0),IFERROR(MATCH(Methode_Keuze,SubsidieTabel!$AD$1:$AG$1,0),2))&lt;&gt;1=TRUE,"ja",""),"")</f>
        <v/>
      </c>
    </row>
    <row r="1520" spans="1:27" x14ac:dyDescent="0.25">
      <c r="A1520" s="320"/>
      <c r="B1520" s="321" t="str">
        <f>IF(A1520&lt;&gt;"",_xlfn.MAXIFS($B$1:B1519,$A$1:A1519,A1520)+1,"")</f>
        <v/>
      </c>
      <c r="C1520" s="299"/>
      <c r="D1520" s="299"/>
      <c r="E1520" s="299"/>
      <c r="F1520" s="299"/>
      <c r="G1520" s="330"/>
      <c r="H1520" s="328"/>
      <c r="I1520" s="329"/>
      <c r="J1520" s="329"/>
      <c r="K1520" s="322"/>
      <c r="L1520" s="322"/>
      <c r="M1520" s="323" t="str">
        <f>IFERROR(VLOOKUP(H1520,Lijsten!$H$1:$I$100,2,0),"")</f>
        <v/>
      </c>
      <c r="N1520" s="323" t="str">
        <f ca="1">IFERROR(IF(VLOOKUP(F1520,Kostentypen!$A$3:$E$21,3,0)=0,"",IF(OR(F1520="Arbeidskosten",F1520="Vergoeding"),VLOOKUP(G1520,Tb_KostenTypen[],2,0),VLOOKUP(F1520,Kostentypen!$A$3:$E$20,3,0))),"")</f>
        <v/>
      </c>
      <c r="O1520" s="324"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4"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3"/>
      <c r="R1520" s="363"/>
      <c r="S1520" s="325"/>
      <c r="T1520" s="325"/>
      <c r="U1520" s="317" t="str" cm="1">
        <f t="array" aca="1" ref="U1520" ca="1">IFERROR(IF(AA1520&lt;&gt;"ja",_xlfn.IFNA(_xlfn.IFS(AND(O1520&lt;&gt;"",F1520&lt;&gt;"",RIGHT($N1520,6)="tarief",F1520="Vergoeding"),SUM(O1520)*FLOOR(SUM(Q1520),0.0001),AND(O1520&lt;&gt;"",F1520&lt;&gt;"",RIGHT($N1520,6)="tarief"),SUM(O1520)*FLOOR(SUM(Q1520),0.01),S1520&gt;0,IF(F1520&lt;&gt;"",FLOOR(SUM(S1520),0.01),"")),""),""),"")</f>
        <v/>
      </c>
      <c r="V1520" s="317" t="str" cm="1">
        <f t="array" aca="1" ref="V1520" ca="1">IFERROR(IF(AA1520&lt;&gt;"ja",_xlfn.IFNA(_xlfn.IFS(AND(P1520&lt;&gt;"",R1520&lt;&gt;"",RIGHT($N1520,6)="tarief",F1520="Vergoeding"),SUM(P1520)*FLOOR(SUM(R1520),0.0001),AND(P1520&lt;&gt;"",R1520&lt;&gt;"",RIGHT($N1520,6)="tarief"),P1520*FLOOR(R1520,0.01),T1520&gt;0,FLOOR(SUM(T1520),0.01)),""),""),"")</f>
        <v/>
      </c>
      <c r="W1520" s="317" t="str" cm="1">
        <f t="array" aca="1" ref="W1520" ca="1">IFERROR(_xlfn.IFS(OR(F1520="",LEFT(Methode_Keuze,4)="Geen",Methode_Keuze=""),"",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17" t="str" cm="1">
        <f t="array" aca="1" ref="X1520" ca="1">IFERROR(_xlfn.IFS(OR(F1520="",LEFT(Methode_Keuze,4)="Geen",Methode_Keuze=""),"",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26"/>
      <c r="Z1520" s="319"/>
      <c r="AA1520" s="32" t="str" cm="1">
        <f t="array" ref="AA1520">IFERROR(IF(INDEX(SubsidieTabel!$AD$1:$AG$12,MATCH($F1520,SubsidieTabel!$AD$1:$AD$12,0),IFERROR(MATCH(Methode_Keuze,SubsidieTabel!$AD$1:$AG$1,0),2))&lt;&gt;1=TRUE,"ja",""),"")</f>
        <v/>
      </c>
    </row>
    <row r="1521" spans="1:27" x14ac:dyDescent="0.25">
      <c r="A1521" s="320"/>
      <c r="B1521" s="321" t="str">
        <f>IF(A1521&lt;&gt;"",_xlfn.MAXIFS($B$1:B1520,$A$1:A1520,A1521)+1,"")</f>
        <v/>
      </c>
      <c r="C1521" s="299"/>
      <c r="D1521" s="299"/>
      <c r="E1521" s="299"/>
      <c r="F1521" s="299"/>
      <c r="G1521" s="330"/>
      <c r="H1521" s="328"/>
      <c r="I1521" s="329"/>
      <c r="J1521" s="329"/>
      <c r="K1521" s="322"/>
      <c r="L1521" s="322"/>
      <c r="M1521" s="323" t="str">
        <f>IFERROR(VLOOKUP(H1521,Lijsten!$H$1:$I$100,2,0),"")</f>
        <v/>
      </c>
      <c r="N1521" s="323" t="str">
        <f ca="1">IFERROR(IF(VLOOKUP(F1521,Kostentypen!$A$3:$E$21,3,0)=0,"",IF(OR(F1521="Arbeidskosten",F1521="Vergoeding"),VLOOKUP(G1521,Tb_KostenTypen[],2,0),VLOOKUP(F1521,Kostentypen!$A$3:$E$20,3,0))),"")</f>
        <v/>
      </c>
      <c r="O1521" s="324"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4"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3"/>
      <c r="R1521" s="363"/>
      <c r="S1521" s="325"/>
      <c r="T1521" s="325"/>
      <c r="U1521" s="317" t="str" cm="1">
        <f t="array" aca="1" ref="U1521" ca="1">IFERROR(IF(AA1521&lt;&gt;"ja",_xlfn.IFNA(_xlfn.IFS(AND(O1521&lt;&gt;"",F1521&lt;&gt;"",RIGHT($N1521,6)="tarief",F1521="Vergoeding"),SUM(O1521)*FLOOR(SUM(Q1521),0.0001),AND(O1521&lt;&gt;"",F1521&lt;&gt;"",RIGHT($N1521,6)="tarief"),SUM(O1521)*FLOOR(SUM(Q1521),0.01),S1521&gt;0,IF(F1521&lt;&gt;"",FLOOR(SUM(S1521),0.01),"")),""),""),"")</f>
        <v/>
      </c>
      <c r="V1521" s="317" t="str" cm="1">
        <f t="array" aca="1" ref="V1521" ca="1">IFERROR(IF(AA1521&lt;&gt;"ja",_xlfn.IFNA(_xlfn.IFS(AND(P1521&lt;&gt;"",R1521&lt;&gt;"",RIGHT($N1521,6)="tarief",F1521="Vergoeding"),SUM(P1521)*FLOOR(SUM(R1521),0.0001),AND(P1521&lt;&gt;"",R1521&lt;&gt;"",RIGHT($N1521,6)="tarief"),P1521*FLOOR(R1521,0.01),T1521&gt;0,FLOOR(SUM(T1521),0.01)),""),""),"")</f>
        <v/>
      </c>
      <c r="W1521" s="317" t="str" cm="1">
        <f t="array" aca="1" ref="W1521" ca="1">IFERROR(_xlfn.IFS(OR(F1521="",LEFT(Methode_Keuze,4)="Geen",Methode_Keuze=""),"",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17" t="str" cm="1">
        <f t="array" aca="1" ref="X1521" ca="1">IFERROR(_xlfn.IFS(OR(F1521="",LEFT(Methode_Keuze,4)="Geen",Methode_Keuze=""),"",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26"/>
      <c r="Z1521" s="319"/>
      <c r="AA1521" s="32" t="str" cm="1">
        <f t="array" ref="AA1521">IFERROR(IF(INDEX(SubsidieTabel!$AD$1:$AG$12,MATCH($F1521,SubsidieTabel!$AD$1:$AD$12,0),IFERROR(MATCH(Methode_Keuze,SubsidieTabel!$AD$1:$AG$1,0),2))&lt;&gt;1=TRUE,"ja",""),"")</f>
        <v/>
      </c>
    </row>
    <row r="1522" spans="1:27" x14ac:dyDescent="0.25">
      <c r="A1522" s="320"/>
      <c r="B1522" s="321" t="str">
        <f>IF(A1522&lt;&gt;"",_xlfn.MAXIFS($B$1:B1521,$A$1:A1521,A1522)+1,"")</f>
        <v/>
      </c>
      <c r="C1522" s="299"/>
      <c r="D1522" s="299"/>
      <c r="E1522" s="299"/>
      <c r="F1522" s="299"/>
      <c r="G1522" s="330"/>
      <c r="H1522" s="328"/>
      <c r="I1522" s="329"/>
      <c r="J1522" s="329"/>
      <c r="K1522" s="322"/>
      <c r="L1522" s="322"/>
      <c r="M1522" s="323" t="str">
        <f>IFERROR(VLOOKUP(H1522,Lijsten!$H$1:$I$100,2,0),"")</f>
        <v/>
      </c>
      <c r="N1522" s="323" t="str">
        <f ca="1">IFERROR(IF(VLOOKUP(F1522,Kostentypen!$A$3:$E$21,3,0)=0,"",IF(OR(F1522="Arbeidskosten",F1522="Vergoeding"),VLOOKUP(G1522,Tb_KostenTypen[],2,0),VLOOKUP(F1522,Kostentypen!$A$3:$E$20,3,0))),"")</f>
        <v/>
      </c>
      <c r="O1522" s="324"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4"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3"/>
      <c r="R1522" s="363"/>
      <c r="S1522" s="325"/>
      <c r="T1522" s="325"/>
      <c r="U1522" s="317" t="str" cm="1">
        <f t="array" aca="1" ref="U1522" ca="1">IFERROR(IF(AA1522&lt;&gt;"ja",_xlfn.IFNA(_xlfn.IFS(AND(O1522&lt;&gt;"",F1522&lt;&gt;"",RIGHT($N1522,6)="tarief",F1522="Vergoeding"),SUM(O1522)*FLOOR(SUM(Q1522),0.0001),AND(O1522&lt;&gt;"",F1522&lt;&gt;"",RIGHT($N1522,6)="tarief"),SUM(O1522)*FLOOR(SUM(Q1522),0.01),S1522&gt;0,IF(F1522&lt;&gt;"",FLOOR(SUM(S1522),0.01),"")),""),""),"")</f>
        <v/>
      </c>
      <c r="V1522" s="317" t="str" cm="1">
        <f t="array" aca="1" ref="V1522" ca="1">IFERROR(IF(AA1522&lt;&gt;"ja",_xlfn.IFNA(_xlfn.IFS(AND(P1522&lt;&gt;"",R1522&lt;&gt;"",RIGHT($N1522,6)="tarief",F1522="Vergoeding"),SUM(P1522)*FLOOR(SUM(R1522),0.0001),AND(P1522&lt;&gt;"",R1522&lt;&gt;"",RIGHT($N1522,6)="tarief"),P1522*FLOOR(R1522,0.01),T1522&gt;0,FLOOR(SUM(T1522),0.01)),""),""),"")</f>
        <v/>
      </c>
      <c r="W1522" s="317" t="str" cm="1">
        <f t="array" aca="1" ref="W1522" ca="1">IFERROR(_xlfn.IFS(OR(F1522="",LEFT(Methode_Keuze,4)="Geen",Methode_Keuze=""),"",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17" t="str" cm="1">
        <f t="array" aca="1" ref="X1522" ca="1">IFERROR(_xlfn.IFS(OR(F1522="",LEFT(Methode_Keuze,4)="Geen",Methode_Keuze=""),"",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26"/>
      <c r="Z1522" s="319"/>
      <c r="AA1522" s="32" t="str" cm="1">
        <f t="array" ref="AA1522">IFERROR(IF(INDEX(SubsidieTabel!$AD$1:$AG$12,MATCH($F1522,SubsidieTabel!$AD$1:$AD$12,0),IFERROR(MATCH(Methode_Keuze,SubsidieTabel!$AD$1:$AG$1,0),2))&lt;&gt;1=TRUE,"ja",""),"")</f>
        <v/>
      </c>
    </row>
    <row r="1523" spans="1:27" x14ac:dyDescent="0.25">
      <c r="A1523" s="320"/>
      <c r="B1523" s="321" t="str">
        <f>IF(A1523&lt;&gt;"",_xlfn.MAXIFS($B$1:B1522,$A$1:A1522,A1523)+1,"")</f>
        <v/>
      </c>
      <c r="C1523" s="299"/>
      <c r="D1523" s="299"/>
      <c r="E1523" s="299"/>
      <c r="F1523" s="299"/>
      <c r="G1523" s="330"/>
      <c r="H1523" s="328"/>
      <c r="I1523" s="329"/>
      <c r="J1523" s="329"/>
      <c r="K1523" s="322"/>
      <c r="L1523" s="322"/>
      <c r="M1523" s="323" t="str">
        <f>IFERROR(VLOOKUP(H1523,Lijsten!$H$1:$I$100,2,0),"")</f>
        <v/>
      </c>
      <c r="N1523" s="323" t="str">
        <f ca="1">IFERROR(IF(VLOOKUP(F1523,Kostentypen!$A$3:$E$21,3,0)=0,"",IF(OR(F1523="Arbeidskosten",F1523="Vergoeding"),VLOOKUP(G1523,Tb_KostenTypen[],2,0),VLOOKUP(F1523,Kostentypen!$A$3:$E$20,3,0))),"")</f>
        <v/>
      </c>
      <c r="O1523" s="324"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4"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3"/>
      <c r="R1523" s="363"/>
      <c r="S1523" s="325"/>
      <c r="T1523" s="325"/>
      <c r="U1523" s="317" t="str" cm="1">
        <f t="array" aca="1" ref="U1523" ca="1">IFERROR(IF(AA1523&lt;&gt;"ja",_xlfn.IFNA(_xlfn.IFS(AND(O1523&lt;&gt;"",F1523&lt;&gt;"",RIGHT($N1523,6)="tarief",F1523="Vergoeding"),SUM(O1523)*FLOOR(SUM(Q1523),0.0001),AND(O1523&lt;&gt;"",F1523&lt;&gt;"",RIGHT($N1523,6)="tarief"),SUM(O1523)*FLOOR(SUM(Q1523),0.01),S1523&gt;0,IF(F1523&lt;&gt;"",FLOOR(SUM(S1523),0.01),"")),""),""),"")</f>
        <v/>
      </c>
      <c r="V1523" s="317" t="str" cm="1">
        <f t="array" aca="1" ref="V1523" ca="1">IFERROR(IF(AA1523&lt;&gt;"ja",_xlfn.IFNA(_xlfn.IFS(AND(P1523&lt;&gt;"",R1523&lt;&gt;"",RIGHT($N1523,6)="tarief",F1523="Vergoeding"),SUM(P1523)*FLOOR(SUM(R1523),0.0001),AND(P1523&lt;&gt;"",R1523&lt;&gt;"",RIGHT($N1523,6)="tarief"),P1523*FLOOR(R1523,0.01),T1523&gt;0,FLOOR(SUM(T1523),0.01)),""),""),"")</f>
        <v/>
      </c>
      <c r="W1523" s="317" t="str" cm="1">
        <f t="array" aca="1" ref="W1523" ca="1">IFERROR(_xlfn.IFS(OR(F1523="",LEFT(Methode_Keuze,4)="Geen",Methode_Keuze=""),"",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17" t="str" cm="1">
        <f t="array" aca="1" ref="X1523" ca="1">IFERROR(_xlfn.IFS(OR(F1523="",LEFT(Methode_Keuze,4)="Geen",Methode_Keuze=""),"",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26"/>
      <c r="Z1523" s="319"/>
      <c r="AA1523" s="32" t="str" cm="1">
        <f t="array" ref="AA1523">IFERROR(IF(INDEX(SubsidieTabel!$AD$1:$AG$12,MATCH($F1523,SubsidieTabel!$AD$1:$AD$12,0),IFERROR(MATCH(Methode_Keuze,SubsidieTabel!$AD$1:$AG$1,0),2))&lt;&gt;1=TRUE,"ja",""),"")</f>
        <v/>
      </c>
    </row>
    <row r="1524" spans="1:27" x14ac:dyDescent="0.25">
      <c r="A1524" s="320"/>
      <c r="B1524" s="321" t="str">
        <f>IF(A1524&lt;&gt;"",_xlfn.MAXIFS($B$1:B1523,$A$1:A1523,A1524)+1,"")</f>
        <v/>
      </c>
      <c r="C1524" s="299"/>
      <c r="D1524" s="299"/>
      <c r="E1524" s="299"/>
      <c r="F1524" s="299"/>
      <c r="G1524" s="330"/>
      <c r="H1524" s="328"/>
      <c r="I1524" s="329"/>
      <c r="J1524" s="329"/>
      <c r="K1524" s="322"/>
      <c r="L1524" s="322"/>
      <c r="M1524" s="323" t="str">
        <f>IFERROR(VLOOKUP(H1524,Lijsten!$H$1:$I$100,2,0),"")</f>
        <v/>
      </c>
      <c r="N1524" s="323" t="str">
        <f ca="1">IFERROR(IF(VLOOKUP(F1524,Kostentypen!$A$3:$E$21,3,0)=0,"",IF(OR(F1524="Arbeidskosten",F1524="Vergoeding"),VLOOKUP(G1524,Tb_KostenTypen[],2,0),VLOOKUP(F1524,Kostentypen!$A$3:$E$20,3,0))),"")</f>
        <v/>
      </c>
      <c r="O1524" s="324"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4"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3"/>
      <c r="R1524" s="363"/>
      <c r="S1524" s="325"/>
      <c r="T1524" s="325"/>
      <c r="U1524" s="317" t="str" cm="1">
        <f t="array" aca="1" ref="U1524" ca="1">IFERROR(IF(AA1524&lt;&gt;"ja",_xlfn.IFNA(_xlfn.IFS(AND(O1524&lt;&gt;"",F1524&lt;&gt;"",RIGHT($N1524,6)="tarief",F1524="Vergoeding"),SUM(O1524)*FLOOR(SUM(Q1524),0.0001),AND(O1524&lt;&gt;"",F1524&lt;&gt;"",RIGHT($N1524,6)="tarief"),SUM(O1524)*FLOOR(SUM(Q1524),0.01),S1524&gt;0,IF(F1524&lt;&gt;"",FLOOR(SUM(S1524),0.01),"")),""),""),"")</f>
        <v/>
      </c>
      <c r="V1524" s="317" t="str" cm="1">
        <f t="array" aca="1" ref="V1524" ca="1">IFERROR(IF(AA1524&lt;&gt;"ja",_xlfn.IFNA(_xlfn.IFS(AND(P1524&lt;&gt;"",R1524&lt;&gt;"",RIGHT($N1524,6)="tarief",F1524="Vergoeding"),SUM(P1524)*FLOOR(SUM(R1524),0.0001),AND(P1524&lt;&gt;"",R1524&lt;&gt;"",RIGHT($N1524,6)="tarief"),P1524*FLOOR(R1524,0.01),T1524&gt;0,FLOOR(SUM(T1524),0.01)),""),""),"")</f>
        <v/>
      </c>
      <c r="W1524" s="317" t="str" cm="1">
        <f t="array" aca="1" ref="W1524" ca="1">IFERROR(_xlfn.IFS(OR(F1524="",LEFT(Methode_Keuze,4)="Geen",Methode_Keuze=""),"",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17" t="str" cm="1">
        <f t="array" aca="1" ref="X1524" ca="1">IFERROR(_xlfn.IFS(OR(F1524="",LEFT(Methode_Keuze,4)="Geen",Methode_Keuze=""),"",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26"/>
      <c r="Z1524" s="319"/>
      <c r="AA1524" s="32" t="str" cm="1">
        <f t="array" ref="AA1524">IFERROR(IF(INDEX(SubsidieTabel!$AD$1:$AG$12,MATCH($F1524,SubsidieTabel!$AD$1:$AD$12,0),IFERROR(MATCH(Methode_Keuze,SubsidieTabel!$AD$1:$AG$1,0),2))&lt;&gt;1=TRUE,"ja",""),"")</f>
        <v/>
      </c>
    </row>
    <row r="1525" spans="1:27" x14ac:dyDescent="0.25">
      <c r="A1525" s="320"/>
      <c r="B1525" s="321" t="str">
        <f>IF(A1525&lt;&gt;"",_xlfn.MAXIFS($B$1:B1524,$A$1:A1524,A1525)+1,"")</f>
        <v/>
      </c>
      <c r="C1525" s="299"/>
      <c r="D1525" s="299"/>
      <c r="E1525" s="299"/>
      <c r="F1525" s="299"/>
      <c r="G1525" s="330"/>
      <c r="H1525" s="328"/>
      <c r="I1525" s="329"/>
      <c r="J1525" s="329"/>
      <c r="K1525" s="322"/>
      <c r="L1525" s="322"/>
      <c r="M1525" s="323" t="str">
        <f>IFERROR(VLOOKUP(H1525,Lijsten!$H$1:$I$100,2,0),"")</f>
        <v/>
      </c>
      <c r="N1525" s="323" t="str">
        <f ca="1">IFERROR(IF(VLOOKUP(F1525,Kostentypen!$A$3:$E$21,3,0)=0,"",IF(OR(F1525="Arbeidskosten",F1525="Vergoeding"),VLOOKUP(G1525,Tb_KostenTypen[],2,0),VLOOKUP(F1525,Kostentypen!$A$3:$E$20,3,0))),"")</f>
        <v/>
      </c>
      <c r="O1525" s="324"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4"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3"/>
      <c r="R1525" s="363"/>
      <c r="S1525" s="325"/>
      <c r="T1525" s="325"/>
      <c r="U1525" s="317" t="str" cm="1">
        <f t="array" aca="1" ref="U1525" ca="1">IFERROR(IF(AA1525&lt;&gt;"ja",_xlfn.IFNA(_xlfn.IFS(AND(O1525&lt;&gt;"",F1525&lt;&gt;"",RIGHT($N1525,6)="tarief",F1525="Vergoeding"),SUM(O1525)*FLOOR(SUM(Q1525),0.0001),AND(O1525&lt;&gt;"",F1525&lt;&gt;"",RIGHT($N1525,6)="tarief"),SUM(O1525)*FLOOR(SUM(Q1525),0.01),S1525&gt;0,IF(F1525&lt;&gt;"",FLOOR(SUM(S1525),0.01),"")),""),""),"")</f>
        <v/>
      </c>
      <c r="V1525" s="317" t="str" cm="1">
        <f t="array" aca="1" ref="V1525" ca="1">IFERROR(IF(AA1525&lt;&gt;"ja",_xlfn.IFNA(_xlfn.IFS(AND(P1525&lt;&gt;"",R1525&lt;&gt;"",RIGHT($N1525,6)="tarief",F1525="Vergoeding"),SUM(P1525)*FLOOR(SUM(R1525),0.0001),AND(P1525&lt;&gt;"",R1525&lt;&gt;"",RIGHT($N1525,6)="tarief"),P1525*FLOOR(R1525,0.01),T1525&gt;0,FLOOR(SUM(T1525),0.01)),""),""),"")</f>
        <v/>
      </c>
      <c r="W1525" s="317" t="str" cm="1">
        <f t="array" aca="1" ref="W1525" ca="1">IFERROR(_xlfn.IFS(OR(F1525="",LEFT(Methode_Keuze,4)="Geen",Methode_Keuze=""),"",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17" t="str" cm="1">
        <f t="array" aca="1" ref="X1525" ca="1">IFERROR(_xlfn.IFS(OR(F1525="",LEFT(Methode_Keuze,4)="Geen",Methode_Keuze=""),"",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26"/>
      <c r="Z1525" s="319"/>
      <c r="AA1525" s="32" t="str" cm="1">
        <f t="array" ref="AA1525">IFERROR(IF(INDEX(SubsidieTabel!$AD$1:$AG$12,MATCH($F1525,SubsidieTabel!$AD$1:$AD$12,0),IFERROR(MATCH(Methode_Keuze,SubsidieTabel!$AD$1:$AG$1,0),2))&lt;&gt;1=TRUE,"ja",""),"")</f>
        <v/>
      </c>
    </row>
    <row r="1526" spans="1:27" x14ac:dyDescent="0.25">
      <c r="A1526" s="320"/>
      <c r="B1526" s="321" t="str">
        <f>IF(A1526&lt;&gt;"",_xlfn.MAXIFS($B$1:B1525,$A$1:A1525,A1526)+1,"")</f>
        <v/>
      </c>
      <c r="C1526" s="299"/>
      <c r="D1526" s="299"/>
      <c r="E1526" s="299"/>
      <c r="F1526" s="299"/>
      <c r="G1526" s="330"/>
      <c r="H1526" s="328"/>
      <c r="I1526" s="329"/>
      <c r="J1526" s="329"/>
      <c r="K1526" s="322"/>
      <c r="L1526" s="322"/>
      <c r="M1526" s="323" t="str">
        <f>IFERROR(VLOOKUP(H1526,Lijsten!$H$1:$I$100,2,0),"")</f>
        <v/>
      </c>
      <c r="N1526" s="323" t="str">
        <f ca="1">IFERROR(IF(VLOOKUP(F1526,Kostentypen!$A$3:$E$21,3,0)=0,"",IF(OR(F1526="Arbeidskosten",F1526="Vergoeding"),VLOOKUP(G1526,Tb_KostenTypen[],2,0),VLOOKUP(F1526,Kostentypen!$A$3:$E$20,3,0))),"")</f>
        <v/>
      </c>
      <c r="O1526" s="324"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4"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3"/>
      <c r="R1526" s="363"/>
      <c r="S1526" s="325"/>
      <c r="T1526" s="325"/>
      <c r="U1526" s="317" t="str" cm="1">
        <f t="array" aca="1" ref="U1526" ca="1">IFERROR(IF(AA1526&lt;&gt;"ja",_xlfn.IFNA(_xlfn.IFS(AND(O1526&lt;&gt;"",F1526&lt;&gt;"",RIGHT($N1526,6)="tarief",F1526="Vergoeding"),SUM(O1526)*FLOOR(SUM(Q1526),0.0001),AND(O1526&lt;&gt;"",F1526&lt;&gt;"",RIGHT($N1526,6)="tarief"),SUM(O1526)*FLOOR(SUM(Q1526),0.01),S1526&gt;0,IF(F1526&lt;&gt;"",FLOOR(SUM(S1526),0.01),"")),""),""),"")</f>
        <v/>
      </c>
      <c r="V1526" s="317" t="str" cm="1">
        <f t="array" aca="1" ref="V1526" ca="1">IFERROR(IF(AA1526&lt;&gt;"ja",_xlfn.IFNA(_xlfn.IFS(AND(P1526&lt;&gt;"",R1526&lt;&gt;"",RIGHT($N1526,6)="tarief",F1526="Vergoeding"),SUM(P1526)*FLOOR(SUM(R1526),0.0001),AND(P1526&lt;&gt;"",R1526&lt;&gt;"",RIGHT($N1526,6)="tarief"),P1526*FLOOR(R1526,0.01),T1526&gt;0,FLOOR(SUM(T1526),0.01)),""),""),"")</f>
        <v/>
      </c>
      <c r="W1526" s="317" t="str" cm="1">
        <f t="array" aca="1" ref="W1526" ca="1">IFERROR(_xlfn.IFS(OR(F1526="",LEFT(Methode_Keuze,4)="Geen",Methode_Keuze=""),"",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17" t="str" cm="1">
        <f t="array" aca="1" ref="X1526" ca="1">IFERROR(_xlfn.IFS(OR(F1526="",LEFT(Methode_Keuze,4)="Geen",Methode_Keuze=""),"",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26"/>
      <c r="Z1526" s="319"/>
      <c r="AA1526" s="32" t="str" cm="1">
        <f t="array" ref="AA1526">IFERROR(IF(INDEX(SubsidieTabel!$AD$1:$AG$12,MATCH($F1526,SubsidieTabel!$AD$1:$AD$12,0),IFERROR(MATCH(Methode_Keuze,SubsidieTabel!$AD$1:$AG$1,0),2))&lt;&gt;1=TRUE,"ja",""),"")</f>
        <v/>
      </c>
    </row>
    <row r="1527" spans="1:27" x14ac:dyDescent="0.25">
      <c r="A1527" s="320"/>
      <c r="B1527" s="321" t="str">
        <f>IF(A1527&lt;&gt;"",_xlfn.MAXIFS($B$1:B1526,$A$1:A1526,A1527)+1,"")</f>
        <v/>
      </c>
      <c r="C1527" s="299"/>
      <c r="D1527" s="299"/>
      <c r="E1527" s="299"/>
      <c r="F1527" s="299"/>
      <c r="G1527" s="330"/>
      <c r="H1527" s="328"/>
      <c r="I1527" s="329"/>
      <c r="J1527" s="329"/>
      <c r="K1527" s="322"/>
      <c r="L1527" s="322"/>
      <c r="M1527" s="323" t="str">
        <f>IFERROR(VLOOKUP(H1527,Lijsten!$H$1:$I$100,2,0),"")</f>
        <v/>
      </c>
      <c r="N1527" s="323" t="str">
        <f ca="1">IFERROR(IF(VLOOKUP(F1527,Kostentypen!$A$3:$E$21,3,0)=0,"",IF(OR(F1527="Arbeidskosten",F1527="Vergoeding"),VLOOKUP(G1527,Tb_KostenTypen[],2,0),VLOOKUP(F1527,Kostentypen!$A$3:$E$20,3,0))),"")</f>
        <v/>
      </c>
      <c r="O1527" s="324"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4"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3"/>
      <c r="R1527" s="363"/>
      <c r="S1527" s="325"/>
      <c r="T1527" s="325"/>
      <c r="U1527" s="317" t="str" cm="1">
        <f t="array" aca="1" ref="U1527" ca="1">IFERROR(IF(AA1527&lt;&gt;"ja",_xlfn.IFNA(_xlfn.IFS(AND(O1527&lt;&gt;"",F1527&lt;&gt;"",RIGHT($N1527,6)="tarief",F1527="Vergoeding"),SUM(O1527)*FLOOR(SUM(Q1527),0.0001),AND(O1527&lt;&gt;"",F1527&lt;&gt;"",RIGHT($N1527,6)="tarief"),SUM(O1527)*FLOOR(SUM(Q1527),0.01),S1527&gt;0,IF(F1527&lt;&gt;"",FLOOR(SUM(S1527),0.01),"")),""),""),"")</f>
        <v/>
      </c>
      <c r="V1527" s="317" t="str" cm="1">
        <f t="array" aca="1" ref="V1527" ca="1">IFERROR(IF(AA1527&lt;&gt;"ja",_xlfn.IFNA(_xlfn.IFS(AND(P1527&lt;&gt;"",R1527&lt;&gt;"",RIGHT($N1527,6)="tarief",F1527="Vergoeding"),SUM(P1527)*FLOOR(SUM(R1527),0.0001),AND(P1527&lt;&gt;"",R1527&lt;&gt;"",RIGHT($N1527,6)="tarief"),P1527*FLOOR(R1527,0.01),T1527&gt;0,FLOOR(SUM(T1527),0.01)),""),""),"")</f>
        <v/>
      </c>
      <c r="W1527" s="317" t="str" cm="1">
        <f t="array" aca="1" ref="W1527" ca="1">IFERROR(_xlfn.IFS(OR(F1527="",LEFT(Methode_Keuze,4)="Geen",Methode_Keuze=""),"",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17" t="str" cm="1">
        <f t="array" aca="1" ref="X1527" ca="1">IFERROR(_xlfn.IFS(OR(F1527="",LEFT(Methode_Keuze,4)="Geen",Methode_Keuze=""),"",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26"/>
      <c r="Z1527" s="319"/>
      <c r="AA1527" s="32" t="str" cm="1">
        <f t="array" ref="AA1527">IFERROR(IF(INDEX(SubsidieTabel!$AD$1:$AG$12,MATCH($F1527,SubsidieTabel!$AD$1:$AD$12,0),IFERROR(MATCH(Methode_Keuze,SubsidieTabel!$AD$1:$AG$1,0),2))&lt;&gt;1=TRUE,"ja",""),"")</f>
        <v/>
      </c>
    </row>
    <row r="1528" spans="1:27" x14ac:dyDescent="0.25">
      <c r="A1528" s="320"/>
      <c r="B1528" s="321" t="str">
        <f>IF(A1528&lt;&gt;"",_xlfn.MAXIFS($B$1:B1527,$A$1:A1527,A1528)+1,"")</f>
        <v/>
      </c>
      <c r="C1528" s="299"/>
      <c r="D1528" s="299"/>
      <c r="E1528" s="299"/>
      <c r="F1528" s="299"/>
      <c r="G1528" s="330"/>
      <c r="H1528" s="328"/>
      <c r="I1528" s="329"/>
      <c r="J1528" s="329"/>
      <c r="K1528" s="322"/>
      <c r="L1528" s="322"/>
      <c r="M1528" s="323" t="str">
        <f>IFERROR(VLOOKUP(H1528,Lijsten!$H$1:$I$100,2,0),"")</f>
        <v/>
      </c>
      <c r="N1528" s="323" t="str">
        <f ca="1">IFERROR(IF(VLOOKUP(F1528,Kostentypen!$A$3:$E$21,3,0)=0,"",IF(OR(F1528="Arbeidskosten",F1528="Vergoeding"),VLOOKUP(G1528,Tb_KostenTypen[],2,0),VLOOKUP(F1528,Kostentypen!$A$3:$E$20,3,0))),"")</f>
        <v/>
      </c>
      <c r="O1528" s="324"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4"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3"/>
      <c r="R1528" s="363"/>
      <c r="S1528" s="325"/>
      <c r="T1528" s="325"/>
      <c r="U1528" s="317" t="str" cm="1">
        <f t="array" aca="1" ref="U1528" ca="1">IFERROR(IF(AA1528&lt;&gt;"ja",_xlfn.IFNA(_xlfn.IFS(AND(O1528&lt;&gt;"",F1528&lt;&gt;"",RIGHT($N1528,6)="tarief",F1528="Vergoeding"),SUM(O1528)*FLOOR(SUM(Q1528),0.0001),AND(O1528&lt;&gt;"",F1528&lt;&gt;"",RIGHT($N1528,6)="tarief"),SUM(O1528)*FLOOR(SUM(Q1528),0.01),S1528&gt;0,IF(F1528&lt;&gt;"",FLOOR(SUM(S1528),0.01),"")),""),""),"")</f>
        <v/>
      </c>
      <c r="V1528" s="317" t="str" cm="1">
        <f t="array" aca="1" ref="V1528" ca="1">IFERROR(IF(AA1528&lt;&gt;"ja",_xlfn.IFNA(_xlfn.IFS(AND(P1528&lt;&gt;"",R1528&lt;&gt;"",RIGHT($N1528,6)="tarief",F1528="Vergoeding"),SUM(P1528)*FLOOR(SUM(R1528),0.0001),AND(P1528&lt;&gt;"",R1528&lt;&gt;"",RIGHT($N1528,6)="tarief"),P1528*FLOOR(R1528,0.01),T1528&gt;0,FLOOR(SUM(T1528),0.01)),""),""),"")</f>
        <v/>
      </c>
      <c r="W1528" s="317" t="str" cm="1">
        <f t="array" aca="1" ref="W1528" ca="1">IFERROR(_xlfn.IFS(OR(F1528="",LEFT(Methode_Keuze,4)="Geen",Methode_Keuze=""),"",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17" t="str" cm="1">
        <f t="array" aca="1" ref="X1528" ca="1">IFERROR(_xlfn.IFS(OR(F1528="",LEFT(Methode_Keuze,4)="Geen",Methode_Keuze=""),"",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26"/>
      <c r="Z1528" s="319"/>
      <c r="AA1528" s="32" t="str" cm="1">
        <f t="array" ref="AA1528">IFERROR(IF(INDEX(SubsidieTabel!$AD$1:$AG$12,MATCH($F1528,SubsidieTabel!$AD$1:$AD$12,0),IFERROR(MATCH(Methode_Keuze,SubsidieTabel!$AD$1:$AG$1,0),2))&lt;&gt;1=TRUE,"ja",""),"")</f>
        <v/>
      </c>
    </row>
    <row r="1529" spans="1:27" x14ac:dyDescent="0.25">
      <c r="A1529" s="320"/>
      <c r="B1529" s="321" t="str">
        <f>IF(A1529&lt;&gt;"",_xlfn.MAXIFS($B$1:B1528,$A$1:A1528,A1529)+1,"")</f>
        <v/>
      </c>
      <c r="C1529" s="299"/>
      <c r="D1529" s="299"/>
      <c r="E1529" s="299"/>
      <c r="F1529" s="299"/>
      <c r="G1529" s="330"/>
      <c r="H1529" s="328"/>
      <c r="I1529" s="329"/>
      <c r="J1529" s="329"/>
      <c r="K1529" s="322"/>
      <c r="L1529" s="322"/>
      <c r="M1529" s="323" t="str">
        <f>IFERROR(VLOOKUP(H1529,Lijsten!$H$1:$I$100,2,0),"")</f>
        <v/>
      </c>
      <c r="N1529" s="323" t="str">
        <f ca="1">IFERROR(IF(VLOOKUP(F1529,Kostentypen!$A$3:$E$21,3,0)=0,"",IF(OR(F1529="Arbeidskosten",F1529="Vergoeding"),VLOOKUP(G1529,Tb_KostenTypen[],2,0),VLOOKUP(F1529,Kostentypen!$A$3:$E$20,3,0))),"")</f>
        <v/>
      </c>
      <c r="O1529" s="324"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4"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3"/>
      <c r="R1529" s="363"/>
      <c r="S1529" s="325"/>
      <c r="T1529" s="325"/>
      <c r="U1529" s="317" t="str" cm="1">
        <f t="array" aca="1" ref="U1529" ca="1">IFERROR(IF(AA1529&lt;&gt;"ja",_xlfn.IFNA(_xlfn.IFS(AND(O1529&lt;&gt;"",F1529&lt;&gt;"",RIGHT($N1529,6)="tarief",F1529="Vergoeding"),SUM(O1529)*FLOOR(SUM(Q1529),0.0001),AND(O1529&lt;&gt;"",F1529&lt;&gt;"",RIGHT($N1529,6)="tarief"),SUM(O1529)*FLOOR(SUM(Q1529),0.01),S1529&gt;0,IF(F1529&lt;&gt;"",FLOOR(SUM(S1529),0.01),"")),""),""),"")</f>
        <v/>
      </c>
      <c r="V1529" s="317" t="str" cm="1">
        <f t="array" aca="1" ref="V1529" ca="1">IFERROR(IF(AA1529&lt;&gt;"ja",_xlfn.IFNA(_xlfn.IFS(AND(P1529&lt;&gt;"",R1529&lt;&gt;"",RIGHT($N1529,6)="tarief",F1529="Vergoeding"),SUM(P1529)*FLOOR(SUM(R1529),0.0001),AND(P1529&lt;&gt;"",R1529&lt;&gt;"",RIGHT($N1529,6)="tarief"),P1529*FLOOR(R1529,0.01),T1529&gt;0,FLOOR(SUM(T1529),0.01)),""),""),"")</f>
        <v/>
      </c>
      <c r="W1529" s="317" t="str" cm="1">
        <f t="array" aca="1" ref="W1529" ca="1">IFERROR(_xlfn.IFS(OR(F1529="",LEFT(Methode_Keuze,4)="Geen",Methode_Keuze=""),"",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17" t="str" cm="1">
        <f t="array" aca="1" ref="X1529" ca="1">IFERROR(_xlfn.IFS(OR(F1529="",LEFT(Methode_Keuze,4)="Geen",Methode_Keuze=""),"",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26"/>
      <c r="Z1529" s="319"/>
      <c r="AA1529" s="32" t="str" cm="1">
        <f t="array" ref="AA1529">IFERROR(IF(INDEX(SubsidieTabel!$AD$1:$AG$12,MATCH($F1529,SubsidieTabel!$AD$1:$AD$12,0),IFERROR(MATCH(Methode_Keuze,SubsidieTabel!$AD$1:$AG$1,0),2))&lt;&gt;1=TRUE,"ja",""),"")</f>
        <v/>
      </c>
    </row>
    <row r="1530" spans="1:27" x14ac:dyDescent="0.25">
      <c r="A1530" s="320"/>
      <c r="B1530" s="321" t="str">
        <f>IF(A1530&lt;&gt;"",_xlfn.MAXIFS($B$1:B1529,$A$1:A1529,A1530)+1,"")</f>
        <v/>
      </c>
      <c r="C1530" s="299"/>
      <c r="D1530" s="299"/>
      <c r="E1530" s="299"/>
      <c r="F1530" s="299"/>
      <c r="G1530" s="330"/>
      <c r="H1530" s="328"/>
      <c r="I1530" s="329"/>
      <c r="J1530" s="329"/>
      <c r="K1530" s="322"/>
      <c r="L1530" s="322"/>
      <c r="M1530" s="323" t="str">
        <f>IFERROR(VLOOKUP(H1530,Lijsten!$H$1:$I$100,2,0),"")</f>
        <v/>
      </c>
      <c r="N1530" s="323" t="str">
        <f ca="1">IFERROR(IF(VLOOKUP(F1530,Kostentypen!$A$3:$E$21,3,0)=0,"",IF(OR(F1530="Arbeidskosten",F1530="Vergoeding"),VLOOKUP(G1530,Tb_KostenTypen[],2,0),VLOOKUP(F1530,Kostentypen!$A$3:$E$20,3,0))),"")</f>
        <v/>
      </c>
      <c r="O1530" s="324"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4"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3"/>
      <c r="R1530" s="363"/>
      <c r="S1530" s="325"/>
      <c r="T1530" s="325"/>
      <c r="U1530" s="317" t="str" cm="1">
        <f t="array" aca="1" ref="U1530" ca="1">IFERROR(IF(AA1530&lt;&gt;"ja",_xlfn.IFNA(_xlfn.IFS(AND(O1530&lt;&gt;"",F1530&lt;&gt;"",RIGHT($N1530,6)="tarief",F1530="Vergoeding"),SUM(O1530)*FLOOR(SUM(Q1530),0.0001),AND(O1530&lt;&gt;"",F1530&lt;&gt;"",RIGHT($N1530,6)="tarief"),SUM(O1530)*FLOOR(SUM(Q1530),0.01),S1530&gt;0,IF(F1530&lt;&gt;"",FLOOR(SUM(S1530),0.01),"")),""),""),"")</f>
        <v/>
      </c>
      <c r="V1530" s="317" t="str" cm="1">
        <f t="array" aca="1" ref="V1530" ca="1">IFERROR(IF(AA1530&lt;&gt;"ja",_xlfn.IFNA(_xlfn.IFS(AND(P1530&lt;&gt;"",R1530&lt;&gt;"",RIGHT($N1530,6)="tarief",F1530="Vergoeding"),SUM(P1530)*FLOOR(SUM(R1530),0.0001),AND(P1530&lt;&gt;"",R1530&lt;&gt;"",RIGHT($N1530,6)="tarief"),P1530*FLOOR(R1530,0.01),T1530&gt;0,FLOOR(SUM(T1530),0.01)),""),""),"")</f>
        <v/>
      </c>
      <c r="W1530" s="317" t="str" cm="1">
        <f t="array" aca="1" ref="W1530" ca="1">IFERROR(_xlfn.IFS(OR(F1530="",LEFT(Methode_Keuze,4)="Geen",Methode_Keuze=""),"",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17" t="str" cm="1">
        <f t="array" aca="1" ref="X1530" ca="1">IFERROR(_xlfn.IFS(OR(F1530="",LEFT(Methode_Keuze,4)="Geen",Methode_Keuze=""),"",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26"/>
      <c r="Z1530" s="319"/>
      <c r="AA1530" s="32" t="str" cm="1">
        <f t="array" ref="AA1530">IFERROR(IF(INDEX(SubsidieTabel!$AD$1:$AG$12,MATCH($F1530,SubsidieTabel!$AD$1:$AD$12,0),IFERROR(MATCH(Methode_Keuze,SubsidieTabel!$AD$1:$AG$1,0),2))&lt;&gt;1=TRUE,"ja",""),"")</f>
        <v/>
      </c>
    </row>
    <row r="1531" spans="1:27" x14ac:dyDescent="0.25">
      <c r="A1531" s="320"/>
      <c r="B1531" s="321" t="str">
        <f>IF(A1531&lt;&gt;"",_xlfn.MAXIFS($B$1:B1530,$A$1:A1530,A1531)+1,"")</f>
        <v/>
      </c>
      <c r="C1531" s="299"/>
      <c r="D1531" s="299"/>
      <c r="E1531" s="299"/>
      <c r="F1531" s="299"/>
      <c r="G1531" s="330"/>
      <c r="H1531" s="328"/>
      <c r="I1531" s="329"/>
      <c r="J1531" s="329"/>
      <c r="K1531" s="322"/>
      <c r="L1531" s="322"/>
      <c r="M1531" s="323" t="str">
        <f>IFERROR(VLOOKUP(H1531,Lijsten!$H$1:$I$100,2,0),"")</f>
        <v/>
      </c>
      <c r="N1531" s="323" t="str">
        <f ca="1">IFERROR(IF(VLOOKUP(F1531,Kostentypen!$A$3:$E$21,3,0)=0,"",IF(OR(F1531="Arbeidskosten",F1531="Vergoeding"),VLOOKUP(G1531,Tb_KostenTypen[],2,0),VLOOKUP(F1531,Kostentypen!$A$3:$E$20,3,0))),"")</f>
        <v/>
      </c>
      <c r="O1531" s="324"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4"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3"/>
      <c r="R1531" s="363"/>
      <c r="S1531" s="325"/>
      <c r="T1531" s="325"/>
      <c r="U1531" s="317" t="str" cm="1">
        <f t="array" aca="1" ref="U1531" ca="1">IFERROR(IF(AA1531&lt;&gt;"ja",_xlfn.IFNA(_xlfn.IFS(AND(O1531&lt;&gt;"",F1531&lt;&gt;"",RIGHT($N1531,6)="tarief",F1531="Vergoeding"),SUM(O1531)*FLOOR(SUM(Q1531),0.0001),AND(O1531&lt;&gt;"",F1531&lt;&gt;"",RIGHT($N1531,6)="tarief"),SUM(O1531)*FLOOR(SUM(Q1531),0.01),S1531&gt;0,IF(F1531&lt;&gt;"",FLOOR(SUM(S1531),0.01),"")),""),""),"")</f>
        <v/>
      </c>
      <c r="V1531" s="317" t="str" cm="1">
        <f t="array" aca="1" ref="V1531" ca="1">IFERROR(IF(AA1531&lt;&gt;"ja",_xlfn.IFNA(_xlfn.IFS(AND(P1531&lt;&gt;"",R1531&lt;&gt;"",RIGHT($N1531,6)="tarief",F1531="Vergoeding"),SUM(P1531)*FLOOR(SUM(R1531),0.0001),AND(P1531&lt;&gt;"",R1531&lt;&gt;"",RIGHT($N1531,6)="tarief"),P1531*FLOOR(R1531,0.01),T1531&gt;0,FLOOR(SUM(T1531),0.01)),""),""),"")</f>
        <v/>
      </c>
      <c r="W1531" s="317" t="str" cm="1">
        <f t="array" aca="1" ref="W1531" ca="1">IFERROR(_xlfn.IFS(OR(F1531="",LEFT(Methode_Keuze,4)="Geen",Methode_Keuze=""),"",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17" t="str" cm="1">
        <f t="array" aca="1" ref="X1531" ca="1">IFERROR(_xlfn.IFS(OR(F1531="",LEFT(Methode_Keuze,4)="Geen",Methode_Keuze=""),"",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26"/>
      <c r="Z1531" s="319"/>
      <c r="AA1531" s="32" t="str" cm="1">
        <f t="array" ref="AA1531">IFERROR(IF(INDEX(SubsidieTabel!$AD$1:$AG$12,MATCH($F1531,SubsidieTabel!$AD$1:$AD$12,0),IFERROR(MATCH(Methode_Keuze,SubsidieTabel!$AD$1:$AG$1,0),2))&lt;&gt;1=TRUE,"ja",""),"")</f>
        <v/>
      </c>
    </row>
    <row r="1532" spans="1:27" x14ac:dyDescent="0.25">
      <c r="A1532" s="320"/>
      <c r="B1532" s="321" t="str">
        <f>IF(A1532&lt;&gt;"",_xlfn.MAXIFS($B$1:B1531,$A$1:A1531,A1532)+1,"")</f>
        <v/>
      </c>
      <c r="C1532" s="299"/>
      <c r="D1532" s="299"/>
      <c r="E1532" s="299"/>
      <c r="F1532" s="299"/>
      <c r="G1532" s="330"/>
      <c r="H1532" s="328"/>
      <c r="I1532" s="329"/>
      <c r="J1532" s="329"/>
      <c r="K1532" s="322"/>
      <c r="L1532" s="322"/>
      <c r="M1532" s="323" t="str">
        <f>IFERROR(VLOOKUP(H1532,Lijsten!$H$1:$I$100,2,0),"")</f>
        <v/>
      </c>
      <c r="N1532" s="323" t="str">
        <f ca="1">IFERROR(IF(VLOOKUP(F1532,Kostentypen!$A$3:$E$21,3,0)=0,"",IF(OR(F1532="Arbeidskosten",F1532="Vergoeding"),VLOOKUP(G1532,Tb_KostenTypen[],2,0),VLOOKUP(F1532,Kostentypen!$A$3:$E$20,3,0))),"")</f>
        <v/>
      </c>
      <c r="O1532" s="324"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4"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3"/>
      <c r="R1532" s="363"/>
      <c r="S1532" s="325"/>
      <c r="T1532" s="325"/>
      <c r="U1532" s="317" t="str" cm="1">
        <f t="array" aca="1" ref="U1532" ca="1">IFERROR(IF(AA1532&lt;&gt;"ja",_xlfn.IFNA(_xlfn.IFS(AND(O1532&lt;&gt;"",F1532&lt;&gt;"",RIGHT($N1532,6)="tarief",F1532="Vergoeding"),SUM(O1532)*FLOOR(SUM(Q1532),0.0001),AND(O1532&lt;&gt;"",F1532&lt;&gt;"",RIGHT($N1532,6)="tarief"),SUM(O1532)*FLOOR(SUM(Q1532),0.01),S1532&gt;0,IF(F1532&lt;&gt;"",FLOOR(SUM(S1532),0.01),"")),""),""),"")</f>
        <v/>
      </c>
      <c r="V1532" s="317" t="str" cm="1">
        <f t="array" aca="1" ref="V1532" ca="1">IFERROR(IF(AA1532&lt;&gt;"ja",_xlfn.IFNA(_xlfn.IFS(AND(P1532&lt;&gt;"",R1532&lt;&gt;"",RIGHT($N1532,6)="tarief",F1532="Vergoeding"),SUM(P1532)*FLOOR(SUM(R1532),0.0001),AND(P1532&lt;&gt;"",R1532&lt;&gt;"",RIGHT($N1532,6)="tarief"),P1532*FLOOR(R1532,0.01),T1532&gt;0,FLOOR(SUM(T1532),0.01)),""),""),"")</f>
        <v/>
      </c>
      <c r="W1532" s="317" t="str" cm="1">
        <f t="array" aca="1" ref="W1532" ca="1">IFERROR(_xlfn.IFS(OR(F1532="",LEFT(Methode_Keuze,4)="Geen",Methode_Keuze=""),"",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17" t="str" cm="1">
        <f t="array" aca="1" ref="X1532" ca="1">IFERROR(_xlfn.IFS(OR(F1532="",LEFT(Methode_Keuze,4)="Geen",Methode_Keuze=""),"",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26"/>
      <c r="Z1532" s="319"/>
      <c r="AA1532" s="32" t="str" cm="1">
        <f t="array" ref="AA1532">IFERROR(IF(INDEX(SubsidieTabel!$AD$1:$AG$12,MATCH($F1532,SubsidieTabel!$AD$1:$AD$12,0),IFERROR(MATCH(Methode_Keuze,SubsidieTabel!$AD$1:$AG$1,0),2))&lt;&gt;1=TRUE,"ja",""),"")</f>
        <v/>
      </c>
    </row>
    <row r="1533" spans="1:27" x14ac:dyDescent="0.25">
      <c r="A1533" s="320"/>
      <c r="B1533" s="321" t="str">
        <f>IF(A1533&lt;&gt;"",_xlfn.MAXIFS($B$1:B1532,$A$1:A1532,A1533)+1,"")</f>
        <v/>
      </c>
      <c r="C1533" s="299"/>
      <c r="D1533" s="299"/>
      <c r="E1533" s="299"/>
      <c r="F1533" s="299"/>
      <c r="G1533" s="330"/>
      <c r="H1533" s="328"/>
      <c r="I1533" s="329"/>
      <c r="J1533" s="329"/>
      <c r="K1533" s="322"/>
      <c r="L1533" s="322"/>
      <c r="M1533" s="323" t="str">
        <f>IFERROR(VLOOKUP(H1533,Lijsten!$H$1:$I$100,2,0),"")</f>
        <v/>
      </c>
      <c r="N1533" s="323" t="str">
        <f ca="1">IFERROR(IF(VLOOKUP(F1533,Kostentypen!$A$3:$E$21,3,0)=0,"",IF(OR(F1533="Arbeidskosten",F1533="Vergoeding"),VLOOKUP(G1533,Tb_KostenTypen[],2,0),VLOOKUP(F1533,Kostentypen!$A$3:$E$20,3,0))),"")</f>
        <v/>
      </c>
      <c r="O1533" s="324"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4"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3"/>
      <c r="R1533" s="363"/>
      <c r="S1533" s="325"/>
      <c r="T1533" s="325"/>
      <c r="U1533" s="317" t="str" cm="1">
        <f t="array" aca="1" ref="U1533" ca="1">IFERROR(IF(AA1533&lt;&gt;"ja",_xlfn.IFNA(_xlfn.IFS(AND(O1533&lt;&gt;"",F1533&lt;&gt;"",RIGHT($N1533,6)="tarief",F1533="Vergoeding"),SUM(O1533)*FLOOR(SUM(Q1533),0.0001),AND(O1533&lt;&gt;"",F1533&lt;&gt;"",RIGHT($N1533,6)="tarief"),SUM(O1533)*FLOOR(SUM(Q1533),0.01),S1533&gt;0,IF(F1533&lt;&gt;"",FLOOR(SUM(S1533),0.01),"")),""),""),"")</f>
        <v/>
      </c>
      <c r="V1533" s="317" t="str" cm="1">
        <f t="array" aca="1" ref="V1533" ca="1">IFERROR(IF(AA1533&lt;&gt;"ja",_xlfn.IFNA(_xlfn.IFS(AND(P1533&lt;&gt;"",R1533&lt;&gt;"",RIGHT($N1533,6)="tarief",F1533="Vergoeding"),SUM(P1533)*FLOOR(SUM(R1533),0.0001),AND(P1533&lt;&gt;"",R1533&lt;&gt;"",RIGHT($N1533,6)="tarief"),P1533*FLOOR(R1533,0.01),T1533&gt;0,FLOOR(SUM(T1533),0.01)),""),""),"")</f>
        <v/>
      </c>
      <c r="W1533" s="317" t="str" cm="1">
        <f t="array" aca="1" ref="W1533" ca="1">IFERROR(_xlfn.IFS(OR(F1533="",LEFT(Methode_Keuze,4)="Geen",Methode_Keuze=""),"",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17" t="str" cm="1">
        <f t="array" aca="1" ref="X1533" ca="1">IFERROR(_xlfn.IFS(OR(F1533="",LEFT(Methode_Keuze,4)="Geen",Methode_Keuze=""),"",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26"/>
      <c r="Z1533" s="319"/>
      <c r="AA1533" s="32" t="str" cm="1">
        <f t="array" ref="AA1533">IFERROR(IF(INDEX(SubsidieTabel!$AD$1:$AG$12,MATCH($F1533,SubsidieTabel!$AD$1:$AD$12,0),IFERROR(MATCH(Methode_Keuze,SubsidieTabel!$AD$1:$AG$1,0),2))&lt;&gt;1=TRUE,"ja",""),"")</f>
        <v/>
      </c>
    </row>
    <row r="1534" spans="1:27" x14ac:dyDescent="0.25">
      <c r="A1534" s="320"/>
      <c r="B1534" s="321" t="str">
        <f>IF(A1534&lt;&gt;"",_xlfn.MAXIFS($B$1:B1533,$A$1:A1533,A1534)+1,"")</f>
        <v/>
      </c>
      <c r="C1534" s="299"/>
      <c r="D1534" s="299"/>
      <c r="E1534" s="299"/>
      <c r="F1534" s="299"/>
      <c r="G1534" s="330"/>
      <c r="H1534" s="328"/>
      <c r="I1534" s="329"/>
      <c r="J1534" s="329"/>
      <c r="K1534" s="322"/>
      <c r="L1534" s="322"/>
      <c r="M1534" s="323" t="str">
        <f>IFERROR(VLOOKUP(H1534,Lijsten!$H$1:$I$100,2,0),"")</f>
        <v/>
      </c>
      <c r="N1534" s="323" t="str">
        <f ca="1">IFERROR(IF(VLOOKUP(F1534,Kostentypen!$A$3:$E$21,3,0)=0,"",IF(OR(F1534="Arbeidskosten",F1534="Vergoeding"),VLOOKUP(G1534,Tb_KostenTypen[],2,0),VLOOKUP(F1534,Kostentypen!$A$3:$E$20,3,0))),"")</f>
        <v/>
      </c>
      <c r="O1534" s="324"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4"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3"/>
      <c r="R1534" s="363"/>
      <c r="S1534" s="325"/>
      <c r="T1534" s="325"/>
      <c r="U1534" s="317" t="str" cm="1">
        <f t="array" aca="1" ref="U1534" ca="1">IFERROR(IF(AA1534&lt;&gt;"ja",_xlfn.IFNA(_xlfn.IFS(AND(O1534&lt;&gt;"",F1534&lt;&gt;"",RIGHT($N1534,6)="tarief",F1534="Vergoeding"),SUM(O1534)*FLOOR(SUM(Q1534),0.0001),AND(O1534&lt;&gt;"",F1534&lt;&gt;"",RIGHT($N1534,6)="tarief"),SUM(O1534)*FLOOR(SUM(Q1534),0.01),S1534&gt;0,IF(F1534&lt;&gt;"",FLOOR(SUM(S1534),0.01),"")),""),""),"")</f>
        <v/>
      </c>
      <c r="V1534" s="317" t="str" cm="1">
        <f t="array" aca="1" ref="V1534" ca="1">IFERROR(IF(AA1534&lt;&gt;"ja",_xlfn.IFNA(_xlfn.IFS(AND(P1534&lt;&gt;"",R1534&lt;&gt;"",RIGHT($N1534,6)="tarief",F1534="Vergoeding"),SUM(P1534)*FLOOR(SUM(R1534),0.0001),AND(P1534&lt;&gt;"",R1534&lt;&gt;"",RIGHT($N1534,6)="tarief"),P1534*FLOOR(R1534,0.01),T1534&gt;0,FLOOR(SUM(T1534),0.01)),""),""),"")</f>
        <v/>
      </c>
      <c r="W1534" s="317" t="str" cm="1">
        <f t="array" aca="1" ref="W1534" ca="1">IFERROR(_xlfn.IFS(OR(F1534="",LEFT(Methode_Keuze,4)="Geen",Methode_Keuze=""),"",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17" t="str" cm="1">
        <f t="array" aca="1" ref="X1534" ca="1">IFERROR(_xlfn.IFS(OR(F1534="",LEFT(Methode_Keuze,4)="Geen",Methode_Keuze=""),"",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26"/>
      <c r="Z1534" s="319"/>
      <c r="AA1534" s="32" t="str" cm="1">
        <f t="array" ref="AA1534">IFERROR(IF(INDEX(SubsidieTabel!$AD$1:$AG$12,MATCH($F1534,SubsidieTabel!$AD$1:$AD$12,0),IFERROR(MATCH(Methode_Keuze,SubsidieTabel!$AD$1:$AG$1,0),2))&lt;&gt;1=TRUE,"ja",""),"")</f>
        <v/>
      </c>
    </row>
    <row r="1535" spans="1:27" x14ac:dyDescent="0.25">
      <c r="A1535" s="320"/>
      <c r="B1535" s="321" t="str">
        <f>IF(A1535&lt;&gt;"",_xlfn.MAXIFS($B$1:B1534,$A$1:A1534,A1535)+1,"")</f>
        <v/>
      </c>
      <c r="C1535" s="299"/>
      <c r="D1535" s="299"/>
      <c r="E1535" s="299"/>
      <c r="F1535" s="299"/>
      <c r="G1535" s="330"/>
      <c r="H1535" s="328"/>
      <c r="I1535" s="329"/>
      <c r="J1535" s="329"/>
      <c r="K1535" s="322"/>
      <c r="L1535" s="322"/>
      <c r="M1535" s="323" t="str">
        <f>IFERROR(VLOOKUP(H1535,Lijsten!$H$1:$I$100,2,0),"")</f>
        <v/>
      </c>
      <c r="N1535" s="323" t="str">
        <f ca="1">IFERROR(IF(VLOOKUP(F1535,Kostentypen!$A$3:$E$21,3,0)=0,"",IF(OR(F1535="Arbeidskosten",F1535="Vergoeding"),VLOOKUP(G1535,Tb_KostenTypen[],2,0),VLOOKUP(F1535,Kostentypen!$A$3:$E$20,3,0))),"")</f>
        <v/>
      </c>
      <c r="O1535" s="324"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4"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3"/>
      <c r="R1535" s="363"/>
      <c r="S1535" s="325"/>
      <c r="T1535" s="325"/>
      <c r="U1535" s="317" t="str" cm="1">
        <f t="array" aca="1" ref="U1535" ca="1">IFERROR(IF(AA1535&lt;&gt;"ja",_xlfn.IFNA(_xlfn.IFS(AND(O1535&lt;&gt;"",F1535&lt;&gt;"",RIGHT($N1535,6)="tarief",F1535="Vergoeding"),SUM(O1535)*FLOOR(SUM(Q1535),0.0001),AND(O1535&lt;&gt;"",F1535&lt;&gt;"",RIGHT($N1535,6)="tarief"),SUM(O1535)*FLOOR(SUM(Q1535),0.01),S1535&gt;0,IF(F1535&lt;&gt;"",FLOOR(SUM(S1535),0.01),"")),""),""),"")</f>
        <v/>
      </c>
      <c r="V1535" s="317" t="str" cm="1">
        <f t="array" aca="1" ref="V1535" ca="1">IFERROR(IF(AA1535&lt;&gt;"ja",_xlfn.IFNA(_xlfn.IFS(AND(P1535&lt;&gt;"",R1535&lt;&gt;"",RIGHT($N1535,6)="tarief",F1535="Vergoeding"),SUM(P1535)*FLOOR(SUM(R1535),0.0001),AND(P1535&lt;&gt;"",R1535&lt;&gt;"",RIGHT($N1535,6)="tarief"),P1535*FLOOR(R1535,0.01),T1535&gt;0,FLOOR(SUM(T1535),0.01)),""),""),"")</f>
        <v/>
      </c>
      <c r="W1535" s="317" t="str" cm="1">
        <f t="array" aca="1" ref="W1535" ca="1">IFERROR(_xlfn.IFS(OR(F1535="",LEFT(Methode_Keuze,4)="Geen",Methode_Keuze=""),"",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17" t="str" cm="1">
        <f t="array" aca="1" ref="X1535" ca="1">IFERROR(_xlfn.IFS(OR(F1535="",LEFT(Methode_Keuze,4)="Geen",Methode_Keuze=""),"",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26"/>
      <c r="Z1535" s="319"/>
      <c r="AA1535" s="32" t="str" cm="1">
        <f t="array" ref="AA1535">IFERROR(IF(INDEX(SubsidieTabel!$AD$1:$AG$12,MATCH($F1535,SubsidieTabel!$AD$1:$AD$12,0),IFERROR(MATCH(Methode_Keuze,SubsidieTabel!$AD$1:$AG$1,0),2))&lt;&gt;1=TRUE,"ja",""),"")</f>
        <v/>
      </c>
    </row>
    <row r="1536" spans="1:27" x14ac:dyDescent="0.25">
      <c r="A1536" s="320"/>
      <c r="B1536" s="321" t="str">
        <f>IF(A1536&lt;&gt;"",_xlfn.MAXIFS($B$1:B1535,$A$1:A1535,A1536)+1,"")</f>
        <v/>
      </c>
      <c r="C1536" s="299"/>
      <c r="D1536" s="299"/>
      <c r="E1536" s="299"/>
      <c r="F1536" s="299"/>
      <c r="G1536" s="330"/>
      <c r="H1536" s="328"/>
      <c r="I1536" s="329"/>
      <c r="J1536" s="329"/>
      <c r="K1536" s="322"/>
      <c r="L1536" s="322"/>
      <c r="M1536" s="323" t="str">
        <f>IFERROR(VLOOKUP(H1536,Lijsten!$H$1:$I$100,2,0),"")</f>
        <v/>
      </c>
      <c r="N1536" s="323" t="str">
        <f ca="1">IFERROR(IF(VLOOKUP(F1536,Kostentypen!$A$3:$E$21,3,0)=0,"",IF(OR(F1536="Arbeidskosten",F1536="Vergoeding"),VLOOKUP(G1536,Tb_KostenTypen[],2,0),VLOOKUP(F1536,Kostentypen!$A$3:$E$20,3,0))),"")</f>
        <v/>
      </c>
      <c r="O1536" s="324"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4"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3"/>
      <c r="R1536" s="363"/>
      <c r="S1536" s="325"/>
      <c r="T1536" s="325"/>
      <c r="U1536" s="317" t="str" cm="1">
        <f t="array" aca="1" ref="U1536" ca="1">IFERROR(IF(AA1536&lt;&gt;"ja",_xlfn.IFNA(_xlfn.IFS(AND(O1536&lt;&gt;"",F1536&lt;&gt;"",RIGHT($N1536,6)="tarief",F1536="Vergoeding"),SUM(O1536)*FLOOR(SUM(Q1536),0.0001),AND(O1536&lt;&gt;"",F1536&lt;&gt;"",RIGHT($N1536,6)="tarief"),SUM(O1536)*FLOOR(SUM(Q1536),0.01),S1536&gt;0,IF(F1536&lt;&gt;"",FLOOR(SUM(S1536),0.01),"")),""),""),"")</f>
        <v/>
      </c>
      <c r="V1536" s="317" t="str" cm="1">
        <f t="array" aca="1" ref="V1536" ca="1">IFERROR(IF(AA1536&lt;&gt;"ja",_xlfn.IFNA(_xlfn.IFS(AND(P1536&lt;&gt;"",R1536&lt;&gt;"",RIGHT($N1536,6)="tarief",F1536="Vergoeding"),SUM(P1536)*FLOOR(SUM(R1536),0.0001),AND(P1536&lt;&gt;"",R1536&lt;&gt;"",RIGHT($N1536,6)="tarief"),P1536*FLOOR(R1536,0.01),T1536&gt;0,FLOOR(SUM(T1536),0.01)),""),""),"")</f>
        <v/>
      </c>
      <c r="W1536" s="317" t="str" cm="1">
        <f t="array" aca="1" ref="W1536" ca="1">IFERROR(_xlfn.IFS(OR(F1536="",LEFT(Methode_Keuze,4)="Geen",Methode_Keuze=""),"",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17" t="str" cm="1">
        <f t="array" aca="1" ref="X1536" ca="1">IFERROR(_xlfn.IFS(OR(F1536="",LEFT(Methode_Keuze,4)="Geen",Methode_Keuze=""),"",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26"/>
      <c r="Z1536" s="319"/>
      <c r="AA1536" s="32" t="str" cm="1">
        <f t="array" ref="AA1536">IFERROR(IF(INDEX(SubsidieTabel!$AD$1:$AG$12,MATCH($F1536,SubsidieTabel!$AD$1:$AD$12,0),IFERROR(MATCH(Methode_Keuze,SubsidieTabel!$AD$1:$AG$1,0),2))&lt;&gt;1=TRUE,"ja",""),"")</f>
        <v/>
      </c>
    </row>
    <row r="1537" spans="1:27" x14ac:dyDescent="0.25">
      <c r="A1537" s="320"/>
      <c r="B1537" s="321" t="str">
        <f>IF(A1537&lt;&gt;"",_xlfn.MAXIFS($B$1:B1536,$A$1:A1536,A1537)+1,"")</f>
        <v/>
      </c>
      <c r="C1537" s="299"/>
      <c r="D1537" s="299"/>
      <c r="E1537" s="299"/>
      <c r="F1537" s="299"/>
      <c r="G1537" s="330"/>
      <c r="H1537" s="328"/>
      <c r="I1537" s="329"/>
      <c r="J1537" s="329"/>
      <c r="K1537" s="322"/>
      <c r="L1537" s="322"/>
      <c r="M1537" s="323" t="str">
        <f>IFERROR(VLOOKUP(H1537,Lijsten!$H$1:$I$100,2,0),"")</f>
        <v/>
      </c>
      <c r="N1537" s="323" t="str">
        <f ca="1">IFERROR(IF(VLOOKUP(F1537,Kostentypen!$A$3:$E$21,3,0)=0,"",IF(OR(F1537="Arbeidskosten",F1537="Vergoeding"),VLOOKUP(G1537,Tb_KostenTypen[],2,0),VLOOKUP(F1537,Kostentypen!$A$3:$E$20,3,0))),"")</f>
        <v/>
      </c>
      <c r="O1537" s="324"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4"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3"/>
      <c r="R1537" s="363"/>
      <c r="S1537" s="325"/>
      <c r="T1537" s="325"/>
      <c r="U1537" s="317" t="str" cm="1">
        <f t="array" aca="1" ref="U1537" ca="1">IFERROR(IF(AA1537&lt;&gt;"ja",_xlfn.IFNA(_xlfn.IFS(AND(O1537&lt;&gt;"",F1537&lt;&gt;"",RIGHT($N1537,6)="tarief",F1537="Vergoeding"),SUM(O1537)*FLOOR(SUM(Q1537),0.0001),AND(O1537&lt;&gt;"",F1537&lt;&gt;"",RIGHT($N1537,6)="tarief"),SUM(O1537)*FLOOR(SUM(Q1537),0.01),S1537&gt;0,IF(F1537&lt;&gt;"",FLOOR(SUM(S1537),0.01),"")),""),""),"")</f>
        <v/>
      </c>
      <c r="V1537" s="317" t="str" cm="1">
        <f t="array" aca="1" ref="V1537" ca="1">IFERROR(IF(AA1537&lt;&gt;"ja",_xlfn.IFNA(_xlfn.IFS(AND(P1537&lt;&gt;"",R1537&lt;&gt;"",RIGHT($N1537,6)="tarief",F1537="Vergoeding"),SUM(P1537)*FLOOR(SUM(R1537),0.0001),AND(P1537&lt;&gt;"",R1537&lt;&gt;"",RIGHT($N1537,6)="tarief"),P1537*FLOOR(R1537,0.01),T1537&gt;0,FLOOR(SUM(T1537),0.01)),""),""),"")</f>
        <v/>
      </c>
      <c r="W1537" s="317" t="str" cm="1">
        <f t="array" aca="1" ref="W1537" ca="1">IFERROR(_xlfn.IFS(OR(F1537="",LEFT(Methode_Keuze,4)="Geen",Methode_Keuze=""),"",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17" t="str" cm="1">
        <f t="array" aca="1" ref="X1537" ca="1">IFERROR(_xlfn.IFS(OR(F1537="",LEFT(Methode_Keuze,4)="Geen",Methode_Keuze=""),"",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26"/>
      <c r="Z1537" s="319"/>
      <c r="AA1537" s="32" t="str" cm="1">
        <f t="array" ref="AA1537">IFERROR(IF(INDEX(SubsidieTabel!$AD$1:$AG$12,MATCH($F1537,SubsidieTabel!$AD$1:$AD$12,0),IFERROR(MATCH(Methode_Keuze,SubsidieTabel!$AD$1:$AG$1,0),2))&lt;&gt;1=TRUE,"ja",""),"")</f>
        <v/>
      </c>
    </row>
    <row r="1538" spans="1:27" x14ac:dyDescent="0.25">
      <c r="A1538" s="320"/>
      <c r="B1538" s="321" t="str">
        <f>IF(A1538&lt;&gt;"",_xlfn.MAXIFS($B$1:B1537,$A$1:A1537,A1538)+1,"")</f>
        <v/>
      </c>
      <c r="C1538" s="299"/>
      <c r="D1538" s="299"/>
      <c r="E1538" s="299"/>
      <c r="F1538" s="299"/>
      <c r="G1538" s="330"/>
      <c r="H1538" s="328"/>
      <c r="I1538" s="329"/>
      <c r="J1538" s="329"/>
      <c r="K1538" s="322"/>
      <c r="L1538" s="322"/>
      <c r="M1538" s="323" t="str">
        <f>IFERROR(VLOOKUP(H1538,Lijsten!$H$1:$I$100,2,0),"")</f>
        <v/>
      </c>
      <c r="N1538" s="323" t="str">
        <f ca="1">IFERROR(IF(VLOOKUP(F1538,Kostentypen!$A$3:$E$21,3,0)=0,"",IF(OR(F1538="Arbeidskosten",F1538="Vergoeding"),VLOOKUP(G1538,Tb_KostenTypen[],2,0),VLOOKUP(F1538,Kostentypen!$A$3:$E$20,3,0))),"")</f>
        <v/>
      </c>
      <c r="O1538" s="324"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4"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3"/>
      <c r="R1538" s="363"/>
      <c r="S1538" s="325"/>
      <c r="T1538" s="325"/>
      <c r="U1538" s="317" t="str" cm="1">
        <f t="array" aca="1" ref="U1538" ca="1">IFERROR(IF(AA1538&lt;&gt;"ja",_xlfn.IFNA(_xlfn.IFS(AND(O1538&lt;&gt;"",F1538&lt;&gt;"",RIGHT($N1538,6)="tarief",F1538="Vergoeding"),SUM(O1538)*FLOOR(SUM(Q1538),0.0001),AND(O1538&lt;&gt;"",F1538&lt;&gt;"",RIGHT($N1538,6)="tarief"),SUM(O1538)*FLOOR(SUM(Q1538),0.01),S1538&gt;0,IF(F1538&lt;&gt;"",FLOOR(SUM(S1538),0.01),"")),""),""),"")</f>
        <v/>
      </c>
      <c r="V1538" s="317" t="str" cm="1">
        <f t="array" aca="1" ref="V1538" ca="1">IFERROR(IF(AA1538&lt;&gt;"ja",_xlfn.IFNA(_xlfn.IFS(AND(P1538&lt;&gt;"",R1538&lt;&gt;"",RIGHT($N1538,6)="tarief",F1538="Vergoeding"),SUM(P1538)*FLOOR(SUM(R1538),0.0001),AND(P1538&lt;&gt;"",R1538&lt;&gt;"",RIGHT($N1538,6)="tarief"),P1538*FLOOR(R1538,0.01),T1538&gt;0,FLOOR(SUM(T1538),0.01)),""),""),"")</f>
        <v/>
      </c>
      <c r="W1538" s="317" t="str" cm="1">
        <f t="array" aca="1" ref="W1538" ca="1">IFERROR(_xlfn.IFS(OR(F1538="",LEFT(Methode_Keuze,4)="Geen",Methode_Keuze=""),"",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17" t="str" cm="1">
        <f t="array" aca="1" ref="X1538" ca="1">IFERROR(_xlfn.IFS(OR(F1538="",LEFT(Methode_Keuze,4)="Geen",Methode_Keuze=""),"",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26"/>
      <c r="Z1538" s="319"/>
      <c r="AA1538" s="32" t="str" cm="1">
        <f t="array" ref="AA1538">IFERROR(IF(INDEX(SubsidieTabel!$AD$1:$AG$12,MATCH($F1538,SubsidieTabel!$AD$1:$AD$12,0),IFERROR(MATCH(Methode_Keuze,SubsidieTabel!$AD$1:$AG$1,0),2))&lt;&gt;1=TRUE,"ja",""),"")</f>
        <v/>
      </c>
    </row>
    <row r="1539" spans="1:27" x14ac:dyDescent="0.25">
      <c r="A1539" s="320"/>
      <c r="B1539" s="321" t="str">
        <f>IF(A1539&lt;&gt;"",_xlfn.MAXIFS($B$1:B1538,$A$1:A1538,A1539)+1,"")</f>
        <v/>
      </c>
      <c r="C1539" s="299"/>
      <c r="D1539" s="299"/>
      <c r="E1539" s="299"/>
      <c r="F1539" s="299"/>
      <c r="G1539" s="330"/>
      <c r="H1539" s="328"/>
      <c r="I1539" s="329"/>
      <c r="J1539" s="329"/>
      <c r="K1539" s="322"/>
      <c r="L1539" s="322"/>
      <c r="M1539" s="323" t="str">
        <f>IFERROR(VLOOKUP(H1539,Lijsten!$H$1:$I$100,2,0),"")</f>
        <v/>
      </c>
      <c r="N1539" s="323" t="str">
        <f ca="1">IFERROR(IF(VLOOKUP(F1539,Kostentypen!$A$3:$E$21,3,0)=0,"",IF(OR(F1539="Arbeidskosten",F1539="Vergoeding"),VLOOKUP(G1539,Tb_KostenTypen[],2,0),VLOOKUP(F1539,Kostentypen!$A$3:$E$20,3,0))),"")</f>
        <v/>
      </c>
      <c r="O1539" s="324"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4"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3"/>
      <c r="R1539" s="363"/>
      <c r="S1539" s="325"/>
      <c r="T1539" s="325"/>
      <c r="U1539" s="317" t="str" cm="1">
        <f t="array" aca="1" ref="U1539" ca="1">IFERROR(IF(AA1539&lt;&gt;"ja",_xlfn.IFNA(_xlfn.IFS(AND(O1539&lt;&gt;"",F1539&lt;&gt;"",RIGHT($N1539,6)="tarief",F1539="Vergoeding"),SUM(O1539)*FLOOR(SUM(Q1539),0.0001),AND(O1539&lt;&gt;"",F1539&lt;&gt;"",RIGHT($N1539,6)="tarief"),SUM(O1539)*FLOOR(SUM(Q1539),0.01),S1539&gt;0,IF(F1539&lt;&gt;"",FLOOR(SUM(S1539),0.01),"")),""),""),"")</f>
        <v/>
      </c>
      <c r="V1539" s="317" t="str" cm="1">
        <f t="array" aca="1" ref="V1539" ca="1">IFERROR(IF(AA1539&lt;&gt;"ja",_xlfn.IFNA(_xlfn.IFS(AND(P1539&lt;&gt;"",R1539&lt;&gt;"",RIGHT($N1539,6)="tarief",F1539="Vergoeding"),SUM(P1539)*FLOOR(SUM(R1539),0.0001),AND(P1539&lt;&gt;"",R1539&lt;&gt;"",RIGHT($N1539,6)="tarief"),P1539*FLOOR(R1539,0.01),T1539&gt;0,FLOOR(SUM(T1539),0.01)),""),""),"")</f>
        <v/>
      </c>
      <c r="W1539" s="317" t="str" cm="1">
        <f t="array" aca="1" ref="W1539" ca="1">IFERROR(_xlfn.IFS(OR(F1539="",LEFT(Methode_Keuze,4)="Geen",Methode_Keuze=""),"",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17" t="str" cm="1">
        <f t="array" aca="1" ref="X1539" ca="1">IFERROR(_xlfn.IFS(OR(F1539="",LEFT(Methode_Keuze,4)="Geen",Methode_Keuze=""),"",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26"/>
      <c r="Z1539" s="319"/>
      <c r="AA1539" s="32" t="str" cm="1">
        <f t="array" ref="AA1539">IFERROR(IF(INDEX(SubsidieTabel!$AD$1:$AG$12,MATCH($F1539,SubsidieTabel!$AD$1:$AD$12,0),IFERROR(MATCH(Methode_Keuze,SubsidieTabel!$AD$1:$AG$1,0),2))&lt;&gt;1=TRUE,"ja",""),"")</f>
        <v/>
      </c>
    </row>
    <row r="1540" spans="1:27" x14ac:dyDescent="0.25">
      <c r="A1540" s="320"/>
      <c r="B1540" s="321" t="str">
        <f>IF(A1540&lt;&gt;"",_xlfn.MAXIFS($B$1:B1539,$A$1:A1539,A1540)+1,"")</f>
        <v/>
      </c>
      <c r="C1540" s="299"/>
      <c r="D1540" s="299"/>
      <c r="E1540" s="299"/>
      <c r="F1540" s="299"/>
      <c r="G1540" s="330"/>
      <c r="H1540" s="328"/>
      <c r="I1540" s="329"/>
      <c r="J1540" s="329"/>
      <c r="K1540" s="322"/>
      <c r="L1540" s="322"/>
      <c r="M1540" s="323" t="str">
        <f>IFERROR(VLOOKUP(H1540,Lijsten!$H$1:$I$100,2,0),"")</f>
        <v/>
      </c>
      <c r="N1540" s="323" t="str">
        <f ca="1">IFERROR(IF(VLOOKUP(F1540,Kostentypen!$A$3:$E$21,3,0)=0,"",IF(OR(F1540="Arbeidskosten",F1540="Vergoeding"),VLOOKUP(G1540,Tb_KostenTypen[],2,0),VLOOKUP(F1540,Kostentypen!$A$3:$E$20,3,0))),"")</f>
        <v/>
      </c>
      <c r="O1540" s="324"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4"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3"/>
      <c r="R1540" s="363"/>
      <c r="S1540" s="325"/>
      <c r="T1540" s="325"/>
      <c r="U1540" s="317" t="str" cm="1">
        <f t="array" aca="1" ref="U1540" ca="1">IFERROR(IF(AA1540&lt;&gt;"ja",_xlfn.IFNA(_xlfn.IFS(AND(O1540&lt;&gt;"",F1540&lt;&gt;"",RIGHT($N1540,6)="tarief",F1540="Vergoeding"),SUM(O1540)*FLOOR(SUM(Q1540),0.0001),AND(O1540&lt;&gt;"",F1540&lt;&gt;"",RIGHT($N1540,6)="tarief"),SUM(O1540)*FLOOR(SUM(Q1540),0.01),S1540&gt;0,IF(F1540&lt;&gt;"",FLOOR(SUM(S1540),0.01),"")),""),""),"")</f>
        <v/>
      </c>
      <c r="V1540" s="317" t="str" cm="1">
        <f t="array" aca="1" ref="V1540" ca="1">IFERROR(IF(AA1540&lt;&gt;"ja",_xlfn.IFNA(_xlfn.IFS(AND(P1540&lt;&gt;"",R1540&lt;&gt;"",RIGHT($N1540,6)="tarief",F1540="Vergoeding"),SUM(P1540)*FLOOR(SUM(R1540),0.0001),AND(P1540&lt;&gt;"",R1540&lt;&gt;"",RIGHT($N1540,6)="tarief"),P1540*FLOOR(R1540,0.01),T1540&gt;0,FLOOR(SUM(T1540),0.01)),""),""),"")</f>
        <v/>
      </c>
      <c r="W1540" s="317" t="str" cm="1">
        <f t="array" aca="1" ref="W1540" ca="1">IFERROR(_xlfn.IFS(OR(F1540="",LEFT(Methode_Keuze,4)="Geen",Methode_Keuze=""),"",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17" t="str" cm="1">
        <f t="array" aca="1" ref="X1540" ca="1">IFERROR(_xlfn.IFS(OR(F1540="",LEFT(Methode_Keuze,4)="Geen",Methode_Keuze=""),"",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26"/>
      <c r="Z1540" s="319"/>
      <c r="AA1540" s="32" t="str" cm="1">
        <f t="array" ref="AA1540">IFERROR(IF(INDEX(SubsidieTabel!$AD$1:$AG$12,MATCH($F1540,SubsidieTabel!$AD$1:$AD$12,0),IFERROR(MATCH(Methode_Keuze,SubsidieTabel!$AD$1:$AG$1,0),2))&lt;&gt;1=TRUE,"ja",""),"")</f>
        <v/>
      </c>
    </row>
    <row r="1541" spans="1:27" x14ac:dyDescent="0.25">
      <c r="A1541" s="320"/>
      <c r="B1541" s="321" t="str">
        <f>IF(A1541&lt;&gt;"",_xlfn.MAXIFS($B$1:B1540,$A$1:A1540,A1541)+1,"")</f>
        <v/>
      </c>
      <c r="C1541" s="299"/>
      <c r="D1541" s="299"/>
      <c r="E1541" s="299"/>
      <c r="F1541" s="299"/>
      <c r="G1541" s="330"/>
      <c r="H1541" s="328"/>
      <c r="I1541" s="329"/>
      <c r="J1541" s="329"/>
      <c r="K1541" s="322"/>
      <c r="L1541" s="322"/>
      <c r="M1541" s="323" t="str">
        <f>IFERROR(VLOOKUP(H1541,Lijsten!$H$1:$I$100,2,0),"")</f>
        <v/>
      </c>
      <c r="N1541" s="323" t="str">
        <f ca="1">IFERROR(IF(VLOOKUP(F1541,Kostentypen!$A$3:$E$21,3,0)=0,"",IF(OR(F1541="Arbeidskosten",F1541="Vergoeding"),VLOOKUP(G1541,Tb_KostenTypen[],2,0),VLOOKUP(F1541,Kostentypen!$A$3:$E$20,3,0))),"")</f>
        <v/>
      </c>
      <c r="O1541" s="324"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4"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3"/>
      <c r="R1541" s="363"/>
      <c r="S1541" s="325"/>
      <c r="T1541" s="325"/>
      <c r="U1541" s="317" t="str" cm="1">
        <f t="array" aca="1" ref="U1541" ca="1">IFERROR(IF(AA1541&lt;&gt;"ja",_xlfn.IFNA(_xlfn.IFS(AND(O1541&lt;&gt;"",F1541&lt;&gt;"",RIGHT($N1541,6)="tarief",F1541="Vergoeding"),SUM(O1541)*FLOOR(SUM(Q1541),0.0001),AND(O1541&lt;&gt;"",F1541&lt;&gt;"",RIGHT($N1541,6)="tarief"),SUM(O1541)*FLOOR(SUM(Q1541),0.01),S1541&gt;0,IF(F1541&lt;&gt;"",FLOOR(SUM(S1541),0.01),"")),""),""),"")</f>
        <v/>
      </c>
      <c r="V1541" s="317" t="str" cm="1">
        <f t="array" aca="1" ref="V1541" ca="1">IFERROR(IF(AA1541&lt;&gt;"ja",_xlfn.IFNA(_xlfn.IFS(AND(P1541&lt;&gt;"",R1541&lt;&gt;"",RIGHT($N1541,6)="tarief",F1541="Vergoeding"),SUM(P1541)*FLOOR(SUM(R1541),0.0001),AND(P1541&lt;&gt;"",R1541&lt;&gt;"",RIGHT($N1541,6)="tarief"),P1541*FLOOR(R1541,0.01),T1541&gt;0,FLOOR(SUM(T1541),0.01)),""),""),"")</f>
        <v/>
      </c>
      <c r="W1541" s="317" t="str" cm="1">
        <f t="array" aca="1" ref="W1541" ca="1">IFERROR(_xlfn.IFS(OR(F1541="",LEFT(Methode_Keuze,4)="Geen",Methode_Keuze=""),"",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17" t="str" cm="1">
        <f t="array" aca="1" ref="X1541" ca="1">IFERROR(_xlfn.IFS(OR(F1541="",LEFT(Methode_Keuze,4)="Geen",Methode_Keuze=""),"",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26"/>
      <c r="Z1541" s="319"/>
      <c r="AA1541" s="32" t="str" cm="1">
        <f t="array" ref="AA1541">IFERROR(IF(INDEX(SubsidieTabel!$AD$1:$AG$12,MATCH($F1541,SubsidieTabel!$AD$1:$AD$12,0),IFERROR(MATCH(Methode_Keuze,SubsidieTabel!$AD$1:$AG$1,0),2))&lt;&gt;1=TRUE,"ja",""),"")</f>
        <v/>
      </c>
    </row>
    <row r="1542" spans="1:27" x14ac:dyDescent="0.25">
      <c r="A1542" s="320"/>
      <c r="B1542" s="321" t="str">
        <f>IF(A1542&lt;&gt;"",_xlfn.MAXIFS($B$1:B1541,$A$1:A1541,A1542)+1,"")</f>
        <v/>
      </c>
      <c r="C1542" s="299"/>
      <c r="D1542" s="299"/>
      <c r="E1542" s="299"/>
      <c r="F1542" s="299"/>
      <c r="G1542" s="330"/>
      <c r="H1542" s="328"/>
      <c r="I1542" s="329"/>
      <c r="J1542" s="329"/>
      <c r="K1542" s="322"/>
      <c r="L1542" s="322"/>
      <c r="M1542" s="323" t="str">
        <f>IFERROR(VLOOKUP(H1542,Lijsten!$H$1:$I$100,2,0),"")</f>
        <v/>
      </c>
      <c r="N1542" s="323" t="str">
        <f ca="1">IFERROR(IF(VLOOKUP(F1542,Kostentypen!$A$3:$E$21,3,0)=0,"",IF(OR(F1542="Arbeidskosten",F1542="Vergoeding"),VLOOKUP(G1542,Tb_KostenTypen[],2,0),VLOOKUP(F1542,Kostentypen!$A$3:$E$20,3,0))),"")</f>
        <v/>
      </c>
      <c r="O1542" s="324"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4"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3"/>
      <c r="R1542" s="363"/>
      <c r="S1542" s="325"/>
      <c r="T1542" s="325"/>
      <c r="U1542" s="317" t="str" cm="1">
        <f t="array" aca="1" ref="U1542" ca="1">IFERROR(IF(AA1542&lt;&gt;"ja",_xlfn.IFNA(_xlfn.IFS(AND(O1542&lt;&gt;"",F1542&lt;&gt;"",RIGHT($N1542,6)="tarief",F1542="Vergoeding"),SUM(O1542)*FLOOR(SUM(Q1542),0.0001),AND(O1542&lt;&gt;"",F1542&lt;&gt;"",RIGHT($N1542,6)="tarief"),SUM(O1542)*FLOOR(SUM(Q1542),0.01),S1542&gt;0,IF(F1542&lt;&gt;"",FLOOR(SUM(S1542),0.01),"")),""),""),"")</f>
        <v/>
      </c>
      <c r="V1542" s="317" t="str" cm="1">
        <f t="array" aca="1" ref="V1542" ca="1">IFERROR(IF(AA1542&lt;&gt;"ja",_xlfn.IFNA(_xlfn.IFS(AND(P1542&lt;&gt;"",R1542&lt;&gt;"",RIGHT($N1542,6)="tarief",F1542="Vergoeding"),SUM(P1542)*FLOOR(SUM(R1542),0.0001),AND(P1542&lt;&gt;"",R1542&lt;&gt;"",RIGHT($N1542,6)="tarief"),P1542*FLOOR(R1542,0.01),T1542&gt;0,FLOOR(SUM(T1542),0.01)),""),""),"")</f>
        <v/>
      </c>
      <c r="W1542" s="317" t="str" cm="1">
        <f t="array" aca="1" ref="W1542" ca="1">IFERROR(_xlfn.IFS(OR(F1542="",LEFT(Methode_Keuze,4)="Geen",Methode_Keuze=""),"",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17" t="str" cm="1">
        <f t="array" aca="1" ref="X1542" ca="1">IFERROR(_xlfn.IFS(OR(F1542="",LEFT(Methode_Keuze,4)="Geen",Methode_Keuze=""),"",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26"/>
      <c r="Z1542" s="319"/>
      <c r="AA1542" s="32" t="str" cm="1">
        <f t="array" ref="AA1542">IFERROR(IF(INDEX(SubsidieTabel!$AD$1:$AG$12,MATCH($F1542,SubsidieTabel!$AD$1:$AD$12,0),IFERROR(MATCH(Methode_Keuze,SubsidieTabel!$AD$1:$AG$1,0),2))&lt;&gt;1=TRUE,"ja",""),"")</f>
        <v/>
      </c>
    </row>
    <row r="1543" spans="1:27" x14ac:dyDescent="0.25">
      <c r="A1543" s="320"/>
      <c r="B1543" s="321" t="str">
        <f>IF(A1543&lt;&gt;"",_xlfn.MAXIFS($B$1:B1542,$A$1:A1542,A1543)+1,"")</f>
        <v/>
      </c>
      <c r="C1543" s="299"/>
      <c r="D1543" s="299"/>
      <c r="E1543" s="299"/>
      <c r="F1543" s="299"/>
      <c r="G1543" s="330"/>
      <c r="H1543" s="328"/>
      <c r="I1543" s="329"/>
      <c r="J1543" s="329"/>
      <c r="K1543" s="322"/>
      <c r="L1543" s="322"/>
      <c r="M1543" s="323" t="str">
        <f>IFERROR(VLOOKUP(H1543,Lijsten!$H$1:$I$100,2,0),"")</f>
        <v/>
      </c>
      <c r="N1543" s="323" t="str">
        <f ca="1">IFERROR(IF(VLOOKUP(F1543,Kostentypen!$A$3:$E$21,3,0)=0,"",IF(OR(F1543="Arbeidskosten",F1543="Vergoeding"),VLOOKUP(G1543,Tb_KostenTypen[],2,0),VLOOKUP(F1543,Kostentypen!$A$3:$E$20,3,0))),"")</f>
        <v/>
      </c>
      <c r="O1543" s="324"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4"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3"/>
      <c r="R1543" s="363"/>
      <c r="S1543" s="325"/>
      <c r="T1543" s="325"/>
      <c r="U1543" s="317" t="str" cm="1">
        <f t="array" aca="1" ref="U1543" ca="1">IFERROR(IF(AA1543&lt;&gt;"ja",_xlfn.IFNA(_xlfn.IFS(AND(O1543&lt;&gt;"",F1543&lt;&gt;"",RIGHT($N1543,6)="tarief",F1543="Vergoeding"),SUM(O1543)*FLOOR(SUM(Q1543),0.0001),AND(O1543&lt;&gt;"",F1543&lt;&gt;"",RIGHT($N1543,6)="tarief"),SUM(O1543)*FLOOR(SUM(Q1543),0.01),S1543&gt;0,IF(F1543&lt;&gt;"",FLOOR(SUM(S1543),0.01),"")),""),""),"")</f>
        <v/>
      </c>
      <c r="V1543" s="317" t="str" cm="1">
        <f t="array" aca="1" ref="V1543" ca="1">IFERROR(IF(AA1543&lt;&gt;"ja",_xlfn.IFNA(_xlfn.IFS(AND(P1543&lt;&gt;"",R1543&lt;&gt;"",RIGHT($N1543,6)="tarief",F1543="Vergoeding"),SUM(P1543)*FLOOR(SUM(R1543),0.0001),AND(P1543&lt;&gt;"",R1543&lt;&gt;"",RIGHT($N1543,6)="tarief"),P1543*FLOOR(R1543,0.01),T1543&gt;0,FLOOR(SUM(T1543),0.01)),""),""),"")</f>
        <v/>
      </c>
      <c r="W1543" s="317" t="str" cm="1">
        <f t="array" aca="1" ref="W1543" ca="1">IFERROR(_xlfn.IFS(OR(F1543="",LEFT(Methode_Keuze,4)="Geen",Methode_Keuze=""),"",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17" t="str" cm="1">
        <f t="array" aca="1" ref="X1543" ca="1">IFERROR(_xlfn.IFS(OR(F1543="",LEFT(Methode_Keuze,4)="Geen",Methode_Keuze=""),"",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26"/>
      <c r="Z1543" s="319"/>
      <c r="AA1543" s="32" t="str" cm="1">
        <f t="array" ref="AA1543">IFERROR(IF(INDEX(SubsidieTabel!$AD$1:$AG$12,MATCH($F1543,SubsidieTabel!$AD$1:$AD$12,0),IFERROR(MATCH(Methode_Keuze,SubsidieTabel!$AD$1:$AG$1,0),2))&lt;&gt;1=TRUE,"ja",""),"")</f>
        <v/>
      </c>
    </row>
    <row r="1544" spans="1:27" x14ac:dyDescent="0.25">
      <c r="A1544" s="320"/>
      <c r="B1544" s="321" t="str">
        <f>IF(A1544&lt;&gt;"",_xlfn.MAXIFS($B$1:B1543,$A$1:A1543,A1544)+1,"")</f>
        <v/>
      </c>
      <c r="C1544" s="299"/>
      <c r="D1544" s="299"/>
      <c r="E1544" s="299"/>
      <c r="F1544" s="299"/>
      <c r="G1544" s="330"/>
      <c r="H1544" s="328"/>
      <c r="I1544" s="329"/>
      <c r="J1544" s="329"/>
      <c r="K1544" s="322"/>
      <c r="L1544" s="322"/>
      <c r="M1544" s="323" t="str">
        <f>IFERROR(VLOOKUP(H1544,Lijsten!$H$1:$I$100,2,0),"")</f>
        <v/>
      </c>
      <c r="N1544" s="323" t="str">
        <f ca="1">IFERROR(IF(VLOOKUP(F1544,Kostentypen!$A$3:$E$21,3,0)=0,"",IF(OR(F1544="Arbeidskosten",F1544="Vergoeding"),VLOOKUP(G1544,Tb_KostenTypen[],2,0),VLOOKUP(F1544,Kostentypen!$A$3:$E$20,3,0))),"")</f>
        <v/>
      </c>
      <c r="O1544" s="324"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4"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3"/>
      <c r="R1544" s="363"/>
      <c r="S1544" s="325"/>
      <c r="T1544" s="325"/>
      <c r="U1544" s="317" t="str" cm="1">
        <f t="array" aca="1" ref="U1544" ca="1">IFERROR(IF(AA1544&lt;&gt;"ja",_xlfn.IFNA(_xlfn.IFS(AND(O1544&lt;&gt;"",F1544&lt;&gt;"",RIGHT($N1544,6)="tarief",F1544="Vergoeding"),SUM(O1544)*FLOOR(SUM(Q1544),0.0001),AND(O1544&lt;&gt;"",F1544&lt;&gt;"",RIGHT($N1544,6)="tarief"),SUM(O1544)*FLOOR(SUM(Q1544),0.01),S1544&gt;0,IF(F1544&lt;&gt;"",FLOOR(SUM(S1544),0.01),"")),""),""),"")</f>
        <v/>
      </c>
      <c r="V1544" s="317" t="str" cm="1">
        <f t="array" aca="1" ref="V1544" ca="1">IFERROR(IF(AA1544&lt;&gt;"ja",_xlfn.IFNA(_xlfn.IFS(AND(P1544&lt;&gt;"",R1544&lt;&gt;"",RIGHT($N1544,6)="tarief",F1544="Vergoeding"),SUM(P1544)*FLOOR(SUM(R1544),0.0001),AND(P1544&lt;&gt;"",R1544&lt;&gt;"",RIGHT($N1544,6)="tarief"),P1544*FLOOR(R1544,0.01),T1544&gt;0,FLOOR(SUM(T1544),0.01)),""),""),"")</f>
        <v/>
      </c>
      <c r="W1544" s="317" t="str" cm="1">
        <f t="array" aca="1" ref="W1544" ca="1">IFERROR(_xlfn.IFS(OR(F1544="",LEFT(Methode_Keuze,4)="Geen",Methode_Keuze=""),"",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17" t="str" cm="1">
        <f t="array" aca="1" ref="X1544" ca="1">IFERROR(_xlfn.IFS(OR(F1544="",LEFT(Methode_Keuze,4)="Geen",Methode_Keuze=""),"",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26"/>
      <c r="Z1544" s="319"/>
      <c r="AA1544" s="32" t="str" cm="1">
        <f t="array" ref="AA1544">IFERROR(IF(INDEX(SubsidieTabel!$AD$1:$AG$12,MATCH($F1544,SubsidieTabel!$AD$1:$AD$12,0),IFERROR(MATCH(Methode_Keuze,SubsidieTabel!$AD$1:$AG$1,0),2))&lt;&gt;1=TRUE,"ja",""),"")</f>
        <v/>
      </c>
    </row>
    <row r="1545" spans="1:27" x14ac:dyDescent="0.25">
      <c r="A1545" s="320"/>
      <c r="B1545" s="321" t="str">
        <f>IF(A1545&lt;&gt;"",_xlfn.MAXIFS($B$1:B1544,$A$1:A1544,A1545)+1,"")</f>
        <v/>
      </c>
      <c r="C1545" s="299"/>
      <c r="D1545" s="299"/>
      <c r="E1545" s="299"/>
      <c r="F1545" s="299"/>
      <c r="G1545" s="330"/>
      <c r="H1545" s="328"/>
      <c r="I1545" s="329"/>
      <c r="J1545" s="329"/>
      <c r="K1545" s="322"/>
      <c r="L1545" s="322"/>
      <c r="M1545" s="323" t="str">
        <f>IFERROR(VLOOKUP(H1545,Lijsten!$H$1:$I$100,2,0),"")</f>
        <v/>
      </c>
      <c r="N1545" s="323" t="str">
        <f ca="1">IFERROR(IF(VLOOKUP(F1545,Kostentypen!$A$3:$E$21,3,0)=0,"",IF(OR(F1545="Arbeidskosten",F1545="Vergoeding"),VLOOKUP(G1545,Tb_KostenTypen[],2,0),VLOOKUP(F1545,Kostentypen!$A$3:$E$20,3,0))),"")</f>
        <v/>
      </c>
      <c r="O1545" s="324"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4"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3"/>
      <c r="R1545" s="363"/>
      <c r="S1545" s="325"/>
      <c r="T1545" s="325"/>
      <c r="U1545" s="317" t="str" cm="1">
        <f t="array" aca="1" ref="U1545" ca="1">IFERROR(IF(AA1545&lt;&gt;"ja",_xlfn.IFNA(_xlfn.IFS(AND(O1545&lt;&gt;"",F1545&lt;&gt;"",RIGHT($N1545,6)="tarief",F1545="Vergoeding"),SUM(O1545)*FLOOR(SUM(Q1545),0.0001),AND(O1545&lt;&gt;"",F1545&lt;&gt;"",RIGHT($N1545,6)="tarief"),SUM(O1545)*FLOOR(SUM(Q1545),0.01),S1545&gt;0,IF(F1545&lt;&gt;"",FLOOR(SUM(S1545),0.01),"")),""),""),"")</f>
        <v/>
      </c>
      <c r="V1545" s="317" t="str" cm="1">
        <f t="array" aca="1" ref="V1545" ca="1">IFERROR(IF(AA1545&lt;&gt;"ja",_xlfn.IFNA(_xlfn.IFS(AND(P1545&lt;&gt;"",R1545&lt;&gt;"",RIGHT($N1545,6)="tarief",F1545="Vergoeding"),SUM(P1545)*FLOOR(SUM(R1545),0.0001),AND(P1545&lt;&gt;"",R1545&lt;&gt;"",RIGHT($N1545,6)="tarief"),P1545*FLOOR(R1545,0.01),T1545&gt;0,FLOOR(SUM(T1545),0.01)),""),""),"")</f>
        <v/>
      </c>
      <c r="W1545" s="317" t="str" cm="1">
        <f t="array" aca="1" ref="W1545" ca="1">IFERROR(_xlfn.IFS(OR(F1545="",LEFT(Methode_Keuze,4)="Geen",Methode_Keuze=""),"",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17" t="str" cm="1">
        <f t="array" aca="1" ref="X1545" ca="1">IFERROR(_xlfn.IFS(OR(F1545="",LEFT(Methode_Keuze,4)="Geen",Methode_Keuze=""),"",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26"/>
      <c r="Z1545" s="319"/>
      <c r="AA1545" s="32" t="str" cm="1">
        <f t="array" ref="AA1545">IFERROR(IF(INDEX(SubsidieTabel!$AD$1:$AG$12,MATCH($F1545,SubsidieTabel!$AD$1:$AD$12,0),IFERROR(MATCH(Methode_Keuze,SubsidieTabel!$AD$1:$AG$1,0),2))&lt;&gt;1=TRUE,"ja",""),"")</f>
        <v/>
      </c>
    </row>
    <row r="1546" spans="1:27" x14ac:dyDescent="0.25">
      <c r="A1546" s="320"/>
      <c r="B1546" s="321" t="str">
        <f>IF(A1546&lt;&gt;"",_xlfn.MAXIFS($B$1:B1545,$A$1:A1545,A1546)+1,"")</f>
        <v/>
      </c>
      <c r="C1546" s="299"/>
      <c r="D1546" s="299"/>
      <c r="E1546" s="299"/>
      <c r="F1546" s="299"/>
      <c r="G1546" s="330"/>
      <c r="H1546" s="328"/>
      <c r="I1546" s="329"/>
      <c r="J1546" s="329"/>
      <c r="K1546" s="322"/>
      <c r="L1546" s="322"/>
      <c r="M1546" s="323" t="str">
        <f>IFERROR(VLOOKUP(H1546,Lijsten!$H$1:$I$100,2,0),"")</f>
        <v/>
      </c>
      <c r="N1546" s="323" t="str">
        <f ca="1">IFERROR(IF(VLOOKUP(F1546,Kostentypen!$A$3:$E$21,3,0)=0,"",IF(OR(F1546="Arbeidskosten",F1546="Vergoeding"),VLOOKUP(G1546,Tb_KostenTypen[],2,0),VLOOKUP(F1546,Kostentypen!$A$3:$E$20,3,0))),"")</f>
        <v/>
      </c>
      <c r="O1546" s="324"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4"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3"/>
      <c r="R1546" s="363"/>
      <c r="S1546" s="325"/>
      <c r="T1546" s="325"/>
      <c r="U1546" s="317" t="str" cm="1">
        <f t="array" aca="1" ref="U1546" ca="1">IFERROR(IF(AA1546&lt;&gt;"ja",_xlfn.IFNA(_xlfn.IFS(AND(O1546&lt;&gt;"",F1546&lt;&gt;"",RIGHT($N1546,6)="tarief",F1546="Vergoeding"),SUM(O1546)*FLOOR(SUM(Q1546),0.0001),AND(O1546&lt;&gt;"",F1546&lt;&gt;"",RIGHT($N1546,6)="tarief"),SUM(O1546)*FLOOR(SUM(Q1546),0.01),S1546&gt;0,IF(F1546&lt;&gt;"",FLOOR(SUM(S1546),0.01),"")),""),""),"")</f>
        <v/>
      </c>
      <c r="V1546" s="317" t="str" cm="1">
        <f t="array" aca="1" ref="V1546" ca="1">IFERROR(IF(AA1546&lt;&gt;"ja",_xlfn.IFNA(_xlfn.IFS(AND(P1546&lt;&gt;"",R1546&lt;&gt;"",RIGHT($N1546,6)="tarief",F1546="Vergoeding"),SUM(P1546)*FLOOR(SUM(R1546),0.0001),AND(P1546&lt;&gt;"",R1546&lt;&gt;"",RIGHT($N1546,6)="tarief"),P1546*FLOOR(R1546,0.01),T1546&gt;0,FLOOR(SUM(T1546),0.01)),""),""),"")</f>
        <v/>
      </c>
      <c r="W1546" s="317" t="str" cm="1">
        <f t="array" aca="1" ref="W1546" ca="1">IFERROR(_xlfn.IFS(OR(F1546="",LEFT(Methode_Keuze,4)="Geen",Methode_Keuze=""),"",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17" t="str" cm="1">
        <f t="array" aca="1" ref="X1546" ca="1">IFERROR(_xlfn.IFS(OR(F1546="",LEFT(Methode_Keuze,4)="Geen",Methode_Keuze=""),"",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26"/>
      <c r="Z1546" s="319"/>
      <c r="AA1546" s="32" t="str" cm="1">
        <f t="array" ref="AA1546">IFERROR(IF(INDEX(SubsidieTabel!$AD$1:$AG$12,MATCH($F1546,SubsidieTabel!$AD$1:$AD$12,0),IFERROR(MATCH(Methode_Keuze,SubsidieTabel!$AD$1:$AG$1,0),2))&lt;&gt;1=TRUE,"ja",""),"")</f>
        <v/>
      </c>
    </row>
    <row r="1547" spans="1:27" x14ac:dyDescent="0.25">
      <c r="A1547" s="320"/>
      <c r="B1547" s="321" t="str">
        <f>IF(A1547&lt;&gt;"",_xlfn.MAXIFS($B$1:B1546,$A$1:A1546,A1547)+1,"")</f>
        <v/>
      </c>
      <c r="C1547" s="299"/>
      <c r="D1547" s="299"/>
      <c r="E1547" s="299"/>
      <c r="F1547" s="299"/>
      <c r="G1547" s="330"/>
      <c r="H1547" s="328"/>
      <c r="I1547" s="329"/>
      <c r="J1547" s="329"/>
      <c r="K1547" s="322"/>
      <c r="L1547" s="322"/>
      <c r="M1547" s="323" t="str">
        <f>IFERROR(VLOOKUP(H1547,Lijsten!$H$1:$I$100,2,0),"")</f>
        <v/>
      </c>
      <c r="N1547" s="323" t="str">
        <f ca="1">IFERROR(IF(VLOOKUP(F1547,Kostentypen!$A$3:$E$21,3,0)=0,"",IF(OR(F1547="Arbeidskosten",F1547="Vergoeding"),VLOOKUP(G1547,Tb_KostenTypen[],2,0),VLOOKUP(F1547,Kostentypen!$A$3:$E$20,3,0))),"")</f>
        <v/>
      </c>
      <c r="O1547" s="324"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4"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3"/>
      <c r="R1547" s="363"/>
      <c r="S1547" s="325"/>
      <c r="T1547" s="325"/>
      <c r="U1547" s="317" t="str" cm="1">
        <f t="array" aca="1" ref="U1547" ca="1">IFERROR(IF(AA1547&lt;&gt;"ja",_xlfn.IFNA(_xlfn.IFS(AND(O1547&lt;&gt;"",F1547&lt;&gt;"",RIGHT($N1547,6)="tarief",F1547="Vergoeding"),SUM(O1547)*FLOOR(SUM(Q1547),0.0001),AND(O1547&lt;&gt;"",F1547&lt;&gt;"",RIGHT($N1547,6)="tarief"),SUM(O1547)*FLOOR(SUM(Q1547),0.01),S1547&gt;0,IF(F1547&lt;&gt;"",FLOOR(SUM(S1547),0.01),"")),""),""),"")</f>
        <v/>
      </c>
      <c r="V1547" s="317" t="str" cm="1">
        <f t="array" aca="1" ref="V1547" ca="1">IFERROR(IF(AA1547&lt;&gt;"ja",_xlfn.IFNA(_xlfn.IFS(AND(P1547&lt;&gt;"",R1547&lt;&gt;"",RIGHT($N1547,6)="tarief",F1547="Vergoeding"),SUM(P1547)*FLOOR(SUM(R1547),0.0001),AND(P1547&lt;&gt;"",R1547&lt;&gt;"",RIGHT($N1547,6)="tarief"),P1547*FLOOR(R1547,0.01),T1547&gt;0,FLOOR(SUM(T1547),0.01)),""),""),"")</f>
        <v/>
      </c>
      <c r="W1547" s="317" t="str" cm="1">
        <f t="array" aca="1" ref="W1547" ca="1">IFERROR(_xlfn.IFS(OR(F1547="",LEFT(Methode_Keuze,4)="Geen",Methode_Keuze=""),"",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17" t="str" cm="1">
        <f t="array" aca="1" ref="X1547" ca="1">IFERROR(_xlfn.IFS(OR(F1547="",LEFT(Methode_Keuze,4)="Geen",Methode_Keuze=""),"",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26"/>
      <c r="Z1547" s="319"/>
      <c r="AA1547" s="32" t="str" cm="1">
        <f t="array" ref="AA1547">IFERROR(IF(INDEX(SubsidieTabel!$AD$1:$AG$12,MATCH($F1547,SubsidieTabel!$AD$1:$AD$12,0),IFERROR(MATCH(Methode_Keuze,SubsidieTabel!$AD$1:$AG$1,0),2))&lt;&gt;1=TRUE,"ja",""),"")</f>
        <v/>
      </c>
    </row>
    <row r="1548" spans="1:27" x14ac:dyDescent="0.25">
      <c r="A1548" s="320"/>
      <c r="B1548" s="321" t="str">
        <f>IF(A1548&lt;&gt;"",_xlfn.MAXIFS($B$1:B1547,$A$1:A1547,A1548)+1,"")</f>
        <v/>
      </c>
      <c r="C1548" s="299"/>
      <c r="D1548" s="299"/>
      <c r="E1548" s="299"/>
      <c r="F1548" s="299"/>
      <c r="G1548" s="330"/>
      <c r="H1548" s="328"/>
      <c r="I1548" s="329"/>
      <c r="J1548" s="329"/>
      <c r="K1548" s="322"/>
      <c r="L1548" s="322"/>
      <c r="M1548" s="323" t="str">
        <f>IFERROR(VLOOKUP(H1548,Lijsten!$H$1:$I$100,2,0),"")</f>
        <v/>
      </c>
      <c r="N1548" s="323" t="str">
        <f ca="1">IFERROR(IF(VLOOKUP(F1548,Kostentypen!$A$3:$E$21,3,0)=0,"",IF(OR(F1548="Arbeidskosten",F1548="Vergoeding"),VLOOKUP(G1548,Tb_KostenTypen[],2,0),VLOOKUP(F1548,Kostentypen!$A$3:$E$20,3,0))),"")</f>
        <v/>
      </c>
      <c r="O1548" s="324"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4"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3"/>
      <c r="R1548" s="363"/>
      <c r="S1548" s="325"/>
      <c r="T1548" s="325"/>
      <c r="U1548" s="317" t="str" cm="1">
        <f t="array" aca="1" ref="U1548" ca="1">IFERROR(IF(AA1548&lt;&gt;"ja",_xlfn.IFNA(_xlfn.IFS(AND(O1548&lt;&gt;"",F1548&lt;&gt;"",RIGHT($N1548,6)="tarief",F1548="Vergoeding"),SUM(O1548)*FLOOR(SUM(Q1548),0.0001),AND(O1548&lt;&gt;"",F1548&lt;&gt;"",RIGHT($N1548,6)="tarief"),SUM(O1548)*FLOOR(SUM(Q1548),0.01),S1548&gt;0,IF(F1548&lt;&gt;"",FLOOR(SUM(S1548),0.01),"")),""),""),"")</f>
        <v/>
      </c>
      <c r="V1548" s="317" t="str" cm="1">
        <f t="array" aca="1" ref="V1548" ca="1">IFERROR(IF(AA1548&lt;&gt;"ja",_xlfn.IFNA(_xlfn.IFS(AND(P1548&lt;&gt;"",R1548&lt;&gt;"",RIGHT($N1548,6)="tarief",F1548="Vergoeding"),SUM(P1548)*FLOOR(SUM(R1548),0.0001),AND(P1548&lt;&gt;"",R1548&lt;&gt;"",RIGHT($N1548,6)="tarief"),P1548*FLOOR(R1548,0.01),T1548&gt;0,FLOOR(SUM(T1548),0.01)),""),""),"")</f>
        <v/>
      </c>
      <c r="W1548" s="317" t="str" cm="1">
        <f t="array" aca="1" ref="W1548" ca="1">IFERROR(_xlfn.IFS(OR(F1548="",LEFT(Methode_Keuze,4)="Geen",Methode_Keuze=""),"",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17" t="str" cm="1">
        <f t="array" aca="1" ref="X1548" ca="1">IFERROR(_xlfn.IFS(OR(F1548="",LEFT(Methode_Keuze,4)="Geen",Methode_Keuze=""),"",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26"/>
      <c r="Z1548" s="319"/>
      <c r="AA1548" s="32" t="str" cm="1">
        <f t="array" ref="AA1548">IFERROR(IF(INDEX(SubsidieTabel!$AD$1:$AG$12,MATCH($F1548,SubsidieTabel!$AD$1:$AD$12,0),IFERROR(MATCH(Methode_Keuze,SubsidieTabel!$AD$1:$AG$1,0),2))&lt;&gt;1=TRUE,"ja",""),"")</f>
        <v/>
      </c>
    </row>
    <row r="1549" spans="1:27" x14ac:dyDescent="0.25">
      <c r="A1549" s="320"/>
      <c r="B1549" s="321" t="str">
        <f>IF(A1549&lt;&gt;"",_xlfn.MAXIFS($B$1:B1548,$A$1:A1548,A1549)+1,"")</f>
        <v/>
      </c>
      <c r="C1549" s="299"/>
      <c r="D1549" s="299"/>
      <c r="E1549" s="299"/>
      <c r="F1549" s="299"/>
      <c r="G1549" s="330"/>
      <c r="H1549" s="328"/>
      <c r="I1549" s="329"/>
      <c r="J1549" s="329"/>
      <c r="K1549" s="322"/>
      <c r="L1549" s="322"/>
      <c r="M1549" s="323" t="str">
        <f>IFERROR(VLOOKUP(H1549,Lijsten!$H$1:$I$100,2,0),"")</f>
        <v/>
      </c>
      <c r="N1549" s="323" t="str">
        <f ca="1">IFERROR(IF(VLOOKUP(F1549,Kostentypen!$A$3:$E$21,3,0)=0,"",IF(OR(F1549="Arbeidskosten",F1549="Vergoeding"),VLOOKUP(G1549,Tb_KostenTypen[],2,0),VLOOKUP(F1549,Kostentypen!$A$3:$E$20,3,0))),"")</f>
        <v/>
      </c>
      <c r="O1549" s="324"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4"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3"/>
      <c r="R1549" s="363"/>
      <c r="S1549" s="325"/>
      <c r="T1549" s="325"/>
      <c r="U1549" s="317" t="str" cm="1">
        <f t="array" aca="1" ref="U1549" ca="1">IFERROR(IF(AA1549&lt;&gt;"ja",_xlfn.IFNA(_xlfn.IFS(AND(O1549&lt;&gt;"",F1549&lt;&gt;"",RIGHT($N1549,6)="tarief",F1549="Vergoeding"),SUM(O1549)*FLOOR(SUM(Q1549),0.0001),AND(O1549&lt;&gt;"",F1549&lt;&gt;"",RIGHT($N1549,6)="tarief"),SUM(O1549)*FLOOR(SUM(Q1549),0.01),S1549&gt;0,IF(F1549&lt;&gt;"",FLOOR(SUM(S1549),0.01),"")),""),""),"")</f>
        <v/>
      </c>
      <c r="V1549" s="317" t="str" cm="1">
        <f t="array" aca="1" ref="V1549" ca="1">IFERROR(IF(AA1549&lt;&gt;"ja",_xlfn.IFNA(_xlfn.IFS(AND(P1549&lt;&gt;"",R1549&lt;&gt;"",RIGHT($N1549,6)="tarief",F1549="Vergoeding"),SUM(P1549)*FLOOR(SUM(R1549),0.0001),AND(P1549&lt;&gt;"",R1549&lt;&gt;"",RIGHT($N1549,6)="tarief"),P1549*FLOOR(R1549,0.01),T1549&gt;0,FLOOR(SUM(T1549),0.01)),""),""),"")</f>
        <v/>
      </c>
      <c r="W1549" s="317" t="str" cm="1">
        <f t="array" aca="1" ref="W1549" ca="1">IFERROR(_xlfn.IFS(OR(F1549="",LEFT(Methode_Keuze,4)="Geen",Methode_Keuze=""),"",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17" t="str" cm="1">
        <f t="array" aca="1" ref="X1549" ca="1">IFERROR(_xlfn.IFS(OR(F1549="",LEFT(Methode_Keuze,4)="Geen",Methode_Keuze=""),"",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26"/>
      <c r="Z1549" s="319"/>
      <c r="AA1549" s="32" t="str" cm="1">
        <f t="array" ref="AA1549">IFERROR(IF(INDEX(SubsidieTabel!$AD$1:$AG$12,MATCH($F1549,SubsidieTabel!$AD$1:$AD$12,0),IFERROR(MATCH(Methode_Keuze,SubsidieTabel!$AD$1:$AG$1,0),2))&lt;&gt;1=TRUE,"ja",""),"")</f>
        <v/>
      </c>
    </row>
    <row r="1550" spans="1:27" x14ac:dyDescent="0.25">
      <c r="A1550" s="320"/>
      <c r="B1550" s="321" t="str">
        <f>IF(A1550&lt;&gt;"",_xlfn.MAXIFS($B$1:B1549,$A$1:A1549,A1550)+1,"")</f>
        <v/>
      </c>
      <c r="C1550" s="299"/>
      <c r="D1550" s="299"/>
      <c r="E1550" s="299"/>
      <c r="F1550" s="299"/>
      <c r="G1550" s="330"/>
      <c r="H1550" s="328"/>
      <c r="I1550" s="329"/>
      <c r="J1550" s="329"/>
      <c r="K1550" s="322"/>
      <c r="L1550" s="322"/>
      <c r="M1550" s="323" t="str">
        <f>IFERROR(VLOOKUP(H1550,Lijsten!$H$1:$I$100,2,0),"")</f>
        <v/>
      </c>
      <c r="N1550" s="323" t="str">
        <f ca="1">IFERROR(IF(VLOOKUP(F1550,Kostentypen!$A$3:$E$21,3,0)=0,"",IF(OR(F1550="Arbeidskosten",F1550="Vergoeding"),VLOOKUP(G1550,Tb_KostenTypen[],2,0),VLOOKUP(F1550,Kostentypen!$A$3:$E$20,3,0))),"")</f>
        <v/>
      </c>
      <c r="O1550" s="324"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4"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3"/>
      <c r="R1550" s="363"/>
      <c r="S1550" s="325"/>
      <c r="T1550" s="325"/>
      <c r="U1550" s="317" t="str" cm="1">
        <f t="array" aca="1" ref="U1550" ca="1">IFERROR(IF(AA1550&lt;&gt;"ja",_xlfn.IFNA(_xlfn.IFS(AND(O1550&lt;&gt;"",F1550&lt;&gt;"",RIGHT($N1550,6)="tarief",F1550="Vergoeding"),SUM(O1550)*FLOOR(SUM(Q1550),0.0001),AND(O1550&lt;&gt;"",F1550&lt;&gt;"",RIGHT($N1550,6)="tarief"),SUM(O1550)*FLOOR(SUM(Q1550),0.01),S1550&gt;0,IF(F1550&lt;&gt;"",FLOOR(SUM(S1550),0.01),"")),""),""),"")</f>
        <v/>
      </c>
      <c r="V1550" s="317" t="str" cm="1">
        <f t="array" aca="1" ref="V1550" ca="1">IFERROR(IF(AA1550&lt;&gt;"ja",_xlfn.IFNA(_xlfn.IFS(AND(P1550&lt;&gt;"",R1550&lt;&gt;"",RIGHT($N1550,6)="tarief",F1550="Vergoeding"),SUM(P1550)*FLOOR(SUM(R1550),0.0001),AND(P1550&lt;&gt;"",R1550&lt;&gt;"",RIGHT($N1550,6)="tarief"),P1550*FLOOR(R1550,0.01),T1550&gt;0,FLOOR(SUM(T1550),0.01)),""),""),"")</f>
        <v/>
      </c>
      <c r="W1550" s="317" t="str" cm="1">
        <f t="array" aca="1" ref="W1550" ca="1">IFERROR(_xlfn.IFS(OR(F1550="",LEFT(Methode_Keuze,4)="Geen",Methode_Keuze=""),"",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17" t="str" cm="1">
        <f t="array" aca="1" ref="X1550" ca="1">IFERROR(_xlfn.IFS(OR(F1550="",LEFT(Methode_Keuze,4)="Geen",Methode_Keuze=""),"",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26"/>
      <c r="Z1550" s="319"/>
      <c r="AA1550" s="32" t="str" cm="1">
        <f t="array" ref="AA1550">IFERROR(IF(INDEX(SubsidieTabel!$AD$1:$AG$12,MATCH($F1550,SubsidieTabel!$AD$1:$AD$12,0),IFERROR(MATCH(Methode_Keuze,SubsidieTabel!$AD$1:$AG$1,0),2))&lt;&gt;1=TRUE,"ja",""),"")</f>
        <v/>
      </c>
    </row>
    <row r="1551" spans="1:27" x14ac:dyDescent="0.25">
      <c r="A1551" s="320"/>
      <c r="B1551" s="321" t="str">
        <f>IF(A1551&lt;&gt;"",_xlfn.MAXIFS($B$1:B1550,$A$1:A1550,A1551)+1,"")</f>
        <v/>
      </c>
      <c r="C1551" s="299"/>
      <c r="D1551" s="299"/>
      <c r="E1551" s="299"/>
      <c r="F1551" s="299"/>
      <c r="G1551" s="330"/>
      <c r="H1551" s="328"/>
      <c r="I1551" s="329"/>
      <c r="J1551" s="329"/>
      <c r="K1551" s="322"/>
      <c r="L1551" s="322"/>
      <c r="M1551" s="323" t="str">
        <f>IFERROR(VLOOKUP(H1551,Lijsten!$H$1:$I$100,2,0),"")</f>
        <v/>
      </c>
      <c r="N1551" s="323" t="str">
        <f ca="1">IFERROR(IF(VLOOKUP(F1551,Kostentypen!$A$3:$E$21,3,0)=0,"",IF(OR(F1551="Arbeidskosten",F1551="Vergoeding"),VLOOKUP(G1551,Tb_KostenTypen[],2,0),VLOOKUP(F1551,Kostentypen!$A$3:$E$20,3,0))),"")</f>
        <v/>
      </c>
      <c r="O1551" s="324"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4"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3"/>
      <c r="R1551" s="363"/>
      <c r="S1551" s="325"/>
      <c r="T1551" s="325"/>
      <c r="U1551" s="317" t="str" cm="1">
        <f t="array" aca="1" ref="U1551" ca="1">IFERROR(IF(AA1551&lt;&gt;"ja",_xlfn.IFNA(_xlfn.IFS(AND(O1551&lt;&gt;"",F1551&lt;&gt;"",RIGHT($N1551,6)="tarief",F1551="Vergoeding"),SUM(O1551)*FLOOR(SUM(Q1551),0.0001),AND(O1551&lt;&gt;"",F1551&lt;&gt;"",RIGHT($N1551,6)="tarief"),SUM(O1551)*FLOOR(SUM(Q1551),0.01),S1551&gt;0,IF(F1551&lt;&gt;"",FLOOR(SUM(S1551),0.01),"")),""),""),"")</f>
        <v/>
      </c>
      <c r="V1551" s="317" t="str" cm="1">
        <f t="array" aca="1" ref="V1551" ca="1">IFERROR(IF(AA1551&lt;&gt;"ja",_xlfn.IFNA(_xlfn.IFS(AND(P1551&lt;&gt;"",R1551&lt;&gt;"",RIGHT($N1551,6)="tarief",F1551="Vergoeding"),SUM(P1551)*FLOOR(SUM(R1551),0.0001),AND(P1551&lt;&gt;"",R1551&lt;&gt;"",RIGHT($N1551,6)="tarief"),P1551*FLOOR(R1551,0.01),T1551&gt;0,FLOOR(SUM(T1551),0.01)),""),""),"")</f>
        <v/>
      </c>
      <c r="W1551" s="317" t="str" cm="1">
        <f t="array" aca="1" ref="W1551" ca="1">IFERROR(_xlfn.IFS(OR(F1551="",LEFT(Methode_Keuze,4)="Geen",Methode_Keuze=""),"",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17" t="str" cm="1">
        <f t="array" aca="1" ref="X1551" ca="1">IFERROR(_xlfn.IFS(OR(F1551="",LEFT(Methode_Keuze,4)="Geen",Methode_Keuze=""),"",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26"/>
      <c r="Z1551" s="319"/>
      <c r="AA1551" s="32" t="str" cm="1">
        <f t="array" ref="AA1551">IFERROR(IF(INDEX(SubsidieTabel!$AD$1:$AG$12,MATCH($F1551,SubsidieTabel!$AD$1:$AD$12,0),IFERROR(MATCH(Methode_Keuze,SubsidieTabel!$AD$1:$AG$1,0),2))&lt;&gt;1=TRUE,"ja",""),"")</f>
        <v/>
      </c>
    </row>
    <row r="1552" spans="1:27" x14ac:dyDescent="0.25">
      <c r="A1552" s="320"/>
      <c r="B1552" s="321" t="str">
        <f>IF(A1552&lt;&gt;"",_xlfn.MAXIFS($B$1:B1551,$A$1:A1551,A1552)+1,"")</f>
        <v/>
      </c>
      <c r="C1552" s="299"/>
      <c r="D1552" s="299"/>
      <c r="E1552" s="299"/>
      <c r="F1552" s="299"/>
      <c r="G1552" s="330"/>
      <c r="H1552" s="328"/>
      <c r="I1552" s="329"/>
      <c r="J1552" s="329"/>
      <c r="K1552" s="322"/>
      <c r="L1552" s="322"/>
      <c r="M1552" s="323" t="str">
        <f>IFERROR(VLOOKUP(H1552,Lijsten!$H$1:$I$100,2,0),"")</f>
        <v/>
      </c>
      <c r="N1552" s="323" t="str">
        <f ca="1">IFERROR(IF(VLOOKUP(F1552,Kostentypen!$A$3:$E$21,3,0)=0,"",IF(OR(F1552="Arbeidskosten",F1552="Vergoeding"),VLOOKUP(G1552,Tb_KostenTypen[],2,0),VLOOKUP(F1552,Kostentypen!$A$3:$E$20,3,0))),"")</f>
        <v/>
      </c>
      <c r="O1552" s="324"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4"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3"/>
      <c r="R1552" s="363"/>
      <c r="S1552" s="325"/>
      <c r="T1552" s="325"/>
      <c r="U1552" s="317" t="str" cm="1">
        <f t="array" aca="1" ref="U1552" ca="1">IFERROR(IF(AA1552&lt;&gt;"ja",_xlfn.IFNA(_xlfn.IFS(AND(O1552&lt;&gt;"",F1552&lt;&gt;"",RIGHT($N1552,6)="tarief",F1552="Vergoeding"),SUM(O1552)*FLOOR(SUM(Q1552),0.0001),AND(O1552&lt;&gt;"",F1552&lt;&gt;"",RIGHT($N1552,6)="tarief"),SUM(O1552)*FLOOR(SUM(Q1552),0.01),S1552&gt;0,IF(F1552&lt;&gt;"",FLOOR(SUM(S1552),0.01),"")),""),""),"")</f>
        <v/>
      </c>
      <c r="V1552" s="317" t="str" cm="1">
        <f t="array" aca="1" ref="V1552" ca="1">IFERROR(IF(AA1552&lt;&gt;"ja",_xlfn.IFNA(_xlfn.IFS(AND(P1552&lt;&gt;"",R1552&lt;&gt;"",RIGHT($N1552,6)="tarief",F1552="Vergoeding"),SUM(P1552)*FLOOR(SUM(R1552),0.0001),AND(P1552&lt;&gt;"",R1552&lt;&gt;"",RIGHT($N1552,6)="tarief"),P1552*FLOOR(R1552,0.01),T1552&gt;0,FLOOR(SUM(T1552),0.01)),""),""),"")</f>
        <v/>
      </c>
      <c r="W1552" s="317" t="str" cm="1">
        <f t="array" aca="1" ref="W1552" ca="1">IFERROR(_xlfn.IFS(OR(F1552="",LEFT(Methode_Keuze,4)="Geen",Methode_Keuze=""),"",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17" t="str" cm="1">
        <f t="array" aca="1" ref="X1552" ca="1">IFERROR(_xlfn.IFS(OR(F1552="",LEFT(Methode_Keuze,4)="Geen",Methode_Keuze=""),"",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26"/>
      <c r="Z1552" s="319"/>
      <c r="AA1552" s="32" t="str" cm="1">
        <f t="array" ref="AA1552">IFERROR(IF(INDEX(SubsidieTabel!$AD$1:$AG$12,MATCH($F1552,SubsidieTabel!$AD$1:$AD$12,0),IFERROR(MATCH(Methode_Keuze,SubsidieTabel!$AD$1:$AG$1,0),2))&lt;&gt;1=TRUE,"ja",""),"")</f>
        <v/>
      </c>
    </row>
    <row r="1553" spans="1:27" x14ac:dyDescent="0.25">
      <c r="A1553" s="320"/>
      <c r="B1553" s="321" t="str">
        <f>IF(A1553&lt;&gt;"",_xlfn.MAXIFS($B$1:B1552,$A$1:A1552,A1553)+1,"")</f>
        <v/>
      </c>
      <c r="C1553" s="299"/>
      <c r="D1553" s="299"/>
      <c r="E1553" s="299"/>
      <c r="F1553" s="299"/>
      <c r="G1553" s="330"/>
      <c r="H1553" s="328"/>
      <c r="I1553" s="329"/>
      <c r="J1553" s="329"/>
      <c r="K1553" s="322"/>
      <c r="L1553" s="322"/>
      <c r="M1553" s="323" t="str">
        <f>IFERROR(VLOOKUP(H1553,Lijsten!$H$1:$I$100,2,0),"")</f>
        <v/>
      </c>
      <c r="N1553" s="323" t="str">
        <f ca="1">IFERROR(IF(VLOOKUP(F1553,Kostentypen!$A$3:$E$21,3,0)=0,"",IF(OR(F1553="Arbeidskosten",F1553="Vergoeding"),VLOOKUP(G1553,Tb_KostenTypen[],2,0),VLOOKUP(F1553,Kostentypen!$A$3:$E$20,3,0))),"")</f>
        <v/>
      </c>
      <c r="O1553" s="324"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4"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3"/>
      <c r="R1553" s="363"/>
      <c r="S1553" s="325"/>
      <c r="T1553" s="325"/>
      <c r="U1553" s="317" t="str" cm="1">
        <f t="array" aca="1" ref="U1553" ca="1">IFERROR(IF(AA1553&lt;&gt;"ja",_xlfn.IFNA(_xlfn.IFS(AND(O1553&lt;&gt;"",F1553&lt;&gt;"",RIGHT($N1553,6)="tarief",F1553="Vergoeding"),SUM(O1553)*FLOOR(SUM(Q1553),0.0001),AND(O1553&lt;&gt;"",F1553&lt;&gt;"",RIGHT($N1553,6)="tarief"),SUM(O1553)*FLOOR(SUM(Q1553),0.01),S1553&gt;0,IF(F1553&lt;&gt;"",FLOOR(SUM(S1553),0.01),"")),""),""),"")</f>
        <v/>
      </c>
      <c r="V1553" s="317" t="str" cm="1">
        <f t="array" aca="1" ref="V1553" ca="1">IFERROR(IF(AA1553&lt;&gt;"ja",_xlfn.IFNA(_xlfn.IFS(AND(P1553&lt;&gt;"",R1553&lt;&gt;"",RIGHT($N1553,6)="tarief",F1553="Vergoeding"),SUM(P1553)*FLOOR(SUM(R1553),0.0001),AND(P1553&lt;&gt;"",R1553&lt;&gt;"",RIGHT($N1553,6)="tarief"),P1553*FLOOR(R1553,0.01),T1553&gt;0,FLOOR(SUM(T1553),0.01)),""),""),"")</f>
        <v/>
      </c>
      <c r="W1553" s="317" t="str" cm="1">
        <f t="array" aca="1" ref="W1553" ca="1">IFERROR(_xlfn.IFS(OR(F1553="",LEFT(Methode_Keuze,4)="Geen",Methode_Keuze=""),"",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17" t="str" cm="1">
        <f t="array" aca="1" ref="X1553" ca="1">IFERROR(_xlfn.IFS(OR(F1553="",LEFT(Methode_Keuze,4)="Geen",Methode_Keuze=""),"",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26"/>
      <c r="Z1553" s="319"/>
      <c r="AA1553" s="32" t="str" cm="1">
        <f t="array" ref="AA1553">IFERROR(IF(INDEX(SubsidieTabel!$AD$1:$AG$12,MATCH($F1553,SubsidieTabel!$AD$1:$AD$12,0),IFERROR(MATCH(Methode_Keuze,SubsidieTabel!$AD$1:$AG$1,0),2))&lt;&gt;1=TRUE,"ja",""),"")</f>
        <v/>
      </c>
    </row>
    <row r="1554" spans="1:27" x14ac:dyDescent="0.25">
      <c r="A1554" s="320"/>
      <c r="B1554" s="321" t="str">
        <f>IF(A1554&lt;&gt;"",_xlfn.MAXIFS($B$1:B1553,$A$1:A1553,A1554)+1,"")</f>
        <v/>
      </c>
      <c r="C1554" s="299"/>
      <c r="D1554" s="299"/>
      <c r="E1554" s="299"/>
      <c r="F1554" s="299"/>
      <c r="G1554" s="330"/>
      <c r="H1554" s="328"/>
      <c r="I1554" s="329"/>
      <c r="J1554" s="329"/>
      <c r="K1554" s="322"/>
      <c r="L1554" s="322"/>
      <c r="M1554" s="323" t="str">
        <f>IFERROR(VLOOKUP(H1554,Lijsten!$H$1:$I$100,2,0),"")</f>
        <v/>
      </c>
      <c r="N1554" s="323" t="str">
        <f ca="1">IFERROR(IF(VLOOKUP(F1554,Kostentypen!$A$3:$E$21,3,0)=0,"",IF(OR(F1554="Arbeidskosten",F1554="Vergoeding"),VLOOKUP(G1554,Tb_KostenTypen[],2,0),VLOOKUP(F1554,Kostentypen!$A$3:$E$20,3,0))),"")</f>
        <v/>
      </c>
      <c r="O1554" s="324"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4"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3"/>
      <c r="R1554" s="363"/>
      <c r="S1554" s="325"/>
      <c r="T1554" s="325"/>
      <c r="U1554" s="317" t="str" cm="1">
        <f t="array" aca="1" ref="U1554" ca="1">IFERROR(IF(AA1554&lt;&gt;"ja",_xlfn.IFNA(_xlfn.IFS(AND(O1554&lt;&gt;"",F1554&lt;&gt;"",RIGHT($N1554,6)="tarief",F1554="Vergoeding"),SUM(O1554)*FLOOR(SUM(Q1554),0.0001),AND(O1554&lt;&gt;"",F1554&lt;&gt;"",RIGHT($N1554,6)="tarief"),SUM(O1554)*FLOOR(SUM(Q1554),0.01),S1554&gt;0,IF(F1554&lt;&gt;"",FLOOR(SUM(S1554),0.01),"")),""),""),"")</f>
        <v/>
      </c>
      <c r="V1554" s="317" t="str" cm="1">
        <f t="array" aca="1" ref="V1554" ca="1">IFERROR(IF(AA1554&lt;&gt;"ja",_xlfn.IFNA(_xlfn.IFS(AND(P1554&lt;&gt;"",R1554&lt;&gt;"",RIGHT($N1554,6)="tarief",F1554="Vergoeding"),SUM(P1554)*FLOOR(SUM(R1554),0.0001),AND(P1554&lt;&gt;"",R1554&lt;&gt;"",RIGHT($N1554,6)="tarief"),P1554*FLOOR(R1554,0.01),T1554&gt;0,FLOOR(SUM(T1554),0.01)),""),""),"")</f>
        <v/>
      </c>
      <c r="W1554" s="317" t="str" cm="1">
        <f t="array" aca="1" ref="W1554" ca="1">IFERROR(_xlfn.IFS(OR(F1554="",LEFT(Methode_Keuze,4)="Geen",Methode_Keuze=""),"",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17" t="str" cm="1">
        <f t="array" aca="1" ref="X1554" ca="1">IFERROR(_xlfn.IFS(OR(F1554="",LEFT(Methode_Keuze,4)="Geen",Methode_Keuze=""),"",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26"/>
      <c r="Z1554" s="319"/>
      <c r="AA1554" s="32" t="str" cm="1">
        <f t="array" ref="AA1554">IFERROR(IF(INDEX(SubsidieTabel!$AD$1:$AG$12,MATCH($F1554,SubsidieTabel!$AD$1:$AD$12,0),IFERROR(MATCH(Methode_Keuze,SubsidieTabel!$AD$1:$AG$1,0),2))&lt;&gt;1=TRUE,"ja",""),"")</f>
        <v/>
      </c>
    </row>
    <row r="1555" spans="1:27" x14ac:dyDescent="0.25">
      <c r="A1555" s="320"/>
      <c r="B1555" s="321" t="str">
        <f>IF(A1555&lt;&gt;"",_xlfn.MAXIFS($B$1:B1554,$A$1:A1554,A1555)+1,"")</f>
        <v/>
      </c>
      <c r="C1555" s="299"/>
      <c r="D1555" s="299"/>
      <c r="E1555" s="299"/>
      <c r="F1555" s="299"/>
      <c r="G1555" s="330"/>
      <c r="H1555" s="328"/>
      <c r="I1555" s="329"/>
      <c r="J1555" s="329"/>
      <c r="K1555" s="322"/>
      <c r="L1555" s="322"/>
      <c r="M1555" s="323" t="str">
        <f>IFERROR(VLOOKUP(H1555,Lijsten!$H$1:$I$100,2,0),"")</f>
        <v/>
      </c>
      <c r="N1555" s="323" t="str">
        <f ca="1">IFERROR(IF(VLOOKUP(F1555,Kostentypen!$A$3:$E$21,3,0)=0,"",IF(OR(F1555="Arbeidskosten",F1555="Vergoeding"),VLOOKUP(G1555,Tb_KostenTypen[],2,0),VLOOKUP(F1555,Kostentypen!$A$3:$E$20,3,0))),"")</f>
        <v/>
      </c>
      <c r="O1555" s="324"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4"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3"/>
      <c r="R1555" s="363"/>
      <c r="S1555" s="325"/>
      <c r="T1555" s="325"/>
      <c r="U1555" s="317" t="str" cm="1">
        <f t="array" aca="1" ref="U1555" ca="1">IFERROR(IF(AA1555&lt;&gt;"ja",_xlfn.IFNA(_xlfn.IFS(AND(O1555&lt;&gt;"",F1555&lt;&gt;"",RIGHT($N1555,6)="tarief",F1555="Vergoeding"),SUM(O1555)*FLOOR(SUM(Q1555),0.0001),AND(O1555&lt;&gt;"",F1555&lt;&gt;"",RIGHT($N1555,6)="tarief"),SUM(O1555)*FLOOR(SUM(Q1555),0.01),S1555&gt;0,IF(F1555&lt;&gt;"",FLOOR(SUM(S1555),0.01),"")),""),""),"")</f>
        <v/>
      </c>
      <c r="V1555" s="317" t="str" cm="1">
        <f t="array" aca="1" ref="V1555" ca="1">IFERROR(IF(AA1555&lt;&gt;"ja",_xlfn.IFNA(_xlfn.IFS(AND(P1555&lt;&gt;"",R1555&lt;&gt;"",RIGHT($N1555,6)="tarief",F1555="Vergoeding"),SUM(P1555)*FLOOR(SUM(R1555),0.0001),AND(P1555&lt;&gt;"",R1555&lt;&gt;"",RIGHT($N1555,6)="tarief"),P1555*FLOOR(R1555,0.01),T1555&gt;0,FLOOR(SUM(T1555),0.01)),""),""),"")</f>
        <v/>
      </c>
      <c r="W1555" s="317" t="str" cm="1">
        <f t="array" aca="1" ref="W1555" ca="1">IFERROR(_xlfn.IFS(OR(F1555="",LEFT(Methode_Keuze,4)="Geen",Methode_Keuze=""),"",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17" t="str" cm="1">
        <f t="array" aca="1" ref="X1555" ca="1">IFERROR(_xlfn.IFS(OR(F1555="",LEFT(Methode_Keuze,4)="Geen",Methode_Keuze=""),"",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26"/>
      <c r="Z1555" s="319"/>
      <c r="AA1555" s="32" t="str" cm="1">
        <f t="array" ref="AA1555">IFERROR(IF(INDEX(SubsidieTabel!$AD$1:$AG$12,MATCH($F1555,SubsidieTabel!$AD$1:$AD$12,0),IFERROR(MATCH(Methode_Keuze,SubsidieTabel!$AD$1:$AG$1,0),2))&lt;&gt;1=TRUE,"ja",""),"")</f>
        <v/>
      </c>
    </row>
    <row r="1556" spans="1:27" x14ac:dyDescent="0.25">
      <c r="A1556" s="320"/>
      <c r="B1556" s="321" t="str">
        <f>IF(A1556&lt;&gt;"",_xlfn.MAXIFS($B$1:B1555,$A$1:A1555,A1556)+1,"")</f>
        <v/>
      </c>
      <c r="C1556" s="299"/>
      <c r="D1556" s="299"/>
      <c r="E1556" s="299"/>
      <c r="F1556" s="299"/>
      <c r="G1556" s="330"/>
      <c r="H1556" s="328"/>
      <c r="I1556" s="329"/>
      <c r="J1556" s="329"/>
      <c r="K1556" s="322"/>
      <c r="L1556" s="322"/>
      <c r="M1556" s="323" t="str">
        <f>IFERROR(VLOOKUP(H1556,Lijsten!$H$1:$I$100,2,0),"")</f>
        <v/>
      </c>
      <c r="N1556" s="323" t="str">
        <f ca="1">IFERROR(IF(VLOOKUP(F1556,Kostentypen!$A$3:$E$21,3,0)=0,"",IF(OR(F1556="Arbeidskosten",F1556="Vergoeding"),VLOOKUP(G1556,Tb_KostenTypen[],2,0),VLOOKUP(F1556,Kostentypen!$A$3:$E$20,3,0))),"")</f>
        <v/>
      </c>
      <c r="O1556" s="324"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4"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3"/>
      <c r="R1556" s="363"/>
      <c r="S1556" s="325"/>
      <c r="T1556" s="325"/>
      <c r="U1556" s="317" t="str" cm="1">
        <f t="array" aca="1" ref="U1556" ca="1">IFERROR(IF(AA1556&lt;&gt;"ja",_xlfn.IFNA(_xlfn.IFS(AND(O1556&lt;&gt;"",F1556&lt;&gt;"",RIGHT($N1556,6)="tarief",F1556="Vergoeding"),SUM(O1556)*FLOOR(SUM(Q1556),0.0001),AND(O1556&lt;&gt;"",F1556&lt;&gt;"",RIGHT($N1556,6)="tarief"),SUM(O1556)*FLOOR(SUM(Q1556),0.01),S1556&gt;0,IF(F1556&lt;&gt;"",FLOOR(SUM(S1556),0.01),"")),""),""),"")</f>
        <v/>
      </c>
      <c r="V1556" s="317" t="str" cm="1">
        <f t="array" aca="1" ref="V1556" ca="1">IFERROR(IF(AA1556&lt;&gt;"ja",_xlfn.IFNA(_xlfn.IFS(AND(P1556&lt;&gt;"",R1556&lt;&gt;"",RIGHT($N1556,6)="tarief",F1556="Vergoeding"),SUM(P1556)*FLOOR(SUM(R1556),0.0001),AND(P1556&lt;&gt;"",R1556&lt;&gt;"",RIGHT($N1556,6)="tarief"),P1556*FLOOR(R1556,0.01),T1556&gt;0,FLOOR(SUM(T1556),0.01)),""),""),"")</f>
        <v/>
      </c>
      <c r="W1556" s="317" t="str" cm="1">
        <f t="array" aca="1" ref="W1556" ca="1">IFERROR(_xlfn.IFS(OR(F1556="",LEFT(Methode_Keuze,4)="Geen",Methode_Keuze=""),"",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17" t="str" cm="1">
        <f t="array" aca="1" ref="X1556" ca="1">IFERROR(_xlfn.IFS(OR(F1556="",LEFT(Methode_Keuze,4)="Geen",Methode_Keuze=""),"",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26"/>
      <c r="Z1556" s="319"/>
      <c r="AA1556" s="32" t="str" cm="1">
        <f t="array" ref="AA1556">IFERROR(IF(INDEX(SubsidieTabel!$AD$1:$AG$12,MATCH($F1556,SubsidieTabel!$AD$1:$AD$12,0),IFERROR(MATCH(Methode_Keuze,SubsidieTabel!$AD$1:$AG$1,0),2))&lt;&gt;1=TRUE,"ja",""),"")</f>
        <v/>
      </c>
    </row>
    <row r="1557" spans="1:27" x14ac:dyDescent="0.25">
      <c r="A1557" s="320"/>
      <c r="B1557" s="321" t="str">
        <f>IF(A1557&lt;&gt;"",_xlfn.MAXIFS($B$1:B1556,$A$1:A1556,A1557)+1,"")</f>
        <v/>
      </c>
      <c r="C1557" s="299"/>
      <c r="D1557" s="299"/>
      <c r="E1557" s="299"/>
      <c r="F1557" s="299"/>
      <c r="G1557" s="330"/>
      <c r="H1557" s="328"/>
      <c r="I1557" s="329"/>
      <c r="J1557" s="329"/>
      <c r="K1557" s="322"/>
      <c r="L1557" s="322"/>
      <c r="M1557" s="323" t="str">
        <f>IFERROR(VLOOKUP(H1557,Lijsten!$H$1:$I$100,2,0),"")</f>
        <v/>
      </c>
      <c r="N1557" s="323" t="str">
        <f ca="1">IFERROR(IF(VLOOKUP(F1557,Kostentypen!$A$3:$E$21,3,0)=0,"",IF(OR(F1557="Arbeidskosten",F1557="Vergoeding"),VLOOKUP(G1557,Tb_KostenTypen[],2,0),VLOOKUP(F1557,Kostentypen!$A$3:$E$20,3,0))),"")</f>
        <v/>
      </c>
      <c r="O1557" s="324"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4"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3"/>
      <c r="R1557" s="363"/>
      <c r="S1557" s="325"/>
      <c r="T1557" s="325"/>
      <c r="U1557" s="317" t="str" cm="1">
        <f t="array" aca="1" ref="U1557" ca="1">IFERROR(IF(AA1557&lt;&gt;"ja",_xlfn.IFNA(_xlfn.IFS(AND(O1557&lt;&gt;"",F1557&lt;&gt;"",RIGHT($N1557,6)="tarief",F1557="Vergoeding"),SUM(O1557)*FLOOR(SUM(Q1557),0.0001),AND(O1557&lt;&gt;"",F1557&lt;&gt;"",RIGHT($N1557,6)="tarief"),SUM(O1557)*FLOOR(SUM(Q1557),0.01),S1557&gt;0,IF(F1557&lt;&gt;"",FLOOR(SUM(S1557),0.01),"")),""),""),"")</f>
        <v/>
      </c>
      <c r="V1557" s="317" t="str" cm="1">
        <f t="array" aca="1" ref="V1557" ca="1">IFERROR(IF(AA1557&lt;&gt;"ja",_xlfn.IFNA(_xlfn.IFS(AND(P1557&lt;&gt;"",R1557&lt;&gt;"",RIGHT($N1557,6)="tarief",F1557="Vergoeding"),SUM(P1557)*FLOOR(SUM(R1557),0.0001),AND(P1557&lt;&gt;"",R1557&lt;&gt;"",RIGHT($N1557,6)="tarief"),P1557*FLOOR(R1557,0.01),T1557&gt;0,FLOOR(SUM(T1557),0.01)),""),""),"")</f>
        <v/>
      </c>
      <c r="W1557" s="317" t="str" cm="1">
        <f t="array" aca="1" ref="W1557" ca="1">IFERROR(_xlfn.IFS(OR(F1557="",LEFT(Methode_Keuze,4)="Geen",Methode_Keuze=""),"",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17" t="str" cm="1">
        <f t="array" aca="1" ref="X1557" ca="1">IFERROR(_xlfn.IFS(OR(F1557="",LEFT(Methode_Keuze,4)="Geen",Methode_Keuze=""),"",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26"/>
      <c r="Z1557" s="319"/>
      <c r="AA1557" s="32" t="str" cm="1">
        <f t="array" ref="AA1557">IFERROR(IF(INDEX(SubsidieTabel!$AD$1:$AG$12,MATCH($F1557,SubsidieTabel!$AD$1:$AD$12,0),IFERROR(MATCH(Methode_Keuze,SubsidieTabel!$AD$1:$AG$1,0),2))&lt;&gt;1=TRUE,"ja",""),"")</f>
        <v/>
      </c>
    </row>
    <row r="1558" spans="1:27" x14ac:dyDescent="0.25">
      <c r="A1558" s="320"/>
      <c r="B1558" s="321" t="str">
        <f>IF(A1558&lt;&gt;"",_xlfn.MAXIFS($B$1:B1557,$A$1:A1557,A1558)+1,"")</f>
        <v/>
      </c>
      <c r="C1558" s="299"/>
      <c r="D1558" s="299"/>
      <c r="E1558" s="299"/>
      <c r="F1558" s="299"/>
      <c r="G1558" s="330"/>
      <c r="H1558" s="328"/>
      <c r="I1558" s="329"/>
      <c r="J1558" s="329"/>
      <c r="K1558" s="322"/>
      <c r="L1558" s="322"/>
      <c r="M1558" s="323" t="str">
        <f>IFERROR(VLOOKUP(H1558,Lijsten!$H$1:$I$100,2,0),"")</f>
        <v/>
      </c>
      <c r="N1558" s="323" t="str">
        <f ca="1">IFERROR(IF(VLOOKUP(F1558,Kostentypen!$A$3:$E$21,3,0)=0,"",IF(OR(F1558="Arbeidskosten",F1558="Vergoeding"),VLOOKUP(G1558,Tb_KostenTypen[],2,0),VLOOKUP(F1558,Kostentypen!$A$3:$E$20,3,0))),"")</f>
        <v/>
      </c>
      <c r="O1558" s="324"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4"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3"/>
      <c r="R1558" s="363"/>
      <c r="S1558" s="325"/>
      <c r="T1558" s="325"/>
      <c r="U1558" s="317" t="str" cm="1">
        <f t="array" aca="1" ref="U1558" ca="1">IFERROR(IF(AA1558&lt;&gt;"ja",_xlfn.IFNA(_xlfn.IFS(AND(O1558&lt;&gt;"",F1558&lt;&gt;"",RIGHT($N1558,6)="tarief",F1558="Vergoeding"),SUM(O1558)*FLOOR(SUM(Q1558),0.0001),AND(O1558&lt;&gt;"",F1558&lt;&gt;"",RIGHT($N1558,6)="tarief"),SUM(O1558)*FLOOR(SUM(Q1558),0.01),S1558&gt;0,IF(F1558&lt;&gt;"",FLOOR(SUM(S1558),0.01),"")),""),""),"")</f>
        <v/>
      </c>
      <c r="V1558" s="317" t="str" cm="1">
        <f t="array" aca="1" ref="V1558" ca="1">IFERROR(IF(AA1558&lt;&gt;"ja",_xlfn.IFNA(_xlfn.IFS(AND(P1558&lt;&gt;"",R1558&lt;&gt;"",RIGHT($N1558,6)="tarief",F1558="Vergoeding"),SUM(P1558)*FLOOR(SUM(R1558),0.0001),AND(P1558&lt;&gt;"",R1558&lt;&gt;"",RIGHT($N1558,6)="tarief"),P1558*FLOOR(R1558,0.01),T1558&gt;0,FLOOR(SUM(T1558),0.01)),""),""),"")</f>
        <v/>
      </c>
      <c r="W1558" s="317" t="str" cm="1">
        <f t="array" aca="1" ref="W1558" ca="1">IFERROR(_xlfn.IFS(OR(F1558="",LEFT(Methode_Keuze,4)="Geen",Methode_Keuze=""),"",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17" t="str" cm="1">
        <f t="array" aca="1" ref="X1558" ca="1">IFERROR(_xlfn.IFS(OR(F1558="",LEFT(Methode_Keuze,4)="Geen",Methode_Keuze=""),"",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26"/>
      <c r="Z1558" s="319"/>
      <c r="AA1558" s="32" t="str" cm="1">
        <f t="array" ref="AA1558">IFERROR(IF(INDEX(SubsidieTabel!$AD$1:$AG$12,MATCH($F1558,SubsidieTabel!$AD$1:$AD$12,0),IFERROR(MATCH(Methode_Keuze,SubsidieTabel!$AD$1:$AG$1,0),2))&lt;&gt;1=TRUE,"ja",""),"")</f>
        <v/>
      </c>
    </row>
    <row r="1559" spans="1:27" x14ac:dyDescent="0.25">
      <c r="A1559" s="320"/>
      <c r="B1559" s="321" t="str">
        <f>IF(A1559&lt;&gt;"",_xlfn.MAXIFS($B$1:B1558,$A$1:A1558,A1559)+1,"")</f>
        <v/>
      </c>
      <c r="C1559" s="299"/>
      <c r="D1559" s="299"/>
      <c r="E1559" s="299"/>
      <c r="F1559" s="299"/>
      <c r="G1559" s="330"/>
      <c r="H1559" s="328"/>
      <c r="I1559" s="329"/>
      <c r="J1559" s="329"/>
      <c r="K1559" s="322"/>
      <c r="L1559" s="322"/>
      <c r="M1559" s="323" t="str">
        <f>IFERROR(VLOOKUP(H1559,Lijsten!$H$1:$I$100,2,0),"")</f>
        <v/>
      </c>
      <c r="N1559" s="323" t="str">
        <f ca="1">IFERROR(IF(VLOOKUP(F1559,Kostentypen!$A$3:$E$21,3,0)=0,"",IF(OR(F1559="Arbeidskosten",F1559="Vergoeding"),VLOOKUP(G1559,Tb_KostenTypen[],2,0),VLOOKUP(F1559,Kostentypen!$A$3:$E$20,3,0))),"")</f>
        <v/>
      </c>
      <c r="O1559" s="324"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4"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3"/>
      <c r="R1559" s="363"/>
      <c r="S1559" s="325"/>
      <c r="T1559" s="325"/>
      <c r="U1559" s="317" t="str" cm="1">
        <f t="array" aca="1" ref="U1559" ca="1">IFERROR(IF(AA1559&lt;&gt;"ja",_xlfn.IFNA(_xlfn.IFS(AND(O1559&lt;&gt;"",F1559&lt;&gt;"",RIGHT($N1559,6)="tarief",F1559="Vergoeding"),SUM(O1559)*FLOOR(SUM(Q1559),0.0001),AND(O1559&lt;&gt;"",F1559&lt;&gt;"",RIGHT($N1559,6)="tarief"),SUM(O1559)*FLOOR(SUM(Q1559),0.01),S1559&gt;0,IF(F1559&lt;&gt;"",FLOOR(SUM(S1559),0.01),"")),""),""),"")</f>
        <v/>
      </c>
      <c r="V1559" s="317" t="str" cm="1">
        <f t="array" aca="1" ref="V1559" ca="1">IFERROR(IF(AA1559&lt;&gt;"ja",_xlfn.IFNA(_xlfn.IFS(AND(P1559&lt;&gt;"",R1559&lt;&gt;"",RIGHT($N1559,6)="tarief",F1559="Vergoeding"),SUM(P1559)*FLOOR(SUM(R1559),0.0001),AND(P1559&lt;&gt;"",R1559&lt;&gt;"",RIGHT($N1559,6)="tarief"),P1559*FLOOR(R1559,0.01),T1559&gt;0,FLOOR(SUM(T1559),0.01)),""),""),"")</f>
        <v/>
      </c>
      <c r="W1559" s="317" t="str" cm="1">
        <f t="array" aca="1" ref="W1559" ca="1">IFERROR(_xlfn.IFS(OR(F1559="",LEFT(Methode_Keuze,4)="Geen",Methode_Keuze=""),"",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17" t="str" cm="1">
        <f t="array" aca="1" ref="X1559" ca="1">IFERROR(_xlfn.IFS(OR(F1559="",LEFT(Methode_Keuze,4)="Geen",Methode_Keuze=""),"",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26"/>
      <c r="Z1559" s="319"/>
      <c r="AA1559" s="32" t="str" cm="1">
        <f t="array" ref="AA1559">IFERROR(IF(INDEX(SubsidieTabel!$AD$1:$AG$12,MATCH($F1559,SubsidieTabel!$AD$1:$AD$12,0),IFERROR(MATCH(Methode_Keuze,SubsidieTabel!$AD$1:$AG$1,0),2))&lt;&gt;1=TRUE,"ja",""),"")</f>
        <v/>
      </c>
    </row>
    <row r="1560" spans="1:27" x14ac:dyDescent="0.25">
      <c r="A1560" s="320"/>
      <c r="B1560" s="321" t="str">
        <f>IF(A1560&lt;&gt;"",_xlfn.MAXIFS($B$1:B1559,$A$1:A1559,A1560)+1,"")</f>
        <v/>
      </c>
      <c r="C1560" s="299"/>
      <c r="D1560" s="299"/>
      <c r="E1560" s="299"/>
      <c r="F1560" s="299"/>
      <c r="G1560" s="330"/>
      <c r="H1560" s="328"/>
      <c r="I1560" s="329"/>
      <c r="J1560" s="329"/>
      <c r="K1560" s="322"/>
      <c r="L1560" s="322"/>
      <c r="M1560" s="323" t="str">
        <f>IFERROR(VLOOKUP(H1560,Lijsten!$H$1:$I$100,2,0),"")</f>
        <v/>
      </c>
      <c r="N1560" s="323" t="str">
        <f ca="1">IFERROR(IF(VLOOKUP(F1560,Kostentypen!$A$3:$E$21,3,0)=0,"",IF(OR(F1560="Arbeidskosten",F1560="Vergoeding"),VLOOKUP(G1560,Tb_KostenTypen[],2,0),VLOOKUP(F1560,Kostentypen!$A$3:$E$20,3,0))),"")</f>
        <v/>
      </c>
      <c r="O1560" s="324"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4"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3"/>
      <c r="R1560" s="363"/>
      <c r="S1560" s="325"/>
      <c r="T1560" s="325"/>
      <c r="U1560" s="317" t="str" cm="1">
        <f t="array" aca="1" ref="U1560" ca="1">IFERROR(IF(AA1560&lt;&gt;"ja",_xlfn.IFNA(_xlfn.IFS(AND(O1560&lt;&gt;"",F1560&lt;&gt;"",RIGHT($N1560,6)="tarief",F1560="Vergoeding"),SUM(O1560)*FLOOR(SUM(Q1560),0.0001),AND(O1560&lt;&gt;"",F1560&lt;&gt;"",RIGHT($N1560,6)="tarief"),SUM(O1560)*FLOOR(SUM(Q1560),0.01),S1560&gt;0,IF(F1560&lt;&gt;"",FLOOR(SUM(S1560),0.01),"")),""),""),"")</f>
        <v/>
      </c>
      <c r="V1560" s="317" t="str" cm="1">
        <f t="array" aca="1" ref="V1560" ca="1">IFERROR(IF(AA1560&lt;&gt;"ja",_xlfn.IFNA(_xlfn.IFS(AND(P1560&lt;&gt;"",R1560&lt;&gt;"",RIGHT($N1560,6)="tarief",F1560="Vergoeding"),SUM(P1560)*FLOOR(SUM(R1560),0.0001),AND(P1560&lt;&gt;"",R1560&lt;&gt;"",RIGHT($N1560,6)="tarief"),P1560*FLOOR(R1560,0.01),T1560&gt;0,FLOOR(SUM(T1560),0.01)),""),""),"")</f>
        <v/>
      </c>
      <c r="W1560" s="317" t="str" cm="1">
        <f t="array" aca="1" ref="W1560" ca="1">IFERROR(_xlfn.IFS(OR(F1560="",LEFT(Methode_Keuze,4)="Geen",Methode_Keuze=""),"",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17" t="str" cm="1">
        <f t="array" aca="1" ref="X1560" ca="1">IFERROR(_xlfn.IFS(OR(F1560="",LEFT(Methode_Keuze,4)="Geen",Methode_Keuze=""),"",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26"/>
      <c r="Z1560" s="319"/>
      <c r="AA1560" s="32" t="str" cm="1">
        <f t="array" ref="AA1560">IFERROR(IF(INDEX(SubsidieTabel!$AD$1:$AG$12,MATCH($F1560,SubsidieTabel!$AD$1:$AD$12,0),IFERROR(MATCH(Methode_Keuze,SubsidieTabel!$AD$1:$AG$1,0),2))&lt;&gt;1=TRUE,"ja",""),"")</f>
        <v/>
      </c>
    </row>
    <row r="1561" spans="1:27" x14ac:dyDescent="0.25">
      <c r="A1561" s="320"/>
      <c r="B1561" s="321" t="str">
        <f>IF(A1561&lt;&gt;"",_xlfn.MAXIFS($B$1:B1560,$A$1:A1560,A1561)+1,"")</f>
        <v/>
      </c>
      <c r="C1561" s="299"/>
      <c r="D1561" s="299"/>
      <c r="E1561" s="299"/>
      <c r="F1561" s="299"/>
      <c r="G1561" s="330"/>
      <c r="H1561" s="328"/>
      <c r="I1561" s="329"/>
      <c r="J1561" s="329"/>
      <c r="K1561" s="322"/>
      <c r="L1561" s="322"/>
      <c r="M1561" s="323" t="str">
        <f>IFERROR(VLOOKUP(H1561,Lijsten!$H$1:$I$100,2,0),"")</f>
        <v/>
      </c>
      <c r="N1561" s="323" t="str">
        <f ca="1">IFERROR(IF(VLOOKUP(F1561,Kostentypen!$A$3:$E$21,3,0)=0,"",IF(OR(F1561="Arbeidskosten",F1561="Vergoeding"),VLOOKUP(G1561,Tb_KostenTypen[],2,0),VLOOKUP(F1561,Kostentypen!$A$3:$E$20,3,0))),"")</f>
        <v/>
      </c>
      <c r="O1561" s="324"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4"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3"/>
      <c r="R1561" s="363"/>
      <c r="S1561" s="325"/>
      <c r="T1561" s="325"/>
      <c r="U1561" s="317" t="str" cm="1">
        <f t="array" aca="1" ref="U1561" ca="1">IFERROR(IF(AA1561&lt;&gt;"ja",_xlfn.IFNA(_xlfn.IFS(AND(O1561&lt;&gt;"",F1561&lt;&gt;"",RIGHT($N1561,6)="tarief",F1561="Vergoeding"),SUM(O1561)*FLOOR(SUM(Q1561),0.0001),AND(O1561&lt;&gt;"",F1561&lt;&gt;"",RIGHT($N1561,6)="tarief"),SUM(O1561)*FLOOR(SUM(Q1561),0.01),S1561&gt;0,IF(F1561&lt;&gt;"",FLOOR(SUM(S1561),0.01),"")),""),""),"")</f>
        <v/>
      </c>
      <c r="V1561" s="317" t="str" cm="1">
        <f t="array" aca="1" ref="V1561" ca="1">IFERROR(IF(AA1561&lt;&gt;"ja",_xlfn.IFNA(_xlfn.IFS(AND(P1561&lt;&gt;"",R1561&lt;&gt;"",RIGHT($N1561,6)="tarief",F1561="Vergoeding"),SUM(P1561)*FLOOR(SUM(R1561),0.0001),AND(P1561&lt;&gt;"",R1561&lt;&gt;"",RIGHT($N1561,6)="tarief"),P1561*FLOOR(R1561,0.01),T1561&gt;0,FLOOR(SUM(T1561),0.01)),""),""),"")</f>
        <v/>
      </c>
      <c r="W1561" s="317" t="str" cm="1">
        <f t="array" aca="1" ref="W1561" ca="1">IFERROR(_xlfn.IFS(OR(F1561="",LEFT(Methode_Keuze,4)="Geen",Methode_Keuze=""),"",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17" t="str" cm="1">
        <f t="array" aca="1" ref="X1561" ca="1">IFERROR(_xlfn.IFS(OR(F1561="",LEFT(Methode_Keuze,4)="Geen",Methode_Keuze=""),"",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26"/>
      <c r="Z1561" s="319"/>
      <c r="AA1561" s="32" t="str" cm="1">
        <f t="array" ref="AA1561">IFERROR(IF(INDEX(SubsidieTabel!$AD$1:$AG$12,MATCH($F1561,SubsidieTabel!$AD$1:$AD$12,0),IFERROR(MATCH(Methode_Keuze,SubsidieTabel!$AD$1:$AG$1,0),2))&lt;&gt;1=TRUE,"ja",""),"")</f>
        <v/>
      </c>
    </row>
    <row r="1562" spans="1:27" x14ac:dyDescent="0.25">
      <c r="A1562" s="320"/>
      <c r="B1562" s="321" t="str">
        <f>IF(A1562&lt;&gt;"",_xlfn.MAXIFS($B$1:B1561,$A$1:A1561,A1562)+1,"")</f>
        <v/>
      </c>
      <c r="C1562" s="299"/>
      <c r="D1562" s="299"/>
      <c r="E1562" s="299"/>
      <c r="F1562" s="299"/>
      <c r="G1562" s="330"/>
      <c r="H1562" s="328"/>
      <c r="I1562" s="329"/>
      <c r="J1562" s="329"/>
      <c r="K1562" s="322"/>
      <c r="L1562" s="322"/>
      <c r="M1562" s="323" t="str">
        <f>IFERROR(VLOOKUP(H1562,Lijsten!$H$1:$I$100,2,0),"")</f>
        <v/>
      </c>
      <c r="N1562" s="323" t="str">
        <f ca="1">IFERROR(IF(VLOOKUP(F1562,Kostentypen!$A$3:$E$21,3,0)=0,"",IF(OR(F1562="Arbeidskosten",F1562="Vergoeding"),VLOOKUP(G1562,Tb_KostenTypen[],2,0),VLOOKUP(F1562,Kostentypen!$A$3:$E$20,3,0))),"")</f>
        <v/>
      </c>
      <c r="O1562" s="324"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4"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3"/>
      <c r="R1562" s="363"/>
      <c r="S1562" s="325"/>
      <c r="T1562" s="325"/>
      <c r="U1562" s="317" t="str" cm="1">
        <f t="array" aca="1" ref="U1562" ca="1">IFERROR(IF(AA1562&lt;&gt;"ja",_xlfn.IFNA(_xlfn.IFS(AND(O1562&lt;&gt;"",F1562&lt;&gt;"",RIGHT($N1562,6)="tarief",F1562="Vergoeding"),SUM(O1562)*FLOOR(SUM(Q1562),0.0001),AND(O1562&lt;&gt;"",F1562&lt;&gt;"",RIGHT($N1562,6)="tarief"),SUM(O1562)*FLOOR(SUM(Q1562),0.01),S1562&gt;0,IF(F1562&lt;&gt;"",FLOOR(SUM(S1562),0.01),"")),""),""),"")</f>
        <v/>
      </c>
      <c r="V1562" s="317" t="str" cm="1">
        <f t="array" aca="1" ref="V1562" ca="1">IFERROR(IF(AA1562&lt;&gt;"ja",_xlfn.IFNA(_xlfn.IFS(AND(P1562&lt;&gt;"",R1562&lt;&gt;"",RIGHT($N1562,6)="tarief",F1562="Vergoeding"),SUM(P1562)*FLOOR(SUM(R1562),0.0001),AND(P1562&lt;&gt;"",R1562&lt;&gt;"",RIGHT($N1562,6)="tarief"),P1562*FLOOR(R1562,0.01),T1562&gt;0,FLOOR(SUM(T1562),0.01)),""),""),"")</f>
        <v/>
      </c>
      <c r="W1562" s="317" t="str" cm="1">
        <f t="array" aca="1" ref="W1562" ca="1">IFERROR(_xlfn.IFS(OR(F1562="",LEFT(Methode_Keuze,4)="Geen",Methode_Keuze=""),"",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17" t="str" cm="1">
        <f t="array" aca="1" ref="X1562" ca="1">IFERROR(_xlfn.IFS(OR(F1562="",LEFT(Methode_Keuze,4)="Geen",Methode_Keuze=""),"",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26"/>
      <c r="Z1562" s="319"/>
      <c r="AA1562" s="32" t="str" cm="1">
        <f t="array" ref="AA1562">IFERROR(IF(INDEX(SubsidieTabel!$AD$1:$AG$12,MATCH($F1562,SubsidieTabel!$AD$1:$AD$12,0),IFERROR(MATCH(Methode_Keuze,SubsidieTabel!$AD$1:$AG$1,0),2))&lt;&gt;1=TRUE,"ja",""),"")</f>
        <v/>
      </c>
    </row>
    <row r="1563" spans="1:27" x14ac:dyDescent="0.25">
      <c r="A1563" s="320"/>
      <c r="B1563" s="321" t="str">
        <f>IF(A1563&lt;&gt;"",_xlfn.MAXIFS($B$1:B1562,$A$1:A1562,A1563)+1,"")</f>
        <v/>
      </c>
      <c r="C1563" s="299"/>
      <c r="D1563" s="299"/>
      <c r="E1563" s="299"/>
      <c r="F1563" s="299"/>
      <c r="G1563" s="330"/>
      <c r="H1563" s="328"/>
      <c r="I1563" s="329"/>
      <c r="J1563" s="329"/>
      <c r="K1563" s="322"/>
      <c r="L1563" s="322"/>
      <c r="M1563" s="323" t="str">
        <f>IFERROR(VLOOKUP(H1563,Lijsten!$H$1:$I$100,2,0),"")</f>
        <v/>
      </c>
      <c r="N1563" s="323" t="str">
        <f ca="1">IFERROR(IF(VLOOKUP(F1563,Kostentypen!$A$3:$E$21,3,0)=0,"",IF(OR(F1563="Arbeidskosten",F1563="Vergoeding"),VLOOKUP(G1563,Tb_KostenTypen[],2,0),VLOOKUP(F1563,Kostentypen!$A$3:$E$20,3,0))),"")</f>
        <v/>
      </c>
      <c r="O1563" s="324"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4"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3"/>
      <c r="R1563" s="363"/>
      <c r="S1563" s="325"/>
      <c r="T1563" s="325"/>
      <c r="U1563" s="317" t="str" cm="1">
        <f t="array" aca="1" ref="U1563" ca="1">IFERROR(IF(AA1563&lt;&gt;"ja",_xlfn.IFNA(_xlfn.IFS(AND(O1563&lt;&gt;"",F1563&lt;&gt;"",RIGHT($N1563,6)="tarief",F1563="Vergoeding"),SUM(O1563)*FLOOR(SUM(Q1563),0.0001),AND(O1563&lt;&gt;"",F1563&lt;&gt;"",RIGHT($N1563,6)="tarief"),SUM(O1563)*FLOOR(SUM(Q1563),0.01),S1563&gt;0,IF(F1563&lt;&gt;"",FLOOR(SUM(S1563),0.01),"")),""),""),"")</f>
        <v/>
      </c>
      <c r="V1563" s="317" t="str" cm="1">
        <f t="array" aca="1" ref="V1563" ca="1">IFERROR(IF(AA1563&lt;&gt;"ja",_xlfn.IFNA(_xlfn.IFS(AND(P1563&lt;&gt;"",R1563&lt;&gt;"",RIGHT($N1563,6)="tarief",F1563="Vergoeding"),SUM(P1563)*FLOOR(SUM(R1563),0.0001),AND(P1563&lt;&gt;"",R1563&lt;&gt;"",RIGHT($N1563,6)="tarief"),P1563*FLOOR(R1563,0.01),T1563&gt;0,FLOOR(SUM(T1563),0.01)),""),""),"")</f>
        <v/>
      </c>
      <c r="W1563" s="317" t="str" cm="1">
        <f t="array" aca="1" ref="W1563" ca="1">IFERROR(_xlfn.IFS(OR(F1563="",LEFT(Methode_Keuze,4)="Geen",Methode_Keuze=""),"",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17" t="str" cm="1">
        <f t="array" aca="1" ref="X1563" ca="1">IFERROR(_xlfn.IFS(OR(F1563="",LEFT(Methode_Keuze,4)="Geen",Methode_Keuze=""),"",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26"/>
      <c r="Z1563" s="319"/>
      <c r="AA1563" s="32" t="str" cm="1">
        <f t="array" ref="AA1563">IFERROR(IF(INDEX(SubsidieTabel!$AD$1:$AG$12,MATCH($F1563,SubsidieTabel!$AD$1:$AD$12,0),IFERROR(MATCH(Methode_Keuze,SubsidieTabel!$AD$1:$AG$1,0),2))&lt;&gt;1=TRUE,"ja",""),"")</f>
        <v/>
      </c>
    </row>
    <row r="1564" spans="1:27" x14ac:dyDescent="0.25">
      <c r="A1564" s="320"/>
      <c r="B1564" s="321" t="str">
        <f>IF(A1564&lt;&gt;"",_xlfn.MAXIFS($B$1:B1563,$A$1:A1563,A1564)+1,"")</f>
        <v/>
      </c>
      <c r="C1564" s="299"/>
      <c r="D1564" s="299"/>
      <c r="E1564" s="299"/>
      <c r="F1564" s="299"/>
      <c r="G1564" s="330"/>
      <c r="H1564" s="328"/>
      <c r="I1564" s="329"/>
      <c r="J1564" s="329"/>
      <c r="K1564" s="322"/>
      <c r="L1564" s="322"/>
      <c r="M1564" s="323" t="str">
        <f>IFERROR(VLOOKUP(H1564,Lijsten!$H$1:$I$100,2,0),"")</f>
        <v/>
      </c>
      <c r="N1564" s="323" t="str">
        <f ca="1">IFERROR(IF(VLOOKUP(F1564,Kostentypen!$A$3:$E$21,3,0)=0,"",IF(OR(F1564="Arbeidskosten",F1564="Vergoeding"),VLOOKUP(G1564,Tb_KostenTypen[],2,0),VLOOKUP(F1564,Kostentypen!$A$3:$E$20,3,0))),"")</f>
        <v/>
      </c>
      <c r="O1564" s="324"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4"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3"/>
      <c r="R1564" s="363"/>
      <c r="S1564" s="325"/>
      <c r="T1564" s="325"/>
      <c r="U1564" s="317" t="str" cm="1">
        <f t="array" aca="1" ref="U1564" ca="1">IFERROR(IF(AA1564&lt;&gt;"ja",_xlfn.IFNA(_xlfn.IFS(AND(O1564&lt;&gt;"",F1564&lt;&gt;"",RIGHT($N1564,6)="tarief",F1564="Vergoeding"),SUM(O1564)*FLOOR(SUM(Q1564),0.0001),AND(O1564&lt;&gt;"",F1564&lt;&gt;"",RIGHT($N1564,6)="tarief"),SUM(O1564)*FLOOR(SUM(Q1564),0.01),S1564&gt;0,IF(F1564&lt;&gt;"",FLOOR(SUM(S1564),0.01),"")),""),""),"")</f>
        <v/>
      </c>
      <c r="V1564" s="317" t="str" cm="1">
        <f t="array" aca="1" ref="V1564" ca="1">IFERROR(IF(AA1564&lt;&gt;"ja",_xlfn.IFNA(_xlfn.IFS(AND(P1564&lt;&gt;"",R1564&lt;&gt;"",RIGHT($N1564,6)="tarief",F1564="Vergoeding"),SUM(P1564)*FLOOR(SUM(R1564),0.0001),AND(P1564&lt;&gt;"",R1564&lt;&gt;"",RIGHT($N1564,6)="tarief"),P1564*FLOOR(R1564,0.01),T1564&gt;0,FLOOR(SUM(T1564),0.01)),""),""),"")</f>
        <v/>
      </c>
      <c r="W1564" s="317" t="str" cm="1">
        <f t="array" aca="1" ref="W1564" ca="1">IFERROR(_xlfn.IFS(OR(F1564="",LEFT(Methode_Keuze,4)="Geen",Methode_Keuze=""),"",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17" t="str" cm="1">
        <f t="array" aca="1" ref="X1564" ca="1">IFERROR(_xlfn.IFS(OR(F1564="",LEFT(Methode_Keuze,4)="Geen",Methode_Keuze=""),"",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26"/>
      <c r="Z1564" s="319"/>
      <c r="AA1564" s="32" t="str" cm="1">
        <f t="array" ref="AA1564">IFERROR(IF(INDEX(SubsidieTabel!$AD$1:$AG$12,MATCH($F1564,SubsidieTabel!$AD$1:$AD$12,0),IFERROR(MATCH(Methode_Keuze,SubsidieTabel!$AD$1:$AG$1,0),2))&lt;&gt;1=TRUE,"ja",""),"")</f>
        <v/>
      </c>
    </row>
    <row r="1565" spans="1:27" x14ac:dyDescent="0.25">
      <c r="A1565" s="320"/>
      <c r="B1565" s="321" t="str">
        <f>IF(A1565&lt;&gt;"",_xlfn.MAXIFS($B$1:B1564,$A$1:A1564,A1565)+1,"")</f>
        <v/>
      </c>
      <c r="C1565" s="299"/>
      <c r="D1565" s="299"/>
      <c r="E1565" s="299"/>
      <c r="F1565" s="299"/>
      <c r="G1565" s="330"/>
      <c r="H1565" s="328"/>
      <c r="I1565" s="329"/>
      <c r="J1565" s="329"/>
      <c r="K1565" s="322"/>
      <c r="L1565" s="322"/>
      <c r="M1565" s="323" t="str">
        <f>IFERROR(VLOOKUP(H1565,Lijsten!$H$1:$I$100,2,0),"")</f>
        <v/>
      </c>
      <c r="N1565" s="323" t="str">
        <f ca="1">IFERROR(IF(VLOOKUP(F1565,Kostentypen!$A$3:$E$21,3,0)=0,"",IF(OR(F1565="Arbeidskosten",F1565="Vergoeding"),VLOOKUP(G1565,Tb_KostenTypen[],2,0),VLOOKUP(F1565,Kostentypen!$A$3:$E$20,3,0))),"")</f>
        <v/>
      </c>
      <c r="O1565" s="324"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4"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3"/>
      <c r="R1565" s="363"/>
      <c r="S1565" s="325"/>
      <c r="T1565" s="325"/>
      <c r="U1565" s="317" t="str" cm="1">
        <f t="array" aca="1" ref="U1565" ca="1">IFERROR(IF(AA1565&lt;&gt;"ja",_xlfn.IFNA(_xlfn.IFS(AND(O1565&lt;&gt;"",F1565&lt;&gt;"",RIGHT($N1565,6)="tarief",F1565="Vergoeding"),SUM(O1565)*FLOOR(SUM(Q1565),0.0001),AND(O1565&lt;&gt;"",F1565&lt;&gt;"",RIGHT($N1565,6)="tarief"),SUM(O1565)*FLOOR(SUM(Q1565),0.01),S1565&gt;0,IF(F1565&lt;&gt;"",FLOOR(SUM(S1565),0.01),"")),""),""),"")</f>
        <v/>
      </c>
      <c r="V1565" s="317" t="str" cm="1">
        <f t="array" aca="1" ref="V1565" ca="1">IFERROR(IF(AA1565&lt;&gt;"ja",_xlfn.IFNA(_xlfn.IFS(AND(P1565&lt;&gt;"",R1565&lt;&gt;"",RIGHT($N1565,6)="tarief",F1565="Vergoeding"),SUM(P1565)*FLOOR(SUM(R1565),0.0001),AND(P1565&lt;&gt;"",R1565&lt;&gt;"",RIGHT($N1565,6)="tarief"),P1565*FLOOR(R1565,0.01),T1565&gt;0,FLOOR(SUM(T1565),0.01)),""),""),"")</f>
        <v/>
      </c>
      <c r="W1565" s="317" t="str" cm="1">
        <f t="array" aca="1" ref="W1565" ca="1">IFERROR(_xlfn.IFS(OR(F1565="",LEFT(Methode_Keuze,4)="Geen",Methode_Keuze=""),"",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17" t="str" cm="1">
        <f t="array" aca="1" ref="X1565" ca="1">IFERROR(_xlfn.IFS(OR(F1565="",LEFT(Methode_Keuze,4)="Geen",Methode_Keuze=""),"",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26"/>
      <c r="Z1565" s="319"/>
      <c r="AA1565" s="32" t="str" cm="1">
        <f t="array" ref="AA1565">IFERROR(IF(INDEX(SubsidieTabel!$AD$1:$AG$12,MATCH($F1565,SubsidieTabel!$AD$1:$AD$12,0),IFERROR(MATCH(Methode_Keuze,SubsidieTabel!$AD$1:$AG$1,0),2))&lt;&gt;1=TRUE,"ja",""),"")</f>
        <v/>
      </c>
    </row>
    <row r="1566" spans="1:27" x14ac:dyDescent="0.25">
      <c r="A1566" s="320"/>
      <c r="B1566" s="321" t="str">
        <f>IF(A1566&lt;&gt;"",_xlfn.MAXIFS($B$1:B1565,$A$1:A1565,A1566)+1,"")</f>
        <v/>
      </c>
      <c r="C1566" s="299"/>
      <c r="D1566" s="299"/>
      <c r="E1566" s="299"/>
      <c r="F1566" s="299"/>
      <c r="G1566" s="330"/>
      <c r="H1566" s="328"/>
      <c r="I1566" s="329"/>
      <c r="J1566" s="329"/>
      <c r="K1566" s="322"/>
      <c r="L1566" s="322"/>
      <c r="M1566" s="323" t="str">
        <f>IFERROR(VLOOKUP(H1566,Lijsten!$H$1:$I$100,2,0),"")</f>
        <v/>
      </c>
      <c r="N1566" s="323" t="str">
        <f ca="1">IFERROR(IF(VLOOKUP(F1566,Kostentypen!$A$3:$E$21,3,0)=0,"",IF(OR(F1566="Arbeidskosten",F1566="Vergoeding"),VLOOKUP(G1566,Tb_KostenTypen[],2,0),VLOOKUP(F1566,Kostentypen!$A$3:$E$20,3,0))),"")</f>
        <v/>
      </c>
      <c r="O1566" s="324"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4"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3"/>
      <c r="R1566" s="363"/>
      <c r="S1566" s="325"/>
      <c r="T1566" s="325"/>
      <c r="U1566" s="317" t="str" cm="1">
        <f t="array" aca="1" ref="U1566" ca="1">IFERROR(IF(AA1566&lt;&gt;"ja",_xlfn.IFNA(_xlfn.IFS(AND(O1566&lt;&gt;"",F1566&lt;&gt;"",RIGHT($N1566,6)="tarief",F1566="Vergoeding"),SUM(O1566)*FLOOR(SUM(Q1566),0.0001),AND(O1566&lt;&gt;"",F1566&lt;&gt;"",RIGHT($N1566,6)="tarief"),SUM(O1566)*FLOOR(SUM(Q1566),0.01),S1566&gt;0,IF(F1566&lt;&gt;"",FLOOR(SUM(S1566),0.01),"")),""),""),"")</f>
        <v/>
      </c>
      <c r="V1566" s="317" t="str" cm="1">
        <f t="array" aca="1" ref="V1566" ca="1">IFERROR(IF(AA1566&lt;&gt;"ja",_xlfn.IFNA(_xlfn.IFS(AND(P1566&lt;&gt;"",R1566&lt;&gt;"",RIGHT($N1566,6)="tarief",F1566="Vergoeding"),SUM(P1566)*FLOOR(SUM(R1566),0.0001),AND(P1566&lt;&gt;"",R1566&lt;&gt;"",RIGHT($N1566,6)="tarief"),P1566*FLOOR(R1566,0.01),T1566&gt;0,FLOOR(SUM(T1566),0.01)),""),""),"")</f>
        <v/>
      </c>
      <c r="W1566" s="317" t="str" cm="1">
        <f t="array" aca="1" ref="W1566" ca="1">IFERROR(_xlfn.IFS(OR(F1566="",LEFT(Methode_Keuze,4)="Geen",Methode_Keuze=""),"",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17" t="str" cm="1">
        <f t="array" aca="1" ref="X1566" ca="1">IFERROR(_xlfn.IFS(OR(F1566="",LEFT(Methode_Keuze,4)="Geen",Methode_Keuze=""),"",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26"/>
      <c r="Z1566" s="319"/>
      <c r="AA1566" s="32" t="str" cm="1">
        <f t="array" ref="AA1566">IFERROR(IF(INDEX(SubsidieTabel!$AD$1:$AG$12,MATCH($F1566,SubsidieTabel!$AD$1:$AD$12,0),IFERROR(MATCH(Methode_Keuze,SubsidieTabel!$AD$1:$AG$1,0),2))&lt;&gt;1=TRUE,"ja",""),"")</f>
        <v/>
      </c>
    </row>
    <row r="1567" spans="1:27" x14ac:dyDescent="0.25">
      <c r="A1567" s="320"/>
      <c r="B1567" s="321" t="str">
        <f>IF(A1567&lt;&gt;"",_xlfn.MAXIFS($B$1:B1566,$A$1:A1566,A1567)+1,"")</f>
        <v/>
      </c>
      <c r="C1567" s="299"/>
      <c r="D1567" s="299"/>
      <c r="E1567" s="299"/>
      <c r="F1567" s="299"/>
      <c r="G1567" s="330"/>
      <c r="H1567" s="328"/>
      <c r="I1567" s="329"/>
      <c r="J1567" s="329"/>
      <c r="K1567" s="322"/>
      <c r="L1567" s="322"/>
      <c r="M1567" s="323" t="str">
        <f>IFERROR(VLOOKUP(H1567,Lijsten!$H$1:$I$100,2,0),"")</f>
        <v/>
      </c>
      <c r="N1567" s="323" t="str">
        <f ca="1">IFERROR(IF(VLOOKUP(F1567,Kostentypen!$A$3:$E$21,3,0)=0,"",IF(OR(F1567="Arbeidskosten",F1567="Vergoeding"),VLOOKUP(G1567,Tb_KostenTypen[],2,0),VLOOKUP(F1567,Kostentypen!$A$3:$E$20,3,0))),"")</f>
        <v/>
      </c>
      <c r="O1567" s="324"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4"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3"/>
      <c r="R1567" s="363"/>
      <c r="S1567" s="325"/>
      <c r="T1567" s="325"/>
      <c r="U1567" s="317" t="str" cm="1">
        <f t="array" aca="1" ref="U1567" ca="1">IFERROR(IF(AA1567&lt;&gt;"ja",_xlfn.IFNA(_xlfn.IFS(AND(O1567&lt;&gt;"",F1567&lt;&gt;"",RIGHT($N1567,6)="tarief",F1567="Vergoeding"),SUM(O1567)*FLOOR(SUM(Q1567),0.0001),AND(O1567&lt;&gt;"",F1567&lt;&gt;"",RIGHT($N1567,6)="tarief"),SUM(O1567)*FLOOR(SUM(Q1567),0.01),S1567&gt;0,IF(F1567&lt;&gt;"",FLOOR(SUM(S1567),0.01),"")),""),""),"")</f>
        <v/>
      </c>
      <c r="V1567" s="317" t="str" cm="1">
        <f t="array" aca="1" ref="V1567" ca="1">IFERROR(IF(AA1567&lt;&gt;"ja",_xlfn.IFNA(_xlfn.IFS(AND(P1567&lt;&gt;"",R1567&lt;&gt;"",RIGHT($N1567,6)="tarief",F1567="Vergoeding"),SUM(P1567)*FLOOR(SUM(R1567),0.0001),AND(P1567&lt;&gt;"",R1567&lt;&gt;"",RIGHT($N1567,6)="tarief"),P1567*FLOOR(R1567,0.01),T1567&gt;0,FLOOR(SUM(T1567),0.01)),""),""),"")</f>
        <v/>
      </c>
      <c r="W1567" s="317" t="str" cm="1">
        <f t="array" aca="1" ref="W1567" ca="1">IFERROR(_xlfn.IFS(OR(F1567="",LEFT(Methode_Keuze,4)="Geen",Methode_Keuze=""),"",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17" t="str" cm="1">
        <f t="array" aca="1" ref="X1567" ca="1">IFERROR(_xlfn.IFS(OR(F1567="",LEFT(Methode_Keuze,4)="Geen",Methode_Keuze=""),"",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26"/>
      <c r="Z1567" s="319"/>
      <c r="AA1567" s="32" t="str" cm="1">
        <f t="array" ref="AA1567">IFERROR(IF(INDEX(SubsidieTabel!$AD$1:$AG$12,MATCH($F1567,SubsidieTabel!$AD$1:$AD$12,0),IFERROR(MATCH(Methode_Keuze,SubsidieTabel!$AD$1:$AG$1,0),2))&lt;&gt;1=TRUE,"ja",""),"")</f>
        <v/>
      </c>
    </row>
    <row r="1568" spans="1:27" x14ac:dyDescent="0.25">
      <c r="A1568" s="320"/>
      <c r="B1568" s="321" t="str">
        <f>IF(A1568&lt;&gt;"",_xlfn.MAXIFS($B$1:B1567,$A$1:A1567,A1568)+1,"")</f>
        <v/>
      </c>
      <c r="C1568" s="299"/>
      <c r="D1568" s="299"/>
      <c r="E1568" s="299"/>
      <c r="F1568" s="299"/>
      <c r="G1568" s="330"/>
      <c r="H1568" s="328"/>
      <c r="I1568" s="329"/>
      <c r="J1568" s="329"/>
      <c r="K1568" s="322"/>
      <c r="L1568" s="322"/>
      <c r="M1568" s="323" t="str">
        <f>IFERROR(VLOOKUP(H1568,Lijsten!$H$1:$I$100,2,0),"")</f>
        <v/>
      </c>
      <c r="N1568" s="323" t="str">
        <f ca="1">IFERROR(IF(VLOOKUP(F1568,Kostentypen!$A$3:$E$21,3,0)=0,"",IF(OR(F1568="Arbeidskosten",F1568="Vergoeding"),VLOOKUP(G1568,Tb_KostenTypen[],2,0),VLOOKUP(F1568,Kostentypen!$A$3:$E$20,3,0))),"")</f>
        <v/>
      </c>
      <c r="O1568" s="324"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4"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3"/>
      <c r="R1568" s="363"/>
      <c r="S1568" s="325"/>
      <c r="T1568" s="325"/>
      <c r="U1568" s="317" t="str" cm="1">
        <f t="array" aca="1" ref="U1568" ca="1">IFERROR(IF(AA1568&lt;&gt;"ja",_xlfn.IFNA(_xlfn.IFS(AND(O1568&lt;&gt;"",F1568&lt;&gt;"",RIGHT($N1568,6)="tarief",F1568="Vergoeding"),SUM(O1568)*FLOOR(SUM(Q1568),0.0001),AND(O1568&lt;&gt;"",F1568&lt;&gt;"",RIGHT($N1568,6)="tarief"),SUM(O1568)*FLOOR(SUM(Q1568),0.01),S1568&gt;0,IF(F1568&lt;&gt;"",FLOOR(SUM(S1568),0.01),"")),""),""),"")</f>
        <v/>
      </c>
      <c r="V1568" s="317" t="str" cm="1">
        <f t="array" aca="1" ref="V1568" ca="1">IFERROR(IF(AA1568&lt;&gt;"ja",_xlfn.IFNA(_xlfn.IFS(AND(P1568&lt;&gt;"",R1568&lt;&gt;"",RIGHT($N1568,6)="tarief",F1568="Vergoeding"),SUM(P1568)*FLOOR(SUM(R1568),0.0001),AND(P1568&lt;&gt;"",R1568&lt;&gt;"",RIGHT($N1568,6)="tarief"),P1568*FLOOR(R1568,0.01),T1568&gt;0,FLOOR(SUM(T1568),0.01)),""),""),"")</f>
        <v/>
      </c>
      <c r="W1568" s="317" t="str" cm="1">
        <f t="array" aca="1" ref="W1568" ca="1">IFERROR(_xlfn.IFS(OR(F1568="",LEFT(Methode_Keuze,4)="Geen",Methode_Keuze=""),"",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17" t="str" cm="1">
        <f t="array" aca="1" ref="X1568" ca="1">IFERROR(_xlfn.IFS(OR(F1568="",LEFT(Methode_Keuze,4)="Geen",Methode_Keuze=""),"",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26"/>
      <c r="Z1568" s="319"/>
      <c r="AA1568" s="32" t="str" cm="1">
        <f t="array" ref="AA1568">IFERROR(IF(INDEX(SubsidieTabel!$AD$1:$AG$12,MATCH($F1568,SubsidieTabel!$AD$1:$AD$12,0),IFERROR(MATCH(Methode_Keuze,SubsidieTabel!$AD$1:$AG$1,0),2))&lt;&gt;1=TRUE,"ja",""),"")</f>
        <v/>
      </c>
    </row>
    <row r="1569" spans="1:27" x14ac:dyDescent="0.25">
      <c r="A1569" s="320"/>
      <c r="B1569" s="321" t="str">
        <f>IF(A1569&lt;&gt;"",_xlfn.MAXIFS($B$1:B1568,$A$1:A1568,A1569)+1,"")</f>
        <v/>
      </c>
      <c r="C1569" s="299"/>
      <c r="D1569" s="299"/>
      <c r="E1569" s="299"/>
      <c r="F1569" s="299"/>
      <c r="G1569" s="330"/>
      <c r="H1569" s="328"/>
      <c r="I1569" s="329"/>
      <c r="J1569" s="329"/>
      <c r="K1569" s="322"/>
      <c r="L1569" s="322"/>
      <c r="M1569" s="323" t="str">
        <f>IFERROR(VLOOKUP(H1569,Lijsten!$H$1:$I$100,2,0),"")</f>
        <v/>
      </c>
      <c r="N1569" s="323" t="str">
        <f ca="1">IFERROR(IF(VLOOKUP(F1569,Kostentypen!$A$3:$E$21,3,0)=0,"",IF(OR(F1569="Arbeidskosten",F1569="Vergoeding"),VLOOKUP(G1569,Tb_KostenTypen[],2,0),VLOOKUP(F1569,Kostentypen!$A$3:$E$20,3,0))),"")</f>
        <v/>
      </c>
      <c r="O1569" s="324"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4"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3"/>
      <c r="R1569" s="363"/>
      <c r="S1569" s="325"/>
      <c r="T1569" s="325"/>
      <c r="U1569" s="317" t="str" cm="1">
        <f t="array" aca="1" ref="U1569" ca="1">IFERROR(IF(AA1569&lt;&gt;"ja",_xlfn.IFNA(_xlfn.IFS(AND(O1569&lt;&gt;"",F1569&lt;&gt;"",RIGHT($N1569,6)="tarief",F1569="Vergoeding"),SUM(O1569)*FLOOR(SUM(Q1569),0.0001),AND(O1569&lt;&gt;"",F1569&lt;&gt;"",RIGHT($N1569,6)="tarief"),SUM(O1569)*FLOOR(SUM(Q1569),0.01),S1569&gt;0,IF(F1569&lt;&gt;"",FLOOR(SUM(S1569),0.01),"")),""),""),"")</f>
        <v/>
      </c>
      <c r="V1569" s="317" t="str" cm="1">
        <f t="array" aca="1" ref="V1569" ca="1">IFERROR(IF(AA1569&lt;&gt;"ja",_xlfn.IFNA(_xlfn.IFS(AND(P1569&lt;&gt;"",R1569&lt;&gt;"",RIGHT($N1569,6)="tarief",F1569="Vergoeding"),SUM(P1569)*FLOOR(SUM(R1569),0.0001),AND(P1569&lt;&gt;"",R1569&lt;&gt;"",RIGHT($N1569,6)="tarief"),P1569*FLOOR(R1569,0.01),T1569&gt;0,FLOOR(SUM(T1569),0.01)),""),""),"")</f>
        <v/>
      </c>
      <c r="W1569" s="317" t="str" cm="1">
        <f t="array" aca="1" ref="W1569" ca="1">IFERROR(_xlfn.IFS(OR(F1569="",LEFT(Methode_Keuze,4)="Geen",Methode_Keuze=""),"",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17" t="str" cm="1">
        <f t="array" aca="1" ref="X1569" ca="1">IFERROR(_xlfn.IFS(OR(F1569="",LEFT(Methode_Keuze,4)="Geen",Methode_Keuze=""),"",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26"/>
      <c r="Z1569" s="319"/>
      <c r="AA1569" s="32" t="str" cm="1">
        <f t="array" ref="AA1569">IFERROR(IF(INDEX(SubsidieTabel!$AD$1:$AG$12,MATCH($F1569,SubsidieTabel!$AD$1:$AD$12,0),IFERROR(MATCH(Methode_Keuze,SubsidieTabel!$AD$1:$AG$1,0),2))&lt;&gt;1=TRUE,"ja",""),"")</f>
        <v/>
      </c>
    </row>
    <row r="1570" spans="1:27" x14ac:dyDescent="0.25">
      <c r="A1570" s="320"/>
      <c r="B1570" s="321" t="str">
        <f>IF(A1570&lt;&gt;"",_xlfn.MAXIFS($B$1:B1569,$A$1:A1569,A1570)+1,"")</f>
        <v/>
      </c>
      <c r="C1570" s="299"/>
      <c r="D1570" s="299"/>
      <c r="E1570" s="299"/>
      <c r="F1570" s="299"/>
      <c r="G1570" s="330"/>
      <c r="H1570" s="328"/>
      <c r="I1570" s="329"/>
      <c r="J1570" s="329"/>
      <c r="K1570" s="322"/>
      <c r="L1570" s="322"/>
      <c r="M1570" s="323" t="str">
        <f>IFERROR(VLOOKUP(H1570,Lijsten!$H$1:$I$100,2,0),"")</f>
        <v/>
      </c>
      <c r="N1570" s="323" t="str">
        <f ca="1">IFERROR(IF(VLOOKUP(F1570,Kostentypen!$A$3:$E$21,3,0)=0,"",IF(OR(F1570="Arbeidskosten",F1570="Vergoeding"),VLOOKUP(G1570,Tb_KostenTypen[],2,0),VLOOKUP(F1570,Kostentypen!$A$3:$E$20,3,0))),"")</f>
        <v/>
      </c>
      <c r="O1570" s="324"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4"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3"/>
      <c r="R1570" s="363"/>
      <c r="S1570" s="325"/>
      <c r="T1570" s="325"/>
      <c r="U1570" s="317" t="str" cm="1">
        <f t="array" aca="1" ref="U1570" ca="1">IFERROR(IF(AA1570&lt;&gt;"ja",_xlfn.IFNA(_xlfn.IFS(AND(O1570&lt;&gt;"",F1570&lt;&gt;"",RIGHT($N1570,6)="tarief",F1570="Vergoeding"),SUM(O1570)*FLOOR(SUM(Q1570),0.0001),AND(O1570&lt;&gt;"",F1570&lt;&gt;"",RIGHT($N1570,6)="tarief"),SUM(O1570)*FLOOR(SUM(Q1570),0.01),S1570&gt;0,IF(F1570&lt;&gt;"",FLOOR(SUM(S1570),0.01),"")),""),""),"")</f>
        <v/>
      </c>
      <c r="V1570" s="317" t="str" cm="1">
        <f t="array" aca="1" ref="V1570" ca="1">IFERROR(IF(AA1570&lt;&gt;"ja",_xlfn.IFNA(_xlfn.IFS(AND(P1570&lt;&gt;"",R1570&lt;&gt;"",RIGHT($N1570,6)="tarief",F1570="Vergoeding"),SUM(P1570)*FLOOR(SUM(R1570),0.0001),AND(P1570&lt;&gt;"",R1570&lt;&gt;"",RIGHT($N1570,6)="tarief"),P1570*FLOOR(R1570,0.01),T1570&gt;0,FLOOR(SUM(T1570),0.01)),""),""),"")</f>
        <v/>
      </c>
      <c r="W1570" s="317" t="str" cm="1">
        <f t="array" aca="1" ref="W1570" ca="1">IFERROR(_xlfn.IFS(OR(F1570="",LEFT(Methode_Keuze,4)="Geen",Methode_Keuze=""),"",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17" t="str" cm="1">
        <f t="array" aca="1" ref="X1570" ca="1">IFERROR(_xlfn.IFS(OR(F1570="",LEFT(Methode_Keuze,4)="Geen",Methode_Keuze=""),"",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26"/>
      <c r="Z1570" s="319"/>
      <c r="AA1570" s="32" t="str" cm="1">
        <f t="array" ref="AA1570">IFERROR(IF(INDEX(SubsidieTabel!$AD$1:$AG$12,MATCH($F1570,SubsidieTabel!$AD$1:$AD$12,0),IFERROR(MATCH(Methode_Keuze,SubsidieTabel!$AD$1:$AG$1,0),2))&lt;&gt;1=TRUE,"ja",""),"")</f>
        <v/>
      </c>
    </row>
    <row r="1571" spans="1:27" x14ac:dyDescent="0.25">
      <c r="A1571" s="320"/>
      <c r="B1571" s="321" t="str">
        <f>IF(A1571&lt;&gt;"",_xlfn.MAXIFS($B$1:B1570,$A$1:A1570,A1571)+1,"")</f>
        <v/>
      </c>
      <c r="C1571" s="299"/>
      <c r="D1571" s="299"/>
      <c r="E1571" s="299"/>
      <c r="F1571" s="299"/>
      <c r="G1571" s="330"/>
      <c r="H1571" s="328"/>
      <c r="I1571" s="329"/>
      <c r="J1571" s="329"/>
      <c r="K1571" s="322"/>
      <c r="L1571" s="322"/>
      <c r="M1571" s="323" t="str">
        <f>IFERROR(VLOOKUP(H1571,Lijsten!$H$1:$I$100,2,0),"")</f>
        <v/>
      </c>
      <c r="N1571" s="323" t="str">
        <f ca="1">IFERROR(IF(VLOOKUP(F1571,Kostentypen!$A$3:$E$21,3,0)=0,"",IF(OR(F1571="Arbeidskosten",F1571="Vergoeding"),VLOOKUP(G1571,Tb_KostenTypen[],2,0),VLOOKUP(F1571,Kostentypen!$A$3:$E$20,3,0))),"")</f>
        <v/>
      </c>
      <c r="O1571" s="324"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4"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3"/>
      <c r="R1571" s="363"/>
      <c r="S1571" s="325"/>
      <c r="T1571" s="325"/>
      <c r="U1571" s="317" t="str" cm="1">
        <f t="array" aca="1" ref="U1571" ca="1">IFERROR(IF(AA1571&lt;&gt;"ja",_xlfn.IFNA(_xlfn.IFS(AND(O1571&lt;&gt;"",F1571&lt;&gt;"",RIGHT($N1571,6)="tarief",F1571="Vergoeding"),SUM(O1571)*FLOOR(SUM(Q1571),0.0001),AND(O1571&lt;&gt;"",F1571&lt;&gt;"",RIGHT($N1571,6)="tarief"),SUM(O1571)*FLOOR(SUM(Q1571),0.01),S1571&gt;0,IF(F1571&lt;&gt;"",FLOOR(SUM(S1571),0.01),"")),""),""),"")</f>
        <v/>
      </c>
      <c r="V1571" s="317" t="str" cm="1">
        <f t="array" aca="1" ref="V1571" ca="1">IFERROR(IF(AA1571&lt;&gt;"ja",_xlfn.IFNA(_xlfn.IFS(AND(P1571&lt;&gt;"",R1571&lt;&gt;"",RIGHT($N1571,6)="tarief",F1571="Vergoeding"),SUM(P1571)*FLOOR(SUM(R1571),0.0001),AND(P1571&lt;&gt;"",R1571&lt;&gt;"",RIGHT($N1571,6)="tarief"),P1571*FLOOR(R1571,0.01),T1571&gt;0,FLOOR(SUM(T1571),0.01)),""),""),"")</f>
        <v/>
      </c>
      <c r="W1571" s="317" t="str" cm="1">
        <f t="array" aca="1" ref="W1571" ca="1">IFERROR(_xlfn.IFS(OR(F1571="",LEFT(Methode_Keuze,4)="Geen",Methode_Keuze=""),"",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17" t="str" cm="1">
        <f t="array" aca="1" ref="X1571" ca="1">IFERROR(_xlfn.IFS(OR(F1571="",LEFT(Methode_Keuze,4)="Geen",Methode_Keuze=""),"",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26"/>
      <c r="Z1571" s="319"/>
      <c r="AA1571" s="32" t="str" cm="1">
        <f t="array" ref="AA1571">IFERROR(IF(INDEX(SubsidieTabel!$AD$1:$AG$12,MATCH($F1571,SubsidieTabel!$AD$1:$AD$12,0),IFERROR(MATCH(Methode_Keuze,SubsidieTabel!$AD$1:$AG$1,0),2))&lt;&gt;1=TRUE,"ja",""),"")</f>
        <v/>
      </c>
    </row>
    <row r="1572" spans="1:27" x14ac:dyDescent="0.25">
      <c r="A1572" s="320"/>
      <c r="B1572" s="321" t="str">
        <f>IF(A1572&lt;&gt;"",_xlfn.MAXIFS($B$1:B1571,$A$1:A1571,A1572)+1,"")</f>
        <v/>
      </c>
      <c r="C1572" s="299"/>
      <c r="D1572" s="299"/>
      <c r="E1572" s="299"/>
      <c r="F1572" s="299"/>
      <c r="G1572" s="330"/>
      <c r="H1572" s="328"/>
      <c r="I1572" s="329"/>
      <c r="J1572" s="329"/>
      <c r="K1572" s="322"/>
      <c r="L1572" s="322"/>
      <c r="M1572" s="323" t="str">
        <f>IFERROR(VLOOKUP(H1572,Lijsten!$H$1:$I$100,2,0),"")</f>
        <v/>
      </c>
      <c r="N1572" s="323" t="str">
        <f ca="1">IFERROR(IF(VLOOKUP(F1572,Kostentypen!$A$3:$E$21,3,0)=0,"",IF(OR(F1572="Arbeidskosten",F1572="Vergoeding"),VLOOKUP(G1572,Tb_KostenTypen[],2,0),VLOOKUP(F1572,Kostentypen!$A$3:$E$20,3,0))),"")</f>
        <v/>
      </c>
      <c r="O1572" s="324"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4"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3"/>
      <c r="R1572" s="363"/>
      <c r="S1572" s="325"/>
      <c r="T1572" s="325"/>
      <c r="U1572" s="317" t="str" cm="1">
        <f t="array" aca="1" ref="U1572" ca="1">IFERROR(IF(AA1572&lt;&gt;"ja",_xlfn.IFNA(_xlfn.IFS(AND(O1572&lt;&gt;"",F1572&lt;&gt;"",RIGHT($N1572,6)="tarief",F1572="Vergoeding"),SUM(O1572)*FLOOR(SUM(Q1572),0.0001),AND(O1572&lt;&gt;"",F1572&lt;&gt;"",RIGHT($N1572,6)="tarief"),SUM(O1572)*FLOOR(SUM(Q1572),0.01),S1572&gt;0,IF(F1572&lt;&gt;"",FLOOR(SUM(S1572),0.01),"")),""),""),"")</f>
        <v/>
      </c>
      <c r="V1572" s="317" t="str" cm="1">
        <f t="array" aca="1" ref="V1572" ca="1">IFERROR(IF(AA1572&lt;&gt;"ja",_xlfn.IFNA(_xlfn.IFS(AND(P1572&lt;&gt;"",R1572&lt;&gt;"",RIGHT($N1572,6)="tarief",F1572="Vergoeding"),SUM(P1572)*FLOOR(SUM(R1572),0.0001),AND(P1572&lt;&gt;"",R1572&lt;&gt;"",RIGHT($N1572,6)="tarief"),P1572*FLOOR(R1572,0.01),T1572&gt;0,FLOOR(SUM(T1572),0.01)),""),""),"")</f>
        <v/>
      </c>
      <c r="W1572" s="317" t="str" cm="1">
        <f t="array" aca="1" ref="W1572" ca="1">IFERROR(_xlfn.IFS(OR(F1572="",LEFT(Methode_Keuze,4)="Geen",Methode_Keuze=""),"",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17" t="str" cm="1">
        <f t="array" aca="1" ref="X1572" ca="1">IFERROR(_xlfn.IFS(OR(F1572="",LEFT(Methode_Keuze,4)="Geen",Methode_Keuze=""),"",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26"/>
      <c r="Z1572" s="319"/>
      <c r="AA1572" s="32" t="str" cm="1">
        <f t="array" ref="AA1572">IFERROR(IF(INDEX(SubsidieTabel!$AD$1:$AG$12,MATCH($F1572,SubsidieTabel!$AD$1:$AD$12,0),IFERROR(MATCH(Methode_Keuze,SubsidieTabel!$AD$1:$AG$1,0),2))&lt;&gt;1=TRUE,"ja",""),"")</f>
        <v/>
      </c>
    </row>
    <row r="1573" spans="1:27" x14ac:dyDescent="0.25">
      <c r="A1573" s="320"/>
      <c r="B1573" s="321" t="str">
        <f>IF(A1573&lt;&gt;"",_xlfn.MAXIFS($B$1:B1572,$A$1:A1572,A1573)+1,"")</f>
        <v/>
      </c>
      <c r="C1573" s="299"/>
      <c r="D1573" s="299"/>
      <c r="E1573" s="299"/>
      <c r="F1573" s="299"/>
      <c r="G1573" s="330"/>
      <c r="H1573" s="328"/>
      <c r="I1573" s="329"/>
      <c r="J1573" s="329"/>
      <c r="K1573" s="322"/>
      <c r="L1573" s="322"/>
      <c r="M1573" s="323" t="str">
        <f>IFERROR(VLOOKUP(H1573,Lijsten!$H$1:$I$100,2,0),"")</f>
        <v/>
      </c>
      <c r="N1573" s="323" t="str">
        <f ca="1">IFERROR(IF(VLOOKUP(F1573,Kostentypen!$A$3:$E$21,3,0)=0,"",IF(OR(F1573="Arbeidskosten",F1573="Vergoeding"),VLOOKUP(G1573,Tb_KostenTypen[],2,0),VLOOKUP(F1573,Kostentypen!$A$3:$E$20,3,0))),"")</f>
        <v/>
      </c>
      <c r="O1573" s="324"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4"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3"/>
      <c r="R1573" s="363"/>
      <c r="S1573" s="325"/>
      <c r="T1573" s="325"/>
      <c r="U1573" s="317" t="str" cm="1">
        <f t="array" aca="1" ref="U1573" ca="1">IFERROR(IF(AA1573&lt;&gt;"ja",_xlfn.IFNA(_xlfn.IFS(AND(O1573&lt;&gt;"",F1573&lt;&gt;"",RIGHT($N1573,6)="tarief",F1573="Vergoeding"),SUM(O1573)*FLOOR(SUM(Q1573),0.0001),AND(O1573&lt;&gt;"",F1573&lt;&gt;"",RIGHT($N1573,6)="tarief"),SUM(O1573)*FLOOR(SUM(Q1573),0.01),S1573&gt;0,IF(F1573&lt;&gt;"",FLOOR(SUM(S1573),0.01),"")),""),""),"")</f>
        <v/>
      </c>
      <c r="V1573" s="317" t="str" cm="1">
        <f t="array" aca="1" ref="V1573" ca="1">IFERROR(IF(AA1573&lt;&gt;"ja",_xlfn.IFNA(_xlfn.IFS(AND(P1573&lt;&gt;"",R1573&lt;&gt;"",RIGHT($N1573,6)="tarief",F1573="Vergoeding"),SUM(P1573)*FLOOR(SUM(R1573),0.0001),AND(P1573&lt;&gt;"",R1573&lt;&gt;"",RIGHT($N1573,6)="tarief"),P1573*FLOOR(R1573,0.01),T1573&gt;0,FLOOR(SUM(T1573),0.01)),""),""),"")</f>
        <v/>
      </c>
      <c r="W1573" s="317" t="str" cm="1">
        <f t="array" aca="1" ref="W1573" ca="1">IFERROR(_xlfn.IFS(OR(F1573="",LEFT(Methode_Keuze,4)="Geen",Methode_Keuze=""),"",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17" t="str" cm="1">
        <f t="array" aca="1" ref="X1573" ca="1">IFERROR(_xlfn.IFS(OR(F1573="",LEFT(Methode_Keuze,4)="Geen",Methode_Keuze=""),"",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26"/>
      <c r="Z1573" s="319"/>
      <c r="AA1573" s="32" t="str" cm="1">
        <f t="array" ref="AA1573">IFERROR(IF(INDEX(SubsidieTabel!$AD$1:$AG$12,MATCH($F1573,SubsidieTabel!$AD$1:$AD$12,0),IFERROR(MATCH(Methode_Keuze,SubsidieTabel!$AD$1:$AG$1,0),2))&lt;&gt;1=TRUE,"ja",""),"")</f>
        <v/>
      </c>
    </row>
    <row r="1574" spans="1:27" x14ac:dyDescent="0.25">
      <c r="A1574" s="320"/>
      <c r="B1574" s="321" t="str">
        <f>IF(A1574&lt;&gt;"",_xlfn.MAXIFS($B$1:B1573,$A$1:A1573,A1574)+1,"")</f>
        <v/>
      </c>
      <c r="C1574" s="299"/>
      <c r="D1574" s="299"/>
      <c r="E1574" s="299"/>
      <c r="F1574" s="299"/>
      <c r="G1574" s="330"/>
      <c r="H1574" s="328"/>
      <c r="I1574" s="329"/>
      <c r="J1574" s="329"/>
      <c r="K1574" s="322"/>
      <c r="L1574" s="322"/>
      <c r="M1574" s="323" t="str">
        <f>IFERROR(VLOOKUP(H1574,Lijsten!$H$1:$I$100,2,0),"")</f>
        <v/>
      </c>
      <c r="N1574" s="323" t="str">
        <f ca="1">IFERROR(IF(VLOOKUP(F1574,Kostentypen!$A$3:$E$21,3,0)=0,"",IF(OR(F1574="Arbeidskosten",F1574="Vergoeding"),VLOOKUP(G1574,Tb_KostenTypen[],2,0),VLOOKUP(F1574,Kostentypen!$A$3:$E$20,3,0))),"")</f>
        <v/>
      </c>
      <c r="O1574" s="324"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4"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3"/>
      <c r="R1574" s="363"/>
      <c r="S1574" s="325"/>
      <c r="T1574" s="325"/>
      <c r="U1574" s="317" t="str" cm="1">
        <f t="array" aca="1" ref="U1574" ca="1">IFERROR(IF(AA1574&lt;&gt;"ja",_xlfn.IFNA(_xlfn.IFS(AND(O1574&lt;&gt;"",F1574&lt;&gt;"",RIGHT($N1574,6)="tarief",F1574="Vergoeding"),SUM(O1574)*FLOOR(SUM(Q1574),0.0001),AND(O1574&lt;&gt;"",F1574&lt;&gt;"",RIGHT($N1574,6)="tarief"),SUM(O1574)*FLOOR(SUM(Q1574),0.01),S1574&gt;0,IF(F1574&lt;&gt;"",FLOOR(SUM(S1574),0.01),"")),""),""),"")</f>
        <v/>
      </c>
      <c r="V1574" s="317" t="str" cm="1">
        <f t="array" aca="1" ref="V1574" ca="1">IFERROR(IF(AA1574&lt;&gt;"ja",_xlfn.IFNA(_xlfn.IFS(AND(P1574&lt;&gt;"",R1574&lt;&gt;"",RIGHT($N1574,6)="tarief",F1574="Vergoeding"),SUM(P1574)*FLOOR(SUM(R1574),0.0001),AND(P1574&lt;&gt;"",R1574&lt;&gt;"",RIGHT($N1574,6)="tarief"),P1574*FLOOR(R1574,0.01),T1574&gt;0,FLOOR(SUM(T1574),0.01)),""),""),"")</f>
        <v/>
      </c>
      <c r="W1574" s="317" t="str" cm="1">
        <f t="array" aca="1" ref="W1574" ca="1">IFERROR(_xlfn.IFS(OR(F1574="",LEFT(Methode_Keuze,4)="Geen",Methode_Keuze=""),"",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17" t="str" cm="1">
        <f t="array" aca="1" ref="X1574" ca="1">IFERROR(_xlfn.IFS(OR(F1574="",LEFT(Methode_Keuze,4)="Geen",Methode_Keuze=""),"",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26"/>
      <c r="Z1574" s="319"/>
      <c r="AA1574" s="32" t="str" cm="1">
        <f t="array" ref="AA1574">IFERROR(IF(INDEX(SubsidieTabel!$AD$1:$AG$12,MATCH($F1574,SubsidieTabel!$AD$1:$AD$12,0),IFERROR(MATCH(Methode_Keuze,SubsidieTabel!$AD$1:$AG$1,0),2))&lt;&gt;1=TRUE,"ja",""),"")</f>
        <v/>
      </c>
    </row>
    <row r="1575" spans="1:27" x14ac:dyDescent="0.25">
      <c r="A1575" s="320"/>
      <c r="B1575" s="321" t="str">
        <f>IF(A1575&lt;&gt;"",_xlfn.MAXIFS($B$1:B1574,$A$1:A1574,A1575)+1,"")</f>
        <v/>
      </c>
      <c r="C1575" s="299"/>
      <c r="D1575" s="299"/>
      <c r="E1575" s="299"/>
      <c r="F1575" s="299"/>
      <c r="G1575" s="330"/>
      <c r="H1575" s="328"/>
      <c r="I1575" s="329"/>
      <c r="J1575" s="329"/>
      <c r="K1575" s="322"/>
      <c r="L1575" s="322"/>
      <c r="M1575" s="323" t="str">
        <f>IFERROR(VLOOKUP(H1575,Lijsten!$H$1:$I$100,2,0),"")</f>
        <v/>
      </c>
      <c r="N1575" s="323" t="str">
        <f ca="1">IFERROR(IF(VLOOKUP(F1575,Kostentypen!$A$3:$E$21,3,0)=0,"",IF(OR(F1575="Arbeidskosten",F1575="Vergoeding"),VLOOKUP(G1575,Tb_KostenTypen[],2,0),VLOOKUP(F1575,Kostentypen!$A$3:$E$20,3,0))),"")</f>
        <v/>
      </c>
      <c r="O1575" s="324"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4"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3"/>
      <c r="R1575" s="363"/>
      <c r="S1575" s="325"/>
      <c r="T1575" s="325"/>
      <c r="U1575" s="317" t="str" cm="1">
        <f t="array" aca="1" ref="U1575" ca="1">IFERROR(IF(AA1575&lt;&gt;"ja",_xlfn.IFNA(_xlfn.IFS(AND(O1575&lt;&gt;"",F1575&lt;&gt;"",RIGHT($N1575,6)="tarief",F1575="Vergoeding"),SUM(O1575)*FLOOR(SUM(Q1575),0.0001),AND(O1575&lt;&gt;"",F1575&lt;&gt;"",RIGHT($N1575,6)="tarief"),SUM(O1575)*FLOOR(SUM(Q1575),0.01),S1575&gt;0,IF(F1575&lt;&gt;"",FLOOR(SUM(S1575),0.01),"")),""),""),"")</f>
        <v/>
      </c>
      <c r="V1575" s="317" t="str" cm="1">
        <f t="array" aca="1" ref="V1575" ca="1">IFERROR(IF(AA1575&lt;&gt;"ja",_xlfn.IFNA(_xlfn.IFS(AND(P1575&lt;&gt;"",R1575&lt;&gt;"",RIGHT($N1575,6)="tarief",F1575="Vergoeding"),SUM(P1575)*FLOOR(SUM(R1575),0.0001),AND(P1575&lt;&gt;"",R1575&lt;&gt;"",RIGHT($N1575,6)="tarief"),P1575*FLOOR(R1575,0.01),T1575&gt;0,FLOOR(SUM(T1575),0.01)),""),""),"")</f>
        <v/>
      </c>
      <c r="W1575" s="317" t="str" cm="1">
        <f t="array" aca="1" ref="W1575" ca="1">IFERROR(_xlfn.IFS(OR(F1575="",LEFT(Methode_Keuze,4)="Geen",Methode_Keuze=""),"",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17" t="str" cm="1">
        <f t="array" aca="1" ref="X1575" ca="1">IFERROR(_xlfn.IFS(OR(F1575="",LEFT(Methode_Keuze,4)="Geen",Methode_Keuze=""),"",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26"/>
      <c r="Z1575" s="319"/>
      <c r="AA1575" s="32" t="str" cm="1">
        <f t="array" ref="AA1575">IFERROR(IF(INDEX(SubsidieTabel!$AD$1:$AG$12,MATCH($F1575,SubsidieTabel!$AD$1:$AD$12,0),IFERROR(MATCH(Methode_Keuze,SubsidieTabel!$AD$1:$AG$1,0),2))&lt;&gt;1=TRUE,"ja",""),"")</f>
        <v/>
      </c>
    </row>
    <row r="1576" spans="1:27" x14ac:dyDescent="0.25">
      <c r="A1576" s="320"/>
      <c r="B1576" s="321" t="str">
        <f>IF(A1576&lt;&gt;"",_xlfn.MAXIFS($B$1:B1575,$A$1:A1575,A1576)+1,"")</f>
        <v/>
      </c>
      <c r="C1576" s="299"/>
      <c r="D1576" s="299"/>
      <c r="E1576" s="299"/>
      <c r="F1576" s="299"/>
      <c r="G1576" s="330"/>
      <c r="H1576" s="328"/>
      <c r="I1576" s="329"/>
      <c r="J1576" s="329"/>
      <c r="K1576" s="322"/>
      <c r="L1576" s="322"/>
      <c r="M1576" s="323" t="str">
        <f>IFERROR(VLOOKUP(H1576,Lijsten!$H$1:$I$100,2,0),"")</f>
        <v/>
      </c>
      <c r="N1576" s="323" t="str">
        <f ca="1">IFERROR(IF(VLOOKUP(F1576,Kostentypen!$A$3:$E$21,3,0)=0,"",IF(OR(F1576="Arbeidskosten",F1576="Vergoeding"),VLOOKUP(G1576,Tb_KostenTypen[],2,0),VLOOKUP(F1576,Kostentypen!$A$3:$E$20,3,0))),"")</f>
        <v/>
      </c>
      <c r="O1576" s="324"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4"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3"/>
      <c r="R1576" s="363"/>
      <c r="S1576" s="325"/>
      <c r="T1576" s="325"/>
      <c r="U1576" s="317" t="str" cm="1">
        <f t="array" aca="1" ref="U1576" ca="1">IFERROR(IF(AA1576&lt;&gt;"ja",_xlfn.IFNA(_xlfn.IFS(AND(O1576&lt;&gt;"",F1576&lt;&gt;"",RIGHT($N1576,6)="tarief",F1576="Vergoeding"),SUM(O1576)*FLOOR(SUM(Q1576),0.0001),AND(O1576&lt;&gt;"",F1576&lt;&gt;"",RIGHT($N1576,6)="tarief"),SUM(O1576)*FLOOR(SUM(Q1576),0.01),S1576&gt;0,IF(F1576&lt;&gt;"",FLOOR(SUM(S1576),0.01),"")),""),""),"")</f>
        <v/>
      </c>
      <c r="V1576" s="317" t="str" cm="1">
        <f t="array" aca="1" ref="V1576" ca="1">IFERROR(IF(AA1576&lt;&gt;"ja",_xlfn.IFNA(_xlfn.IFS(AND(P1576&lt;&gt;"",R1576&lt;&gt;"",RIGHT($N1576,6)="tarief",F1576="Vergoeding"),SUM(P1576)*FLOOR(SUM(R1576),0.0001),AND(P1576&lt;&gt;"",R1576&lt;&gt;"",RIGHT($N1576,6)="tarief"),P1576*FLOOR(R1576,0.01),T1576&gt;0,FLOOR(SUM(T1576),0.01)),""),""),"")</f>
        <v/>
      </c>
      <c r="W1576" s="317" t="str" cm="1">
        <f t="array" aca="1" ref="W1576" ca="1">IFERROR(_xlfn.IFS(OR(F1576="",LEFT(Methode_Keuze,4)="Geen",Methode_Keuze=""),"",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17" t="str" cm="1">
        <f t="array" aca="1" ref="X1576" ca="1">IFERROR(_xlfn.IFS(OR(F1576="",LEFT(Methode_Keuze,4)="Geen",Methode_Keuze=""),"",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26"/>
      <c r="Z1576" s="319"/>
      <c r="AA1576" s="32" t="str" cm="1">
        <f t="array" ref="AA1576">IFERROR(IF(INDEX(SubsidieTabel!$AD$1:$AG$12,MATCH($F1576,SubsidieTabel!$AD$1:$AD$12,0),IFERROR(MATCH(Methode_Keuze,SubsidieTabel!$AD$1:$AG$1,0),2))&lt;&gt;1=TRUE,"ja",""),"")</f>
        <v/>
      </c>
    </row>
    <row r="1577" spans="1:27" x14ac:dyDescent="0.25">
      <c r="A1577" s="320"/>
      <c r="B1577" s="321" t="str">
        <f>IF(A1577&lt;&gt;"",_xlfn.MAXIFS($B$1:B1576,$A$1:A1576,A1577)+1,"")</f>
        <v/>
      </c>
      <c r="C1577" s="299"/>
      <c r="D1577" s="299"/>
      <c r="E1577" s="299"/>
      <c r="F1577" s="299"/>
      <c r="G1577" s="330"/>
      <c r="H1577" s="328"/>
      <c r="I1577" s="329"/>
      <c r="J1577" s="329"/>
      <c r="K1577" s="322"/>
      <c r="L1577" s="322"/>
      <c r="M1577" s="323" t="str">
        <f>IFERROR(VLOOKUP(H1577,Lijsten!$H$1:$I$100,2,0),"")</f>
        <v/>
      </c>
      <c r="N1577" s="323" t="str">
        <f ca="1">IFERROR(IF(VLOOKUP(F1577,Kostentypen!$A$3:$E$21,3,0)=0,"",IF(OR(F1577="Arbeidskosten",F1577="Vergoeding"),VLOOKUP(G1577,Tb_KostenTypen[],2,0),VLOOKUP(F1577,Kostentypen!$A$3:$E$20,3,0))),"")</f>
        <v/>
      </c>
      <c r="O1577" s="324"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4"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3"/>
      <c r="R1577" s="363"/>
      <c r="S1577" s="325"/>
      <c r="T1577" s="325"/>
      <c r="U1577" s="317" t="str" cm="1">
        <f t="array" aca="1" ref="U1577" ca="1">IFERROR(IF(AA1577&lt;&gt;"ja",_xlfn.IFNA(_xlfn.IFS(AND(O1577&lt;&gt;"",F1577&lt;&gt;"",RIGHT($N1577,6)="tarief",F1577="Vergoeding"),SUM(O1577)*FLOOR(SUM(Q1577),0.0001),AND(O1577&lt;&gt;"",F1577&lt;&gt;"",RIGHT($N1577,6)="tarief"),SUM(O1577)*FLOOR(SUM(Q1577),0.01),S1577&gt;0,IF(F1577&lt;&gt;"",FLOOR(SUM(S1577),0.01),"")),""),""),"")</f>
        <v/>
      </c>
      <c r="V1577" s="317" t="str" cm="1">
        <f t="array" aca="1" ref="V1577" ca="1">IFERROR(IF(AA1577&lt;&gt;"ja",_xlfn.IFNA(_xlfn.IFS(AND(P1577&lt;&gt;"",R1577&lt;&gt;"",RIGHT($N1577,6)="tarief",F1577="Vergoeding"),SUM(P1577)*FLOOR(SUM(R1577),0.0001),AND(P1577&lt;&gt;"",R1577&lt;&gt;"",RIGHT($N1577,6)="tarief"),P1577*FLOOR(R1577,0.01),T1577&gt;0,FLOOR(SUM(T1577),0.01)),""),""),"")</f>
        <v/>
      </c>
      <c r="W1577" s="317" t="str" cm="1">
        <f t="array" aca="1" ref="W1577" ca="1">IFERROR(_xlfn.IFS(OR(F1577="",LEFT(Methode_Keuze,4)="Geen",Methode_Keuze=""),"",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17" t="str" cm="1">
        <f t="array" aca="1" ref="X1577" ca="1">IFERROR(_xlfn.IFS(OR(F1577="",LEFT(Methode_Keuze,4)="Geen",Methode_Keuze=""),"",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26"/>
      <c r="Z1577" s="319"/>
      <c r="AA1577" s="32" t="str" cm="1">
        <f t="array" ref="AA1577">IFERROR(IF(INDEX(SubsidieTabel!$AD$1:$AG$12,MATCH($F1577,SubsidieTabel!$AD$1:$AD$12,0),IFERROR(MATCH(Methode_Keuze,SubsidieTabel!$AD$1:$AG$1,0),2))&lt;&gt;1=TRUE,"ja",""),"")</f>
        <v/>
      </c>
    </row>
    <row r="1578" spans="1:27" x14ac:dyDescent="0.25">
      <c r="A1578" s="320"/>
      <c r="B1578" s="321" t="str">
        <f>IF(A1578&lt;&gt;"",_xlfn.MAXIFS($B$1:B1577,$A$1:A1577,A1578)+1,"")</f>
        <v/>
      </c>
      <c r="C1578" s="299"/>
      <c r="D1578" s="299"/>
      <c r="E1578" s="299"/>
      <c r="F1578" s="299"/>
      <c r="G1578" s="330"/>
      <c r="H1578" s="328"/>
      <c r="I1578" s="329"/>
      <c r="J1578" s="329"/>
      <c r="K1578" s="322"/>
      <c r="L1578" s="322"/>
      <c r="M1578" s="323" t="str">
        <f>IFERROR(VLOOKUP(H1578,Lijsten!$H$1:$I$100,2,0),"")</f>
        <v/>
      </c>
      <c r="N1578" s="323" t="str">
        <f ca="1">IFERROR(IF(VLOOKUP(F1578,Kostentypen!$A$3:$E$21,3,0)=0,"",IF(OR(F1578="Arbeidskosten",F1578="Vergoeding"),VLOOKUP(G1578,Tb_KostenTypen[],2,0),VLOOKUP(F1578,Kostentypen!$A$3:$E$20,3,0))),"")</f>
        <v/>
      </c>
      <c r="O1578" s="324"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4"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3"/>
      <c r="R1578" s="363"/>
      <c r="S1578" s="325"/>
      <c r="T1578" s="325"/>
      <c r="U1578" s="317" t="str" cm="1">
        <f t="array" aca="1" ref="U1578" ca="1">IFERROR(IF(AA1578&lt;&gt;"ja",_xlfn.IFNA(_xlfn.IFS(AND(O1578&lt;&gt;"",F1578&lt;&gt;"",RIGHT($N1578,6)="tarief",F1578="Vergoeding"),SUM(O1578)*FLOOR(SUM(Q1578),0.0001),AND(O1578&lt;&gt;"",F1578&lt;&gt;"",RIGHT($N1578,6)="tarief"),SUM(O1578)*FLOOR(SUM(Q1578),0.01),S1578&gt;0,IF(F1578&lt;&gt;"",FLOOR(SUM(S1578),0.01),"")),""),""),"")</f>
        <v/>
      </c>
      <c r="V1578" s="317" t="str" cm="1">
        <f t="array" aca="1" ref="V1578" ca="1">IFERROR(IF(AA1578&lt;&gt;"ja",_xlfn.IFNA(_xlfn.IFS(AND(P1578&lt;&gt;"",R1578&lt;&gt;"",RIGHT($N1578,6)="tarief",F1578="Vergoeding"),SUM(P1578)*FLOOR(SUM(R1578),0.0001),AND(P1578&lt;&gt;"",R1578&lt;&gt;"",RIGHT($N1578,6)="tarief"),P1578*FLOOR(R1578,0.01),T1578&gt;0,FLOOR(SUM(T1578),0.01)),""),""),"")</f>
        <v/>
      </c>
      <c r="W1578" s="317" t="str" cm="1">
        <f t="array" aca="1" ref="W1578" ca="1">IFERROR(_xlfn.IFS(OR(F1578="",LEFT(Methode_Keuze,4)="Geen",Methode_Keuze=""),"",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17" t="str" cm="1">
        <f t="array" aca="1" ref="X1578" ca="1">IFERROR(_xlfn.IFS(OR(F1578="",LEFT(Methode_Keuze,4)="Geen",Methode_Keuze=""),"",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26"/>
      <c r="Z1578" s="319"/>
      <c r="AA1578" s="32" t="str" cm="1">
        <f t="array" ref="AA1578">IFERROR(IF(INDEX(SubsidieTabel!$AD$1:$AG$12,MATCH($F1578,SubsidieTabel!$AD$1:$AD$12,0),IFERROR(MATCH(Methode_Keuze,SubsidieTabel!$AD$1:$AG$1,0),2))&lt;&gt;1=TRUE,"ja",""),"")</f>
        <v/>
      </c>
    </row>
    <row r="1579" spans="1:27" x14ac:dyDescent="0.25">
      <c r="A1579" s="320"/>
      <c r="B1579" s="321" t="str">
        <f>IF(A1579&lt;&gt;"",_xlfn.MAXIFS($B$1:B1578,$A$1:A1578,A1579)+1,"")</f>
        <v/>
      </c>
      <c r="C1579" s="299"/>
      <c r="D1579" s="299"/>
      <c r="E1579" s="299"/>
      <c r="F1579" s="299"/>
      <c r="G1579" s="330"/>
      <c r="H1579" s="328"/>
      <c r="I1579" s="329"/>
      <c r="J1579" s="329"/>
      <c r="K1579" s="322"/>
      <c r="L1579" s="322"/>
      <c r="M1579" s="323" t="str">
        <f>IFERROR(VLOOKUP(H1579,Lijsten!$H$1:$I$100,2,0),"")</f>
        <v/>
      </c>
      <c r="N1579" s="323" t="str">
        <f ca="1">IFERROR(IF(VLOOKUP(F1579,Kostentypen!$A$3:$E$21,3,0)=0,"",IF(OR(F1579="Arbeidskosten",F1579="Vergoeding"),VLOOKUP(G1579,Tb_KostenTypen[],2,0),VLOOKUP(F1579,Kostentypen!$A$3:$E$20,3,0))),"")</f>
        <v/>
      </c>
      <c r="O1579" s="324"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4"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3"/>
      <c r="R1579" s="363"/>
      <c r="S1579" s="325"/>
      <c r="T1579" s="325"/>
      <c r="U1579" s="317" t="str" cm="1">
        <f t="array" aca="1" ref="U1579" ca="1">IFERROR(IF(AA1579&lt;&gt;"ja",_xlfn.IFNA(_xlfn.IFS(AND(O1579&lt;&gt;"",F1579&lt;&gt;"",RIGHT($N1579,6)="tarief",F1579="Vergoeding"),SUM(O1579)*FLOOR(SUM(Q1579),0.0001),AND(O1579&lt;&gt;"",F1579&lt;&gt;"",RIGHT($N1579,6)="tarief"),SUM(O1579)*FLOOR(SUM(Q1579),0.01),S1579&gt;0,IF(F1579&lt;&gt;"",FLOOR(SUM(S1579),0.01),"")),""),""),"")</f>
        <v/>
      </c>
      <c r="V1579" s="317" t="str" cm="1">
        <f t="array" aca="1" ref="V1579" ca="1">IFERROR(IF(AA1579&lt;&gt;"ja",_xlfn.IFNA(_xlfn.IFS(AND(P1579&lt;&gt;"",R1579&lt;&gt;"",RIGHT($N1579,6)="tarief",F1579="Vergoeding"),SUM(P1579)*FLOOR(SUM(R1579),0.0001),AND(P1579&lt;&gt;"",R1579&lt;&gt;"",RIGHT($N1579,6)="tarief"),P1579*FLOOR(R1579,0.01),T1579&gt;0,FLOOR(SUM(T1579),0.01)),""),""),"")</f>
        <v/>
      </c>
      <c r="W1579" s="317" t="str" cm="1">
        <f t="array" aca="1" ref="W1579" ca="1">IFERROR(_xlfn.IFS(OR(F1579="",LEFT(Methode_Keuze,4)="Geen",Methode_Keuze=""),"",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17" t="str" cm="1">
        <f t="array" aca="1" ref="X1579" ca="1">IFERROR(_xlfn.IFS(OR(F1579="",LEFT(Methode_Keuze,4)="Geen",Methode_Keuze=""),"",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26"/>
      <c r="Z1579" s="319"/>
      <c r="AA1579" s="32" t="str" cm="1">
        <f t="array" ref="AA1579">IFERROR(IF(INDEX(SubsidieTabel!$AD$1:$AG$12,MATCH($F1579,SubsidieTabel!$AD$1:$AD$12,0),IFERROR(MATCH(Methode_Keuze,SubsidieTabel!$AD$1:$AG$1,0),2))&lt;&gt;1=TRUE,"ja",""),"")</f>
        <v/>
      </c>
    </row>
    <row r="1580" spans="1:27" x14ac:dyDescent="0.25">
      <c r="A1580" s="320"/>
      <c r="B1580" s="321" t="str">
        <f>IF(A1580&lt;&gt;"",_xlfn.MAXIFS($B$1:B1579,$A$1:A1579,A1580)+1,"")</f>
        <v/>
      </c>
      <c r="C1580" s="299"/>
      <c r="D1580" s="299"/>
      <c r="E1580" s="299"/>
      <c r="F1580" s="299"/>
      <c r="G1580" s="330"/>
      <c r="H1580" s="328"/>
      <c r="I1580" s="329"/>
      <c r="J1580" s="329"/>
      <c r="K1580" s="322"/>
      <c r="L1580" s="322"/>
      <c r="M1580" s="323" t="str">
        <f>IFERROR(VLOOKUP(H1580,Lijsten!$H$1:$I$100,2,0),"")</f>
        <v/>
      </c>
      <c r="N1580" s="323" t="str">
        <f ca="1">IFERROR(IF(VLOOKUP(F1580,Kostentypen!$A$3:$E$21,3,0)=0,"",IF(OR(F1580="Arbeidskosten",F1580="Vergoeding"),VLOOKUP(G1580,Tb_KostenTypen[],2,0),VLOOKUP(F1580,Kostentypen!$A$3:$E$20,3,0))),"")</f>
        <v/>
      </c>
      <c r="O1580" s="324"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4"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3"/>
      <c r="R1580" s="363"/>
      <c r="S1580" s="325"/>
      <c r="T1580" s="325"/>
      <c r="U1580" s="317" t="str" cm="1">
        <f t="array" aca="1" ref="U1580" ca="1">IFERROR(IF(AA1580&lt;&gt;"ja",_xlfn.IFNA(_xlfn.IFS(AND(O1580&lt;&gt;"",F1580&lt;&gt;"",RIGHT($N1580,6)="tarief",F1580="Vergoeding"),SUM(O1580)*FLOOR(SUM(Q1580),0.0001),AND(O1580&lt;&gt;"",F1580&lt;&gt;"",RIGHT($N1580,6)="tarief"),SUM(O1580)*FLOOR(SUM(Q1580),0.01),S1580&gt;0,IF(F1580&lt;&gt;"",FLOOR(SUM(S1580),0.01),"")),""),""),"")</f>
        <v/>
      </c>
      <c r="V1580" s="317" t="str" cm="1">
        <f t="array" aca="1" ref="V1580" ca="1">IFERROR(IF(AA1580&lt;&gt;"ja",_xlfn.IFNA(_xlfn.IFS(AND(P1580&lt;&gt;"",R1580&lt;&gt;"",RIGHT($N1580,6)="tarief",F1580="Vergoeding"),SUM(P1580)*FLOOR(SUM(R1580),0.0001),AND(P1580&lt;&gt;"",R1580&lt;&gt;"",RIGHT($N1580,6)="tarief"),P1580*FLOOR(R1580,0.01),T1580&gt;0,FLOOR(SUM(T1580),0.01)),""),""),"")</f>
        <v/>
      </c>
      <c r="W1580" s="317" t="str" cm="1">
        <f t="array" aca="1" ref="W1580" ca="1">IFERROR(_xlfn.IFS(OR(F1580="",LEFT(Methode_Keuze,4)="Geen",Methode_Keuze=""),"",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17" t="str" cm="1">
        <f t="array" aca="1" ref="X1580" ca="1">IFERROR(_xlfn.IFS(OR(F1580="",LEFT(Methode_Keuze,4)="Geen",Methode_Keuze=""),"",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26"/>
      <c r="Z1580" s="319"/>
      <c r="AA1580" s="32" t="str" cm="1">
        <f t="array" ref="AA1580">IFERROR(IF(INDEX(SubsidieTabel!$AD$1:$AG$12,MATCH($F1580,SubsidieTabel!$AD$1:$AD$12,0),IFERROR(MATCH(Methode_Keuze,SubsidieTabel!$AD$1:$AG$1,0),2))&lt;&gt;1=TRUE,"ja",""),"")</f>
        <v/>
      </c>
    </row>
    <row r="1581" spans="1:27" x14ac:dyDescent="0.25">
      <c r="A1581" s="320"/>
      <c r="B1581" s="321" t="str">
        <f>IF(A1581&lt;&gt;"",_xlfn.MAXIFS($B$1:B1580,$A$1:A1580,A1581)+1,"")</f>
        <v/>
      </c>
      <c r="C1581" s="299"/>
      <c r="D1581" s="299"/>
      <c r="E1581" s="299"/>
      <c r="F1581" s="299"/>
      <c r="G1581" s="330"/>
      <c r="H1581" s="328"/>
      <c r="I1581" s="329"/>
      <c r="J1581" s="329"/>
      <c r="K1581" s="322"/>
      <c r="L1581" s="322"/>
      <c r="M1581" s="323" t="str">
        <f>IFERROR(VLOOKUP(H1581,Lijsten!$H$1:$I$100,2,0),"")</f>
        <v/>
      </c>
      <c r="N1581" s="323" t="str">
        <f ca="1">IFERROR(IF(VLOOKUP(F1581,Kostentypen!$A$3:$E$21,3,0)=0,"",IF(OR(F1581="Arbeidskosten",F1581="Vergoeding"),VLOOKUP(G1581,Tb_KostenTypen[],2,0),VLOOKUP(F1581,Kostentypen!$A$3:$E$20,3,0))),"")</f>
        <v/>
      </c>
      <c r="O1581" s="324"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4"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3"/>
      <c r="R1581" s="363"/>
      <c r="S1581" s="325"/>
      <c r="T1581" s="325"/>
      <c r="U1581" s="317" t="str" cm="1">
        <f t="array" aca="1" ref="U1581" ca="1">IFERROR(IF(AA1581&lt;&gt;"ja",_xlfn.IFNA(_xlfn.IFS(AND(O1581&lt;&gt;"",F1581&lt;&gt;"",RIGHT($N1581,6)="tarief",F1581="Vergoeding"),SUM(O1581)*FLOOR(SUM(Q1581),0.0001),AND(O1581&lt;&gt;"",F1581&lt;&gt;"",RIGHT($N1581,6)="tarief"),SUM(O1581)*FLOOR(SUM(Q1581),0.01),S1581&gt;0,IF(F1581&lt;&gt;"",FLOOR(SUM(S1581),0.01),"")),""),""),"")</f>
        <v/>
      </c>
      <c r="V1581" s="317" t="str" cm="1">
        <f t="array" aca="1" ref="V1581" ca="1">IFERROR(IF(AA1581&lt;&gt;"ja",_xlfn.IFNA(_xlfn.IFS(AND(P1581&lt;&gt;"",R1581&lt;&gt;"",RIGHT($N1581,6)="tarief",F1581="Vergoeding"),SUM(P1581)*FLOOR(SUM(R1581),0.0001),AND(P1581&lt;&gt;"",R1581&lt;&gt;"",RIGHT($N1581,6)="tarief"),P1581*FLOOR(R1581,0.01),T1581&gt;0,FLOOR(SUM(T1581),0.01)),""),""),"")</f>
        <v/>
      </c>
      <c r="W1581" s="317" t="str" cm="1">
        <f t="array" aca="1" ref="W1581" ca="1">IFERROR(_xlfn.IFS(OR(F1581="",LEFT(Methode_Keuze,4)="Geen",Methode_Keuze=""),"",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17" t="str" cm="1">
        <f t="array" aca="1" ref="X1581" ca="1">IFERROR(_xlfn.IFS(OR(F1581="",LEFT(Methode_Keuze,4)="Geen",Methode_Keuze=""),"",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26"/>
      <c r="Z1581" s="319"/>
      <c r="AA1581" s="32" t="str" cm="1">
        <f t="array" ref="AA1581">IFERROR(IF(INDEX(SubsidieTabel!$AD$1:$AG$12,MATCH($F1581,SubsidieTabel!$AD$1:$AD$12,0),IFERROR(MATCH(Methode_Keuze,SubsidieTabel!$AD$1:$AG$1,0),2))&lt;&gt;1=TRUE,"ja",""),"")</f>
        <v/>
      </c>
    </row>
    <row r="1582" spans="1:27" x14ac:dyDescent="0.25">
      <c r="A1582" s="320"/>
      <c r="B1582" s="321" t="str">
        <f>IF(A1582&lt;&gt;"",_xlfn.MAXIFS($B$1:B1581,$A$1:A1581,A1582)+1,"")</f>
        <v/>
      </c>
      <c r="C1582" s="299"/>
      <c r="D1582" s="299"/>
      <c r="E1582" s="299"/>
      <c r="F1582" s="299"/>
      <c r="G1582" s="330"/>
      <c r="H1582" s="328"/>
      <c r="I1582" s="329"/>
      <c r="J1582" s="329"/>
      <c r="K1582" s="322"/>
      <c r="L1582" s="322"/>
      <c r="M1582" s="323" t="str">
        <f>IFERROR(VLOOKUP(H1582,Lijsten!$H$1:$I$100,2,0),"")</f>
        <v/>
      </c>
      <c r="N1582" s="323" t="str">
        <f ca="1">IFERROR(IF(VLOOKUP(F1582,Kostentypen!$A$3:$E$21,3,0)=0,"",IF(OR(F1582="Arbeidskosten",F1582="Vergoeding"),VLOOKUP(G1582,Tb_KostenTypen[],2,0),VLOOKUP(F1582,Kostentypen!$A$3:$E$20,3,0))),"")</f>
        <v/>
      </c>
      <c r="O1582" s="324"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4"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3"/>
      <c r="R1582" s="363"/>
      <c r="S1582" s="325"/>
      <c r="T1582" s="325"/>
      <c r="U1582" s="317" t="str" cm="1">
        <f t="array" aca="1" ref="U1582" ca="1">IFERROR(IF(AA1582&lt;&gt;"ja",_xlfn.IFNA(_xlfn.IFS(AND(O1582&lt;&gt;"",F1582&lt;&gt;"",RIGHT($N1582,6)="tarief",F1582="Vergoeding"),SUM(O1582)*FLOOR(SUM(Q1582),0.0001),AND(O1582&lt;&gt;"",F1582&lt;&gt;"",RIGHT($N1582,6)="tarief"),SUM(O1582)*FLOOR(SUM(Q1582),0.01),S1582&gt;0,IF(F1582&lt;&gt;"",FLOOR(SUM(S1582),0.01),"")),""),""),"")</f>
        <v/>
      </c>
      <c r="V1582" s="317" t="str" cm="1">
        <f t="array" aca="1" ref="V1582" ca="1">IFERROR(IF(AA1582&lt;&gt;"ja",_xlfn.IFNA(_xlfn.IFS(AND(P1582&lt;&gt;"",R1582&lt;&gt;"",RIGHT($N1582,6)="tarief",F1582="Vergoeding"),SUM(P1582)*FLOOR(SUM(R1582),0.0001),AND(P1582&lt;&gt;"",R1582&lt;&gt;"",RIGHT($N1582,6)="tarief"),P1582*FLOOR(R1582,0.01),T1582&gt;0,FLOOR(SUM(T1582),0.01)),""),""),"")</f>
        <v/>
      </c>
      <c r="W1582" s="317" t="str" cm="1">
        <f t="array" aca="1" ref="W1582" ca="1">IFERROR(_xlfn.IFS(OR(F1582="",LEFT(Methode_Keuze,4)="Geen",Methode_Keuze=""),"",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17" t="str" cm="1">
        <f t="array" aca="1" ref="X1582" ca="1">IFERROR(_xlfn.IFS(OR(F1582="",LEFT(Methode_Keuze,4)="Geen",Methode_Keuze=""),"",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26"/>
      <c r="Z1582" s="319"/>
      <c r="AA1582" s="32" t="str" cm="1">
        <f t="array" ref="AA1582">IFERROR(IF(INDEX(SubsidieTabel!$AD$1:$AG$12,MATCH($F1582,SubsidieTabel!$AD$1:$AD$12,0),IFERROR(MATCH(Methode_Keuze,SubsidieTabel!$AD$1:$AG$1,0),2))&lt;&gt;1=TRUE,"ja",""),"")</f>
        <v/>
      </c>
    </row>
    <row r="1583" spans="1:27" x14ac:dyDescent="0.25">
      <c r="A1583" s="320"/>
      <c r="B1583" s="321" t="str">
        <f>IF(A1583&lt;&gt;"",_xlfn.MAXIFS($B$1:B1582,$A$1:A1582,A1583)+1,"")</f>
        <v/>
      </c>
      <c r="C1583" s="299"/>
      <c r="D1583" s="299"/>
      <c r="E1583" s="299"/>
      <c r="F1583" s="299"/>
      <c r="G1583" s="330"/>
      <c r="H1583" s="328"/>
      <c r="I1583" s="329"/>
      <c r="J1583" s="329"/>
      <c r="K1583" s="322"/>
      <c r="L1583" s="322"/>
      <c r="M1583" s="323" t="str">
        <f>IFERROR(VLOOKUP(H1583,Lijsten!$H$1:$I$100,2,0),"")</f>
        <v/>
      </c>
      <c r="N1583" s="323" t="str">
        <f ca="1">IFERROR(IF(VLOOKUP(F1583,Kostentypen!$A$3:$E$21,3,0)=0,"",IF(OR(F1583="Arbeidskosten",F1583="Vergoeding"),VLOOKUP(G1583,Tb_KostenTypen[],2,0),VLOOKUP(F1583,Kostentypen!$A$3:$E$20,3,0))),"")</f>
        <v/>
      </c>
      <c r="O1583" s="324"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4"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3"/>
      <c r="R1583" s="363"/>
      <c r="S1583" s="325"/>
      <c r="T1583" s="325"/>
      <c r="U1583" s="317" t="str" cm="1">
        <f t="array" aca="1" ref="U1583" ca="1">IFERROR(IF(AA1583&lt;&gt;"ja",_xlfn.IFNA(_xlfn.IFS(AND(O1583&lt;&gt;"",F1583&lt;&gt;"",RIGHT($N1583,6)="tarief",F1583="Vergoeding"),SUM(O1583)*FLOOR(SUM(Q1583),0.0001),AND(O1583&lt;&gt;"",F1583&lt;&gt;"",RIGHT($N1583,6)="tarief"),SUM(O1583)*FLOOR(SUM(Q1583),0.01),S1583&gt;0,IF(F1583&lt;&gt;"",FLOOR(SUM(S1583),0.01),"")),""),""),"")</f>
        <v/>
      </c>
      <c r="V1583" s="317" t="str" cm="1">
        <f t="array" aca="1" ref="V1583" ca="1">IFERROR(IF(AA1583&lt;&gt;"ja",_xlfn.IFNA(_xlfn.IFS(AND(P1583&lt;&gt;"",R1583&lt;&gt;"",RIGHT($N1583,6)="tarief",F1583="Vergoeding"),SUM(P1583)*FLOOR(SUM(R1583),0.0001),AND(P1583&lt;&gt;"",R1583&lt;&gt;"",RIGHT($N1583,6)="tarief"),P1583*FLOOR(R1583,0.01),T1583&gt;0,FLOOR(SUM(T1583),0.01)),""),""),"")</f>
        <v/>
      </c>
      <c r="W1583" s="317" t="str" cm="1">
        <f t="array" aca="1" ref="W1583" ca="1">IFERROR(_xlfn.IFS(OR(F1583="",LEFT(Methode_Keuze,4)="Geen",Methode_Keuze=""),"",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17" t="str" cm="1">
        <f t="array" aca="1" ref="X1583" ca="1">IFERROR(_xlfn.IFS(OR(F1583="",LEFT(Methode_Keuze,4)="Geen",Methode_Keuze=""),"",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26"/>
      <c r="Z1583" s="319"/>
      <c r="AA1583" s="32" t="str" cm="1">
        <f t="array" ref="AA1583">IFERROR(IF(INDEX(SubsidieTabel!$AD$1:$AG$12,MATCH($F1583,SubsidieTabel!$AD$1:$AD$12,0),IFERROR(MATCH(Methode_Keuze,SubsidieTabel!$AD$1:$AG$1,0),2))&lt;&gt;1=TRUE,"ja",""),"")</f>
        <v/>
      </c>
    </row>
    <row r="1584" spans="1:27" x14ac:dyDescent="0.25">
      <c r="A1584" s="320"/>
      <c r="B1584" s="321" t="str">
        <f>IF(A1584&lt;&gt;"",_xlfn.MAXIFS($B$1:B1583,$A$1:A1583,A1584)+1,"")</f>
        <v/>
      </c>
      <c r="C1584" s="299"/>
      <c r="D1584" s="299"/>
      <c r="E1584" s="299"/>
      <c r="F1584" s="299"/>
      <c r="G1584" s="330"/>
      <c r="H1584" s="328"/>
      <c r="I1584" s="329"/>
      <c r="J1584" s="329"/>
      <c r="K1584" s="322"/>
      <c r="L1584" s="322"/>
      <c r="M1584" s="323" t="str">
        <f>IFERROR(VLOOKUP(H1584,Lijsten!$H$1:$I$100,2,0),"")</f>
        <v/>
      </c>
      <c r="N1584" s="323" t="str">
        <f ca="1">IFERROR(IF(VLOOKUP(F1584,Kostentypen!$A$3:$E$21,3,0)=0,"",IF(OR(F1584="Arbeidskosten",F1584="Vergoeding"),VLOOKUP(G1584,Tb_KostenTypen[],2,0),VLOOKUP(F1584,Kostentypen!$A$3:$E$20,3,0))),"")</f>
        <v/>
      </c>
      <c r="O1584" s="324"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4"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3"/>
      <c r="R1584" s="363"/>
      <c r="S1584" s="325"/>
      <c r="T1584" s="325"/>
      <c r="U1584" s="317" t="str" cm="1">
        <f t="array" aca="1" ref="U1584" ca="1">IFERROR(IF(AA1584&lt;&gt;"ja",_xlfn.IFNA(_xlfn.IFS(AND(O1584&lt;&gt;"",F1584&lt;&gt;"",RIGHT($N1584,6)="tarief",F1584="Vergoeding"),SUM(O1584)*FLOOR(SUM(Q1584),0.0001),AND(O1584&lt;&gt;"",F1584&lt;&gt;"",RIGHT($N1584,6)="tarief"),SUM(O1584)*FLOOR(SUM(Q1584),0.01),S1584&gt;0,IF(F1584&lt;&gt;"",FLOOR(SUM(S1584),0.01),"")),""),""),"")</f>
        <v/>
      </c>
      <c r="V1584" s="317" t="str" cm="1">
        <f t="array" aca="1" ref="V1584" ca="1">IFERROR(IF(AA1584&lt;&gt;"ja",_xlfn.IFNA(_xlfn.IFS(AND(P1584&lt;&gt;"",R1584&lt;&gt;"",RIGHT($N1584,6)="tarief",F1584="Vergoeding"),SUM(P1584)*FLOOR(SUM(R1584),0.0001),AND(P1584&lt;&gt;"",R1584&lt;&gt;"",RIGHT($N1584,6)="tarief"),P1584*FLOOR(R1584,0.01),T1584&gt;0,FLOOR(SUM(T1584),0.01)),""),""),"")</f>
        <v/>
      </c>
      <c r="W1584" s="317" t="str" cm="1">
        <f t="array" aca="1" ref="W1584" ca="1">IFERROR(_xlfn.IFS(OR(F1584="",LEFT(Methode_Keuze,4)="Geen",Methode_Keuze=""),"",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17" t="str" cm="1">
        <f t="array" aca="1" ref="X1584" ca="1">IFERROR(_xlfn.IFS(OR(F1584="",LEFT(Methode_Keuze,4)="Geen",Methode_Keuze=""),"",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26"/>
      <c r="Z1584" s="319"/>
      <c r="AA1584" s="32" t="str" cm="1">
        <f t="array" ref="AA1584">IFERROR(IF(INDEX(SubsidieTabel!$AD$1:$AG$12,MATCH($F1584,SubsidieTabel!$AD$1:$AD$12,0),IFERROR(MATCH(Methode_Keuze,SubsidieTabel!$AD$1:$AG$1,0),2))&lt;&gt;1=TRUE,"ja",""),"")</f>
        <v/>
      </c>
    </row>
    <row r="1585" spans="1:27" x14ac:dyDescent="0.25">
      <c r="A1585" s="320"/>
      <c r="B1585" s="321" t="str">
        <f>IF(A1585&lt;&gt;"",_xlfn.MAXIFS($B$1:B1584,$A$1:A1584,A1585)+1,"")</f>
        <v/>
      </c>
      <c r="C1585" s="299"/>
      <c r="D1585" s="299"/>
      <c r="E1585" s="299"/>
      <c r="F1585" s="299"/>
      <c r="G1585" s="330"/>
      <c r="H1585" s="328"/>
      <c r="I1585" s="329"/>
      <c r="J1585" s="329"/>
      <c r="K1585" s="322"/>
      <c r="L1585" s="322"/>
      <c r="M1585" s="323" t="str">
        <f>IFERROR(VLOOKUP(H1585,Lijsten!$H$1:$I$100,2,0),"")</f>
        <v/>
      </c>
      <c r="N1585" s="323" t="str">
        <f ca="1">IFERROR(IF(VLOOKUP(F1585,Kostentypen!$A$3:$E$21,3,0)=0,"",IF(OR(F1585="Arbeidskosten",F1585="Vergoeding"),VLOOKUP(G1585,Tb_KostenTypen[],2,0),VLOOKUP(F1585,Kostentypen!$A$3:$E$20,3,0))),"")</f>
        <v/>
      </c>
      <c r="O1585" s="324"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4"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3"/>
      <c r="R1585" s="363"/>
      <c r="S1585" s="325"/>
      <c r="T1585" s="325"/>
      <c r="U1585" s="317" t="str" cm="1">
        <f t="array" aca="1" ref="U1585" ca="1">IFERROR(IF(AA1585&lt;&gt;"ja",_xlfn.IFNA(_xlfn.IFS(AND(O1585&lt;&gt;"",F1585&lt;&gt;"",RIGHT($N1585,6)="tarief",F1585="Vergoeding"),SUM(O1585)*FLOOR(SUM(Q1585),0.0001),AND(O1585&lt;&gt;"",F1585&lt;&gt;"",RIGHT($N1585,6)="tarief"),SUM(O1585)*FLOOR(SUM(Q1585),0.01),S1585&gt;0,IF(F1585&lt;&gt;"",FLOOR(SUM(S1585),0.01),"")),""),""),"")</f>
        <v/>
      </c>
      <c r="V1585" s="317" t="str" cm="1">
        <f t="array" aca="1" ref="V1585" ca="1">IFERROR(IF(AA1585&lt;&gt;"ja",_xlfn.IFNA(_xlfn.IFS(AND(P1585&lt;&gt;"",R1585&lt;&gt;"",RIGHT($N1585,6)="tarief",F1585="Vergoeding"),SUM(P1585)*FLOOR(SUM(R1585),0.0001),AND(P1585&lt;&gt;"",R1585&lt;&gt;"",RIGHT($N1585,6)="tarief"),P1585*FLOOR(R1585,0.01),T1585&gt;0,FLOOR(SUM(T1585),0.01)),""),""),"")</f>
        <v/>
      </c>
      <c r="W1585" s="317" t="str" cm="1">
        <f t="array" aca="1" ref="W1585" ca="1">IFERROR(_xlfn.IFS(OR(F1585="",LEFT(Methode_Keuze,4)="Geen",Methode_Keuze=""),"",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17" t="str" cm="1">
        <f t="array" aca="1" ref="X1585" ca="1">IFERROR(_xlfn.IFS(OR(F1585="",LEFT(Methode_Keuze,4)="Geen",Methode_Keuze=""),"",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26"/>
      <c r="Z1585" s="319"/>
      <c r="AA1585" s="32" t="str" cm="1">
        <f t="array" ref="AA1585">IFERROR(IF(INDEX(SubsidieTabel!$AD$1:$AG$12,MATCH($F1585,SubsidieTabel!$AD$1:$AD$12,0),IFERROR(MATCH(Methode_Keuze,SubsidieTabel!$AD$1:$AG$1,0),2))&lt;&gt;1=TRUE,"ja",""),"")</f>
        <v/>
      </c>
    </row>
    <row r="1586" spans="1:27" x14ac:dyDescent="0.25">
      <c r="A1586" s="320"/>
      <c r="B1586" s="321" t="str">
        <f>IF(A1586&lt;&gt;"",_xlfn.MAXIFS($B$1:B1585,$A$1:A1585,A1586)+1,"")</f>
        <v/>
      </c>
      <c r="C1586" s="299"/>
      <c r="D1586" s="299"/>
      <c r="E1586" s="299"/>
      <c r="F1586" s="299"/>
      <c r="G1586" s="330"/>
      <c r="H1586" s="328"/>
      <c r="I1586" s="329"/>
      <c r="J1586" s="329"/>
      <c r="K1586" s="322"/>
      <c r="L1586" s="322"/>
      <c r="M1586" s="323" t="str">
        <f>IFERROR(VLOOKUP(H1586,Lijsten!$H$1:$I$100,2,0),"")</f>
        <v/>
      </c>
      <c r="N1586" s="323" t="str">
        <f ca="1">IFERROR(IF(VLOOKUP(F1586,Kostentypen!$A$3:$E$21,3,0)=0,"",IF(OR(F1586="Arbeidskosten",F1586="Vergoeding"),VLOOKUP(G1586,Tb_KostenTypen[],2,0),VLOOKUP(F1586,Kostentypen!$A$3:$E$20,3,0))),"")</f>
        <v/>
      </c>
      <c r="O1586" s="324"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4"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3"/>
      <c r="R1586" s="363"/>
      <c r="S1586" s="325"/>
      <c r="T1586" s="325"/>
      <c r="U1586" s="317" t="str" cm="1">
        <f t="array" aca="1" ref="U1586" ca="1">IFERROR(IF(AA1586&lt;&gt;"ja",_xlfn.IFNA(_xlfn.IFS(AND(O1586&lt;&gt;"",F1586&lt;&gt;"",RIGHT($N1586,6)="tarief",F1586="Vergoeding"),SUM(O1586)*FLOOR(SUM(Q1586),0.0001),AND(O1586&lt;&gt;"",F1586&lt;&gt;"",RIGHT($N1586,6)="tarief"),SUM(O1586)*FLOOR(SUM(Q1586),0.01),S1586&gt;0,IF(F1586&lt;&gt;"",FLOOR(SUM(S1586),0.01),"")),""),""),"")</f>
        <v/>
      </c>
      <c r="V1586" s="317" t="str" cm="1">
        <f t="array" aca="1" ref="V1586" ca="1">IFERROR(IF(AA1586&lt;&gt;"ja",_xlfn.IFNA(_xlfn.IFS(AND(P1586&lt;&gt;"",R1586&lt;&gt;"",RIGHT($N1586,6)="tarief",F1586="Vergoeding"),SUM(P1586)*FLOOR(SUM(R1586),0.0001),AND(P1586&lt;&gt;"",R1586&lt;&gt;"",RIGHT($N1586,6)="tarief"),P1586*FLOOR(R1586,0.01),T1586&gt;0,FLOOR(SUM(T1586),0.01)),""),""),"")</f>
        <v/>
      </c>
      <c r="W1586" s="317" t="str" cm="1">
        <f t="array" aca="1" ref="W1586" ca="1">IFERROR(_xlfn.IFS(OR(F1586="",LEFT(Methode_Keuze,4)="Geen",Methode_Keuze=""),"",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17" t="str" cm="1">
        <f t="array" aca="1" ref="X1586" ca="1">IFERROR(_xlfn.IFS(OR(F1586="",LEFT(Methode_Keuze,4)="Geen",Methode_Keuze=""),"",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26"/>
      <c r="Z1586" s="319"/>
      <c r="AA1586" s="32" t="str" cm="1">
        <f t="array" ref="AA1586">IFERROR(IF(INDEX(SubsidieTabel!$AD$1:$AG$12,MATCH($F1586,SubsidieTabel!$AD$1:$AD$12,0),IFERROR(MATCH(Methode_Keuze,SubsidieTabel!$AD$1:$AG$1,0),2))&lt;&gt;1=TRUE,"ja",""),"")</f>
        <v/>
      </c>
    </row>
    <row r="1587" spans="1:27" x14ac:dyDescent="0.25">
      <c r="A1587" s="320"/>
      <c r="B1587" s="321" t="str">
        <f>IF(A1587&lt;&gt;"",_xlfn.MAXIFS($B$1:B1586,$A$1:A1586,A1587)+1,"")</f>
        <v/>
      </c>
      <c r="C1587" s="299"/>
      <c r="D1587" s="299"/>
      <c r="E1587" s="299"/>
      <c r="F1587" s="299"/>
      <c r="G1587" s="330"/>
      <c r="H1587" s="328"/>
      <c r="I1587" s="329"/>
      <c r="J1587" s="329"/>
      <c r="K1587" s="322"/>
      <c r="L1587" s="322"/>
      <c r="M1587" s="323" t="str">
        <f>IFERROR(VLOOKUP(H1587,Lijsten!$H$1:$I$100,2,0),"")</f>
        <v/>
      </c>
      <c r="N1587" s="323" t="str">
        <f ca="1">IFERROR(IF(VLOOKUP(F1587,Kostentypen!$A$3:$E$21,3,0)=0,"",IF(OR(F1587="Arbeidskosten",F1587="Vergoeding"),VLOOKUP(G1587,Tb_KostenTypen[],2,0),VLOOKUP(F1587,Kostentypen!$A$3:$E$20,3,0))),"")</f>
        <v/>
      </c>
      <c r="O1587" s="324"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4"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3"/>
      <c r="R1587" s="363"/>
      <c r="S1587" s="325"/>
      <c r="T1587" s="325"/>
      <c r="U1587" s="317" t="str" cm="1">
        <f t="array" aca="1" ref="U1587" ca="1">IFERROR(IF(AA1587&lt;&gt;"ja",_xlfn.IFNA(_xlfn.IFS(AND(O1587&lt;&gt;"",F1587&lt;&gt;"",RIGHT($N1587,6)="tarief",F1587="Vergoeding"),SUM(O1587)*FLOOR(SUM(Q1587),0.0001),AND(O1587&lt;&gt;"",F1587&lt;&gt;"",RIGHT($N1587,6)="tarief"),SUM(O1587)*FLOOR(SUM(Q1587),0.01),S1587&gt;0,IF(F1587&lt;&gt;"",FLOOR(SUM(S1587),0.01),"")),""),""),"")</f>
        <v/>
      </c>
      <c r="V1587" s="317" t="str" cm="1">
        <f t="array" aca="1" ref="V1587" ca="1">IFERROR(IF(AA1587&lt;&gt;"ja",_xlfn.IFNA(_xlfn.IFS(AND(P1587&lt;&gt;"",R1587&lt;&gt;"",RIGHT($N1587,6)="tarief",F1587="Vergoeding"),SUM(P1587)*FLOOR(SUM(R1587),0.0001),AND(P1587&lt;&gt;"",R1587&lt;&gt;"",RIGHT($N1587,6)="tarief"),P1587*FLOOR(R1587,0.01),T1587&gt;0,FLOOR(SUM(T1587),0.01)),""),""),"")</f>
        <v/>
      </c>
      <c r="W1587" s="317" t="str" cm="1">
        <f t="array" aca="1" ref="W1587" ca="1">IFERROR(_xlfn.IFS(OR(F1587="",LEFT(Methode_Keuze,4)="Geen",Methode_Keuze=""),"",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17" t="str" cm="1">
        <f t="array" aca="1" ref="X1587" ca="1">IFERROR(_xlfn.IFS(OR(F1587="",LEFT(Methode_Keuze,4)="Geen",Methode_Keuze=""),"",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26"/>
      <c r="Z1587" s="319"/>
      <c r="AA1587" s="32" t="str" cm="1">
        <f t="array" ref="AA1587">IFERROR(IF(INDEX(SubsidieTabel!$AD$1:$AG$12,MATCH($F1587,SubsidieTabel!$AD$1:$AD$12,0),IFERROR(MATCH(Methode_Keuze,SubsidieTabel!$AD$1:$AG$1,0),2))&lt;&gt;1=TRUE,"ja",""),"")</f>
        <v/>
      </c>
    </row>
    <row r="1588" spans="1:27" x14ac:dyDescent="0.25">
      <c r="A1588" s="320"/>
      <c r="B1588" s="321" t="str">
        <f>IF(A1588&lt;&gt;"",_xlfn.MAXIFS($B$1:B1587,$A$1:A1587,A1588)+1,"")</f>
        <v/>
      </c>
      <c r="C1588" s="299"/>
      <c r="D1588" s="299"/>
      <c r="E1588" s="299"/>
      <c r="F1588" s="299"/>
      <c r="G1588" s="330"/>
      <c r="H1588" s="328"/>
      <c r="I1588" s="329"/>
      <c r="J1588" s="329"/>
      <c r="K1588" s="322"/>
      <c r="L1588" s="322"/>
      <c r="M1588" s="323" t="str">
        <f>IFERROR(VLOOKUP(H1588,Lijsten!$H$1:$I$100,2,0),"")</f>
        <v/>
      </c>
      <c r="N1588" s="323" t="str">
        <f ca="1">IFERROR(IF(VLOOKUP(F1588,Kostentypen!$A$3:$E$21,3,0)=0,"",IF(OR(F1588="Arbeidskosten",F1588="Vergoeding"),VLOOKUP(G1588,Tb_KostenTypen[],2,0),VLOOKUP(F1588,Kostentypen!$A$3:$E$20,3,0))),"")</f>
        <v/>
      </c>
      <c r="O1588" s="324"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4"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3"/>
      <c r="R1588" s="363"/>
      <c r="S1588" s="325"/>
      <c r="T1588" s="325"/>
      <c r="U1588" s="317" t="str" cm="1">
        <f t="array" aca="1" ref="U1588" ca="1">IFERROR(IF(AA1588&lt;&gt;"ja",_xlfn.IFNA(_xlfn.IFS(AND(O1588&lt;&gt;"",F1588&lt;&gt;"",RIGHT($N1588,6)="tarief",F1588="Vergoeding"),SUM(O1588)*FLOOR(SUM(Q1588),0.0001),AND(O1588&lt;&gt;"",F1588&lt;&gt;"",RIGHT($N1588,6)="tarief"),SUM(O1588)*FLOOR(SUM(Q1588),0.01),S1588&gt;0,IF(F1588&lt;&gt;"",FLOOR(SUM(S1588),0.01),"")),""),""),"")</f>
        <v/>
      </c>
      <c r="V1588" s="317" t="str" cm="1">
        <f t="array" aca="1" ref="V1588" ca="1">IFERROR(IF(AA1588&lt;&gt;"ja",_xlfn.IFNA(_xlfn.IFS(AND(P1588&lt;&gt;"",R1588&lt;&gt;"",RIGHT($N1588,6)="tarief",F1588="Vergoeding"),SUM(P1588)*FLOOR(SUM(R1588),0.0001),AND(P1588&lt;&gt;"",R1588&lt;&gt;"",RIGHT($N1588,6)="tarief"),P1588*FLOOR(R1588,0.01),T1588&gt;0,FLOOR(SUM(T1588),0.01)),""),""),"")</f>
        <v/>
      </c>
      <c r="W1588" s="317" t="str" cm="1">
        <f t="array" aca="1" ref="W1588" ca="1">IFERROR(_xlfn.IFS(OR(F1588="",LEFT(Methode_Keuze,4)="Geen",Methode_Keuze=""),"",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17" t="str" cm="1">
        <f t="array" aca="1" ref="X1588" ca="1">IFERROR(_xlfn.IFS(OR(F1588="",LEFT(Methode_Keuze,4)="Geen",Methode_Keuze=""),"",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26"/>
      <c r="Z1588" s="319"/>
      <c r="AA1588" s="32" t="str" cm="1">
        <f t="array" ref="AA1588">IFERROR(IF(INDEX(SubsidieTabel!$AD$1:$AG$12,MATCH($F1588,SubsidieTabel!$AD$1:$AD$12,0),IFERROR(MATCH(Methode_Keuze,SubsidieTabel!$AD$1:$AG$1,0),2))&lt;&gt;1=TRUE,"ja",""),"")</f>
        <v/>
      </c>
    </row>
    <row r="1589" spans="1:27" x14ac:dyDescent="0.25">
      <c r="A1589" s="320"/>
      <c r="B1589" s="321" t="str">
        <f>IF(A1589&lt;&gt;"",_xlfn.MAXIFS($B$1:B1588,$A$1:A1588,A1589)+1,"")</f>
        <v/>
      </c>
      <c r="C1589" s="299"/>
      <c r="D1589" s="299"/>
      <c r="E1589" s="299"/>
      <c r="F1589" s="299"/>
      <c r="G1589" s="330"/>
      <c r="H1589" s="328"/>
      <c r="I1589" s="329"/>
      <c r="J1589" s="329"/>
      <c r="K1589" s="322"/>
      <c r="L1589" s="322"/>
      <c r="M1589" s="323" t="str">
        <f>IFERROR(VLOOKUP(H1589,Lijsten!$H$1:$I$100,2,0),"")</f>
        <v/>
      </c>
      <c r="N1589" s="323" t="str">
        <f ca="1">IFERROR(IF(VLOOKUP(F1589,Kostentypen!$A$3:$E$21,3,0)=0,"",IF(OR(F1589="Arbeidskosten",F1589="Vergoeding"),VLOOKUP(G1589,Tb_KostenTypen[],2,0),VLOOKUP(F1589,Kostentypen!$A$3:$E$20,3,0))),"")</f>
        <v/>
      </c>
      <c r="O1589" s="324"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4"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3"/>
      <c r="R1589" s="363"/>
      <c r="S1589" s="325"/>
      <c r="T1589" s="325"/>
      <c r="U1589" s="317" t="str" cm="1">
        <f t="array" aca="1" ref="U1589" ca="1">IFERROR(IF(AA1589&lt;&gt;"ja",_xlfn.IFNA(_xlfn.IFS(AND(O1589&lt;&gt;"",F1589&lt;&gt;"",RIGHT($N1589,6)="tarief",F1589="Vergoeding"),SUM(O1589)*FLOOR(SUM(Q1589),0.0001),AND(O1589&lt;&gt;"",F1589&lt;&gt;"",RIGHT($N1589,6)="tarief"),SUM(O1589)*FLOOR(SUM(Q1589),0.01),S1589&gt;0,IF(F1589&lt;&gt;"",FLOOR(SUM(S1589),0.01),"")),""),""),"")</f>
        <v/>
      </c>
      <c r="V1589" s="317" t="str" cm="1">
        <f t="array" aca="1" ref="V1589" ca="1">IFERROR(IF(AA1589&lt;&gt;"ja",_xlfn.IFNA(_xlfn.IFS(AND(P1589&lt;&gt;"",R1589&lt;&gt;"",RIGHT($N1589,6)="tarief",F1589="Vergoeding"),SUM(P1589)*FLOOR(SUM(R1589),0.0001),AND(P1589&lt;&gt;"",R1589&lt;&gt;"",RIGHT($N1589,6)="tarief"),P1589*FLOOR(R1589,0.01),T1589&gt;0,FLOOR(SUM(T1589),0.01)),""),""),"")</f>
        <v/>
      </c>
      <c r="W1589" s="317" t="str" cm="1">
        <f t="array" aca="1" ref="W1589" ca="1">IFERROR(_xlfn.IFS(OR(F1589="",LEFT(Methode_Keuze,4)="Geen",Methode_Keuze=""),"",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17" t="str" cm="1">
        <f t="array" aca="1" ref="X1589" ca="1">IFERROR(_xlfn.IFS(OR(F1589="",LEFT(Methode_Keuze,4)="Geen",Methode_Keuze=""),"",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26"/>
      <c r="Z1589" s="319"/>
      <c r="AA1589" s="32" t="str" cm="1">
        <f t="array" ref="AA1589">IFERROR(IF(INDEX(SubsidieTabel!$AD$1:$AG$12,MATCH($F1589,SubsidieTabel!$AD$1:$AD$12,0),IFERROR(MATCH(Methode_Keuze,SubsidieTabel!$AD$1:$AG$1,0),2))&lt;&gt;1=TRUE,"ja",""),"")</f>
        <v/>
      </c>
    </row>
    <row r="1590" spans="1:27" x14ac:dyDescent="0.25">
      <c r="A1590" s="320"/>
      <c r="B1590" s="321" t="str">
        <f>IF(A1590&lt;&gt;"",_xlfn.MAXIFS($B$1:B1589,$A$1:A1589,A1590)+1,"")</f>
        <v/>
      </c>
      <c r="C1590" s="299"/>
      <c r="D1590" s="299"/>
      <c r="E1590" s="299"/>
      <c r="F1590" s="299"/>
      <c r="G1590" s="330"/>
      <c r="H1590" s="328"/>
      <c r="I1590" s="329"/>
      <c r="J1590" s="329"/>
      <c r="K1590" s="322"/>
      <c r="L1590" s="322"/>
      <c r="M1590" s="323" t="str">
        <f>IFERROR(VLOOKUP(H1590,Lijsten!$H$1:$I$100,2,0),"")</f>
        <v/>
      </c>
      <c r="N1590" s="323" t="str">
        <f ca="1">IFERROR(IF(VLOOKUP(F1590,Kostentypen!$A$3:$E$21,3,0)=0,"",IF(OR(F1590="Arbeidskosten",F1590="Vergoeding"),VLOOKUP(G1590,Tb_KostenTypen[],2,0),VLOOKUP(F1590,Kostentypen!$A$3:$E$20,3,0))),"")</f>
        <v/>
      </c>
      <c r="O1590" s="324"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4"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3"/>
      <c r="R1590" s="363"/>
      <c r="S1590" s="325"/>
      <c r="T1590" s="325"/>
      <c r="U1590" s="317" t="str" cm="1">
        <f t="array" aca="1" ref="U1590" ca="1">IFERROR(IF(AA1590&lt;&gt;"ja",_xlfn.IFNA(_xlfn.IFS(AND(O1590&lt;&gt;"",F1590&lt;&gt;"",RIGHT($N1590,6)="tarief",F1590="Vergoeding"),SUM(O1590)*FLOOR(SUM(Q1590),0.0001),AND(O1590&lt;&gt;"",F1590&lt;&gt;"",RIGHT($N1590,6)="tarief"),SUM(O1590)*FLOOR(SUM(Q1590),0.01),S1590&gt;0,IF(F1590&lt;&gt;"",FLOOR(SUM(S1590),0.01),"")),""),""),"")</f>
        <v/>
      </c>
      <c r="V1590" s="317" t="str" cm="1">
        <f t="array" aca="1" ref="V1590" ca="1">IFERROR(IF(AA1590&lt;&gt;"ja",_xlfn.IFNA(_xlfn.IFS(AND(P1590&lt;&gt;"",R1590&lt;&gt;"",RIGHT($N1590,6)="tarief",F1590="Vergoeding"),SUM(P1590)*FLOOR(SUM(R1590),0.0001),AND(P1590&lt;&gt;"",R1590&lt;&gt;"",RIGHT($N1590,6)="tarief"),P1590*FLOOR(R1590,0.01),T1590&gt;0,FLOOR(SUM(T1590),0.01)),""),""),"")</f>
        <v/>
      </c>
      <c r="W1590" s="317" t="str" cm="1">
        <f t="array" aca="1" ref="W1590" ca="1">IFERROR(_xlfn.IFS(OR(F1590="",LEFT(Methode_Keuze,4)="Geen",Methode_Keuze=""),"",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17" t="str" cm="1">
        <f t="array" aca="1" ref="X1590" ca="1">IFERROR(_xlfn.IFS(OR(F1590="",LEFT(Methode_Keuze,4)="Geen",Methode_Keuze=""),"",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26"/>
      <c r="Z1590" s="319"/>
      <c r="AA1590" s="32" t="str" cm="1">
        <f t="array" ref="AA1590">IFERROR(IF(INDEX(SubsidieTabel!$AD$1:$AG$12,MATCH($F1590,SubsidieTabel!$AD$1:$AD$12,0),IFERROR(MATCH(Methode_Keuze,SubsidieTabel!$AD$1:$AG$1,0),2))&lt;&gt;1=TRUE,"ja",""),"")</f>
        <v/>
      </c>
    </row>
    <row r="1591" spans="1:27" x14ac:dyDescent="0.25">
      <c r="A1591" s="320"/>
      <c r="B1591" s="321" t="str">
        <f>IF(A1591&lt;&gt;"",_xlfn.MAXIFS($B$1:B1590,$A$1:A1590,A1591)+1,"")</f>
        <v/>
      </c>
      <c r="C1591" s="299"/>
      <c r="D1591" s="299"/>
      <c r="E1591" s="299"/>
      <c r="F1591" s="299"/>
      <c r="G1591" s="330"/>
      <c r="H1591" s="328"/>
      <c r="I1591" s="329"/>
      <c r="J1591" s="329"/>
      <c r="K1591" s="322"/>
      <c r="L1591" s="322"/>
      <c r="M1591" s="323" t="str">
        <f>IFERROR(VLOOKUP(H1591,Lijsten!$H$1:$I$100,2,0),"")</f>
        <v/>
      </c>
      <c r="N1591" s="323" t="str">
        <f ca="1">IFERROR(IF(VLOOKUP(F1591,Kostentypen!$A$3:$E$21,3,0)=0,"",IF(OR(F1591="Arbeidskosten",F1591="Vergoeding"),VLOOKUP(G1591,Tb_KostenTypen[],2,0),VLOOKUP(F1591,Kostentypen!$A$3:$E$20,3,0))),"")</f>
        <v/>
      </c>
      <c r="O1591" s="324"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4"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3"/>
      <c r="R1591" s="363"/>
      <c r="S1591" s="325"/>
      <c r="T1591" s="325"/>
      <c r="U1591" s="317" t="str" cm="1">
        <f t="array" aca="1" ref="U1591" ca="1">IFERROR(IF(AA1591&lt;&gt;"ja",_xlfn.IFNA(_xlfn.IFS(AND(O1591&lt;&gt;"",F1591&lt;&gt;"",RIGHT($N1591,6)="tarief",F1591="Vergoeding"),SUM(O1591)*FLOOR(SUM(Q1591),0.0001),AND(O1591&lt;&gt;"",F1591&lt;&gt;"",RIGHT($N1591,6)="tarief"),SUM(O1591)*FLOOR(SUM(Q1591),0.01),S1591&gt;0,IF(F1591&lt;&gt;"",FLOOR(SUM(S1591),0.01),"")),""),""),"")</f>
        <v/>
      </c>
      <c r="V1591" s="317" t="str" cm="1">
        <f t="array" aca="1" ref="V1591" ca="1">IFERROR(IF(AA1591&lt;&gt;"ja",_xlfn.IFNA(_xlfn.IFS(AND(P1591&lt;&gt;"",R1591&lt;&gt;"",RIGHT($N1591,6)="tarief",F1591="Vergoeding"),SUM(P1591)*FLOOR(SUM(R1591),0.0001),AND(P1591&lt;&gt;"",R1591&lt;&gt;"",RIGHT($N1591,6)="tarief"),P1591*FLOOR(R1591,0.01),T1591&gt;0,FLOOR(SUM(T1591),0.01)),""),""),"")</f>
        <v/>
      </c>
      <c r="W1591" s="317" t="str" cm="1">
        <f t="array" aca="1" ref="W1591" ca="1">IFERROR(_xlfn.IFS(OR(F1591="",LEFT(Methode_Keuze,4)="Geen",Methode_Keuze=""),"",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17" t="str" cm="1">
        <f t="array" aca="1" ref="X1591" ca="1">IFERROR(_xlfn.IFS(OR(F1591="",LEFT(Methode_Keuze,4)="Geen",Methode_Keuze=""),"",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26"/>
      <c r="Z1591" s="319"/>
      <c r="AA1591" s="32" t="str" cm="1">
        <f t="array" ref="AA1591">IFERROR(IF(INDEX(SubsidieTabel!$AD$1:$AG$12,MATCH($F1591,SubsidieTabel!$AD$1:$AD$12,0),IFERROR(MATCH(Methode_Keuze,SubsidieTabel!$AD$1:$AG$1,0),2))&lt;&gt;1=TRUE,"ja",""),"")</f>
        <v/>
      </c>
    </row>
    <row r="1592" spans="1:27" x14ac:dyDescent="0.25">
      <c r="A1592" s="320"/>
      <c r="B1592" s="321" t="str">
        <f>IF(A1592&lt;&gt;"",_xlfn.MAXIFS($B$1:B1591,$A$1:A1591,A1592)+1,"")</f>
        <v/>
      </c>
      <c r="C1592" s="299"/>
      <c r="D1592" s="299"/>
      <c r="E1592" s="299"/>
      <c r="F1592" s="299"/>
      <c r="G1592" s="330"/>
      <c r="H1592" s="328"/>
      <c r="I1592" s="329"/>
      <c r="J1592" s="329"/>
      <c r="K1592" s="322"/>
      <c r="L1592" s="322"/>
      <c r="M1592" s="323" t="str">
        <f>IFERROR(VLOOKUP(H1592,Lijsten!$H$1:$I$100,2,0),"")</f>
        <v/>
      </c>
      <c r="N1592" s="323" t="str">
        <f ca="1">IFERROR(IF(VLOOKUP(F1592,Kostentypen!$A$3:$E$21,3,0)=0,"",IF(OR(F1592="Arbeidskosten",F1592="Vergoeding"),VLOOKUP(G1592,Tb_KostenTypen[],2,0),VLOOKUP(F1592,Kostentypen!$A$3:$E$20,3,0))),"")</f>
        <v/>
      </c>
      <c r="O1592" s="324"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4"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3"/>
      <c r="R1592" s="363"/>
      <c r="S1592" s="325"/>
      <c r="T1592" s="325"/>
      <c r="U1592" s="317" t="str" cm="1">
        <f t="array" aca="1" ref="U1592" ca="1">IFERROR(IF(AA1592&lt;&gt;"ja",_xlfn.IFNA(_xlfn.IFS(AND(O1592&lt;&gt;"",F1592&lt;&gt;"",RIGHT($N1592,6)="tarief",F1592="Vergoeding"),SUM(O1592)*FLOOR(SUM(Q1592),0.0001),AND(O1592&lt;&gt;"",F1592&lt;&gt;"",RIGHT($N1592,6)="tarief"),SUM(O1592)*FLOOR(SUM(Q1592),0.01),S1592&gt;0,IF(F1592&lt;&gt;"",FLOOR(SUM(S1592),0.01),"")),""),""),"")</f>
        <v/>
      </c>
      <c r="V1592" s="317" t="str" cm="1">
        <f t="array" aca="1" ref="V1592" ca="1">IFERROR(IF(AA1592&lt;&gt;"ja",_xlfn.IFNA(_xlfn.IFS(AND(P1592&lt;&gt;"",R1592&lt;&gt;"",RIGHT($N1592,6)="tarief",F1592="Vergoeding"),SUM(P1592)*FLOOR(SUM(R1592),0.0001),AND(P1592&lt;&gt;"",R1592&lt;&gt;"",RIGHT($N1592,6)="tarief"),P1592*FLOOR(R1592,0.01),T1592&gt;0,FLOOR(SUM(T1592),0.01)),""),""),"")</f>
        <v/>
      </c>
      <c r="W1592" s="317" t="str" cm="1">
        <f t="array" aca="1" ref="W1592" ca="1">IFERROR(_xlfn.IFS(OR(F1592="",LEFT(Methode_Keuze,4)="Geen",Methode_Keuze=""),"",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17" t="str" cm="1">
        <f t="array" aca="1" ref="X1592" ca="1">IFERROR(_xlfn.IFS(OR(F1592="",LEFT(Methode_Keuze,4)="Geen",Methode_Keuze=""),"",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26"/>
      <c r="Z1592" s="319"/>
      <c r="AA1592" s="32" t="str" cm="1">
        <f t="array" ref="AA1592">IFERROR(IF(INDEX(SubsidieTabel!$AD$1:$AG$12,MATCH($F1592,SubsidieTabel!$AD$1:$AD$12,0),IFERROR(MATCH(Methode_Keuze,SubsidieTabel!$AD$1:$AG$1,0),2))&lt;&gt;1=TRUE,"ja",""),"")</f>
        <v/>
      </c>
    </row>
    <row r="1593" spans="1:27" x14ac:dyDescent="0.25">
      <c r="A1593" s="320"/>
      <c r="B1593" s="321" t="str">
        <f>IF(A1593&lt;&gt;"",_xlfn.MAXIFS($B$1:B1592,$A$1:A1592,A1593)+1,"")</f>
        <v/>
      </c>
      <c r="C1593" s="299"/>
      <c r="D1593" s="299"/>
      <c r="E1593" s="299"/>
      <c r="F1593" s="299"/>
      <c r="G1593" s="330"/>
      <c r="H1593" s="328"/>
      <c r="I1593" s="329"/>
      <c r="J1593" s="329"/>
      <c r="K1593" s="322"/>
      <c r="L1593" s="322"/>
      <c r="M1593" s="323" t="str">
        <f>IFERROR(VLOOKUP(H1593,Lijsten!$H$1:$I$100,2,0),"")</f>
        <v/>
      </c>
      <c r="N1593" s="323" t="str">
        <f ca="1">IFERROR(IF(VLOOKUP(F1593,Kostentypen!$A$3:$E$21,3,0)=0,"",IF(OR(F1593="Arbeidskosten",F1593="Vergoeding"),VLOOKUP(G1593,Tb_KostenTypen[],2,0),VLOOKUP(F1593,Kostentypen!$A$3:$E$20,3,0))),"")</f>
        <v/>
      </c>
      <c r="O1593" s="324"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4"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3"/>
      <c r="R1593" s="363"/>
      <c r="S1593" s="325"/>
      <c r="T1593" s="325"/>
      <c r="U1593" s="317" t="str" cm="1">
        <f t="array" aca="1" ref="U1593" ca="1">IFERROR(IF(AA1593&lt;&gt;"ja",_xlfn.IFNA(_xlfn.IFS(AND(O1593&lt;&gt;"",F1593&lt;&gt;"",RIGHT($N1593,6)="tarief",F1593="Vergoeding"),SUM(O1593)*FLOOR(SUM(Q1593),0.0001),AND(O1593&lt;&gt;"",F1593&lt;&gt;"",RIGHT($N1593,6)="tarief"),SUM(O1593)*FLOOR(SUM(Q1593),0.01),S1593&gt;0,IF(F1593&lt;&gt;"",FLOOR(SUM(S1593),0.01),"")),""),""),"")</f>
        <v/>
      </c>
      <c r="V1593" s="317" t="str" cm="1">
        <f t="array" aca="1" ref="V1593" ca="1">IFERROR(IF(AA1593&lt;&gt;"ja",_xlfn.IFNA(_xlfn.IFS(AND(P1593&lt;&gt;"",R1593&lt;&gt;"",RIGHT($N1593,6)="tarief",F1593="Vergoeding"),SUM(P1593)*FLOOR(SUM(R1593),0.0001),AND(P1593&lt;&gt;"",R1593&lt;&gt;"",RIGHT($N1593,6)="tarief"),P1593*FLOOR(R1593,0.01),T1593&gt;0,FLOOR(SUM(T1593),0.01)),""),""),"")</f>
        <v/>
      </c>
      <c r="W1593" s="317" t="str" cm="1">
        <f t="array" aca="1" ref="W1593" ca="1">IFERROR(_xlfn.IFS(OR(F1593="",LEFT(Methode_Keuze,4)="Geen",Methode_Keuze=""),"",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17" t="str" cm="1">
        <f t="array" aca="1" ref="X1593" ca="1">IFERROR(_xlfn.IFS(OR(F1593="",LEFT(Methode_Keuze,4)="Geen",Methode_Keuze=""),"",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26"/>
      <c r="Z1593" s="319"/>
      <c r="AA1593" s="32" t="str" cm="1">
        <f t="array" ref="AA1593">IFERROR(IF(INDEX(SubsidieTabel!$AD$1:$AG$12,MATCH($F1593,SubsidieTabel!$AD$1:$AD$12,0),IFERROR(MATCH(Methode_Keuze,SubsidieTabel!$AD$1:$AG$1,0),2))&lt;&gt;1=TRUE,"ja",""),"")</f>
        <v/>
      </c>
    </row>
    <row r="1594" spans="1:27" x14ac:dyDescent="0.25">
      <c r="A1594" s="320"/>
      <c r="B1594" s="321" t="str">
        <f>IF(A1594&lt;&gt;"",_xlfn.MAXIFS($B$1:B1593,$A$1:A1593,A1594)+1,"")</f>
        <v/>
      </c>
      <c r="C1594" s="299"/>
      <c r="D1594" s="299"/>
      <c r="E1594" s="299"/>
      <c r="F1594" s="299"/>
      <c r="G1594" s="330"/>
      <c r="H1594" s="328"/>
      <c r="I1594" s="329"/>
      <c r="J1594" s="329"/>
      <c r="K1594" s="322"/>
      <c r="L1594" s="322"/>
      <c r="M1594" s="323" t="str">
        <f>IFERROR(VLOOKUP(H1594,Lijsten!$H$1:$I$100,2,0),"")</f>
        <v/>
      </c>
      <c r="N1594" s="323" t="str">
        <f ca="1">IFERROR(IF(VLOOKUP(F1594,Kostentypen!$A$3:$E$21,3,0)=0,"",IF(OR(F1594="Arbeidskosten",F1594="Vergoeding"),VLOOKUP(G1594,Tb_KostenTypen[],2,0),VLOOKUP(F1594,Kostentypen!$A$3:$E$20,3,0))),"")</f>
        <v/>
      </c>
      <c r="O1594" s="324"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4"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3"/>
      <c r="R1594" s="363"/>
      <c r="S1594" s="325"/>
      <c r="T1594" s="325"/>
      <c r="U1594" s="317" t="str" cm="1">
        <f t="array" aca="1" ref="U1594" ca="1">IFERROR(IF(AA1594&lt;&gt;"ja",_xlfn.IFNA(_xlfn.IFS(AND(O1594&lt;&gt;"",F1594&lt;&gt;"",RIGHT($N1594,6)="tarief",F1594="Vergoeding"),SUM(O1594)*FLOOR(SUM(Q1594),0.0001),AND(O1594&lt;&gt;"",F1594&lt;&gt;"",RIGHT($N1594,6)="tarief"),SUM(O1594)*FLOOR(SUM(Q1594),0.01),S1594&gt;0,IF(F1594&lt;&gt;"",FLOOR(SUM(S1594),0.01),"")),""),""),"")</f>
        <v/>
      </c>
      <c r="V1594" s="317" t="str" cm="1">
        <f t="array" aca="1" ref="V1594" ca="1">IFERROR(IF(AA1594&lt;&gt;"ja",_xlfn.IFNA(_xlfn.IFS(AND(P1594&lt;&gt;"",R1594&lt;&gt;"",RIGHT($N1594,6)="tarief",F1594="Vergoeding"),SUM(P1594)*FLOOR(SUM(R1594),0.0001),AND(P1594&lt;&gt;"",R1594&lt;&gt;"",RIGHT($N1594,6)="tarief"),P1594*FLOOR(R1594,0.01),T1594&gt;0,FLOOR(SUM(T1594),0.01)),""),""),"")</f>
        <v/>
      </c>
      <c r="W1594" s="317" t="str" cm="1">
        <f t="array" aca="1" ref="W1594" ca="1">IFERROR(_xlfn.IFS(OR(F1594="",LEFT(Methode_Keuze,4)="Geen",Methode_Keuze=""),"",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17" t="str" cm="1">
        <f t="array" aca="1" ref="X1594" ca="1">IFERROR(_xlfn.IFS(OR(F1594="",LEFT(Methode_Keuze,4)="Geen",Methode_Keuze=""),"",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26"/>
      <c r="Z1594" s="319"/>
      <c r="AA1594" s="32" t="str" cm="1">
        <f t="array" ref="AA1594">IFERROR(IF(INDEX(SubsidieTabel!$AD$1:$AG$12,MATCH($F1594,SubsidieTabel!$AD$1:$AD$12,0),IFERROR(MATCH(Methode_Keuze,SubsidieTabel!$AD$1:$AG$1,0),2))&lt;&gt;1=TRUE,"ja",""),"")</f>
        <v/>
      </c>
    </row>
    <row r="1595" spans="1:27" x14ac:dyDescent="0.25">
      <c r="A1595" s="320"/>
      <c r="B1595" s="321" t="str">
        <f>IF(A1595&lt;&gt;"",_xlfn.MAXIFS($B$1:B1594,$A$1:A1594,A1595)+1,"")</f>
        <v/>
      </c>
      <c r="C1595" s="299"/>
      <c r="D1595" s="299"/>
      <c r="E1595" s="299"/>
      <c r="F1595" s="299"/>
      <c r="G1595" s="330"/>
      <c r="H1595" s="328"/>
      <c r="I1595" s="329"/>
      <c r="J1595" s="329"/>
      <c r="K1595" s="322"/>
      <c r="L1595" s="322"/>
      <c r="M1595" s="323" t="str">
        <f>IFERROR(VLOOKUP(H1595,Lijsten!$H$1:$I$100,2,0),"")</f>
        <v/>
      </c>
      <c r="N1595" s="323" t="str">
        <f ca="1">IFERROR(IF(VLOOKUP(F1595,Kostentypen!$A$3:$E$21,3,0)=0,"",IF(OR(F1595="Arbeidskosten",F1595="Vergoeding"),VLOOKUP(G1595,Tb_KostenTypen[],2,0),VLOOKUP(F1595,Kostentypen!$A$3:$E$20,3,0))),"")</f>
        <v/>
      </c>
      <c r="O1595" s="324"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4"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3"/>
      <c r="R1595" s="363"/>
      <c r="S1595" s="325"/>
      <c r="T1595" s="325"/>
      <c r="U1595" s="317" t="str" cm="1">
        <f t="array" aca="1" ref="U1595" ca="1">IFERROR(IF(AA1595&lt;&gt;"ja",_xlfn.IFNA(_xlfn.IFS(AND(O1595&lt;&gt;"",F1595&lt;&gt;"",RIGHT($N1595,6)="tarief",F1595="Vergoeding"),SUM(O1595)*FLOOR(SUM(Q1595),0.0001),AND(O1595&lt;&gt;"",F1595&lt;&gt;"",RIGHT($N1595,6)="tarief"),SUM(O1595)*FLOOR(SUM(Q1595),0.01),S1595&gt;0,IF(F1595&lt;&gt;"",FLOOR(SUM(S1595),0.01),"")),""),""),"")</f>
        <v/>
      </c>
      <c r="V1595" s="317" t="str" cm="1">
        <f t="array" aca="1" ref="V1595" ca="1">IFERROR(IF(AA1595&lt;&gt;"ja",_xlfn.IFNA(_xlfn.IFS(AND(P1595&lt;&gt;"",R1595&lt;&gt;"",RIGHT($N1595,6)="tarief",F1595="Vergoeding"),SUM(P1595)*FLOOR(SUM(R1595),0.0001),AND(P1595&lt;&gt;"",R1595&lt;&gt;"",RIGHT($N1595,6)="tarief"),P1595*FLOOR(R1595,0.01),T1595&gt;0,FLOOR(SUM(T1595),0.01)),""),""),"")</f>
        <v/>
      </c>
      <c r="W1595" s="317" t="str" cm="1">
        <f t="array" aca="1" ref="W1595" ca="1">IFERROR(_xlfn.IFS(OR(F1595="",LEFT(Methode_Keuze,4)="Geen",Methode_Keuze=""),"",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17" t="str" cm="1">
        <f t="array" aca="1" ref="X1595" ca="1">IFERROR(_xlfn.IFS(OR(F1595="",LEFT(Methode_Keuze,4)="Geen",Methode_Keuze=""),"",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26"/>
      <c r="Z1595" s="319"/>
      <c r="AA1595" s="32" t="str" cm="1">
        <f t="array" ref="AA1595">IFERROR(IF(INDEX(SubsidieTabel!$AD$1:$AG$12,MATCH($F1595,SubsidieTabel!$AD$1:$AD$12,0),IFERROR(MATCH(Methode_Keuze,SubsidieTabel!$AD$1:$AG$1,0),2))&lt;&gt;1=TRUE,"ja",""),"")</f>
        <v/>
      </c>
    </row>
    <row r="1596" spans="1:27" x14ac:dyDescent="0.25">
      <c r="A1596" s="320"/>
      <c r="B1596" s="321" t="str">
        <f>IF(A1596&lt;&gt;"",_xlfn.MAXIFS($B$1:B1595,$A$1:A1595,A1596)+1,"")</f>
        <v/>
      </c>
      <c r="C1596" s="299"/>
      <c r="D1596" s="299"/>
      <c r="E1596" s="299"/>
      <c r="F1596" s="299"/>
      <c r="G1596" s="330"/>
      <c r="H1596" s="328"/>
      <c r="I1596" s="329"/>
      <c r="J1596" s="329"/>
      <c r="K1596" s="322"/>
      <c r="L1596" s="322"/>
      <c r="M1596" s="323" t="str">
        <f>IFERROR(VLOOKUP(H1596,Lijsten!$H$1:$I$100,2,0),"")</f>
        <v/>
      </c>
      <c r="N1596" s="323" t="str">
        <f ca="1">IFERROR(IF(VLOOKUP(F1596,Kostentypen!$A$3:$E$21,3,0)=0,"",IF(OR(F1596="Arbeidskosten",F1596="Vergoeding"),VLOOKUP(G1596,Tb_KostenTypen[],2,0),VLOOKUP(F1596,Kostentypen!$A$3:$E$20,3,0))),"")</f>
        <v/>
      </c>
      <c r="O1596" s="324"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4"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3"/>
      <c r="R1596" s="363"/>
      <c r="S1596" s="325"/>
      <c r="T1596" s="325"/>
      <c r="U1596" s="317" t="str" cm="1">
        <f t="array" aca="1" ref="U1596" ca="1">IFERROR(IF(AA1596&lt;&gt;"ja",_xlfn.IFNA(_xlfn.IFS(AND(O1596&lt;&gt;"",F1596&lt;&gt;"",RIGHT($N1596,6)="tarief",F1596="Vergoeding"),SUM(O1596)*FLOOR(SUM(Q1596),0.0001),AND(O1596&lt;&gt;"",F1596&lt;&gt;"",RIGHT($N1596,6)="tarief"),SUM(O1596)*FLOOR(SUM(Q1596),0.01),S1596&gt;0,IF(F1596&lt;&gt;"",FLOOR(SUM(S1596),0.01),"")),""),""),"")</f>
        <v/>
      </c>
      <c r="V1596" s="317" t="str" cm="1">
        <f t="array" aca="1" ref="V1596" ca="1">IFERROR(IF(AA1596&lt;&gt;"ja",_xlfn.IFNA(_xlfn.IFS(AND(P1596&lt;&gt;"",R1596&lt;&gt;"",RIGHT($N1596,6)="tarief",F1596="Vergoeding"),SUM(P1596)*FLOOR(SUM(R1596),0.0001),AND(P1596&lt;&gt;"",R1596&lt;&gt;"",RIGHT($N1596,6)="tarief"),P1596*FLOOR(R1596,0.01),T1596&gt;0,FLOOR(SUM(T1596),0.01)),""),""),"")</f>
        <v/>
      </c>
      <c r="W1596" s="317" t="str" cm="1">
        <f t="array" aca="1" ref="W1596" ca="1">IFERROR(_xlfn.IFS(OR(F1596="",LEFT(Methode_Keuze,4)="Geen",Methode_Keuze=""),"",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17" t="str" cm="1">
        <f t="array" aca="1" ref="X1596" ca="1">IFERROR(_xlfn.IFS(OR(F1596="",LEFT(Methode_Keuze,4)="Geen",Methode_Keuze=""),"",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26"/>
      <c r="Z1596" s="319"/>
      <c r="AA1596" s="32" t="str" cm="1">
        <f t="array" ref="AA1596">IFERROR(IF(INDEX(SubsidieTabel!$AD$1:$AG$12,MATCH($F1596,SubsidieTabel!$AD$1:$AD$12,0),IFERROR(MATCH(Methode_Keuze,SubsidieTabel!$AD$1:$AG$1,0),2))&lt;&gt;1=TRUE,"ja",""),"")</f>
        <v/>
      </c>
    </row>
    <row r="1597" spans="1:27" x14ac:dyDescent="0.25">
      <c r="A1597" s="320"/>
      <c r="B1597" s="321" t="str">
        <f>IF(A1597&lt;&gt;"",_xlfn.MAXIFS($B$1:B1596,$A$1:A1596,A1597)+1,"")</f>
        <v/>
      </c>
      <c r="C1597" s="299"/>
      <c r="D1597" s="299"/>
      <c r="E1597" s="299"/>
      <c r="F1597" s="299"/>
      <c r="G1597" s="330"/>
      <c r="H1597" s="328"/>
      <c r="I1597" s="329"/>
      <c r="J1597" s="329"/>
      <c r="K1597" s="322"/>
      <c r="L1597" s="322"/>
      <c r="M1597" s="323" t="str">
        <f>IFERROR(VLOOKUP(H1597,Lijsten!$H$1:$I$100,2,0),"")</f>
        <v/>
      </c>
      <c r="N1597" s="323" t="str">
        <f ca="1">IFERROR(IF(VLOOKUP(F1597,Kostentypen!$A$3:$E$21,3,0)=0,"",IF(OR(F1597="Arbeidskosten",F1597="Vergoeding"),VLOOKUP(G1597,Tb_KostenTypen[],2,0),VLOOKUP(F1597,Kostentypen!$A$3:$E$20,3,0))),"")</f>
        <v/>
      </c>
      <c r="O1597" s="324"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4"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3"/>
      <c r="R1597" s="363"/>
      <c r="S1597" s="325"/>
      <c r="T1597" s="325"/>
      <c r="U1597" s="317" t="str" cm="1">
        <f t="array" aca="1" ref="U1597" ca="1">IFERROR(IF(AA1597&lt;&gt;"ja",_xlfn.IFNA(_xlfn.IFS(AND(O1597&lt;&gt;"",F1597&lt;&gt;"",RIGHT($N1597,6)="tarief",F1597="Vergoeding"),SUM(O1597)*FLOOR(SUM(Q1597),0.0001),AND(O1597&lt;&gt;"",F1597&lt;&gt;"",RIGHT($N1597,6)="tarief"),SUM(O1597)*FLOOR(SUM(Q1597),0.01),S1597&gt;0,IF(F1597&lt;&gt;"",FLOOR(SUM(S1597),0.01),"")),""),""),"")</f>
        <v/>
      </c>
      <c r="V1597" s="317" t="str" cm="1">
        <f t="array" aca="1" ref="V1597" ca="1">IFERROR(IF(AA1597&lt;&gt;"ja",_xlfn.IFNA(_xlfn.IFS(AND(P1597&lt;&gt;"",R1597&lt;&gt;"",RIGHT($N1597,6)="tarief",F1597="Vergoeding"),SUM(P1597)*FLOOR(SUM(R1597),0.0001),AND(P1597&lt;&gt;"",R1597&lt;&gt;"",RIGHT($N1597,6)="tarief"),P1597*FLOOR(R1597,0.01),T1597&gt;0,FLOOR(SUM(T1597),0.01)),""),""),"")</f>
        <v/>
      </c>
      <c r="W1597" s="317" t="str" cm="1">
        <f t="array" aca="1" ref="W1597" ca="1">IFERROR(_xlfn.IFS(OR(F1597="",LEFT(Methode_Keuze,4)="Geen",Methode_Keuze=""),"",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17" t="str" cm="1">
        <f t="array" aca="1" ref="X1597" ca="1">IFERROR(_xlfn.IFS(OR(F1597="",LEFT(Methode_Keuze,4)="Geen",Methode_Keuze=""),"",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26"/>
      <c r="Z1597" s="319"/>
      <c r="AA1597" s="32" t="str" cm="1">
        <f t="array" ref="AA1597">IFERROR(IF(INDEX(SubsidieTabel!$AD$1:$AG$12,MATCH($F1597,SubsidieTabel!$AD$1:$AD$12,0),IFERROR(MATCH(Methode_Keuze,SubsidieTabel!$AD$1:$AG$1,0),2))&lt;&gt;1=TRUE,"ja",""),"")</f>
        <v/>
      </c>
    </row>
    <row r="1598" spans="1:27" x14ac:dyDescent="0.25">
      <c r="A1598" s="320"/>
      <c r="B1598" s="321" t="str">
        <f>IF(A1598&lt;&gt;"",_xlfn.MAXIFS($B$1:B1597,$A$1:A1597,A1598)+1,"")</f>
        <v/>
      </c>
      <c r="C1598" s="299"/>
      <c r="D1598" s="299"/>
      <c r="E1598" s="299"/>
      <c r="F1598" s="299"/>
      <c r="G1598" s="330"/>
      <c r="H1598" s="328"/>
      <c r="I1598" s="329"/>
      <c r="J1598" s="329"/>
      <c r="K1598" s="322"/>
      <c r="L1598" s="322"/>
      <c r="M1598" s="323" t="str">
        <f>IFERROR(VLOOKUP(H1598,Lijsten!$H$1:$I$100,2,0),"")</f>
        <v/>
      </c>
      <c r="N1598" s="323" t="str">
        <f ca="1">IFERROR(IF(VLOOKUP(F1598,Kostentypen!$A$3:$E$21,3,0)=0,"",IF(OR(F1598="Arbeidskosten",F1598="Vergoeding"),VLOOKUP(G1598,Tb_KostenTypen[],2,0),VLOOKUP(F1598,Kostentypen!$A$3:$E$20,3,0))),"")</f>
        <v/>
      </c>
      <c r="O1598" s="324"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4"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3"/>
      <c r="R1598" s="363"/>
      <c r="S1598" s="325"/>
      <c r="T1598" s="325"/>
      <c r="U1598" s="317" t="str" cm="1">
        <f t="array" aca="1" ref="U1598" ca="1">IFERROR(IF(AA1598&lt;&gt;"ja",_xlfn.IFNA(_xlfn.IFS(AND(O1598&lt;&gt;"",F1598&lt;&gt;"",RIGHT($N1598,6)="tarief",F1598="Vergoeding"),SUM(O1598)*FLOOR(SUM(Q1598),0.0001),AND(O1598&lt;&gt;"",F1598&lt;&gt;"",RIGHT($N1598,6)="tarief"),SUM(O1598)*FLOOR(SUM(Q1598),0.01),S1598&gt;0,IF(F1598&lt;&gt;"",FLOOR(SUM(S1598),0.01),"")),""),""),"")</f>
        <v/>
      </c>
      <c r="V1598" s="317" t="str" cm="1">
        <f t="array" aca="1" ref="V1598" ca="1">IFERROR(IF(AA1598&lt;&gt;"ja",_xlfn.IFNA(_xlfn.IFS(AND(P1598&lt;&gt;"",R1598&lt;&gt;"",RIGHT($N1598,6)="tarief",F1598="Vergoeding"),SUM(P1598)*FLOOR(SUM(R1598),0.0001),AND(P1598&lt;&gt;"",R1598&lt;&gt;"",RIGHT($N1598,6)="tarief"),P1598*FLOOR(R1598,0.01),T1598&gt;0,FLOOR(SUM(T1598),0.01)),""),""),"")</f>
        <v/>
      </c>
      <c r="W1598" s="317" t="str" cm="1">
        <f t="array" aca="1" ref="W1598" ca="1">IFERROR(_xlfn.IFS(OR(F1598="",LEFT(Methode_Keuze,4)="Geen",Methode_Keuze=""),"",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17" t="str" cm="1">
        <f t="array" aca="1" ref="X1598" ca="1">IFERROR(_xlfn.IFS(OR(F1598="",LEFT(Methode_Keuze,4)="Geen",Methode_Keuze=""),"",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26"/>
      <c r="Z1598" s="319"/>
      <c r="AA1598" s="32" t="str" cm="1">
        <f t="array" ref="AA1598">IFERROR(IF(INDEX(SubsidieTabel!$AD$1:$AG$12,MATCH($F1598,SubsidieTabel!$AD$1:$AD$12,0),IFERROR(MATCH(Methode_Keuze,SubsidieTabel!$AD$1:$AG$1,0),2))&lt;&gt;1=TRUE,"ja",""),"")</f>
        <v/>
      </c>
    </row>
    <row r="1599" spans="1:27" x14ac:dyDescent="0.25">
      <c r="A1599" s="320"/>
      <c r="B1599" s="321" t="str">
        <f>IF(A1599&lt;&gt;"",_xlfn.MAXIFS($B$1:B1598,$A$1:A1598,A1599)+1,"")</f>
        <v/>
      </c>
      <c r="C1599" s="299"/>
      <c r="D1599" s="299"/>
      <c r="E1599" s="299"/>
      <c r="F1599" s="299"/>
      <c r="G1599" s="330"/>
      <c r="H1599" s="328"/>
      <c r="I1599" s="329"/>
      <c r="J1599" s="329"/>
      <c r="K1599" s="322"/>
      <c r="L1599" s="322"/>
      <c r="M1599" s="323" t="str">
        <f>IFERROR(VLOOKUP(H1599,Lijsten!$H$1:$I$100,2,0),"")</f>
        <v/>
      </c>
      <c r="N1599" s="323" t="str">
        <f ca="1">IFERROR(IF(VLOOKUP(F1599,Kostentypen!$A$3:$E$21,3,0)=0,"",IF(OR(F1599="Arbeidskosten",F1599="Vergoeding"),VLOOKUP(G1599,Tb_KostenTypen[],2,0),VLOOKUP(F1599,Kostentypen!$A$3:$E$20,3,0))),"")</f>
        <v/>
      </c>
      <c r="O1599" s="324"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4"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3"/>
      <c r="R1599" s="363"/>
      <c r="S1599" s="325"/>
      <c r="T1599" s="325"/>
      <c r="U1599" s="317" t="str" cm="1">
        <f t="array" aca="1" ref="U1599" ca="1">IFERROR(IF(AA1599&lt;&gt;"ja",_xlfn.IFNA(_xlfn.IFS(AND(O1599&lt;&gt;"",F1599&lt;&gt;"",RIGHT($N1599,6)="tarief",F1599="Vergoeding"),SUM(O1599)*FLOOR(SUM(Q1599),0.0001),AND(O1599&lt;&gt;"",F1599&lt;&gt;"",RIGHT($N1599,6)="tarief"),SUM(O1599)*FLOOR(SUM(Q1599),0.01),S1599&gt;0,IF(F1599&lt;&gt;"",FLOOR(SUM(S1599),0.01),"")),""),""),"")</f>
        <v/>
      </c>
      <c r="V1599" s="317" t="str" cm="1">
        <f t="array" aca="1" ref="V1599" ca="1">IFERROR(IF(AA1599&lt;&gt;"ja",_xlfn.IFNA(_xlfn.IFS(AND(P1599&lt;&gt;"",R1599&lt;&gt;"",RIGHT($N1599,6)="tarief",F1599="Vergoeding"),SUM(P1599)*FLOOR(SUM(R1599),0.0001),AND(P1599&lt;&gt;"",R1599&lt;&gt;"",RIGHT($N1599,6)="tarief"),P1599*FLOOR(R1599,0.01),T1599&gt;0,FLOOR(SUM(T1599),0.01)),""),""),"")</f>
        <v/>
      </c>
      <c r="W1599" s="317" t="str" cm="1">
        <f t="array" aca="1" ref="W1599" ca="1">IFERROR(_xlfn.IFS(OR(F1599="",LEFT(Methode_Keuze,4)="Geen",Methode_Keuze=""),"",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17" t="str" cm="1">
        <f t="array" aca="1" ref="X1599" ca="1">IFERROR(_xlfn.IFS(OR(F1599="",LEFT(Methode_Keuze,4)="Geen",Methode_Keuze=""),"",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26"/>
      <c r="Z1599" s="319"/>
      <c r="AA1599" s="32" t="str" cm="1">
        <f t="array" ref="AA1599">IFERROR(IF(INDEX(SubsidieTabel!$AD$1:$AG$12,MATCH($F1599,SubsidieTabel!$AD$1:$AD$12,0),IFERROR(MATCH(Methode_Keuze,SubsidieTabel!$AD$1:$AG$1,0),2))&lt;&gt;1=TRUE,"ja",""),"")</f>
        <v/>
      </c>
    </row>
    <row r="1600" spans="1:27" x14ac:dyDescent="0.25">
      <c r="A1600" s="320"/>
      <c r="B1600" s="321" t="str">
        <f>IF(A1600&lt;&gt;"",_xlfn.MAXIFS($B$1:B1599,$A$1:A1599,A1600)+1,"")</f>
        <v/>
      </c>
      <c r="C1600" s="299"/>
      <c r="D1600" s="299"/>
      <c r="E1600" s="299"/>
      <c r="F1600" s="299"/>
      <c r="G1600" s="330"/>
      <c r="H1600" s="328"/>
      <c r="I1600" s="329"/>
      <c r="J1600" s="329"/>
      <c r="K1600" s="322"/>
      <c r="L1600" s="322"/>
      <c r="M1600" s="323" t="str">
        <f>IFERROR(VLOOKUP(H1600,Lijsten!$H$1:$I$100,2,0),"")</f>
        <v/>
      </c>
      <c r="N1600" s="323" t="str">
        <f ca="1">IFERROR(IF(VLOOKUP(F1600,Kostentypen!$A$3:$E$21,3,0)=0,"",IF(OR(F1600="Arbeidskosten",F1600="Vergoeding"),VLOOKUP(G1600,Tb_KostenTypen[],2,0),VLOOKUP(F1600,Kostentypen!$A$3:$E$20,3,0))),"")</f>
        <v/>
      </c>
      <c r="O1600" s="324"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4"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3"/>
      <c r="R1600" s="363"/>
      <c r="S1600" s="325"/>
      <c r="T1600" s="325"/>
      <c r="U1600" s="317" t="str" cm="1">
        <f t="array" aca="1" ref="U1600" ca="1">IFERROR(IF(AA1600&lt;&gt;"ja",_xlfn.IFNA(_xlfn.IFS(AND(O1600&lt;&gt;"",F1600&lt;&gt;"",RIGHT($N1600,6)="tarief",F1600="Vergoeding"),SUM(O1600)*FLOOR(SUM(Q1600),0.0001),AND(O1600&lt;&gt;"",F1600&lt;&gt;"",RIGHT($N1600,6)="tarief"),SUM(O1600)*FLOOR(SUM(Q1600),0.01),S1600&gt;0,IF(F1600&lt;&gt;"",FLOOR(SUM(S1600),0.01),"")),""),""),"")</f>
        <v/>
      </c>
      <c r="V1600" s="317" t="str" cm="1">
        <f t="array" aca="1" ref="V1600" ca="1">IFERROR(IF(AA1600&lt;&gt;"ja",_xlfn.IFNA(_xlfn.IFS(AND(P1600&lt;&gt;"",R1600&lt;&gt;"",RIGHT($N1600,6)="tarief",F1600="Vergoeding"),SUM(P1600)*FLOOR(SUM(R1600),0.0001),AND(P1600&lt;&gt;"",R1600&lt;&gt;"",RIGHT($N1600,6)="tarief"),P1600*FLOOR(R1600,0.01),T1600&gt;0,FLOOR(SUM(T1600),0.01)),""),""),"")</f>
        <v/>
      </c>
      <c r="W1600" s="317" t="str" cm="1">
        <f t="array" aca="1" ref="W1600" ca="1">IFERROR(_xlfn.IFS(OR(F1600="",LEFT(Methode_Keuze,4)="Geen",Methode_Keuze=""),"",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17" t="str" cm="1">
        <f t="array" aca="1" ref="X1600" ca="1">IFERROR(_xlfn.IFS(OR(F1600="",LEFT(Methode_Keuze,4)="Geen",Methode_Keuze=""),"",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26"/>
      <c r="Z1600" s="319"/>
      <c r="AA1600" s="32" t="str" cm="1">
        <f t="array" ref="AA1600">IFERROR(IF(INDEX(SubsidieTabel!$AD$1:$AG$12,MATCH($F1600,SubsidieTabel!$AD$1:$AD$12,0),IFERROR(MATCH(Methode_Keuze,SubsidieTabel!$AD$1:$AG$1,0),2))&lt;&gt;1=TRUE,"ja",""),"")</f>
        <v/>
      </c>
    </row>
    <row r="1601" spans="1:27" x14ac:dyDescent="0.25">
      <c r="A1601" s="320"/>
      <c r="B1601" s="321" t="str">
        <f>IF(A1601&lt;&gt;"",_xlfn.MAXIFS($B$1:B1600,$A$1:A1600,A1601)+1,"")</f>
        <v/>
      </c>
      <c r="C1601" s="299"/>
      <c r="D1601" s="299"/>
      <c r="E1601" s="299"/>
      <c r="F1601" s="299"/>
      <c r="G1601" s="330"/>
      <c r="H1601" s="328"/>
      <c r="I1601" s="329"/>
      <c r="J1601" s="329"/>
      <c r="K1601" s="322"/>
      <c r="L1601" s="322"/>
      <c r="M1601" s="323" t="str">
        <f>IFERROR(VLOOKUP(H1601,Lijsten!$H$1:$I$100,2,0),"")</f>
        <v/>
      </c>
      <c r="N1601" s="323" t="str">
        <f ca="1">IFERROR(IF(VLOOKUP(F1601,Kostentypen!$A$3:$E$21,3,0)=0,"",IF(OR(F1601="Arbeidskosten",F1601="Vergoeding"),VLOOKUP(G1601,Tb_KostenTypen[],2,0),VLOOKUP(F1601,Kostentypen!$A$3:$E$20,3,0))),"")</f>
        <v/>
      </c>
      <c r="O1601" s="324"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4"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3"/>
      <c r="R1601" s="363"/>
      <c r="S1601" s="325"/>
      <c r="T1601" s="325"/>
      <c r="U1601" s="317" t="str" cm="1">
        <f t="array" aca="1" ref="U1601" ca="1">IFERROR(IF(AA1601&lt;&gt;"ja",_xlfn.IFNA(_xlfn.IFS(AND(O1601&lt;&gt;"",F1601&lt;&gt;"",RIGHT($N1601,6)="tarief",F1601="Vergoeding"),SUM(O1601)*FLOOR(SUM(Q1601),0.0001),AND(O1601&lt;&gt;"",F1601&lt;&gt;"",RIGHT($N1601,6)="tarief"),SUM(O1601)*FLOOR(SUM(Q1601),0.01),S1601&gt;0,IF(F1601&lt;&gt;"",FLOOR(SUM(S1601),0.01),"")),""),""),"")</f>
        <v/>
      </c>
      <c r="V1601" s="317" t="str" cm="1">
        <f t="array" aca="1" ref="V1601" ca="1">IFERROR(IF(AA1601&lt;&gt;"ja",_xlfn.IFNA(_xlfn.IFS(AND(P1601&lt;&gt;"",R1601&lt;&gt;"",RIGHT($N1601,6)="tarief",F1601="Vergoeding"),SUM(P1601)*FLOOR(SUM(R1601),0.0001),AND(P1601&lt;&gt;"",R1601&lt;&gt;"",RIGHT($N1601,6)="tarief"),P1601*FLOOR(R1601,0.01),T1601&gt;0,FLOOR(SUM(T1601),0.01)),""),""),"")</f>
        <v/>
      </c>
      <c r="W1601" s="317" t="str" cm="1">
        <f t="array" aca="1" ref="W1601" ca="1">IFERROR(_xlfn.IFS(OR(F1601="",LEFT(Methode_Keuze,4)="Geen",Methode_Keuze=""),"",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17" t="str" cm="1">
        <f t="array" aca="1" ref="X1601" ca="1">IFERROR(_xlfn.IFS(OR(F1601="",LEFT(Methode_Keuze,4)="Geen",Methode_Keuze=""),"",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26"/>
      <c r="Z1601" s="319"/>
      <c r="AA1601" s="32" t="str" cm="1">
        <f t="array" ref="AA1601">IFERROR(IF(INDEX(SubsidieTabel!$AD$1:$AG$12,MATCH($F1601,SubsidieTabel!$AD$1:$AD$12,0),IFERROR(MATCH(Methode_Keuze,SubsidieTabel!$AD$1:$AG$1,0),2))&lt;&gt;1=TRUE,"ja",""),"")</f>
        <v/>
      </c>
    </row>
    <row r="1602" spans="1:27" x14ac:dyDescent="0.25">
      <c r="A1602" s="320"/>
      <c r="B1602" s="321" t="str">
        <f>IF(A1602&lt;&gt;"",_xlfn.MAXIFS($B$1:B1601,$A$1:A1601,A1602)+1,"")</f>
        <v/>
      </c>
      <c r="C1602" s="299"/>
      <c r="D1602" s="299"/>
      <c r="E1602" s="299"/>
      <c r="F1602" s="299"/>
      <c r="G1602" s="330"/>
      <c r="H1602" s="328"/>
      <c r="I1602" s="329"/>
      <c r="J1602" s="329"/>
      <c r="K1602" s="322"/>
      <c r="L1602" s="322"/>
      <c r="M1602" s="323" t="str">
        <f>IFERROR(VLOOKUP(H1602,Lijsten!$H$1:$I$100,2,0),"")</f>
        <v/>
      </c>
      <c r="N1602" s="323" t="str">
        <f ca="1">IFERROR(IF(VLOOKUP(F1602,Kostentypen!$A$3:$E$21,3,0)=0,"",IF(OR(F1602="Arbeidskosten",F1602="Vergoeding"),VLOOKUP(G1602,Tb_KostenTypen[],2,0),VLOOKUP(F1602,Kostentypen!$A$3:$E$20,3,0))),"")</f>
        <v/>
      </c>
      <c r="O1602" s="324"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4"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3"/>
      <c r="R1602" s="363"/>
      <c r="S1602" s="325"/>
      <c r="T1602" s="325"/>
      <c r="U1602" s="317" t="str" cm="1">
        <f t="array" aca="1" ref="U1602" ca="1">IFERROR(IF(AA1602&lt;&gt;"ja",_xlfn.IFNA(_xlfn.IFS(AND(O1602&lt;&gt;"",F1602&lt;&gt;"",RIGHT($N1602,6)="tarief",F1602="Vergoeding"),SUM(O1602)*FLOOR(SUM(Q1602),0.0001),AND(O1602&lt;&gt;"",F1602&lt;&gt;"",RIGHT($N1602,6)="tarief"),SUM(O1602)*FLOOR(SUM(Q1602),0.01),S1602&gt;0,IF(F1602&lt;&gt;"",FLOOR(SUM(S1602),0.01),"")),""),""),"")</f>
        <v/>
      </c>
      <c r="V1602" s="317" t="str" cm="1">
        <f t="array" aca="1" ref="V1602" ca="1">IFERROR(IF(AA1602&lt;&gt;"ja",_xlfn.IFNA(_xlfn.IFS(AND(P1602&lt;&gt;"",R1602&lt;&gt;"",RIGHT($N1602,6)="tarief",F1602="Vergoeding"),SUM(P1602)*FLOOR(SUM(R1602),0.0001),AND(P1602&lt;&gt;"",R1602&lt;&gt;"",RIGHT($N1602,6)="tarief"),P1602*FLOOR(R1602,0.01),T1602&gt;0,FLOOR(SUM(T1602),0.01)),""),""),"")</f>
        <v/>
      </c>
      <c r="W1602" s="317" t="str" cm="1">
        <f t="array" aca="1" ref="W1602" ca="1">IFERROR(_xlfn.IFS(OR(F1602="",LEFT(Methode_Keuze,4)="Geen",Methode_Keuze=""),"",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17" t="str" cm="1">
        <f t="array" aca="1" ref="X1602" ca="1">IFERROR(_xlfn.IFS(OR(F1602="",LEFT(Methode_Keuze,4)="Geen",Methode_Keuze=""),"",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26"/>
      <c r="Z1602" s="319"/>
      <c r="AA1602" s="32" t="str" cm="1">
        <f t="array" ref="AA1602">IFERROR(IF(INDEX(SubsidieTabel!$AD$1:$AG$12,MATCH($F1602,SubsidieTabel!$AD$1:$AD$12,0),IFERROR(MATCH(Methode_Keuze,SubsidieTabel!$AD$1:$AG$1,0),2))&lt;&gt;1=TRUE,"ja",""),"")</f>
        <v/>
      </c>
    </row>
    <row r="1603" spans="1:27" x14ac:dyDescent="0.25">
      <c r="A1603" s="320"/>
      <c r="B1603" s="321" t="str">
        <f>IF(A1603&lt;&gt;"",_xlfn.MAXIFS($B$1:B1602,$A$1:A1602,A1603)+1,"")</f>
        <v/>
      </c>
      <c r="C1603" s="299"/>
      <c r="D1603" s="299"/>
      <c r="E1603" s="299"/>
      <c r="F1603" s="299"/>
      <c r="G1603" s="330"/>
      <c r="H1603" s="328"/>
      <c r="I1603" s="329"/>
      <c r="J1603" s="329"/>
      <c r="K1603" s="322"/>
      <c r="L1603" s="322"/>
      <c r="M1603" s="323" t="str">
        <f>IFERROR(VLOOKUP(H1603,Lijsten!$H$1:$I$100,2,0),"")</f>
        <v/>
      </c>
      <c r="N1603" s="323" t="str">
        <f ca="1">IFERROR(IF(VLOOKUP(F1603,Kostentypen!$A$3:$E$21,3,0)=0,"",IF(OR(F1603="Arbeidskosten",F1603="Vergoeding"),VLOOKUP(G1603,Tb_KostenTypen[],2,0),VLOOKUP(F1603,Kostentypen!$A$3:$E$20,3,0))),"")</f>
        <v/>
      </c>
      <c r="O1603" s="324"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4"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3"/>
      <c r="R1603" s="363"/>
      <c r="S1603" s="325"/>
      <c r="T1603" s="325"/>
      <c r="U1603" s="317" t="str" cm="1">
        <f t="array" aca="1" ref="U1603" ca="1">IFERROR(IF(AA1603&lt;&gt;"ja",_xlfn.IFNA(_xlfn.IFS(AND(O1603&lt;&gt;"",F1603&lt;&gt;"",RIGHT($N1603,6)="tarief",F1603="Vergoeding"),SUM(O1603)*FLOOR(SUM(Q1603),0.0001),AND(O1603&lt;&gt;"",F1603&lt;&gt;"",RIGHT($N1603,6)="tarief"),SUM(O1603)*FLOOR(SUM(Q1603),0.01),S1603&gt;0,IF(F1603&lt;&gt;"",FLOOR(SUM(S1603),0.01),"")),""),""),"")</f>
        <v/>
      </c>
      <c r="V1603" s="317" t="str" cm="1">
        <f t="array" aca="1" ref="V1603" ca="1">IFERROR(IF(AA1603&lt;&gt;"ja",_xlfn.IFNA(_xlfn.IFS(AND(P1603&lt;&gt;"",R1603&lt;&gt;"",RIGHT($N1603,6)="tarief",F1603="Vergoeding"),SUM(P1603)*FLOOR(SUM(R1603),0.0001),AND(P1603&lt;&gt;"",R1603&lt;&gt;"",RIGHT($N1603,6)="tarief"),P1603*FLOOR(R1603,0.01),T1603&gt;0,FLOOR(SUM(T1603),0.01)),""),""),"")</f>
        <v/>
      </c>
      <c r="W1603" s="317" t="str" cm="1">
        <f t="array" aca="1" ref="W1603" ca="1">IFERROR(_xlfn.IFS(OR(F1603="",LEFT(Methode_Keuze,4)="Geen",Methode_Keuze=""),"",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17" t="str" cm="1">
        <f t="array" aca="1" ref="X1603" ca="1">IFERROR(_xlfn.IFS(OR(F1603="",LEFT(Methode_Keuze,4)="Geen",Methode_Keuze=""),"",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26"/>
      <c r="Z1603" s="319"/>
      <c r="AA1603" s="32" t="str" cm="1">
        <f t="array" ref="AA1603">IFERROR(IF(INDEX(SubsidieTabel!$AD$1:$AG$12,MATCH($F1603,SubsidieTabel!$AD$1:$AD$12,0),IFERROR(MATCH(Methode_Keuze,SubsidieTabel!$AD$1:$AG$1,0),2))&lt;&gt;1=TRUE,"ja",""),"")</f>
        <v/>
      </c>
    </row>
    <row r="1604" spans="1:27" x14ac:dyDescent="0.25">
      <c r="A1604" s="320"/>
      <c r="B1604" s="321" t="str">
        <f>IF(A1604&lt;&gt;"",_xlfn.MAXIFS($B$1:B1603,$A$1:A1603,A1604)+1,"")</f>
        <v/>
      </c>
      <c r="C1604" s="299"/>
      <c r="D1604" s="299"/>
      <c r="E1604" s="299"/>
      <c r="F1604" s="299"/>
      <c r="G1604" s="330"/>
      <c r="H1604" s="328"/>
      <c r="I1604" s="329"/>
      <c r="J1604" s="329"/>
      <c r="K1604" s="322"/>
      <c r="L1604" s="322"/>
      <c r="M1604" s="323" t="str">
        <f>IFERROR(VLOOKUP(H1604,Lijsten!$H$1:$I$100,2,0),"")</f>
        <v/>
      </c>
      <c r="N1604" s="323" t="str">
        <f ca="1">IFERROR(IF(VLOOKUP(F1604,Kostentypen!$A$3:$E$21,3,0)=0,"",IF(OR(F1604="Arbeidskosten",F1604="Vergoeding"),VLOOKUP(G1604,Tb_KostenTypen[],2,0),VLOOKUP(F1604,Kostentypen!$A$3:$E$20,3,0))),"")</f>
        <v/>
      </c>
      <c r="O1604" s="324"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4"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3"/>
      <c r="R1604" s="363"/>
      <c r="S1604" s="325"/>
      <c r="T1604" s="325"/>
      <c r="U1604" s="317" t="str" cm="1">
        <f t="array" aca="1" ref="U1604" ca="1">IFERROR(IF(AA1604&lt;&gt;"ja",_xlfn.IFNA(_xlfn.IFS(AND(O1604&lt;&gt;"",F1604&lt;&gt;"",RIGHT($N1604,6)="tarief",F1604="Vergoeding"),SUM(O1604)*FLOOR(SUM(Q1604),0.0001),AND(O1604&lt;&gt;"",F1604&lt;&gt;"",RIGHT($N1604,6)="tarief"),SUM(O1604)*FLOOR(SUM(Q1604),0.01),S1604&gt;0,IF(F1604&lt;&gt;"",FLOOR(SUM(S1604),0.01),"")),""),""),"")</f>
        <v/>
      </c>
      <c r="V1604" s="317" t="str" cm="1">
        <f t="array" aca="1" ref="V1604" ca="1">IFERROR(IF(AA1604&lt;&gt;"ja",_xlfn.IFNA(_xlfn.IFS(AND(P1604&lt;&gt;"",R1604&lt;&gt;"",RIGHT($N1604,6)="tarief",F1604="Vergoeding"),SUM(P1604)*FLOOR(SUM(R1604),0.0001),AND(P1604&lt;&gt;"",R1604&lt;&gt;"",RIGHT($N1604,6)="tarief"),P1604*FLOOR(R1604,0.01),T1604&gt;0,FLOOR(SUM(T1604),0.01)),""),""),"")</f>
        <v/>
      </c>
      <c r="W1604" s="317" t="str" cm="1">
        <f t="array" aca="1" ref="W1604" ca="1">IFERROR(_xlfn.IFS(OR(F1604="",LEFT(Methode_Keuze,4)="Geen",Methode_Keuze=""),"",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17" t="str" cm="1">
        <f t="array" aca="1" ref="X1604" ca="1">IFERROR(_xlfn.IFS(OR(F1604="",LEFT(Methode_Keuze,4)="Geen",Methode_Keuze=""),"",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26"/>
      <c r="Z1604" s="319"/>
      <c r="AA1604" s="32" t="str" cm="1">
        <f t="array" ref="AA1604">IFERROR(IF(INDEX(SubsidieTabel!$AD$1:$AG$12,MATCH($F1604,SubsidieTabel!$AD$1:$AD$12,0),IFERROR(MATCH(Methode_Keuze,SubsidieTabel!$AD$1:$AG$1,0),2))&lt;&gt;1=TRUE,"ja",""),"")</f>
        <v/>
      </c>
    </row>
    <row r="1605" spans="1:27" x14ac:dyDescent="0.25">
      <c r="A1605" s="320"/>
      <c r="B1605" s="321" t="str">
        <f>IF(A1605&lt;&gt;"",_xlfn.MAXIFS($B$1:B1604,$A$1:A1604,A1605)+1,"")</f>
        <v/>
      </c>
      <c r="C1605" s="299"/>
      <c r="D1605" s="299"/>
      <c r="E1605" s="299"/>
      <c r="F1605" s="299"/>
      <c r="G1605" s="330"/>
      <c r="H1605" s="328"/>
      <c r="I1605" s="329"/>
      <c r="J1605" s="329"/>
      <c r="K1605" s="322"/>
      <c r="L1605" s="322"/>
      <c r="M1605" s="323" t="str">
        <f>IFERROR(VLOOKUP(H1605,Lijsten!$H$1:$I$100,2,0),"")</f>
        <v/>
      </c>
      <c r="N1605" s="323" t="str">
        <f ca="1">IFERROR(IF(VLOOKUP(F1605,Kostentypen!$A$3:$E$21,3,0)=0,"",IF(OR(F1605="Arbeidskosten",F1605="Vergoeding"),VLOOKUP(G1605,Tb_KostenTypen[],2,0),VLOOKUP(F1605,Kostentypen!$A$3:$E$20,3,0))),"")</f>
        <v/>
      </c>
      <c r="O1605" s="324"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4"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3"/>
      <c r="R1605" s="363"/>
      <c r="S1605" s="325"/>
      <c r="T1605" s="325"/>
      <c r="U1605" s="317" t="str" cm="1">
        <f t="array" aca="1" ref="U1605" ca="1">IFERROR(IF(AA1605&lt;&gt;"ja",_xlfn.IFNA(_xlfn.IFS(AND(O1605&lt;&gt;"",F1605&lt;&gt;"",RIGHT($N1605,6)="tarief",F1605="Vergoeding"),SUM(O1605)*FLOOR(SUM(Q1605),0.0001),AND(O1605&lt;&gt;"",F1605&lt;&gt;"",RIGHT($N1605,6)="tarief"),SUM(O1605)*FLOOR(SUM(Q1605),0.01),S1605&gt;0,IF(F1605&lt;&gt;"",FLOOR(SUM(S1605),0.01),"")),""),""),"")</f>
        <v/>
      </c>
      <c r="V1605" s="317" t="str" cm="1">
        <f t="array" aca="1" ref="V1605" ca="1">IFERROR(IF(AA1605&lt;&gt;"ja",_xlfn.IFNA(_xlfn.IFS(AND(P1605&lt;&gt;"",R1605&lt;&gt;"",RIGHT($N1605,6)="tarief",F1605="Vergoeding"),SUM(P1605)*FLOOR(SUM(R1605),0.0001),AND(P1605&lt;&gt;"",R1605&lt;&gt;"",RIGHT($N1605,6)="tarief"),P1605*FLOOR(R1605,0.01),T1605&gt;0,FLOOR(SUM(T1605),0.01)),""),""),"")</f>
        <v/>
      </c>
      <c r="W1605" s="317" t="str" cm="1">
        <f t="array" aca="1" ref="W1605" ca="1">IFERROR(_xlfn.IFS(OR(F1605="",LEFT(Methode_Keuze,4)="Geen",Methode_Keuze=""),"",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17" t="str" cm="1">
        <f t="array" aca="1" ref="X1605" ca="1">IFERROR(_xlfn.IFS(OR(F1605="",LEFT(Methode_Keuze,4)="Geen",Methode_Keuze=""),"",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26"/>
      <c r="Z1605" s="319"/>
      <c r="AA1605" s="32" t="str" cm="1">
        <f t="array" ref="AA1605">IFERROR(IF(INDEX(SubsidieTabel!$AD$1:$AG$12,MATCH($F1605,SubsidieTabel!$AD$1:$AD$12,0),IFERROR(MATCH(Methode_Keuze,SubsidieTabel!$AD$1:$AG$1,0),2))&lt;&gt;1=TRUE,"ja",""),"")</f>
        <v/>
      </c>
    </row>
    <row r="1606" spans="1:27" x14ac:dyDescent="0.25">
      <c r="A1606" s="320"/>
      <c r="B1606" s="321" t="str">
        <f>IF(A1606&lt;&gt;"",_xlfn.MAXIFS($B$1:B1605,$A$1:A1605,A1606)+1,"")</f>
        <v/>
      </c>
      <c r="C1606" s="299"/>
      <c r="D1606" s="299"/>
      <c r="E1606" s="299"/>
      <c r="F1606" s="299"/>
      <c r="G1606" s="330"/>
      <c r="H1606" s="328"/>
      <c r="I1606" s="329"/>
      <c r="J1606" s="329"/>
      <c r="K1606" s="322"/>
      <c r="L1606" s="322"/>
      <c r="M1606" s="323" t="str">
        <f>IFERROR(VLOOKUP(H1606,Lijsten!$H$1:$I$100,2,0),"")</f>
        <v/>
      </c>
      <c r="N1606" s="323" t="str">
        <f ca="1">IFERROR(IF(VLOOKUP(F1606,Kostentypen!$A$3:$E$21,3,0)=0,"",IF(OR(F1606="Arbeidskosten",F1606="Vergoeding"),VLOOKUP(G1606,Tb_KostenTypen[],2,0),VLOOKUP(F1606,Kostentypen!$A$3:$E$20,3,0))),"")</f>
        <v/>
      </c>
      <c r="O1606" s="324"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4"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3"/>
      <c r="R1606" s="363"/>
      <c r="S1606" s="325"/>
      <c r="T1606" s="325"/>
      <c r="U1606" s="317" t="str" cm="1">
        <f t="array" aca="1" ref="U1606" ca="1">IFERROR(IF(AA1606&lt;&gt;"ja",_xlfn.IFNA(_xlfn.IFS(AND(O1606&lt;&gt;"",F1606&lt;&gt;"",RIGHT($N1606,6)="tarief",F1606="Vergoeding"),SUM(O1606)*FLOOR(SUM(Q1606),0.0001),AND(O1606&lt;&gt;"",F1606&lt;&gt;"",RIGHT($N1606,6)="tarief"),SUM(O1606)*FLOOR(SUM(Q1606),0.01),S1606&gt;0,IF(F1606&lt;&gt;"",FLOOR(SUM(S1606),0.01),"")),""),""),"")</f>
        <v/>
      </c>
      <c r="V1606" s="317" t="str" cm="1">
        <f t="array" aca="1" ref="V1606" ca="1">IFERROR(IF(AA1606&lt;&gt;"ja",_xlfn.IFNA(_xlfn.IFS(AND(P1606&lt;&gt;"",R1606&lt;&gt;"",RIGHT($N1606,6)="tarief",F1606="Vergoeding"),SUM(P1606)*FLOOR(SUM(R1606),0.0001),AND(P1606&lt;&gt;"",R1606&lt;&gt;"",RIGHT($N1606,6)="tarief"),P1606*FLOOR(R1606,0.01),T1606&gt;0,FLOOR(SUM(T1606),0.01)),""),""),"")</f>
        <v/>
      </c>
      <c r="W1606" s="317" t="str" cm="1">
        <f t="array" aca="1" ref="W1606" ca="1">IFERROR(_xlfn.IFS(OR(F1606="",LEFT(Methode_Keuze,4)="Geen",Methode_Keuze=""),"",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17" t="str" cm="1">
        <f t="array" aca="1" ref="X1606" ca="1">IFERROR(_xlfn.IFS(OR(F1606="",LEFT(Methode_Keuze,4)="Geen",Methode_Keuze=""),"",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26"/>
      <c r="Z1606" s="319"/>
      <c r="AA1606" s="32" t="str" cm="1">
        <f t="array" ref="AA1606">IFERROR(IF(INDEX(SubsidieTabel!$AD$1:$AG$12,MATCH($F1606,SubsidieTabel!$AD$1:$AD$12,0),IFERROR(MATCH(Methode_Keuze,SubsidieTabel!$AD$1:$AG$1,0),2))&lt;&gt;1=TRUE,"ja",""),"")</f>
        <v/>
      </c>
    </row>
    <row r="1607" spans="1:27" x14ac:dyDescent="0.25">
      <c r="A1607" s="320"/>
      <c r="B1607" s="321" t="str">
        <f>IF(A1607&lt;&gt;"",_xlfn.MAXIFS($B$1:B1606,$A$1:A1606,A1607)+1,"")</f>
        <v/>
      </c>
      <c r="C1607" s="299"/>
      <c r="D1607" s="299"/>
      <c r="E1607" s="299"/>
      <c r="F1607" s="299"/>
      <c r="G1607" s="330"/>
      <c r="H1607" s="328"/>
      <c r="I1607" s="329"/>
      <c r="J1607" s="329"/>
      <c r="K1607" s="322"/>
      <c r="L1607" s="322"/>
      <c r="M1607" s="323" t="str">
        <f>IFERROR(VLOOKUP(H1607,Lijsten!$H$1:$I$100,2,0),"")</f>
        <v/>
      </c>
      <c r="N1607" s="323" t="str">
        <f ca="1">IFERROR(IF(VLOOKUP(F1607,Kostentypen!$A$3:$E$21,3,0)=0,"",IF(OR(F1607="Arbeidskosten",F1607="Vergoeding"),VLOOKUP(G1607,Tb_KostenTypen[],2,0),VLOOKUP(F1607,Kostentypen!$A$3:$E$20,3,0))),"")</f>
        <v/>
      </c>
      <c r="O1607" s="324"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4"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3"/>
      <c r="R1607" s="363"/>
      <c r="S1607" s="325"/>
      <c r="T1607" s="325"/>
      <c r="U1607" s="317" t="str" cm="1">
        <f t="array" aca="1" ref="U1607" ca="1">IFERROR(IF(AA1607&lt;&gt;"ja",_xlfn.IFNA(_xlfn.IFS(AND(O1607&lt;&gt;"",F1607&lt;&gt;"",RIGHT($N1607,6)="tarief",F1607="Vergoeding"),SUM(O1607)*FLOOR(SUM(Q1607),0.0001),AND(O1607&lt;&gt;"",F1607&lt;&gt;"",RIGHT($N1607,6)="tarief"),SUM(O1607)*FLOOR(SUM(Q1607),0.01),S1607&gt;0,IF(F1607&lt;&gt;"",FLOOR(SUM(S1607),0.01),"")),""),""),"")</f>
        <v/>
      </c>
      <c r="V1607" s="317" t="str" cm="1">
        <f t="array" aca="1" ref="V1607" ca="1">IFERROR(IF(AA1607&lt;&gt;"ja",_xlfn.IFNA(_xlfn.IFS(AND(P1607&lt;&gt;"",R1607&lt;&gt;"",RIGHT($N1607,6)="tarief",F1607="Vergoeding"),SUM(P1607)*FLOOR(SUM(R1607),0.0001),AND(P1607&lt;&gt;"",R1607&lt;&gt;"",RIGHT($N1607,6)="tarief"),P1607*FLOOR(R1607,0.01),T1607&gt;0,FLOOR(SUM(T1607),0.01)),""),""),"")</f>
        <v/>
      </c>
      <c r="W1607" s="317" t="str" cm="1">
        <f t="array" aca="1" ref="W1607" ca="1">IFERROR(_xlfn.IFS(OR(F1607="",LEFT(Methode_Keuze,4)="Geen",Methode_Keuze=""),"",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17" t="str" cm="1">
        <f t="array" aca="1" ref="X1607" ca="1">IFERROR(_xlfn.IFS(OR(F1607="",LEFT(Methode_Keuze,4)="Geen",Methode_Keuze=""),"",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26"/>
      <c r="Z1607" s="319"/>
      <c r="AA1607" s="32" t="str" cm="1">
        <f t="array" ref="AA1607">IFERROR(IF(INDEX(SubsidieTabel!$AD$1:$AG$12,MATCH($F1607,SubsidieTabel!$AD$1:$AD$12,0),IFERROR(MATCH(Methode_Keuze,SubsidieTabel!$AD$1:$AG$1,0),2))&lt;&gt;1=TRUE,"ja",""),"")</f>
        <v/>
      </c>
    </row>
    <row r="1608" spans="1:27" x14ac:dyDescent="0.25">
      <c r="A1608" s="320"/>
      <c r="B1608" s="321" t="str">
        <f>IF(A1608&lt;&gt;"",_xlfn.MAXIFS($B$1:B1607,$A$1:A1607,A1608)+1,"")</f>
        <v/>
      </c>
      <c r="C1608" s="299"/>
      <c r="D1608" s="299"/>
      <c r="E1608" s="299"/>
      <c r="F1608" s="299"/>
      <c r="G1608" s="330"/>
      <c r="H1608" s="328"/>
      <c r="I1608" s="329"/>
      <c r="J1608" s="329"/>
      <c r="K1608" s="322"/>
      <c r="L1608" s="322"/>
      <c r="M1608" s="323" t="str">
        <f>IFERROR(VLOOKUP(H1608,Lijsten!$H$1:$I$100,2,0),"")</f>
        <v/>
      </c>
      <c r="N1608" s="323" t="str">
        <f ca="1">IFERROR(IF(VLOOKUP(F1608,Kostentypen!$A$3:$E$21,3,0)=0,"",IF(OR(F1608="Arbeidskosten",F1608="Vergoeding"),VLOOKUP(G1608,Tb_KostenTypen[],2,0),VLOOKUP(F1608,Kostentypen!$A$3:$E$20,3,0))),"")</f>
        <v/>
      </c>
      <c r="O1608" s="324"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4"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3"/>
      <c r="R1608" s="363"/>
      <c r="S1608" s="325"/>
      <c r="T1608" s="325"/>
      <c r="U1608" s="317" t="str" cm="1">
        <f t="array" aca="1" ref="U1608" ca="1">IFERROR(IF(AA1608&lt;&gt;"ja",_xlfn.IFNA(_xlfn.IFS(AND(O1608&lt;&gt;"",F1608&lt;&gt;"",RIGHT($N1608,6)="tarief",F1608="Vergoeding"),SUM(O1608)*FLOOR(SUM(Q1608),0.0001),AND(O1608&lt;&gt;"",F1608&lt;&gt;"",RIGHT($N1608,6)="tarief"),SUM(O1608)*FLOOR(SUM(Q1608),0.01),S1608&gt;0,IF(F1608&lt;&gt;"",FLOOR(SUM(S1608),0.01),"")),""),""),"")</f>
        <v/>
      </c>
      <c r="V1608" s="317" t="str" cm="1">
        <f t="array" aca="1" ref="V1608" ca="1">IFERROR(IF(AA1608&lt;&gt;"ja",_xlfn.IFNA(_xlfn.IFS(AND(P1608&lt;&gt;"",R1608&lt;&gt;"",RIGHT($N1608,6)="tarief",F1608="Vergoeding"),SUM(P1608)*FLOOR(SUM(R1608),0.0001),AND(P1608&lt;&gt;"",R1608&lt;&gt;"",RIGHT($N1608,6)="tarief"),P1608*FLOOR(R1608,0.01),T1608&gt;0,FLOOR(SUM(T1608),0.01)),""),""),"")</f>
        <v/>
      </c>
      <c r="W1608" s="317" t="str" cm="1">
        <f t="array" aca="1" ref="W1608" ca="1">IFERROR(_xlfn.IFS(OR(F1608="",LEFT(Methode_Keuze,4)="Geen",Methode_Keuze=""),"",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17" t="str" cm="1">
        <f t="array" aca="1" ref="X1608" ca="1">IFERROR(_xlfn.IFS(OR(F1608="",LEFT(Methode_Keuze,4)="Geen",Methode_Keuze=""),"",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26"/>
      <c r="Z1608" s="319"/>
      <c r="AA1608" s="32" t="str" cm="1">
        <f t="array" ref="AA1608">IFERROR(IF(INDEX(SubsidieTabel!$AD$1:$AG$12,MATCH($F1608,SubsidieTabel!$AD$1:$AD$12,0),IFERROR(MATCH(Methode_Keuze,SubsidieTabel!$AD$1:$AG$1,0),2))&lt;&gt;1=TRUE,"ja",""),"")</f>
        <v/>
      </c>
    </row>
    <row r="1609" spans="1:27" x14ac:dyDescent="0.25">
      <c r="A1609" s="320"/>
      <c r="B1609" s="321" t="str">
        <f>IF(A1609&lt;&gt;"",_xlfn.MAXIFS($B$1:B1608,$A$1:A1608,A1609)+1,"")</f>
        <v/>
      </c>
      <c r="C1609" s="299"/>
      <c r="D1609" s="299"/>
      <c r="E1609" s="299"/>
      <c r="F1609" s="299"/>
      <c r="G1609" s="330"/>
      <c r="H1609" s="328"/>
      <c r="I1609" s="329"/>
      <c r="J1609" s="329"/>
      <c r="K1609" s="322"/>
      <c r="L1609" s="322"/>
      <c r="M1609" s="323" t="str">
        <f>IFERROR(VLOOKUP(H1609,Lijsten!$H$1:$I$100,2,0),"")</f>
        <v/>
      </c>
      <c r="N1609" s="323" t="str">
        <f ca="1">IFERROR(IF(VLOOKUP(F1609,Kostentypen!$A$3:$E$21,3,0)=0,"",IF(OR(F1609="Arbeidskosten",F1609="Vergoeding"),VLOOKUP(G1609,Tb_KostenTypen[],2,0),VLOOKUP(F1609,Kostentypen!$A$3:$E$20,3,0))),"")</f>
        <v/>
      </c>
      <c r="O1609" s="324"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4"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3"/>
      <c r="R1609" s="363"/>
      <c r="S1609" s="325"/>
      <c r="T1609" s="325"/>
      <c r="U1609" s="317" t="str" cm="1">
        <f t="array" aca="1" ref="U1609" ca="1">IFERROR(IF(AA1609&lt;&gt;"ja",_xlfn.IFNA(_xlfn.IFS(AND(O1609&lt;&gt;"",F1609&lt;&gt;"",RIGHT($N1609,6)="tarief",F1609="Vergoeding"),SUM(O1609)*FLOOR(SUM(Q1609),0.0001),AND(O1609&lt;&gt;"",F1609&lt;&gt;"",RIGHT($N1609,6)="tarief"),SUM(O1609)*FLOOR(SUM(Q1609),0.01),S1609&gt;0,IF(F1609&lt;&gt;"",FLOOR(SUM(S1609),0.01),"")),""),""),"")</f>
        <v/>
      </c>
      <c r="V1609" s="317" t="str" cm="1">
        <f t="array" aca="1" ref="V1609" ca="1">IFERROR(IF(AA1609&lt;&gt;"ja",_xlfn.IFNA(_xlfn.IFS(AND(P1609&lt;&gt;"",R1609&lt;&gt;"",RIGHT($N1609,6)="tarief",F1609="Vergoeding"),SUM(P1609)*FLOOR(SUM(R1609),0.0001),AND(P1609&lt;&gt;"",R1609&lt;&gt;"",RIGHT($N1609,6)="tarief"),P1609*FLOOR(R1609,0.01),T1609&gt;0,FLOOR(SUM(T1609),0.01)),""),""),"")</f>
        <v/>
      </c>
      <c r="W1609" s="317" t="str" cm="1">
        <f t="array" aca="1" ref="W1609" ca="1">IFERROR(_xlfn.IFS(OR(F1609="",LEFT(Methode_Keuze,4)="Geen",Methode_Keuze=""),"",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17" t="str" cm="1">
        <f t="array" aca="1" ref="X1609" ca="1">IFERROR(_xlfn.IFS(OR(F1609="",LEFT(Methode_Keuze,4)="Geen",Methode_Keuze=""),"",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26"/>
      <c r="Z1609" s="319"/>
      <c r="AA1609" s="32" t="str" cm="1">
        <f t="array" ref="AA1609">IFERROR(IF(INDEX(SubsidieTabel!$AD$1:$AG$12,MATCH($F1609,SubsidieTabel!$AD$1:$AD$12,0),IFERROR(MATCH(Methode_Keuze,SubsidieTabel!$AD$1:$AG$1,0),2))&lt;&gt;1=TRUE,"ja",""),"")</f>
        <v/>
      </c>
    </row>
    <row r="1610" spans="1:27" x14ac:dyDescent="0.25">
      <c r="A1610" s="320"/>
      <c r="B1610" s="321" t="str">
        <f>IF(A1610&lt;&gt;"",_xlfn.MAXIFS($B$1:B1609,$A$1:A1609,A1610)+1,"")</f>
        <v/>
      </c>
      <c r="C1610" s="299"/>
      <c r="D1610" s="299"/>
      <c r="E1610" s="299"/>
      <c r="F1610" s="299"/>
      <c r="G1610" s="330"/>
      <c r="H1610" s="328"/>
      <c r="I1610" s="329"/>
      <c r="J1610" s="329"/>
      <c r="K1610" s="322"/>
      <c r="L1610" s="322"/>
      <c r="M1610" s="323" t="str">
        <f>IFERROR(VLOOKUP(H1610,Lijsten!$H$1:$I$100,2,0),"")</f>
        <v/>
      </c>
      <c r="N1610" s="323" t="str">
        <f ca="1">IFERROR(IF(VLOOKUP(F1610,Kostentypen!$A$3:$E$21,3,0)=0,"",IF(OR(F1610="Arbeidskosten",F1610="Vergoeding"),VLOOKUP(G1610,Tb_KostenTypen[],2,0),VLOOKUP(F1610,Kostentypen!$A$3:$E$20,3,0))),"")</f>
        <v/>
      </c>
      <c r="O1610" s="324"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4"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3"/>
      <c r="R1610" s="363"/>
      <c r="S1610" s="325"/>
      <c r="T1610" s="325"/>
      <c r="U1610" s="317" t="str" cm="1">
        <f t="array" aca="1" ref="U1610" ca="1">IFERROR(IF(AA1610&lt;&gt;"ja",_xlfn.IFNA(_xlfn.IFS(AND(O1610&lt;&gt;"",F1610&lt;&gt;"",RIGHT($N1610,6)="tarief",F1610="Vergoeding"),SUM(O1610)*FLOOR(SUM(Q1610),0.0001),AND(O1610&lt;&gt;"",F1610&lt;&gt;"",RIGHT($N1610,6)="tarief"),SUM(O1610)*FLOOR(SUM(Q1610),0.01),S1610&gt;0,IF(F1610&lt;&gt;"",FLOOR(SUM(S1610),0.01),"")),""),""),"")</f>
        <v/>
      </c>
      <c r="V1610" s="317" t="str" cm="1">
        <f t="array" aca="1" ref="V1610" ca="1">IFERROR(IF(AA1610&lt;&gt;"ja",_xlfn.IFNA(_xlfn.IFS(AND(P1610&lt;&gt;"",R1610&lt;&gt;"",RIGHT($N1610,6)="tarief",F1610="Vergoeding"),SUM(P1610)*FLOOR(SUM(R1610),0.0001),AND(P1610&lt;&gt;"",R1610&lt;&gt;"",RIGHT($N1610,6)="tarief"),P1610*FLOOR(R1610,0.01),T1610&gt;0,FLOOR(SUM(T1610),0.01)),""),""),"")</f>
        <v/>
      </c>
      <c r="W1610" s="317" t="str" cm="1">
        <f t="array" aca="1" ref="W1610" ca="1">IFERROR(_xlfn.IFS(OR(F1610="",LEFT(Methode_Keuze,4)="Geen",Methode_Keuze=""),"",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17" t="str" cm="1">
        <f t="array" aca="1" ref="X1610" ca="1">IFERROR(_xlfn.IFS(OR(F1610="",LEFT(Methode_Keuze,4)="Geen",Methode_Keuze=""),"",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26"/>
      <c r="Z1610" s="319"/>
      <c r="AA1610" s="32" t="str" cm="1">
        <f t="array" ref="AA1610">IFERROR(IF(INDEX(SubsidieTabel!$AD$1:$AG$12,MATCH($F1610,SubsidieTabel!$AD$1:$AD$12,0),IFERROR(MATCH(Methode_Keuze,SubsidieTabel!$AD$1:$AG$1,0),2))&lt;&gt;1=TRUE,"ja",""),"")</f>
        <v/>
      </c>
    </row>
    <row r="1611" spans="1:27" x14ac:dyDescent="0.25">
      <c r="A1611" s="320"/>
      <c r="B1611" s="321" t="str">
        <f>IF(A1611&lt;&gt;"",_xlfn.MAXIFS($B$1:B1610,$A$1:A1610,A1611)+1,"")</f>
        <v/>
      </c>
      <c r="C1611" s="299"/>
      <c r="D1611" s="299"/>
      <c r="E1611" s="299"/>
      <c r="F1611" s="299"/>
      <c r="G1611" s="330"/>
      <c r="H1611" s="328"/>
      <c r="I1611" s="329"/>
      <c r="J1611" s="329"/>
      <c r="K1611" s="322"/>
      <c r="L1611" s="322"/>
      <c r="M1611" s="323" t="str">
        <f>IFERROR(VLOOKUP(H1611,Lijsten!$H$1:$I$100,2,0),"")</f>
        <v/>
      </c>
      <c r="N1611" s="323" t="str">
        <f ca="1">IFERROR(IF(VLOOKUP(F1611,Kostentypen!$A$3:$E$21,3,0)=0,"",IF(OR(F1611="Arbeidskosten",F1611="Vergoeding"),VLOOKUP(G1611,Tb_KostenTypen[],2,0),VLOOKUP(F1611,Kostentypen!$A$3:$E$20,3,0))),"")</f>
        <v/>
      </c>
      <c r="O1611" s="324"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4"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3"/>
      <c r="R1611" s="363"/>
      <c r="S1611" s="325"/>
      <c r="T1611" s="325"/>
      <c r="U1611" s="317" t="str" cm="1">
        <f t="array" aca="1" ref="U1611" ca="1">IFERROR(IF(AA1611&lt;&gt;"ja",_xlfn.IFNA(_xlfn.IFS(AND(O1611&lt;&gt;"",F1611&lt;&gt;"",RIGHT($N1611,6)="tarief",F1611="Vergoeding"),SUM(O1611)*FLOOR(SUM(Q1611),0.0001),AND(O1611&lt;&gt;"",F1611&lt;&gt;"",RIGHT($N1611,6)="tarief"),SUM(O1611)*FLOOR(SUM(Q1611),0.01),S1611&gt;0,IF(F1611&lt;&gt;"",FLOOR(SUM(S1611),0.01),"")),""),""),"")</f>
        <v/>
      </c>
      <c r="V1611" s="317" t="str" cm="1">
        <f t="array" aca="1" ref="V1611" ca="1">IFERROR(IF(AA1611&lt;&gt;"ja",_xlfn.IFNA(_xlfn.IFS(AND(P1611&lt;&gt;"",R1611&lt;&gt;"",RIGHT($N1611,6)="tarief",F1611="Vergoeding"),SUM(P1611)*FLOOR(SUM(R1611),0.0001),AND(P1611&lt;&gt;"",R1611&lt;&gt;"",RIGHT($N1611,6)="tarief"),P1611*FLOOR(R1611,0.01),T1611&gt;0,FLOOR(SUM(T1611),0.01)),""),""),"")</f>
        <v/>
      </c>
      <c r="W1611" s="317" t="str" cm="1">
        <f t="array" aca="1" ref="W1611" ca="1">IFERROR(_xlfn.IFS(OR(F1611="",LEFT(Methode_Keuze,4)="Geen",Methode_Keuze=""),"",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17" t="str" cm="1">
        <f t="array" aca="1" ref="X1611" ca="1">IFERROR(_xlfn.IFS(OR(F1611="",LEFT(Methode_Keuze,4)="Geen",Methode_Keuze=""),"",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26"/>
      <c r="Z1611" s="319"/>
      <c r="AA1611" s="32" t="str" cm="1">
        <f t="array" ref="AA1611">IFERROR(IF(INDEX(SubsidieTabel!$AD$1:$AG$12,MATCH($F1611,SubsidieTabel!$AD$1:$AD$12,0),IFERROR(MATCH(Methode_Keuze,SubsidieTabel!$AD$1:$AG$1,0),2))&lt;&gt;1=TRUE,"ja",""),"")</f>
        <v/>
      </c>
    </row>
    <row r="1612" spans="1:27" x14ac:dyDescent="0.25">
      <c r="A1612" s="320"/>
      <c r="B1612" s="321" t="str">
        <f>IF(A1612&lt;&gt;"",_xlfn.MAXIFS($B$1:B1611,$A$1:A1611,A1612)+1,"")</f>
        <v/>
      </c>
      <c r="C1612" s="299"/>
      <c r="D1612" s="299"/>
      <c r="E1612" s="299"/>
      <c r="F1612" s="299"/>
      <c r="G1612" s="330"/>
      <c r="H1612" s="328"/>
      <c r="I1612" s="329"/>
      <c r="J1612" s="329"/>
      <c r="K1612" s="322"/>
      <c r="L1612" s="322"/>
      <c r="M1612" s="323" t="str">
        <f>IFERROR(VLOOKUP(H1612,Lijsten!$H$1:$I$100,2,0),"")</f>
        <v/>
      </c>
      <c r="N1612" s="323" t="str">
        <f ca="1">IFERROR(IF(VLOOKUP(F1612,Kostentypen!$A$3:$E$21,3,0)=0,"",IF(OR(F1612="Arbeidskosten",F1612="Vergoeding"),VLOOKUP(G1612,Tb_KostenTypen[],2,0),VLOOKUP(F1612,Kostentypen!$A$3:$E$20,3,0))),"")</f>
        <v/>
      </c>
      <c r="O1612" s="324"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4"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3"/>
      <c r="R1612" s="363"/>
      <c r="S1612" s="325"/>
      <c r="T1612" s="325"/>
      <c r="U1612" s="317" t="str" cm="1">
        <f t="array" aca="1" ref="U1612" ca="1">IFERROR(IF(AA1612&lt;&gt;"ja",_xlfn.IFNA(_xlfn.IFS(AND(O1612&lt;&gt;"",F1612&lt;&gt;"",RIGHT($N1612,6)="tarief",F1612="Vergoeding"),SUM(O1612)*FLOOR(SUM(Q1612),0.0001),AND(O1612&lt;&gt;"",F1612&lt;&gt;"",RIGHT($N1612,6)="tarief"),SUM(O1612)*FLOOR(SUM(Q1612),0.01),S1612&gt;0,IF(F1612&lt;&gt;"",FLOOR(SUM(S1612),0.01),"")),""),""),"")</f>
        <v/>
      </c>
      <c r="V1612" s="317" t="str" cm="1">
        <f t="array" aca="1" ref="V1612" ca="1">IFERROR(IF(AA1612&lt;&gt;"ja",_xlfn.IFNA(_xlfn.IFS(AND(P1612&lt;&gt;"",R1612&lt;&gt;"",RIGHT($N1612,6)="tarief",F1612="Vergoeding"),SUM(P1612)*FLOOR(SUM(R1612),0.0001),AND(P1612&lt;&gt;"",R1612&lt;&gt;"",RIGHT($N1612,6)="tarief"),P1612*FLOOR(R1612,0.01),T1612&gt;0,FLOOR(SUM(T1612),0.01)),""),""),"")</f>
        <v/>
      </c>
      <c r="W1612" s="317" t="str" cm="1">
        <f t="array" aca="1" ref="W1612" ca="1">IFERROR(_xlfn.IFS(OR(F1612="",LEFT(Methode_Keuze,4)="Geen",Methode_Keuze=""),"",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17" t="str" cm="1">
        <f t="array" aca="1" ref="X1612" ca="1">IFERROR(_xlfn.IFS(OR(F1612="",LEFT(Methode_Keuze,4)="Geen",Methode_Keuze=""),"",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26"/>
      <c r="Z1612" s="319"/>
      <c r="AA1612" s="32" t="str" cm="1">
        <f t="array" ref="AA1612">IFERROR(IF(INDEX(SubsidieTabel!$AD$1:$AG$12,MATCH($F1612,SubsidieTabel!$AD$1:$AD$12,0),IFERROR(MATCH(Methode_Keuze,SubsidieTabel!$AD$1:$AG$1,0),2))&lt;&gt;1=TRUE,"ja",""),"")</f>
        <v/>
      </c>
    </row>
    <row r="1613" spans="1:27" x14ac:dyDescent="0.25">
      <c r="A1613" s="320"/>
      <c r="B1613" s="321" t="str">
        <f>IF(A1613&lt;&gt;"",_xlfn.MAXIFS($B$1:B1612,$A$1:A1612,A1613)+1,"")</f>
        <v/>
      </c>
      <c r="C1613" s="299"/>
      <c r="D1613" s="299"/>
      <c r="E1613" s="299"/>
      <c r="F1613" s="299"/>
      <c r="G1613" s="330"/>
      <c r="H1613" s="328"/>
      <c r="I1613" s="329"/>
      <c r="J1613" s="329"/>
      <c r="K1613" s="322"/>
      <c r="L1613" s="322"/>
      <c r="M1613" s="323" t="str">
        <f>IFERROR(VLOOKUP(H1613,Lijsten!$H$1:$I$100,2,0),"")</f>
        <v/>
      </c>
      <c r="N1613" s="323" t="str">
        <f ca="1">IFERROR(IF(VLOOKUP(F1613,Kostentypen!$A$3:$E$21,3,0)=0,"",IF(OR(F1613="Arbeidskosten",F1613="Vergoeding"),VLOOKUP(G1613,Tb_KostenTypen[],2,0),VLOOKUP(F1613,Kostentypen!$A$3:$E$20,3,0))),"")</f>
        <v/>
      </c>
      <c r="O1613" s="324"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4"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3"/>
      <c r="R1613" s="363"/>
      <c r="S1613" s="325"/>
      <c r="T1613" s="325"/>
      <c r="U1613" s="317" t="str" cm="1">
        <f t="array" aca="1" ref="U1613" ca="1">IFERROR(IF(AA1613&lt;&gt;"ja",_xlfn.IFNA(_xlfn.IFS(AND(O1613&lt;&gt;"",F1613&lt;&gt;"",RIGHT($N1613,6)="tarief",F1613="Vergoeding"),SUM(O1613)*FLOOR(SUM(Q1613),0.0001),AND(O1613&lt;&gt;"",F1613&lt;&gt;"",RIGHT($N1613,6)="tarief"),SUM(O1613)*FLOOR(SUM(Q1613),0.01),S1613&gt;0,IF(F1613&lt;&gt;"",FLOOR(SUM(S1613),0.01),"")),""),""),"")</f>
        <v/>
      </c>
      <c r="V1613" s="317" t="str" cm="1">
        <f t="array" aca="1" ref="V1613" ca="1">IFERROR(IF(AA1613&lt;&gt;"ja",_xlfn.IFNA(_xlfn.IFS(AND(P1613&lt;&gt;"",R1613&lt;&gt;"",RIGHT($N1613,6)="tarief",F1613="Vergoeding"),SUM(P1613)*FLOOR(SUM(R1613),0.0001),AND(P1613&lt;&gt;"",R1613&lt;&gt;"",RIGHT($N1613,6)="tarief"),P1613*FLOOR(R1613,0.01),T1613&gt;0,FLOOR(SUM(T1613),0.01)),""),""),"")</f>
        <v/>
      </c>
      <c r="W1613" s="317" t="str" cm="1">
        <f t="array" aca="1" ref="W1613" ca="1">IFERROR(_xlfn.IFS(OR(F1613="",LEFT(Methode_Keuze,4)="Geen",Methode_Keuze=""),"",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17" t="str" cm="1">
        <f t="array" aca="1" ref="X1613" ca="1">IFERROR(_xlfn.IFS(OR(F1613="",LEFT(Methode_Keuze,4)="Geen",Methode_Keuze=""),"",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26"/>
      <c r="Z1613" s="319"/>
      <c r="AA1613" s="32" t="str" cm="1">
        <f t="array" ref="AA1613">IFERROR(IF(INDEX(SubsidieTabel!$AD$1:$AG$12,MATCH($F1613,SubsidieTabel!$AD$1:$AD$12,0),IFERROR(MATCH(Methode_Keuze,SubsidieTabel!$AD$1:$AG$1,0),2))&lt;&gt;1=TRUE,"ja",""),"")</f>
        <v/>
      </c>
    </row>
    <row r="1614" spans="1:27" x14ac:dyDescent="0.25">
      <c r="A1614" s="320"/>
      <c r="B1614" s="321" t="str">
        <f>IF(A1614&lt;&gt;"",_xlfn.MAXIFS($B$1:B1613,$A$1:A1613,A1614)+1,"")</f>
        <v/>
      </c>
      <c r="C1614" s="299"/>
      <c r="D1614" s="299"/>
      <c r="E1614" s="299"/>
      <c r="F1614" s="299"/>
      <c r="G1614" s="330"/>
      <c r="H1614" s="328"/>
      <c r="I1614" s="329"/>
      <c r="J1614" s="329"/>
      <c r="K1614" s="322"/>
      <c r="L1614" s="322"/>
      <c r="M1614" s="323" t="str">
        <f>IFERROR(VLOOKUP(H1614,Lijsten!$H$1:$I$100,2,0),"")</f>
        <v/>
      </c>
      <c r="N1614" s="323" t="str">
        <f ca="1">IFERROR(IF(VLOOKUP(F1614,Kostentypen!$A$3:$E$21,3,0)=0,"",IF(OR(F1614="Arbeidskosten",F1614="Vergoeding"),VLOOKUP(G1614,Tb_KostenTypen[],2,0),VLOOKUP(F1614,Kostentypen!$A$3:$E$20,3,0))),"")</f>
        <v/>
      </c>
      <c r="O1614" s="324"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4"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3"/>
      <c r="R1614" s="363"/>
      <c r="S1614" s="325"/>
      <c r="T1614" s="325"/>
      <c r="U1614" s="317" t="str" cm="1">
        <f t="array" aca="1" ref="U1614" ca="1">IFERROR(IF(AA1614&lt;&gt;"ja",_xlfn.IFNA(_xlfn.IFS(AND(O1614&lt;&gt;"",F1614&lt;&gt;"",RIGHT($N1614,6)="tarief",F1614="Vergoeding"),SUM(O1614)*FLOOR(SUM(Q1614),0.0001),AND(O1614&lt;&gt;"",F1614&lt;&gt;"",RIGHT($N1614,6)="tarief"),SUM(O1614)*FLOOR(SUM(Q1614),0.01),S1614&gt;0,IF(F1614&lt;&gt;"",FLOOR(SUM(S1614),0.01),"")),""),""),"")</f>
        <v/>
      </c>
      <c r="V1614" s="317" t="str" cm="1">
        <f t="array" aca="1" ref="V1614" ca="1">IFERROR(IF(AA1614&lt;&gt;"ja",_xlfn.IFNA(_xlfn.IFS(AND(P1614&lt;&gt;"",R1614&lt;&gt;"",RIGHT($N1614,6)="tarief",F1614="Vergoeding"),SUM(P1614)*FLOOR(SUM(R1614),0.0001),AND(P1614&lt;&gt;"",R1614&lt;&gt;"",RIGHT($N1614,6)="tarief"),P1614*FLOOR(R1614,0.01),T1614&gt;0,FLOOR(SUM(T1614),0.01)),""),""),"")</f>
        <v/>
      </c>
      <c r="W1614" s="317" t="str" cm="1">
        <f t="array" aca="1" ref="W1614" ca="1">IFERROR(_xlfn.IFS(OR(F1614="",LEFT(Methode_Keuze,4)="Geen",Methode_Keuze=""),"",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17" t="str" cm="1">
        <f t="array" aca="1" ref="X1614" ca="1">IFERROR(_xlfn.IFS(OR(F1614="",LEFT(Methode_Keuze,4)="Geen",Methode_Keuze=""),"",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26"/>
      <c r="Z1614" s="319"/>
      <c r="AA1614" s="32" t="str" cm="1">
        <f t="array" ref="AA1614">IFERROR(IF(INDEX(SubsidieTabel!$AD$1:$AG$12,MATCH($F1614,SubsidieTabel!$AD$1:$AD$12,0),IFERROR(MATCH(Methode_Keuze,SubsidieTabel!$AD$1:$AG$1,0),2))&lt;&gt;1=TRUE,"ja",""),"")</f>
        <v/>
      </c>
    </row>
    <row r="1615" spans="1:27" x14ac:dyDescent="0.25">
      <c r="A1615" s="320"/>
      <c r="B1615" s="321" t="str">
        <f>IF(A1615&lt;&gt;"",_xlfn.MAXIFS($B$1:B1614,$A$1:A1614,A1615)+1,"")</f>
        <v/>
      </c>
      <c r="C1615" s="299"/>
      <c r="D1615" s="299"/>
      <c r="E1615" s="299"/>
      <c r="F1615" s="299"/>
      <c r="G1615" s="330"/>
      <c r="H1615" s="328"/>
      <c r="I1615" s="329"/>
      <c r="J1615" s="329"/>
      <c r="K1615" s="322"/>
      <c r="L1615" s="322"/>
      <c r="M1615" s="323" t="str">
        <f>IFERROR(VLOOKUP(H1615,Lijsten!$H$1:$I$100,2,0),"")</f>
        <v/>
      </c>
      <c r="N1615" s="323" t="str">
        <f ca="1">IFERROR(IF(VLOOKUP(F1615,Kostentypen!$A$3:$E$21,3,0)=0,"",IF(OR(F1615="Arbeidskosten",F1615="Vergoeding"),VLOOKUP(G1615,Tb_KostenTypen[],2,0),VLOOKUP(F1615,Kostentypen!$A$3:$E$20,3,0))),"")</f>
        <v/>
      </c>
      <c r="O1615" s="324"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4"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3"/>
      <c r="R1615" s="363"/>
      <c r="S1615" s="325"/>
      <c r="T1615" s="325"/>
      <c r="U1615" s="317" t="str" cm="1">
        <f t="array" aca="1" ref="U1615" ca="1">IFERROR(IF(AA1615&lt;&gt;"ja",_xlfn.IFNA(_xlfn.IFS(AND(O1615&lt;&gt;"",F1615&lt;&gt;"",RIGHT($N1615,6)="tarief",F1615="Vergoeding"),SUM(O1615)*FLOOR(SUM(Q1615),0.0001),AND(O1615&lt;&gt;"",F1615&lt;&gt;"",RIGHT($N1615,6)="tarief"),SUM(O1615)*FLOOR(SUM(Q1615),0.01),S1615&gt;0,IF(F1615&lt;&gt;"",FLOOR(SUM(S1615),0.01),"")),""),""),"")</f>
        <v/>
      </c>
      <c r="V1615" s="317" t="str" cm="1">
        <f t="array" aca="1" ref="V1615" ca="1">IFERROR(IF(AA1615&lt;&gt;"ja",_xlfn.IFNA(_xlfn.IFS(AND(P1615&lt;&gt;"",R1615&lt;&gt;"",RIGHT($N1615,6)="tarief",F1615="Vergoeding"),SUM(P1615)*FLOOR(SUM(R1615),0.0001),AND(P1615&lt;&gt;"",R1615&lt;&gt;"",RIGHT($N1615,6)="tarief"),P1615*FLOOR(R1615,0.01),T1615&gt;0,FLOOR(SUM(T1615),0.01)),""),""),"")</f>
        <v/>
      </c>
      <c r="W1615" s="317" t="str" cm="1">
        <f t="array" aca="1" ref="W1615" ca="1">IFERROR(_xlfn.IFS(OR(F1615="",LEFT(Methode_Keuze,4)="Geen",Methode_Keuze=""),"",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17" t="str" cm="1">
        <f t="array" aca="1" ref="X1615" ca="1">IFERROR(_xlfn.IFS(OR(F1615="",LEFT(Methode_Keuze,4)="Geen",Methode_Keuze=""),"",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26"/>
      <c r="Z1615" s="319"/>
      <c r="AA1615" s="32" t="str" cm="1">
        <f t="array" ref="AA1615">IFERROR(IF(INDEX(SubsidieTabel!$AD$1:$AG$12,MATCH($F1615,SubsidieTabel!$AD$1:$AD$12,0),IFERROR(MATCH(Methode_Keuze,SubsidieTabel!$AD$1:$AG$1,0),2))&lt;&gt;1=TRUE,"ja",""),"")</f>
        <v/>
      </c>
    </row>
    <row r="1616" spans="1:27" x14ac:dyDescent="0.25">
      <c r="A1616" s="320"/>
      <c r="B1616" s="321" t="str">
        <f>IF(A1616&lt;&gt;"",_xlfn.MAXIFS($B$1:B1615,$A$1:A1615,A1616)+1,"")</f>
        <v/>
      </c>
      <c r="C1616" s="299"/>
      <c r="D1616" s="299"/>
      <c r="E1616" s="299"/>
      <c r="F1616" s="299"/>
      <c r="G1616" s="330"/>
      <c r="H1616" s="328"/>
      <c r="I1616" s="329"/>
      <c r="J1616" s="329"/>
      <c r="K1616" s="322"/>
      <c r="L1616" s="322"/>
      <c r="M1616" s="323" t="str">
        <f>IFERROR(VLOOKUP(H1616,Lijsten!$H$1:$I$100,2,0),"")</f>
        <v/>
      </c>
      <c r="N1616" s="323" t="str">
        <f ca="1">IFERROR(IF(VLOOKUP(F1616,Kostentypen!$A$3:$E$21,3,0)=0,"",IF(OR(F1616="Arbeidskosten",F1616="Vergoeding"),VLOOKUP(G1616,Tb_KostenTypen[],2,0),VLOOKUP(F1616,Kostentypen!$A$3:$E$20,3,0))),"")</f>
        <v/>
      </c>
      <c r="O1616" s="324"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4"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3"/>
      <c r="R1616" s="363"/>
      <c r="S1616" s="325"/>
      <c r="T1616" s="325"/>
      <c r="U1616" s="317" t="str" cm="1">
        <f t="array" aca="1" ref="U1616" ca="1">IFERROR(IF(AA1616&lt;&gt;"ja",_xlfn.IFNA(_xlfn.IFS(AND(O1616&lt;&gt;"",F1616&lt;&gt;"",RIGHT($N1616,6)="tarief",F1616="Vergoeding"),SUM(O1616)*FLOOR(SUM(Q1616),0.0001),AND(O1616&lt;&gt;"",F1616&lt;&gt;"",RIGHT($N1616,6)="tarief"),SUM(O1616)*FLOOR(SUM(Q1616),0.01),S1616&gt;0,IF(F1616&lt;&gt;"",FLOOR(SUM(S1616),0.01),"")),""),""),"")</f>
        <v/>
      </c>
      <c r="V1616" s="317" t="str" cm="1">
        <f t="array" aca="1" ref="V1616" ca="1">IFERROR(IF(AA1616&lt;&gt;"ja",_xlfn.IFNA(_xlfn.IFS(AND(P1616&lt;&gt;"",R1616&lt;&gt;"",RIGHT($N1616,6)="tarief",F1616="Vergoeding"),SUM(P1616)*FLOOR(SUM(R1616),0.0001),AND(P1616&lt;&gt;"",R1616&lt;&gt;"",RIGHT($N1616,6)="tarief"),P1616*FLOOR(R1616,0.01),T1616&gt;0,FLOOR(SUM(T1616),0.01)),""),""),"")</f>
        <v/>
      </c>
      <c r="W1616" s="317" t="str" cm="1">
        <f t="array" aca="1" ref="W1616" ca="1">IFERROR(_xlfn.IFS(OR(F1616="",LEFT(Methode_Keuze,4)="Geen",Methode_Keuze=""),"",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17" t="str" cm="1">
        <f t="array" aca="1" ref="X1616" ca="1">IFERROR(_xlfn.IFS(OR(F1616="",LEFT(Methode_Keuze,4)="Geen",Methode_Keuze=""),"",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26"/>
      <c r="Z1616" s="319"/>
      <c r="AA1616" s="32" t="str" cm="1">
        <f t="array" ref="AA1616">IFERROR(IF(INDEX(SubsidieTabel!$AD$1:$AG$12,MATCH($F1616,SubsidieTabel!$AD$1:$AD$12,0),IFERROR(MATCH(Methode_Keuze,SubsidieTabel!$AD$1:$AG$1,0),2))&lt;&gt;1=TRUE,"ja",""),"")</f>
        <v/>
      </c>
    </row>
    <row r="1617" spans="1:27" x14ac:dyDescent="0.25">
      <c r="A1617" s="320"/>
      <c r="B1617" s="321" t="str">
        <f>IF(A1617&lt;&gt;"",_xlfn.MAXIFS($B$1:B1616,$A$1:A1616,A1617)+1,"")</f>
        <v/>
      </c>
      <c r="C1617" s="299"/>
      <c r="D1617" s="299"/>
      <c r="E1617" s="299"/>
      <c r="F1617" s="299"/>
      <c r="G1617" s="330"/>
      <c r="H1617" s="328"/>
      <c r="I1617" s="329"/>
      <c r="J1617" s="329"/>
      <c r="K1617" s="322"/>
      <c r="L1617" s="322"/>
      <c r="M1617" s="323" t="str">
        <f>IFERROR(VLOOKUP(H1617,Lijsten!$H$1:$I$100,2,0),"")</f>
        <v/>
      </c>
      <c r="N1617" s="323" t="str">
        <f ca="1">IFERROR(IF(VLOOKUP(F1617,Kostentypen!$A$3:$E$21,3,0)=0,"",IF(OR(F1617="Arbeidskosten",F1617="Vergoeding"),VLOOKUP(G1617,Tb_KostenTypen[],2,0),VLOOKUP(F1617,Kostentypen!$A$3:$E$20,3,0))),"")</f>
        <v/>
      </c>
      <c r="O1617" s="324"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4"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3"/>
      <c r="R1617" s="363"/>
      <c r="S1617" s="325"/>
      <c r="T1617" s="325"/>
      <c r="U1617" s="317" t="str" cm="1">
        <f t="array" aca="1" ref="U1617" ca="1">IFERROR(IF(AA1617&lt;&gt;"ja",_xlfn.IFNA(_xlfn.IFS(AND(O1617&lt;&gt;"",F1617&lt;&gt;"",RIGHT($N1617,6)="tarief",F1617="Vergoeding"),SUM(O1617)*FLOOR(SUM(Q1617),0.0001),AND(O1617&lt;&gt;"",F1617&lt;&gt;"",RIGHT($N1617,6)="tarief"),SUM(O1617)*FLOOR(SUM(Q1617),0.01),S1617&gt;0,IF(F1617&lt;&gt;"",FLOOR(SUM(S1617),0.01),"")),""),""),"")</f>
        <v/>
      </c>
      <c r="V1617" s="317" t="str" cm="1">
        <f t="array" aca="1" ref="V1617" ca="1">IFERROR(IF(AA1617&lt;&gt;"ja",_xlfn.IFNA(_xlfn.IFS(AND(P1617&lt;&gt;"",R1617&lt;&gt;"",RIGHT($N1617,6)="tarief",F1617="Vergoeding"),SUM(P1617)*FLOOR(SUM(R1617),0.0001),AND(P1617&lt;&gt;"",R1617&lt;&gt;"",RIGHT($N1617,6)="tarief"),P1617*FLOOR(R1617,0.01),T1617&gt;0,FLOOR(SUM(T1617),0.01)),""),""),"")</f>
        <v/>
      </c>
      <c r="W1617" s="317" t="str" cm="1">
        <f t="array" aca="1" ref="W1617" ca="1">IFERROR(_xlfn.IFS(OR(F1617="",LEFT(Methode_Keuze,4)="Geen",Methode_Keuze=""),"",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17" t="str" cm="1">
        <f t="array" aca="1" ref="X1617" ca="1">IFERROR(_xlfn.IFS(OR(F1617="",LEFT(Methode_Keuze,4)="Geen",Methode_Keuze=""),"",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26"/>
      <c r="Z1617" s="319"/>
      <c r="AA1617" s="32" t="str" cm="1">
        <f t="array" ref="AA1617">IFERROR(IF(INDEX(SubsidieTabel!$AD$1:$AG$12,MATCH($F1617,SubsidieTabel!$AD$1:$AD$12,0),IFERROR(MATCH(Methode_Keuze,SubsidieTabel!$AD$1:$AG$1,0),2))&lt;&gt;1=TRUE,"ja",""),"")</f>
        <v/>
      </c>
    </row>
    <row r="1618" spans="1:27" x14ac:dyDescent="0.25">
      <c r="A1618" s="320"/>
      <c r="B1618" s="321" t="str">
        <f>IF(A1618&lt;&gt;"",_xlfn.MAXIFS($B$1:B1617,$A$1:A1617,A1618)+1,"")</f>
        <v/>
      </c>
      <c r="C1618" s="299"/>
      <c r="D1618" s="299"/>
      <c r="E1618" s="299"/>
      <c r="F1618" s="299"/>
      <c r="G1618" s="330"/>
      <c r="H1618" s="328"/>
      <c r="I1618" s="329"/>
      <c r="J1618" s="329"/>
      <c r="K1618" s="322"/>
      <c r="L1618" s="322"/>
      <c r="M1618" s="323" t="str">
        <f>IFERROR(VLOOKUP(H1618,Lijsten!$H$1:$I$100,2,0),"")</f>
        <v/>
      </c>
      <c r="N1618" s="323" t="str">
        <f ca="1">IFERROR(IF(VLOOKUP(F1618,Kostentypen!$A$3:$E$21,3,0)=0,"",IF(OR(F1618="Arbeidskosten",F1618="Vergoeding"),VLOOKUP(G1618,Tb_KostenTypen[],2,0),VLOOKUP(F1618,Kostentypen!$A$3:$E$20,3,0))),"")</f>
        <v/>
      </c>
      <c r="O1618" s="324"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4"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3"/>
      <c r="R1618" s="363"/>
      <c r="S1618" s="325"/>
      <c r="T1618" s="325"/>
      <c r="U1618" s="317" t="str" cm="1">
        <f t="array" aca="1" ref="U1618" ca="1">IFERROR(IF(AA1618&lt;&gt;"ja",_xlfn.IFNA(_xlfn.IFS(AND(O1618&lt;&gt;"",F1618&lt;&gt;"",RIGHT($N1618,6)="tarief",F1618="Vergoeding"),SUM(O1618)*FLOOR(SUM(Q1618),0.0001),AND(O1618&lt;&gt;"",F1618&lt;&gt;"",RIGHT($N1618,6)="tarief"),SUM(O1618)*FLOOR(SUM(Q1618),0.01),S1618&gt;0,IF(F1618&lt;&gt;"",FLOOR(SUM(S1618),0.01),"")),""),""),"")</f>
        <v/>
      </c>
      <c r="V1618" s="317" t="str" cm="1">
        <f t="array" aca="1" ref="V1618" ca="1">IFERROR(IF(AA1618&lt;&gt;"ja",_xlfn.IFNA(_xlfn.IFS(AND(P1618&lt;&gt;"",R1618&lt;&gt;"",RIGHT($N1618,6)="tarief",F1618="Vergoeding"),SUM(P1618)*FLOOR(SUM(R1618),0.0001),AND(P1618&lt;&gt;"",R1618&lt;&gt;"",RIGHT($N1618,6)="tarief"),P1618*FLOOR(R1618,0.01),T1618&gt;0,FLOOR(SUM(T1618),0.01)),""),""),"")</f>
        <v/>
      </c>
      <c r="W1618" s="317" t="str" cm="1">
        <f t="array" aca="1" ref="W1618" ca="1">IFERROR(_xlfn.IFS(OR(F1618="",LEFT(Methode_Keuze,4)="Geen",Methode_Keuze=""),"",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17" t="str" cm="1">
        <f t="array" aca="1" ref="X1618" ca="1">IFERROR(_xlfn.IFS(OR(F1618="",LEFT(Methode_Keuze,4)="Geen",Methode_Keuze=""),"",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26"/>
      <c r="Z1618" s="319"/>
      <c r="AA1618" s="32" t="str" cm="1">
        <f t="array" ref="AA1618">IFERROR(IF(INDEX(SubsidieTabel!$AD$1:$AG$12,MATCH($F1618,SubsidieTabel!$AD$1:$AD$12,0),IFERROR(MATCH(Methode_Keuze,SubsidieTabel!$AD$1:$AG$1,0),2))&lt;&gt;1=TRUE,"ja",""),"")</f>
        <v/>
      </c>
    </row>
    <row r="1619" spans="1:27" x14ac:dyDescent="0.25">
      <c r="A1619" s="320"/>
      <c r="B1619" s="321" t="str">
        <f>IF(A1619&lt;&gt;"",_xlfn.MAXIFS($B$1:B1618,$A$1:A1618,A1619)+1,"")</f>
        <v/>
      </c>
      <c r="C1619" s="299"/>
      <c r="D1619" s="299"/>
      <c r="E1619" s="299"/>
      <c r="F1619" s="299"/>
      <c r="G1619" s="330"/>
      <c r="H1619" s="328"/>
      <c r="I1619" s="329"/>
      <c r="J1619" s="329"/>
      <c r="K1619" s="322"/>
      <c r="L1619" s="322"/>
      <c r="M1619" s="323" t="str">
        <f>IFERROR(VLOOKUP(H1619,Lijsten!$H$1:$I$100,2,0),"")</f>
        <v/>
      </c>
      <c r="N1619" s="323" t="str">
        <f ca="1">IFERROR(IF(VLOOKUP(F1619,Kostentypen!$A$3:$E$21,3,0)=0,"",IF(OR(F1619="Arbeidskosten",F1619="Vergoeding"),VLOOKUP(G1619,Tb_KostenTypen[],2,0),VLOOKUP(F1619,Kostentypen!$A$3:$E$20,3,0))),"")</f>
        <v/>
      </c>
      <c r="O1619" s="324"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4"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3"/>
      <c r="R1619" s="363"/>
      <c r="S1619" s="325"/>
      <c r="T1619" s="325"/>
      <c r="U1619" s="317" t="str" cm="1">
        <f t="array" aca="1" ref="U1619" ca="1">IFERROR(IF(AA1619&lt;&gt;"ja",_xlfn.IFNA(_xlfn.IFS(AND(O1619&lt;&gt;"",F1619&lt;&gt;"",RIGHT($N1619,6)="tarief",F1619="Vergoeding"),SUM(O1619)*FLOOR(SUM(Q1619),0.0001),AND(O1619&lt;&gt;"",F1619&lt;&gt;"",RIGHT($N1619,6)="tarief"),SUM(O1619)*FLOOR(SUM(Q1619),0.01),S1619&gt;0,IF(F1619&lt;&gt;"",FLOOR(SUM(S1619),0.01),"")),""),""),"")</f>
        <v/>
      </c>
      <c r="V1619" s="317" t="str" cm="1">
        <f t="array" aca="1" ref="V1619" ca="1">IFERROR(IF(AA1619&lt;&gt;"ja",_xlfn.IFNA(_xlfn.IFS(AND(P1619&lt;&gt;"",R1619&lt;&gt;"",RIGHT($N1619,6)="tarief",F1619="Vergoeding"),SUM(P1619)*FLOOR(SUM(R1619),0.0001),AND(P1619&lt;&gt;"",R1619&lt;&gt;"",RIGHT($N1619,6)="tarief"),P1619*FLOOR(R1619,0.01),T1619&gt;0,FLOOR(SUM(T1619),0.01)),""),""),"")</f>
        <v/>
      </c>
      <c r="W1619" s="317" t="str" cm="1">
        <f t="array" aca="1" ref="W1619" ca="1">IFERROR(_xlfn.IFS(OR(F1619="",LEFT(Methode_Keuze,4)="Geen",Methode_Keuze=""),"",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17" t="str" cm="1">
        <f t="array" aca="1" ref="X1619" ca="1">IFERROR(_xlfn.IFS(OR(F1619="",LEFT(Methode_Keuze,4)="Geen",Methode_Keuze=""),"",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26"/>
      <c r="Z1619" s="319"/>
      <c r="AA1619" s="32" t="str" cm="1">
        <f t="array" ref="AA1619">IFERROR(IF(INDEX(SubsidieTabel!$AD$1:$AG$12,MATCH($F1619,SubsidieTabel!$AD$1:$AD$12,0),IFERROR(MATCH(Methode_Keuze,SubsidieTabel!$AD$1:$AG$1,0),2))&lt;&gt;1=TRUE,"ja",""),"")</f>
        <v/>
      </c>
    </row>
    <row r="1620" spans="1:27" x14ac:dyDescent="0.25">
      <c r="A1620" s="320"/>
      <c r="B1620" s="321" t="str">
        <f>IF(A1620&lt;&gt;"",_xlfn.MAXIFS($B$1:B1619,$A$1:A1619,A1620)+1,"")</f>
        <v/>
      </c>
      <c r="C1620" s="299"/>
      <c r="D1620" s="299"/>
      <c r="E1620" s="299"/>
      <c r="F1620" s="299"/>
      <c r="G1620" s="330"/>
      <c r="H1620" s="328"/>
      <c r="I1620" s="329"/>
      <c r="J1620" s="329"/>
      <c r="K1620" s="322"/>
      <c r="L1620" s="322"/>
      <c r="M1620" s="323" t="str">
        <f>IFERROR(VLOOKUP(H1620,Lijsten!$H$1:$I$100,2,0),"")</f>
        <v/>
      </c>
      <c r="N1620" s="323" t="str">
        <f ca="1">IFERROR(IF(VLOOKUP(F1620,Kostentypen!$A$3:$E$21,3,0)=0,"",IF(OR(F1620="Arbeidskosten",F1620="Vergoeding"),VLOOKUP(G1620,Tb_KostenTypen[],2,0),VLOOKUP(F1620,Kostentypen!$A$3:$E$20,3,0))),"")</f>
        <v/>
      </c>
      <c r="O1620" s="324"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4"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3"/>
      <c r="R1620" s="363"/>
      <c r="S1620" s="325"/>
      <c r="T1620" s="325"/>
      <c r="U1620" s="317" t="str" cm="1">
        <f t="array" aca="1" ref="U1620" ca="1">IFERROR(IF(AA1620&lt;&gt;"ja",_xlfn.IFNA(_xlfn.IFS(AND(O1620&lt;&gt;"",F1620&lt;&gt;"",RIGHT($N1620,6)="tarief",F1620="Vergoeding"),SUM(O1620)*FLOOR(SUM(Q1620),0.0001),AND(O1620&lt;&gt;"",F1620&lt;&gt;"",RIGHT($N1620,6)="tarief"),SUM(O1620)*FLOOR(SUM(Q1620),0.01),S1620&gt;0,IF(F1620&lt;&gt;"",FLOOR(SUM(S1620),0.01),"")),""),""),"")</f>
        <v/>
      </c>
      <c r="V1620" s="317" t="str" cm="1">
        <f t="array" aca="1" ref="V1620" ca="1">IFERROR(IF(AA1620&lt;&gt;"ja",_xlfn.IFNA(_xlfn.IFS(AND(P1620&lt;&gt;"",R1620&lt;&gt;"",RIGHT($N1620,6)="tarief",F1620="Vergoeding"),SUM(P1620)*FLOOR(SUM(R1620),0.0001),AND(P1620&lt;&gt;"",R1620&lt;&gt;"",RIGHT($N1620,6)="tarief"),P1620*FLOOR(R1620,0.01),T1620&gt;0,FLOOR(SUM(T1620),0.01)),""),""),"")</f>
        <v/>
      </c>
      <c r="W1620" s="317" t="str" cm="1">
        <f t="array" aca="1" ref="W1620" ca="1">IFERROR(_xlfn.IFS(OR(F1620="",LEFT(Methode_Keuze,4)="Geen",Methode_Keuze=""),"",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17" t="str" cm="1">
        <f t="array" aca="1" ref="X1620" ca="1">IFERROR(_xlfn.IFS(OR(F1620="",LEFT(Methode_Keuze,4)="Geen",Methode_Keuze=""),"",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26"/>
      <c r="Z1620" s="319"/>
      <c r="AA1620" s="32" t="str" cm="1">
        <f t="array" ref="AA1620">IFERROR(IF(INDEX(SubsidieTabel!$AD$1:$AG$12,MATCH($F1620,SubsidieTabel!$AD$1:$AD$12,0),IFERROR(MATCH(Methode_Keuze,SubsidieTabel!$AD$1:$AG$1,0),2))&lt;&gt;1=TRUE,"ja",""),"")</f>
        <v/>
      </c>
    </row>
    <row r="1621" spans="1:27" x14ac:dyDescent="0.25">
      <c r="A1621" s="320"/>
      <c r="B1621" s="321" t="str">
        <f>IF(A1621&lt;&gt;"",_xlfn.MAXIFS($B$1:B1620,$A$1:A1620,A1621)+1,"")</f>
        <v/>
      </c>
      <c r="C1621" s="299"/>
      <c r="D1621" s="299"/>
      <c r="E1621" s="299"/>
      <c r="F1621" s="299"/>
      <c r="G1621" s="330"/>
      <c r="H1621" s="328"/>
      <c r="I1621" s="329"/>
      <c r="J1621" s="329"/>
      <c r="K1621" s="322"/>
      <c r="L1621" s="322"/>
      <c r="M1621" s="323" t="str">
        <f>IFERROR(VLOOKUP(H1621,Lijsten!$H$1:$I$100,2,0),"")</f>
        <v/>
      </c>
      <c r="N1621" s="323" t="str">
        <f ca="1">IFERROR(IF(VLOOKUP(F1621,Kostentypen!$A$3:$E$21,3,0)=0,"",IF(OR(F1621="Arbeidskosten",F1621="Vergoeding"),VLOOKUP(G1621,Tb_KostenTypen[],2,0),VLOOKUP(F1621,Kostentypen!$A$3:$E$20,3,0))),"")</f>
        <v/>
      </c>
      <c r="O1621" s="324"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4"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3"/>
      <c r="R1621" s="363"/>
      <c r="S1621" s="325"/>
      <c r="T1621" s="325"/>
      <c r="U1621" s="317" t="str" cm="1">
        <f t="array" aca="1" ref="U1621" ca="1">IFERROR(IF(AA1621&lt;&gt;"ja",_xlfn.IFNA(_xlfn.IFS(AND(O1621&lt;&gt;"",F1621&lt;&gt;"",RIGHT($N1621,6)="tarief",F1621="Vergoeding"),SUM(O1621)*FLOOR(SUM(Q1621),0.0001),AND(O1621&lt;&gt;"",F1621&lt;&gt;"",RIGHT($N1621,6)="tarief"),SUM(O1621)*FLOOR(SUM(Q1621),0.01),S1621&gt;0,IF(F1621&lt;&gt;"",FLOOR(SUM(S1621),0.01),"")),""),""),"")</f>
        <v/>
      </c>
      <c r="V1621" s="317" t="str" cm="1">
        <f t="array" aca="1" ref="V1621" ca="1">IFERROR(IF(AA1621&lt;&gt;"ja",_xlfn.IFNA(_xlfn.IFS(AND(P1621&lt;&gt;"",R1621&lt;&gt;"",RIGHT($N1621,6)="tarief",F1621="Vergoeding"),SUM(P1621)*FLOOR(SUM(R1621),0.0001),AND(P1621&lt;&gt;"",R1621&lt;&gt;"",RIGHT($N1621,6)="tarief"),P1621*FLOOR(R1621,0.01),T1621&gt;0,FLOOR(SUM(T1621),0.01)),""),""),"")</f>
        <v/>
      </c>
      <c r="W1621" s="317" t="str" cm="1">
        <f t="array" aca="1" ref="W1621" ca="1">IFERROR(_xlfn.IFS(OR(F1621="",LEFT(Methode_Keuze,4)="Geen",Methode_Keuze=""),"",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17" t="str" cm="1">
        <f t="array" aca="1" ref="X1621" ca="1">IFERROR(_xlfn.IFS(OR(F1621="",LEFT(Methode_Keuze,4)="Geen",Methode_Keuze=""),"",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26"/>
      <c r="Z1621" s="319"/>
      <c r="AA1621" s="32" t="str" cm="1">
        <f t="array" ref="AA1621">IFERROR(IF(INDEX(SubsidieTabel!$AD$1:$AG$12,MATCH($F1621,SubsidieTabel!$AD$1:$AD$12,0),IFERROR(MATCH(Methode_Keuze,SubsidieTabel!$AD$1:$AG$1,0),2))&lt;&gt;1=TRUE,"ja",""),"")</f>
        <v/>
      </c>
    </row>
    <row r="1622" spans="1:27" x14ac:dyDescent="0.25">
      <c r="A1622" s="320"/>
      <c r="B1622" s="321" t="str">
        <f>IF(A1622&lt;&gt;"",_xlfn.MAXIFS($B$1:B1621,$A$1:A1621,A1622)+1,"")</f>
        <v/>
      </c>
      <c r="C1622" s="299"/>
      <c r="D1622" s="299"/>
      <c r="E1622" s="299"/>
      <c r="F1622" s="299"/>
      <c r="G1622" s="330"/>
      <c r="H1622" s="328"/>
      <c r="I1622" s="329"/>
      <c r="J1622" s="329"/>
      <c r="K1622" s="322"/>
      <c r="L1622" s="322"/>
      <c r="M1622" s="323" t="str">
        <f>IFERROR(VLOOKUP(H1622,Lijsten!$H$1:$I$100,2,0),"")</f>
        <v/>
      </c>
      <c r="N1622" s="323" t="str">
        <f ca="1">IFERROR(IF(VLOOKUP(F1622,Kostentypen!$A$3:$E$21,3,0)=0,"",IF(OR(F1622="Arbeidskosten",F1622="Vergoeding"),VLOOKUP(G1622,Tb_KostenTypen[],2,0),VLOOKUP(F1622,Kostentypen!$A$3:$E$20,3,0))),"")</f>
        <v/>
      </c>
      <c r="O1622" s="324"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4"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3"/>
      <c r="R1622" s="363"/>
      <c r="S1622" s="325"/>
      <c r="T1622" s="325"/>
      <c r="U1622" s="317" t="str" cm="1">
        <f t="array" aca="1" ref="U1622" ca="1">IFERROR(IF(AA1622&lt;&gt;"ja",_xlfn.IFNA(_xlfn.IFS(AND(O1622&lt;&gt;"",F1622&lt;&gt;"",RIGHT($N1622,6)="tarief",F1622="Vergoeding"),SUM(O1622)*FLOOR(SUM(Q1622),0.0001),AND(O1622&lt;&gt;"",F1622&lt;&gt;"",RIGHT($N1622,6)="tarief"),SUM(O1622)*FLOOR(SUM(Q1622),0.01),S1622&gt;0,IF(F1622&lt;&gt;"",FLOOR(SUM(S1622),0.01),"")),""),""),"")</f>
        <v/>
      </c>
      <c r="V1622" s="317" t="str" cm="1">
        <f t="array" aca="1" ref="V1622" ca="1">IFERROR(IF(AA1622&lt;&gt;"ja",_xlfn.IFNA(_xlfn.IFS(AND(P1622&lt;&gt;"",R1622&lt;&gt;"",RIGHT($N1622,6)="tarief",F1622="Vergoeding"),SUM(P1622)*FLOOR(SUM(R1622),0.0001),AND(P1622&lt;&gt;"",R1622&lt;&gt;"",RIGHT($N1622,6)="tarief"),P1622*FLOOR(R1622,0.01),T1622&gt;0,FLOOR(SUM(T1622),0.01)),""),""),"")</f>
        <v/>
      </c>
      <c r="W1622" s="317" t="str" cm="1">
        <f t="array" aca="1" ref="W1622" ca="1">IFERROR(_xlfn.IFS(OR(F1622="",LEFT(Methode_Keuze,4)="Geen",Methode_Keuze=""),"",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17" t="str" cm="1">
        <f t="array" aca="1" ref="X1622" ca="1">IFERROR(_xlfn.IFS(OR(F1622="",LEFT(Methode_Keuze,4)="Geen",Methode_Keuze=""),"",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26"/>
      <c r="Z1622" s="319"/>
      <c r="AA1622" s="32" t="str" cm="1">
        <f t="array" ref="AA1622">IFERROR(IF(INDEX(SubsidieTabel!$AD$1:$AG$12,MATCH($F1622,SubsidieTabel!$AD$1:$AD$12,0),IFERROR(MATCH(Methode_Keuze,SubsidieTabel!$AD$1:$AG$1,0),2))&lt;&gt;1=TRUE,"ja",""),"")</f>
        <v/>
      </c>
    </row>
    <row r="1623" spans="1:27" x14ac:dyDescent="0.25">
      <c r="A1623" s="320"/>
      <c r="B1623" s="321" t="str">
        <f>IF(A1623&lt;&gt;"",_xlfn.MAXIFS($B$1:B1622,$A$1:A1622,A1623)+1,"")</f>
        <v/>
      </c>
      <c r="C1623" s="299"/>
      <c r="D1623" s="299"/>
      <c r="E1623" s="299"/>
      <c r="F1623" s="299"/>
      <c r="G1623" s="330"/>
      <c r="H1623" s="328"/>
      <c r="I1623" s="329"/>
      <c r="J1623" s="329"/>
      <c r="K1623" s="322"/>
      <c r="L1623" s="322"/>
      <c r="M1623" s="323" t="str">
        <f>IFERROR(VLOOKUP(H1623,Lijsten!$H$1:$I$100,2,0),"")</f>
        <v/>
      </c>
      <c r="N1623" s="323" t="str">
        <f ca="1">IFERROR(IF(VLOOKUP(F1623,Kostentypen!$A$3:$E$21,3,0)=0,"",IF(OR(F1623="Arbeidskosten",F1623="Vergoeding"),VLOOKUP(G1623,Tb_KostenTypen[],2,0),VLOOKUP(F1623,Kostentypen!$A$3:$E$20,3,0))),"")</f>
        <v/>
      </c>
      <c r="O1623" s="324"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4"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3"/>
      <c r="R1623" s="363"/>
      <c r="S1623" s="325"/>
      <c r="T1623" s="325"/>
      <c r="U1623" s="317" t="str" cm="1">
        <f t="array" aca="1" ref="U1623" ca="1">IFERROR(IF(AA1623&lt;&gt;"ja",_xlfn.IFNA(_xlfn.IFS(AND(O1623&lt;&gt;"",F1623&lt;&gt;"",RIGHT($N1623,6)="tarief",F1623="Vergoeding"),SUM(O1623)*FLOOR(SUM(Q1623),0.0001),AND(O1623&lt;&gt;"",F1623&lt;&gt;"",RIGHT($N1623,6)="tarief"),SUM(O1623)*FLOOR(SUM(Q1623),0.01),S1623&gt;0,IF(F1623&lt;&gt;"",FLOOR(SUM(S1623),0.01),"")),""),""),"")</f>
        <v/>
      </c>
      <c r="V1623" s="317" t="str" cm="1">
        <f t="array" aca="1" ref="V1623" ca="1">IFERROR(IF(AA1623&lt;&gt;"ja",_xlfn.IFNA(_xlfn.IFS(AND(P1623&lt;&gt;"",R1623&lt;&gt;"",RIGHT($N1623,6)="tarief",F1623="Vergoeding"),SUM(P1623)*FLOOR(SUM(R1623),0.0001),AND(P1623&lt;&gt;"",R1623&lt;&gt;"",RIGHT($N1623,6)="tarief"),P1623*FLOOR(R1623,0.01),T1623&gt;0,FLOOR(SUM(T1623),0.01)),""),""),"")</f>
        <v/>
      </c>
      <c r="W1623" s="317" t="str" cm="1">
        <f t="array" aca="1" ref="W1623" ca="1">IFERROR(_xlfn.IFS(OR(F1623="",LEFT(Methode_Keuze,4)="Geen",Methode_Keuze=""),"",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17" t="str" cm="1">
        <f t="array" aca="1" ref="X1623" ca="1">IFERROR(_xlfn.IFS(OR(F1623="",LEFT(Methode_Keuze,4)="Geen",Methode_Keuze=""),"",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26"/>
      <c r="Z1623" s="319"/>
      <c r="AA1623" s="32" t="str" cm="1">
        <f t="array" ref="AA1623">IFERROR(IF(INDEX(SubsidieTabel!$AD$1:$AG$12,MATCH($F1623,SubsidieTabel!$AD$1:$AD$12,0),IFERROR(MATCH(Methode_Keuze,SubsidieTabel!$AD$1:$AG$1,0),2))&lt;&gt;1=TRUE,"ja",""),"")</f>
        <v/>
      </c>
    </row>
    <row r="1624" spans="1:27" x14ac:dyDescent="0.25">
      <c r="A1624" s="320"/>
      <c r="B1624" s="321" t="str">
        <f>IF(A1624&lt;&gt;"",_xlfn.MAXIFS($B$1:B1623,$A$1:A1623,A1624)+1,"")</f>
        <v/>
      </c>
      <c r="C1624" s="299"/>
      <c r="D1624" s="299"/>
      <c r="E1624" s="299"/>
      <c r="F1624" s="299"/>
      <c r="G1624" s="330"/>
      <c r="H1624" s="328"/>
      <c r="I1624" s="329"/>
      <c r="J1624" s="329"/>
      <c r="K1624" s="322"/>
      <c r="L1624" s="322"/>
      <c r="M1624" s="323" t="str">
        <f>IFERROR(VLOOKUP(H1624,Lijsten!$H$1:$I$100,2,0),"")</f>
        <v/>
      </c>
      <c r="N1624" s="323" t="str">
        <f ca="1">IFERROR(IF(VLOOKUP(F1624,Kostentypen!$A$3:$E$21,3,0)=0,"",IF(OR(F1624="Arbeidskosten",F1624="Vergoeding"),VLOOKUP(G1624,Tb_KostenTypen[],2,0),VLOOKUP(F1624,Kostentypen!$A$3:$E$20,3,0))),"")</f>
        <v/>
      </c>
      <c r="O1624" s="324"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4"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3"/>
      <c r="R1624" s="363"/>
      <c r="S1624" s="325"/>
      <c r="T1624" s="325"/>
      <c r="U1624" s="317" t="str" cm="1">
        <f t="array" aca="1" ref="U1624" ca="1">IFERROR(IF(AA1624&lt;&gt;"ja",_xlfn.IFNA(_xlfn.IFS(AND(O1624&lt;&gt;"",F1624&lt;&gt;"",RIGHT($N1624,6)="tarief",F1624="Vergoeding"),SUM(O1624)*FLOOR(SUM(Q1624),0.0001),AND(O1624&lt;&gt;"",F1624&lt;&gt;"",RIGHT($N1624,6)="tarief"),SUM(O1624)*FLOOR(SUM(Q1624),0.01),S1624&gt;0,IF(F1624&lt;&gt;"",FLOOR(SUM(S1624),0.01),"")),""),""),"")</f>
        <v/>
      </c>
      <c r="V1624" s="317" t="str" cm="1">
        <f t="array" aca="1" ref="V1624" ca="1">IFERROR(IF(AA1624&lt;&gt;"ja",_xlfn.IFNA(_xlfn.IFS(AND(P1624&lt;&gt;"",R1624&lt;&gt;"",RIGHT($N1624,6)="tarief",F1624="Vergoeding"),SUM(P1624)*FLOOR(SUM(R1624),0.0001),AND(P1624&lt;&gt;"",R1624&lt;&gt;"",RIGHT($N1624,6)="tarief"),P1624*FLOOR(R1624,0.01),T1624&gt;0,FLOOR(SUM(T1624),0.01)),""),""),"")</f>
        <v/>
      </c>
      <c r="W1624" s="317" t="str" cm="1">
        <f t="array" aca="1" ref="W1624" ca="1">IFERROR(_xlfn.IFS(OR(F1624="",LEFT(Methode_Keuze,4)="Geen",Methode_Keuze=""),"",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17" t="str" cm="1">
        <f t="array" aca="1" ref="X1624" ca="1">IFERROR(_xlfn.IFS(OR(F1624="",LEFT(Methode_Keuze,4)="Geen",Methode_Keuze=""),"",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26"/>
      <c r="Z1624" s="319"/>
      <c r="AA1624" s="32" t="str" cm="1">
        <f t="array" ref="AA1624">IFERROR(IF(INDEX(SubsidieTabel!$AD$1:$AG$12,MATCH($F1624,SubsidieTabel!$AD$1:$AD$12,0),IFERROR(MATCH(Methode_Keuze,SubsidieTabel!$AD$1:$AG$1,0),2))&lt;&gt;1=TRUE,"ja",""),"")</f>
        <v/>
      </c>
    </row>
    <row r="1625" spans="1:27" x14ac:dyDescent="0.25">
      <c r="A1625" s="320"/>
      <c r="B1625" s="321" t="str">
        <f>IF(A1625&lt;&gt;"",_xlfn.MAXIFS($B$1:B1624,$A$1:A1624,A1625)+1,"")</f>
        <v/>
      </c>
      <c r="C1625" s="299"/>
      <c r="D1625" s="299"/>
      <c r="E1625" s="299"/>
      <c r="F1625" s="299"/>
      <c r="G1625" s="330"/>
      <c r="H1625" s="328"/>
      <c r="I1625" s="329"/>
      <c r="J1625" s="329"/>
      <c r="K1625" s="322"/>
      <c r="L1625" s="322"/>
      <c r="M1625" s="323" t="str">
        <f>IFERROR(VLOOKUP(H1625,Lijsten!$H$1:$I$100,2,0),"")</f>
        <v/>
      </c>
      <c r="N1625" s="323" t="str">
        <f ca="1">IFERROR(IF(VLOOKUP(F1625,Kostentypen!$A$3:$E$21,3,0)=0,"",IF(OR(F1625="Arbeidskosten",F1625="Vergoeding"),VLOOKUP(G1625,Tb_KostenTypen[],2,0),VLOOKUP(F1625,Kostentypen!$A$3:$E$20,3,0))),"")</f>
        <v/>
      </c>
      <c r="O1625" s="324"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4"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3"/>
      <c r="R1625" s="363"/>
      <c r="S1625" s="325"/>
      <c r="T1625" s="325"/>
      <c r="U1625" s="317" t="str" cm="1">
        <f t="array" aca="1" ref="U1625" ca="1">IFERROR(IF(AA1625&lt;&gt;"ja",_xlfn.IFNA(_xlfn.IFS(AND(O1625&lt;&gt;"",F1625&lt;&gt;"",RIGHT($N1625,6)="tarief",F1625="Vergoeding"),SUM(O1625)*FLOOR(SUM(Q1625),0.0001),AND(O1625&lt;&gt;"",F1625&lt;&gt;"",RIGHT($N1625,6)="tarief"),SUM(O1625)*FLOOR(SUM(Q1625),0.01),S1625&gt;0,IF(F1625&lt;&gt;"",FLOOR(SUM(S1625),0.01),"")),""),""),"")</f>
        <v/>
      </c>
      <c r="V1625" s="317" t="str" cm="1">
        <f t="array" aca="1" ref="V1625" ca="1">IFERROR(IF(AA1625&lt;&gt;"ja",_xlfn.IFNA(_xlfn.IFS(AND(P1625&lt;&gt;"",R1625&lt;&gt;"",RIGHT($N1625,6)="tarief",F1625="Vergoeding"),SUM(P1625)*FLOOR(SUM(R1625),0.0001),AND(P1625&lt;&gt;"",R1625&lt;&gt;"",RIGHT($N1625,6)="tarief"),P1625*FLOOR(R1625,0.01),T1625&gt;0,FLOOR(SUM(T1625),0.01)),""),""),"")</f>
        <v/>
      </c>
      <c r="W1625" s="317" t="str" cm="1">
        <f t="array" aca="1" ref="W1625" ca="1">IFERROR(_xlfn.IFS(OR(F1625="",LEFT(Methode_Keuze,4)="Geen",Methode_Keuze=""),"",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17" t="str" cm="1">
        <f t="array" aca="1" ref="X1625" ca="1">IFERROR(_xlfn.IFS(OR(F1625="",LEFT(Methode_Keuze,4)="Geen",Methode_Keuze=""),"",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26"/>
      <c r="Z1625" s="319"/>
      <c r="AA1625" s="32" t="str" cm="1">
        <f t="array" ref="AA1625">IFERROR(IF(INDEX(SubsidieTabel!$AD$1:$AG$12,MATCH($F1625,SubsidieTabel!$AD$1:$AD$12,0),IFERROR(MATCH(Methode_Keuze,SubsidieTabel!$AD$1:$AG$1,0),2))&lt;&gt;1=TRUE,"ja",""),"")</f>
        <v/>
      </c>
    </row>
    <row r="1626" spans="1:27" x14ac:dyDescent="0.25">
      <c r="A1626" s="320"/>
      <c r="B1626" s="321" t="str">
        <f>IF(A1626&lt;&gt;"",_xlfn.MAXIFS($B$1:B1625,$A$1:A1625,A1626)+1,"")</f>
        <v/>
      </c>
      <c r="C1626" s="299"/>
      <c r="D1626" s="299"/>
      <c r="E1626" s="299"/>
      <c r="F1626" s="299"/>
      <c r="G1626" s="330"/>
      <c r="H1626" s="328"/>
      <c r="I1626" s="329"/>
      <c r="J1626" s="329"/>
      <c r="K1626" s="322"/>
      <c r="L1626" s="322"/>
      <c r="M1626" s="323" t="str">
        <f>IFERROR(VLOOKUP(H1626,Lijsten!$H$1:$I$100,2,0),"")</f>
        <v/>
      </c>
      <c r="N1626" s="323" t="str">
        <f ca="1">IFERROR(IF(VLOOKUP(F1626,Kostentypen!$A$3:$E$21,3,0)=0,"",IF(OR(F1626="Arbeidskosten",F1626="Vergoeding"),VLOOKUP(G1626,Tb_KostenTypen[],2,0),VLOOKUP(F1626,Kostentypen!$A$3:$E$20,3,0))),"")</f>
        <v/>
      </c>
      <c r="O1626" s="324"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4"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3"/>
      <c r="R1626" s="363"/>
      <c r="S1626" s="325"/>
      <c r="T1626" s="325"/>
      <c r="U1626" s="317" t="str" cm="1">
        <f t="array" aca="1" ref="U1626" ca="1">IFERROR(IF(AA1626&lt;&gt;"ja",_xlfn.IFNA(_xlfn.IFS(AND(O1626&lt;&gt;"",F1626&lt;&gt;"",RIGHT($N1626,6)="tarief",F1626="Vergoeding"),SUM(O1626)*FLOOR(SUM(Q1626),0.0001),AND(O1626&lt;&gt;"",F1626&lt;&gt;"",RIGHT($N1626,6)="tarief"),SUM(O1626)*FLOOR(SUM(Q1626),0.01),S1626&gt;0,IF(F1626&lt;&gt;"",FLOOR(SUM(S1626),0.01),"")),""),""),"")</f>
        <v/>
      </c>
      <c r="V1626" s="317" t="str" cm="1">
        <f t="array" aca="1" ref="V1626" ca="1">IFERROR(IF(AA1626&lt;&gt;"ja",_xlfn.IFNA(_xlfn.IFS(AND(P1626&lt;&gt;"",R1626&lt;&gt;"",RIGHT($N1626,6)="tarief",F1626="Vergoeding"),SUM(P1626)*FLOOR(SUM(R1626),0.0001),AND(P1626&lt;&gt;"",R1626&lt;&gt;"",RIGHT($N1626,6)="tarief"),P1626*FLOOR(R1626,0.01),T1626&gt;0,FLOOR(SUM(T1626),0.01)),""),""),"")</f>
        <v/>
      </c>
      <c r="W1626" s="317" t="str" cm="1">
        <f t="array" aca="1" ref="W1626" ca="1">IFERROR(_xlfn.IFS(OR(F1626="",LEFT(Methode_Keuze,4)="Geen",Methode_Keuze=""),"",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17" t="str" cm="1">
        <f t="array" aca="1" ref="X1626" ca="1">IFERROR(_xlfn.IFS(OR(F1626="",LEFT(Methode_Keuze,4)="Geen",Methode_Keuze=""),"",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26"/>
      <c r="Z1626" s="319"/>
      <c r="AA1626" s="32" t="str" cm="1">
        <f t="array" ref="AA1626">IFERROR(IF(INDEX(SubsidieTabel!$AD$1:$AG$12,MATCH($F1626,SubsidieTabel!$AD$1:$AD$12,0),IFERROR(MATCH(Methode_Keuze,SubsidieTabel!$AD$1:$AG$1,0),2))&lt;&gt;1=TRUE,"ja",""),"")</f>
        <v/>
      </c>
    </row>
    <row r="1627" spans="1:27" x14ac:dyDescent="0.25">
      <c r="A1627" s="320"/>
      <c r="B1627" s="321" t="str">
        <f>IF(A1627&lt;&gt;"",_xlfn.MAXIFS($B$1:B1626,$A$1:A1626,A1627)+1,"")</f>
        <v/>
      </c>
      <c r="C1627" s="299"/>
      <c r="D1627" s="299"/>
      <c r="E1627" s="299"/>
      <c r="F1627" s="299"/>
      <c r="G1627" s="330"/>
      <c r="H1627" s="328"/>
      <c r="I1627" s="329"/>
      <c r="J1627" s="329"/>
      <c r="K1627" s="322"/>
      <c r="L1627" s="322"/>
      <c r="M1627" s="323" t="str">
        <f>IFERROR(VLOOKUP(H1627,Lijsten!$H$1:$I$100,2,0),"")</f>
        <v/>
      </c>
      <c r="N1627" s="323" t="str">
        <f ca="1">IFERROR(IF(VLOOKUP(F1627,Kostentypen!$A$3:$E$21,3,0)=0,"",IF(OR(F1627="Arbeidskosten",F1627="Vergoeding"),VLOOKUP(G1627,Tb_KostenTypen[],2,0),VLOOKUP(F1627,Kostentypen!$A$3:$E$20,3,0))),"")</f>
        <v/>
      </c>
      <c r="O1627" s="324"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4"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3"/>
      <c r="R1627" s="363"/>
      <c r="S1627" s="325"/>
      <c r="T1627" s="325"/>
      <c r="U1627" s="317" t="str" cm="1">
        <f t="array" aca="1" ref="U1627" ca="1">IFERROR(IF(AA1627&lt;&gt;"ja",_xlfn.IFNA(_xlfn.IFS(AND(O1627&lt;&gt;"",F1627&lt;&gt;"",RIGHT($N1627,6)="tarief",F1627="Vergoeding"),SUM(O1627)*FLOOR(SUM(Q1627),0.0001),AND(O1627&lt;&gt;"",F1627&lt;&gt;"",RIGHT($N1627,6)="tarief"),SUM(O1627)*FLOOR(SUM(Q1627),0.01),S1627&gt;0,IF(F1627&lt;&gt;"",FLOOR(SUM(S1627),0.01),"")),""),""),"")</f>
        <v/>
      </c>
      <c r="V1627" s="317" t="str" cm="1">
        <f t="array" aca="1" ref="V1627" ca="1">IFERROR(IF(AA1627&lt;&gt;"ja",_xlfn.IFNA(_xlfn.IFS(AND(P1627&lt;&gt;"",R1627&lt;&gt;"",RIGHT($N1627,6)="tarief",F1627="Vergoeding"),SUM(P1627)*FLOOR(SUM(R1627),0.0001),AND(P1627&lt;&gt;"",R1627&lt;&gt;"",RIGHT($N1627,6)="tarief"),P1627*FLOOR(R1627,0.01),T1627&gt;0,FLOOR(SUM(T1627),0.01)),""),""),"")</f>
        <v/>
      </c>
      <c r="W1627" s="317" t="str" cm="1">
        <f t="array" aca="1" ref="W1627" ca="1">IFERROR(_xlfn.IFS(OR(F1627="",LEFT(Methode_Keuze,4)="Geen",Methode_Keuze=""),"",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17" t="str" cm="1">
        <f t="array" aca="1" ref="X1627" ca="1">IFERROR(_xlfn.IFS(OR(F1627="",LEFT(Methode_Keuze,4)="Geen",Methode_Keuze=""),"",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26"/>
      <c r="Z1627" s="319"/>
      <c r="AA1627" s="32" t="str" cm="1">
        <f t="array" ref="AA1627">IFERROR(IF(INDEX(SubsidieTabel!$AD$1:$AG$12,MATCH($F1627,SubsidieTabel!$AD$1:$AD$12,0),IFERROR(MATCH(Methode_Keuze,SubsidieTabel!$AD$1:$AG$1,0),2))&lt;&gt;1=TRUE,"ja",""),"")</f>
        <v/>
      </c>
    </row>
    <row r="1628" spans="1:27" x14ac:dyDescent="0.25">
      <c r="A1628" s="320"/>
      <c r="B1628" s="321" t="str">
        <f>IF(A1628&lt;&gt;"",_xlfn.MAXIFS($B$1:B1627,$A$1:A1627,A1628)+1,"")</f>
        <v/>
      </c>
      <c r="C1628" s="299"/>
      <c r="D1628" s="299"/>
      <c r="E1628" s="299"/>
      <c r="F1628" s="299"/>
      <c r="G1628" s="330"/>
      <c r="H1628" s="328"/>
      <c r="I1628" s="329"/>
      <c r="J1628" s="329"/>
      <c r="K1628" s="322"/>
      <c r="L1628" s="322"/>
      <c r="M1628" s="323" t="str">
        <f>IFERROR(VLOOKUP(H1628,Lijsten!$H$1:$I$100,2,0),"")</f>
        <v/>
      </c>
      <c r="N1628" s="323" t="str">
        <f ca="1">IFERROR(IF(VLOOKUP(F1628,Kostentypen!$A$3:$E$21,3,0)=0,"",IF(OR(F1628="Arbeidskosten",F1628="Vergoeding"),VLOOKUP(G1628,Tb_KostenTypen[],2,0),VLOOKUP(F1628,Kostentypen!$A$3:$E$20,3,0))),"")</f>
        <v/>
      </c>
      <c r="O1628" s="324"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4"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3"/>
      <c r="R1628" s="363"/>
      <c r="S1628" s="325"/>
      <c r="T1628" s="325"/>
      <c r="U1628" s="317" t="str" cm="1">
        <f t="array" aca="1" ref="U1628" ca="1">IFERROR(IF(AA1628&lt;&gt;"ja",_xlfn.IFNA(_xlfn.IFS(AND(O1628&lt;&gt;"",F1628&lt;&gt;"",RIGHT($N1628,6)="tarief",F1628="Vergoeding"),SUM(O1628)*FLOOR(SUM(Q1628),0.0001),AND(O1628&lt;&gt;"",F1628&lt;&gt;"",RIGHT($N1628,6)="tarief"),SUM(O1628)*FLOOR(SUM(Q1628),0.01),S1628&gt;0,IF(F1628&lt;&gt;"",FLOOR(SUM(S1628),0.01),"")),""),""),"")</f>
        <v/>
      </c>
      <c r="V1628" s="317" t="str" cm="1">
        <f t="array" aca="1" ref="V1628" ca="1">IFERROR(IF(AA1628&lt;&gt;"ja",_xlfn.IFNA(_xlfn.IFS(AND(P1628&lt;&gt;"",R1628&lt;&gt;"",RIGHT($N1628,6)="tarief",F1628="Vergoeding"),SUM(P1628)*FLOOR(SUM(R1628),0.0001),AND(P1628&lt;&gt;"",R1628&lt;&gt;"",RIGHT($N1628,6)="tarief"),P1628*FLOOR(R1628,0.01),T1628&gt;0,FLOOR(SUM(T1628),0.01)),""),""),"")</f>
        <v/>
      </c>
      <c r="W1628" s="317" t="str" cm="1">
        <f t="array" aca="1" ref="W1628" ca="1">IFERROR(_xlfn.IFS(OR(F1628="",LEFT(Methode_Keuze,4)="Geen",Methode_Keuze=""),"",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17" t="str" cm="1">
        <f t="array" aca="1" ref="X1628" ca="1">IFERROR(_xlfn.IFS(OR(F1628="",LEFT(Methode_Keuze,4)="Geen",Methode_Keuze=""),"",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26"/>
      <c r="Z1628" s="319"/>
      <c r="AA1628" s="32" t="str" cm="1">
        <f t="array" ref="AA1628">IFERROR(IF(INDEX(SubsidieTabel!$AD$1:$AG$12,MATCH($F1628,SubsidieTabel!$AD$1:$AD$12,0),IFERROR(MATCH(Methode_Keuze,SubsidieTabel!$AD$1:$AG$1,0),2))&lt;&gt;1=TRUE,"ja",""),"")</f>
        <v/>
      </c>
    </row>
    <row r="1629" spans="1:27" x14ac:dyDescent="0.25">
      <c r="A1629" s="320"/>
      <c r="B1629" s="321" t="str">
        <f>IF(A1629&lt;&gt;"",_xlfn.MAXIFS($B$1:B1628,$A$1:A1628,A1629)+1,"")</f>
        <v/>
      </c>
      <c r="C1629" s="299"/>
      <c r="D1629" s="299"/>
      <c r="E1629" s="299"/>
      <c r="F1629" s="299"/>
      <c r="G1629" s="330"/>
      <c r="H1629" s="328"/>
      <c r="I1629" s="329"/>
      <c r="J1629" s="329"/>
      <c r="K1629" s="322"/>
      <c r="L1629" s="322"/>
      <c r="M1629" s="323" t="str">
        <f>IFERROR(VLOOKUP(H1629,Lijsten!$H$1:$I$100,2,0),"")</f>
        <v/>
      </c>
      <c r="N1629" s="323" t="str">
        <f ca="1">IFERROR(IF(VLOOKUP(F1629,Kostentypen!$A$3:$E$21,3,0)=0,"",IF(OR(F1629="Arbeidskosten",F1629="Vergoeding"),VLOOKUP(G1629,Tb_KostenTypen[],2,0),VLOOKUP(F1629,Kostentypen!$A$3:$E$20,3,0))),"")</f>
        <v/>
      </c>
      <c r="O1629" s="324"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4"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3"/>
      <c r="R1629" s="363"/>
      <c r="S1629" s="325"/>
      <c r="T1629" s="325"/>
      <c r="U1629" s="317" t="str" cm="1">
        <f t="array" aca="1" ref="U1629" ca="1">IFERROR(IF(AA1629&lt;&gt;"ja",_xlfn.IFNA(_xlfn.IFS(AND(O1629&lt;&gt;"",F1629&lt;&gt;"",RIGHT($N1629,6)="tarief",F1629="Vergoeding"),SUM(O1629)*FLOOR(SUM(Q1629),0.0001),AND(O1629&lt;&gt;"",F1629&lt;&gt;"",RIGHT($N1629,6)="tarief"),SUM(O1629)*FLOOR(SUM(Q1629),0.01),S1629&gt;0,IF(F1629&lt;&gt;"",FLOOR(SUM(S1629),0.01),"")),""),""),"")</f>
        <v/>
      </c>
      <c r="V1629" s="317" t="str" cm="1">
        <f t="array" aca="1" ref="V1629" ca="1">IFERROR(IF(AA1629&lt;&gt;"ja",_xlfn.IFNA(_xlfn.IFS(AND(P1629&lt;&gt;"",R1629&lt;&gt;"",RIGHT($N1629,6)="tarief",F1629="Vergoeding"),SUM(P1629)*FLOOR(SUM(R1629),0.0001),AND(P1629&lt;&gt;"",R1629&lt;&gt;"",RIGHT($N1629,6)="tarief"),P1629*FLOOR(R1629,0.01),T1629&gt;0,FLOOR(SUM(T1629),0.01)),""),""),"")</f>
        <v/>
      </c>
      <c r="W1629" s="317" t="str" cm="1">
        <f t="array" aca="1" ref="W1629" ca="1">IFERROR(_xlfn.IFS(OR(F1629="",LEFT(Methode_Keuze,4)="Geen",Methode_Keuze=""),"",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17" t="str" cm="1">
        <f t="array" aca="1" ref="X1629" ca="1">IFERROR(_xlfn.IFS(OR(F1629="",LEFT(Methode_Keuze,4)="Geen",Methode_Keuze=""),"",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26"/>
      <c r="Z1629" s="319"/>
      <c r="AA1629" s="32" t="str" cm="1">
        <f t="array" ref="AA1629">IFERROR(IF(INDEX(SubsidieTabel!$AD$1:$AG$12,MATCH($F1629,SubsidieTabel!$AD$1:$AD$12,0),IFERROR(MATCH(Methode_Keuze,SubsidieTabel!$AD$1:$AG$1,0),2))&lt;&gt;1=TRUE,"ja",""),"")</f>
        <v/>
      </c>
    </row>
    <row r="1630" spans="1:27" x14ac:dyDescent="0.25">
      <c r="A1630" s="320"/>
      <c r="B1630" s="321" t="str">
        <f>IF(A1630&lt;&gt;"",_xlfn.MAXIFS($B$1:B1629,$A$1:A1629,A1630)+1,"")</f>
        <v/>
      </c>
      <c r="C1630" s="299"/>
      <c r="D1630" s="299"/>
      <c r="E1630" s="299"/>
      <c r="F1630" s="299"/>
      <c r="G1630" s="330"/>
      <c r="H1630" s="328"/>
      <c r="I1630" s="329"/>
      <c r="J1630" s="329"/>
      <c r="K1630" s="322"/>
      <c r="L1630" s="322"/>
      <c r="M1630" s="323" t="str">
        <f>IFERROR(VLOOKUP(H1630,Lijsten!$H$1:$I$100,2,0),"")</f>
        <v/>
      </c>
      <c r="N1630" s="323" t="str">
        <f ca="1">IFERROR(IF(VLOOKUP(F1630,Kostentypen!$A$3:$E$21,3,0)=0,"",IF(OR(F1630="Arbeidskosten",F1630="Vergoeding"),VLOOKUP(G1630,Tb_KostenTypen[],2,0),VLOOKUP(F1630,Kostentypen!$A$3:$E$20,3,0))),"")</f>
        <v/>
      </c>
      <c r="O1630" s="324"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4"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3"/>
      <c r="R1630" s="363"/>
      <c r="S1630" s="325"/>
      <c r="T1630" s="325"/>
      <c r="U1630" s="317" t="str" cm="1">
        <f t="array" aca="1" ref="U1630" ca="1">IFERROR(IF(AA1630&lt;&gt;"ja",_xlfn.IFNA(_xlfn.IFS(AND(O1630&lt;&gt;"",F1630&lt;&gt;"",RIGHT($N1630,6)="tarief",F1630="Vergoeding"),SUM(O1630)*FLOOR(SUM(Q1630),0.0001),AND(O1630&lt;&gt;"",F1630&lt;&gt;"",RIGHT($N1630,6)="tarief"),SUM(O1630)*FLOOR(SUM(Q1630),0.01),S1630&gt;0,IF(F1630&lt;&gt;"",FLOOR(SUM(S1630),0.01),"")),""),""),"")</f>
        <v/>
      </c>
      <c r="V1630" s="317" t="str" cm="1">
        <f t="array" aca="1" ref="V1630" ca="1">IFERROR(IF(AA1630&lt;&gt;"ja",_xlfn.IFNA(_xlfn.IFS(AND(P1630&lt;&gt;"",R1630&lt;&gt;"",RIGHT($N1630,6)="tarief",F1630="Vergoeding"),SUM(P1630)*FLOOR(SUM(R1630),0.0001),AND(P1630&lt;&gt;"",R1630&lt;&gt;"",RIGHT($N1630,6)="tarief"),P1630*FLOOR(R1630,0.01),T1630&gt;0,FLOOR(SUM(T1630),0.01)),""),""),"")</f>
        <v/>
      </c>
      <c r="W1630" s="317" t="str" cm="1">
        <f t="array" aca="1" ref="W1630" ca="1">IFERROR(_xlfn.IFS(OR(F1630="",LEFT(Methode_Keuze,4)="Geen",Methode_Keuze=""),"",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17" t="str" cm="1">
        <f t="array" aca="1" ref="X1630" ca="1">IFERROR(_xlfn.IFS(OR(F1630="",LEFT(Methode_Keuze,4)="Geen",Methode_Keuze=""),"",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26"/>
      <c r="Z1630" s="319"/>
      <c r="AA1630" s="32" t="str" cm="1">
        <f t="array" ref="AA1630">IFERROR(IF(INDEX(SubsidieTabel!$AD$1:$AG$12,MATCH($F1630,SubsidieTabel!$AD$1:$AD$12,0),IFERROR(MATCH(Methode_Keuze,SubsidieTabel!$AD$1:$AG$1,0),2))&lt;&gt;1=TRUE,"ja",""),"")</f>
        <v/>
      </c>
    </row>
    <row r="1631" spans="1:27" x14ac:dyDescent="0.25">
      <c r="A1631" s="320"/>
      <c r="B1631" s="321" t="str">
        <f>IF(A1631&lt;&gt;"",_xlfn.MAXIFS($B$1:B1630,$A$1:A1630,A1631)+1,"")</f>
        <v/>
      </c>
      <c r="C1631" s="299"/>
      <c r="D1631" s="299"/>
      <c r="E1631" s="299"/>
      <c r="F1631" s="299"/>
      <c r="G1631" s="330"/>
      <c r="H1631" s="328"/>
      <c r="I1631" s="329"/>
      <c r="J1631" s="329"/>
      <c r="K1631" s="322"/>
      <c r="L1631" s="322"/>
      <c r="M1631" s="323" t="str">
        <f>IFERROR(VLOOKUP(H1631,Lijsten!$H$1:$I$100,2,0),"")</f>
        <v/>
      </c>
      <c r="N1631" s="323" t="str">
        <f ca="1">IFERROR(IF(VLOOKUP(F1631,Kostentypen!$A$3:$E$21,3,0)=0,"",IF(OR(F1631="Arbeidskosten",F1631="Vergoeding"),VLOOKUP(G1631,Tb_KostenTypen[],2,0),VLOOKUP(F1631,Kostentypen!$A$3:$E$20,3,0))),"")</f>
        <v/>
      </c>
      <c r="O1631" s="324"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4"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3"/>
      <c r="R1631" s="363"/>
      <c r="S1631" s="325"/>
      <c r="T1631" s="325"/>
      <c r="U1631" s="317" t="str" cm="1">
        <f t="array" aca="1" ref="U1631" ca="1">IFERROR(IF(AA1631&lt;&gt;"ja",_xlfn.IFNA(_xlfn.IFS(AND(O1631&lt;&gt;"",F1631&lt;&gt;"",RIGHT($N1631,6)="tarief",F1631="Vergoeding"),SUM(O1631)*FLOOR(SUM(Q1631),0.0001),AND(O1631&lt;&gt;"",F1631&lt;&gt;"",RIGHT($N1631,6)="tarief"),SUM(O1631)*FLOOR(SUM(Q1631),0.01),S1631&gt;0,IF(F1631&lt;&gt;"",FLOOR(SUM(S1631),0.01),"")),""),""),"")</f>
        <v/>
      </c>
      <c r="V1631" s="317" t="str" cm="1">
        <f t="array" aca="1" ref="V1631" ca="1">IFERROR(IF(AA1631&lt;&gt;"ja",_xlfn.IFNA(_xlfn.IFS(AND(P1631&lt;&gt;"",R1631&lt;&gt;"",RIGHT($N1631,6)="tarief",F1631="Vergoeding"),SUM(P1631)*FLOOR(SUM(R1631),0.0001),AND(P1631&lt;&gt;"",R1631&lt;&gt;"",RIGHT($N1631,6)="tarief"),P1631*FLOOR(R1631,0.01),T1631&gt;0,FLOOR(SUM(T1631),0.01)),""),""),"")</f>
        <v/>
      </c>
      <c r="W1631" s="317" t="str" cm="1">
        <f t="array" aca="1" ref="W1631" ca="1">IFERROR(_xlfn.IFS(OR(F1631="",LEFT(Methode_Keuze,4)="Geen",Methode_Keuze=""),"",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17" t="str" cm="1">
        <f t="array" aca="1" ref="X1631" ca="1">IFERROR(_xlfn.IFS(OR(F1631="",LEFT(Methode_Keuze,4)="Geen",Methode_Keuze=""),"",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26"/>
      <c r="Z1631" s="319"/>
      <c r="AA1631" s="32" t="str" cm="1">
        <f t="array" ref="AA1631">IFERROR(IF(INDEX(SubsidieTabel!$AD$1:$AG$12,MATCH($F1631,SubsidieTabel!$AD$1:$AD$12,0),IFERROR(MATCH(Methode_Keuze,SubsidieTabel!$AD$1:$AG$1,0),2))&lt;&gt;1=TRUE,"ja",""),"")</f>
        <v/>
      </c>
    </row>
    <row r="1632" spans="1:27" x14ac:dyDescent="0.25">
      <c r="A1632" s="320"/>
      <c r="B1632" s="321" t="str">
        <f>IF(A1632&lt;&gt;"",_xlfn.MAXIFS($B$1:B1631,$A$1:A1631,A1632)+1,"")</f>
        <v/>
      </c>
      <c r="C1632" s="299"/>
      <c r="D1632" s="299"/>
      <c r="E1632" s="299"/>
      <c r="F1632" s="299"/>
      <c r="G1632" s="330"/>
      <c r="H1632" s="328"/>
      <c r="I1632" s="329"/>
      <c r="J1632" s="329"/>
      <c r="K1632" s="322"/>
      <c r="L1632" s="322"/>
      <c r="M1632" s="323" t="str">
        <f>IFERROR(VLOOKUP(H1632,Lijsten!$H$1:$I$100,2,0),"")</f>
        <v/>
      </c>
      <c r="N1632" s="323" t="str">
        <f ca="1">IFERROR(IF(VLOOKUP(F1632,Kostentypen!$A$3:$E$21,3,0)=0,"",IF(OR(F1632="Arbeidskosten",F1632="Vergoeding"),VLOOKUP(G1632,Tb_KostenTypen[],2,0),VLOOKUP(F1632,Kostentypen!$A$3:$E$20,3,0))),"")</f>
        <v/>
      </c>
      <c r="O1632" s="324"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4"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3"/>
      <c r="R1632" s="363"/>
      <c r="S1632" s="325"/>
      <c r="T1632" s="325"/>
      <c r="U1632" s="317" t="str" cm="1">
        <f t="array" aca="1" ref="U1632" ca="1">IFERROR(IF(AA1632&lt;&gt;"ja",_xlfn.IFNA(_xlfn.IFS(AND(O1632&lt;&gt;"",F1632&lt;&gt;"",RIGHT($N1632,6)="tarief",F1632="Vergoeding"),SUM(O1632)*FLOOR(SUM(Q1632),0.0001),AND(O1632&lt;&gt;"",F1632&lt;&gt;"",RIGHT($N1632,6)="tarief"),SUM(O1632)*FLOOR(SUM(Q1632),0.01),S1632&gt;0,IF(F1632&lt;&gt;"",FLOOR(SUM(S1632),0.01),"")),""),""),"")</f>
        <v/>
      </c>
      <c r="V1632" s="317" t="str" cm="1">
        <f t="array" aca="1" ref="V1632" ca="1">IFERROR(IF(AA1632&lt;&gt;"ja",_xlfn.IFNA(_xlfn.IFS(AND(P1632&lt;&gt;"",R1632&lt;&gt;"",RIGHT($N1632,6)="tarief",F1632="Vergoeding"),SUM(P1632)*FLOOR(SUM(R1632),0.0001),AND(P1632&lt;&gt;"",R1632&lt;&gt;"",RIGHT($N1632,6)="tarief"),P1632*FLOOR(R1632,0.01),T1632&gt;0,FLOOR(SUM(T1632),0.01)),""),""),"")</f>
        <v/>
      </c>
      <c r="W1632" s="317" t="str" cm="1">
        <f t="array" aca="1" ref="W1632" ca="1">IFERROR(_xlfn.IFS(OR(F1632="",LEFT(Methode_Keuze,4)="Geen",Methode_Keuze=""),"",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17" t="str" cm="1">
        <f t="array" aca="1" ref="X1632" ca="1">IFERROR(_xlfn.IFS(OR(F1632="",LEFT(Methode_Keuze,4)="Geen",Methode_Keuze=""),"",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26"/>
      <c r="Z1632" s="319"/>
      <c r="AA1632" s="32" t="str" cm="1">
        <f t="array" ref="AA1632">IFERROR(IF(INDEX(SubsidieTabel!$AD$1:$AG$12,MATCH($F1632,SubsidieTabel!$AD$1:$AD$12,0),IFERROR(MATCH(Methode_Keuze,SubsidieTabel!$AD$1:$AG$1,0),2))&lt;&gt;1=TRUE,"ja",""),"")</f>
        <v/>
      </c>
    </row>
    <row r="1633" spans="1:27" x14ac:dyDescent="0.25">
      <c r="A1633" s="320"/>
      <c r="B1633" s="321" t="str">
        <f>IF(A1633&lt;&gt;"",_xlfn.MAXIFS($B$1:B1632,$A$1:A1632,A1633)+1,"")</f>
        <v/>
      </c>
      <c r="C1633" s="299"/>
      <c r="D1633" s="299"/>
      <c r="E1633" s="299"/>
      <c r="F1633" s="299"/>
      <c r="G1633" s="330"/>
      <c r="H1633" s="328"/>
      <c r="I1633" s="329"/>
      <c r="J1633" s="329"/>
      <c r="K1633" s="322"/>
      <c r="L1633" s="322"/>
      <c r="M1633" s="323" t="str">
        <f>IFERROR(VLOOKUP(H1633,Lijsten!$H$1:$I$100,2,0),"")</f>
        <v/>
      </c>
      <c r="N1633" s="323" t="str">
        <f ca="1">IFERROR(IF(VLOOKUP(F1633,Kostentypen!$A$3:$E$21,3,0)=0,"",IF(OR(F1633="Arbeidskosten",F1633="Vergoeding"),VLOOKUP(G1633,Tb_KostenTypen[],2,0),VLOOKUP(F1633,Kostentypen!$A$3:$E$20,3,0))),"")</f>
        <v/>
      </c>
      <c r="O1633" s="324"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4"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3"/>
      <c r="R1633" s="363"/>
      <c r="S1633" s="325"/>
      <c r="T1633" s="325"/>
      <c r="U1633" s="317" t="str" cm="1">
        <f t="array" aca="1" ref="U1633" ca="1">IFERROR(IF(AA1633&lt;&gt;"ja",_xlfn.IFNA(_xlfn.IFS(AND(O1633&lt;&gt;"",F1633&lt;&gt;"",RIGHT($N1633,6)="tarief",F1633="Vergoeding"),SUM(O1633)*FLOOR(SUM(Q1633),0.0001),AND(O1633&lt;&gt;"",F1633&lt;&gt;"",RIGHT($N1633,6)="tarief"),SUM(O1633)*FLOOR(SUM(Q1633),0.01),S1633&gt;0,IF(F1633&lt;&gt;"",FLOOR(SUM(S1633),0.01),"")),""),""),"")</f>
        <v/>
      </c>
      <c r="V1633" s="317" t="str" cm="1">
        <f t="array" aca="1" ref="V1633" ca="1">IFERROR(IF(AA1633&lt;&gt;"ja",_xlfn.IFNA(_xlfn.IFS(AND(P1633&lt;&gt;"",R1633&lt;&gt;"",RIGHT($N1633,6)="tarief",F1633="Vergoeding"),SUM(P1633)*FLOOR(SUM(R1633),0.0001),AND(P1633&lt;&gt;"",R1633&lt;&gt;"",RIGHT($N1633,6)="tarief"),P1633*FLOOR(R1633,0.01),T1633&gt;0,FLOOR(SUM(T1633),0.01)),""),""),"")</f>
        <v/>
      </c>
      <c r="W1633" s="317" t="str" cm="1">
        <f t="array" aca="1" ref="W1633" ca="1">IFERROR(_xlfn.IFS(OR(F1633="",LEFT(Methode_Keuze,4)="Geen",Methode_Keuze=""),"",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17" t="str" cm="1">
        <f t="array" aca="1" ref="X1633" ca="1">IFERROR(_xlfn.IFS(OR(F1633="",LEFT(Methode_Keuze,4)="Geen",Methode_Keuze=""),"",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26"/>
      <c r="Z1633" s="319"/>
      <c r="AA1633" s="32" t="str" cm="1">
        <f t="array" ref="AA1633">IFERROR(IF(INDEX(SubsidieTabel!$AD$1:$AG$12,MATCH($F1633,SubsidieTabel!$AD$1:$AD$12,0),IFERROR(MATCH(Methode_Keuze,SubsidieTabel!$AD$1:$AG$1,0),2))&lt;&gt;1=TRUE,"ja",""),"")</f>
        <v/>
      </c>
    </row>
    <row r="1634" spans="1:27" x14ac:dyDescent="0.25">
      <c r="A1634" s="320"/>
      <c r="B1634" s="321" t="str">
        <f>IF(A1634&lt;&gt;"",_xlfn.MAXIFS($B$1:B1633,$A$1:A1633,A1634)+1,"")</f>
        <v/>
      </c>
      <c r="C1634" s="299"/>
      <c r="D1634" s="299"/>
      <c r="E1634" s="299"/>
      <c r="F1634" s="299"/>
      <c r="G1634" s="330"/>
      <c r="H1634" s="328"/>
      <c r="I1634" s="329"/>
      <c r="J1634" s="329"/>
      <c r="K1634" s="322"/>
      <c r="L1634" s="322"/>
      <c r="M1634" s="323" t="str">
        <f>IFERROR(VLOOKUP(H1634,Lijsten!$H$1:$I$100,2,0),"")</f>
        <v/>
      </c>
      <c r="N1634" s="323" t="str">
        <f ca="1">IFERROR(IF(VLOOKUP(F1634,Kostentypen!$A$3:$E$21,3,0)=0,"",IF(OR(F1634="Arbeidskosten",F1634="Vergoeding"),VLOOKUP(G1634,Tb_KostenTypen[],2,0),VLOOKUP(F1634,Kostentypen!$A$3:$E$20,3,0))),"")</f>
        <v/>
      </c>
      <c r="O1634" s="324"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4"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3"/>
      <c r="R1634" s="363"/>
      <c r="S1634" s="325"/>
      <c r="T1634" s="325"/>
      <c r="U1634" s="317" t="str" cm="1">
        <f t="array" aca="1" ref="U1634" ca="1">IFERROR(IF(AA1634&lt;&gt;"ja",_xlfn.IFNA(_xlfn.IFS(AND(O1634&lt;&gt;"",F1634&lt;&gt;"",RIGHT($N1634,6)="tarief",F1634="Vergoeding"),SUM(O1634)*FLOOR(SUM(Q1634),0.0001),AND(O1634&lt;&gt;"",F1634&lt;&gt;"",RIGHT($N1634,6)="tarief"),SUM(O1634)*FLOOR(SUM(Q1634),0.01),S1634&gt;0,IF(F1634&lt;&gt;"",FLOOR(SUM(S1634),0.01),"")),""),""),"")</f>
        <v/>
      </c>
      <c r="V1634" s="317" t="str" cm="1">
        <f t="array" aca="1" ref="V1634" ca="1">IFERROR(IF(AA1634&lt;&gt;"ja",_xlfn.IFNA(_xlfn.IFS(AND(P1634&lt;&gt;"",R1634&lt;&gt;"",RIGHT($N1634,6)="tarief",F1634="Vergoeding"),SUM(P1634)*FLOOR(SUM(R1634),0.0001),AND(P1634&lt;&gt;"",R1634&lt;&gt;"",RIGHT($N1634,6)="tarief"),P1634*FLOOR(R1634,0.01),T1634&gt;0,FLOOR(SUM(T1634),0.01)),""),""),"")</f>
        <v/>
      </c>
      <c r="W1634" s="317" t="str" cm="1">
        <f t="array" aca="1" ref="W1634" ca="1">IFERROR(_xlfn.IFS(OR(F1634="",LEFT(Methode_Keuze,4)="Geen",Methode_Keuze=""),"",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17" t="str" cm="1">
        <f t="array" aca="1" ref="X1634" ca="1">IFERROR(_xlfn.IFS(OR(F1634="",LEFT(Methode_Keuze,4)="Geen",Methode_Keuze=""),"",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26"/>
      <c r="Z1634" s="319"/>
      <c r="AA1634" s="32" t="str" cm="1">
        <f t="array" ref="AA1634">IFERROR(IF(INDEX(SubsidieTabel!$AD$1:$AG$12,MATCH($F1634,SubsidieTabel!$AD$1:$AD$12,0),IFERROR(MATCH(Methode_Keuze,SubsidieTabel!$AD$1:$AG$1,0),2))&lt;&gt;1=TRUE,"ja",""),"")</f>
        <v/>
      </c>
    </row>
    <row r="1635" spans="1:27" x14ac:dyDescent="0.25">
      <c r="A1635" s="320"/>
      <c r="B1635" s="321" t="str">
        <f>IF(A1635&lt;&gt;"",_xlfn.MAXIFS($B$1:B1634,$A$1:A1634,A1635)+1,"")</f>
        <v/>
      </c>
      <c r="C1635" s="299"/>
      <c r="D1635" s="299"/>
      <c r="E1635" s="299"/>
      <c r="F1635" s="299"/>
      <c r="G1635" s="330"/>
      <c r="H1635" s="328"/>
      <c r="I1635" s="329"/>
      <c r="J1635" s="329"/>
      <c r="K1635" s="322"/>
      <c r="L1635" s="322"/>
      <c r="M1635" s="323" t="str">
        <f>IFERROR(VLOOKUP(H1635,Lijsten!$H$1:$I$100,2,0),"")</f>
        <v/>
      </c>
      <c r="N1635" s="323" t="str">
        <f ca="1">IFERROR(IF(VLOOKUP(F1635,Kostentypen!$A$3:$E$21,3,0)=0,"",IF(OR(F1635="Arbeidskosten",F1635="Vergoeding"),VLOOKUP(G1635,Tb_KostenTypen[],2,0),VLOOKUP(F1635,Kostentypen!$A$3:$E$20,3,0))),"")</f>
        <v/>
      </c>
      <c r="O1635" s="324"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4"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3"/>
      <c r="R1635" s="363"/>
      <c r="S1635" s="325"/>
      <c r="T1635" s="325"/>
      <c r="U1635" s="317" t="str" cm="1">
        <f t="array" aca="1" ref="U1635" ca="1">IFERROR(IF(AA1635&lt;&gt;"ja",_xlfn.IFNA(_xlfn.IFS(AND(O1635&lt;&gt;"",F1635&lt;&gt;"",RIGHT($N1635,6)="tarief",F1635="Vergoeding"),SUM(O1635)*FLOOR(SUM(Q1635),0.0001),AND(O1635&lt;&gt;"",F1635&lt;&gt;"",RIGHT($N1635,6)="tarief"),SUM(O1635)*FLOOR(SUM(Q1635),0.01),S1635&gt;0,IF(F1635&lt;&gt;"",FLOOR(SUM(S1635),0.01),"")),""),""),"")</f>
        <v/>
      </c>
      <c r="V1635" s="317" t="str" cm="1">
        <f t="array" aca="1" ref="V1635" ca="1">IFERROR(IF(AA1635&lt;&gt;"ja",_xlfn.IFNA(_xlfn.IFS(AND(P1635&lt;&gt;"",R1635&lt;&gt;"",RIGHT($N1635,6)="tarief",F1635="Vergoeding"),SUM(P1635)*FLOOR(SUM(R1635),0.0001),AND(P1635&lt;&gt;"",R1635&lt;&gt;"",RIGHT($N1635,6)="tarief"),P1635*FLOOR(R1635,0.01),T1635&gt;0,FLOOR(SUM(T1635),0.01)),""),""),"")</f>
        <v/>
      </c>
      <c r="W1635" s="317" t="str" cm="1">
        <f t="array" aca="1" ref="W1635" ca="1">IFERROR(_xlfn.IFS(OR(F1635="",LEFT(Methode_Keuze,4)="Geen",Methode_Keuze=""),"",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17" t="str" cm="1">
        <f t="array" aca="1" ref="X1635" ca="1">IFERROR(_xlfn.IFS(OR(F1635="",LEFT(Methode_Keuze,4)="Geen",Methode_Keuze=""),"",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26"/>
      <c r="Z1635" s="319"/>
      <c r="AA1635" s="32" t="str" cm="1">
        <f t="array" ref="AA1635">IFERROR(IF(INDEX(SubsidieTabel!$AD$1:$AG$12,MATCH($F1635,SubsidieTabel!$AD$1:$AD$12,0),IFERROR(MATCH(Methode_Keuze,SubsidieTabel!$AD$1:$AG$1,0),2))&lt;&gt;1=TRUE,"ja",""),"")</f>
        <v/>
      </c>
    </row>
    <row r="1636" spans="1:27" x14ac:dyDescent="0.25">
      <c r="A1636" s="320"/>
      <c r="B1636" s="321" t="str">
        <f>IF(A1636&lt;&gt;"",_xlfn.MAXIFS($B$1:B1635,$A$1:A1635,A1636)+1,"")</f>
        <v/>
      </c>
      <c r="C1636" s="299"/>
      <c r="D1636" s="299"/>
      <c r="E1636" s="299"/>
      <c r="F1636" s="299"/>
      <c r="G1636" s="330"/>
      <c r="H1636" s="328"/>
      <c r="I1636" s="329"/>
      <c r="J1636" s="329"/>
      <c r="K1636" s="322"/>
      <c r="L1636" s="322"/>
      <c r="M1636" s="323" t="str">
        <f>IFERROR(VLOOKUP(H1636,Lijsten!$H$1:$I$100,2,0),"")</f>
        <v/>
      </c>
      <c r="N1636" s="323" t="str">
        <f ca="1">IFERROR(IF(VLOOKUP(F1636,Kostentypen!$A$3:$E$21,3,0)=0,"",IF(OR(F1636="Arbeidskosten",F1636="Vergoeding"),VLOOKUP(G1636,Tb_KostenTypen[],2,0),VLOOKUP(F1636,Kostentypen!$A$3:$E$20,3,0))),"")</f>
        <v/>
      </c>
      <c r="O1636" s="324"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4"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3"/>
      <c r="R1636" s="363"/>
      <c r="S1636" s="325"/>
      <c r="T1636" s="325"/>
      <c r="U1636" s="317" t="str" cm="1">
        <f t="array" aca="1" ref="U1636" ca="1">IFERROR(IF(AA1636&lt;&gt;"ja",_xlfn.IFNA(_xlfn.IFS(AND(O1636&lt;&gt;"",F1636&lt;&gt;"",RIGHT($N1636,6)="tarief",F1636="Vergoeding"),SUM(O1636)*FLOOR(SUM(Q1636),0.0001),AND(O1636&lt;&gt;"",F1636&lt;&gt;"",RIGHT($N1636,6)="tarief"),SUM(O1636)*FLOOR(SUM(Q1636),0.01),S1636&gt;0,IF(F1636&lt;&gt;"",FLOOR(SUM(S1636),0.01),"")),""),""),"")</f>
        <v/>
      </c>
      <c r="V1636" s="317" t="str" cm="1">
        <f t="array" aca="1" ref="V1636" ca="1">IFERROR(IF(AA1636&lt;&gt;"ja",_xlfn.IFNA(_xlfn.IFS(AND(P1636&lt;&gt;"",R1636&lt;&gt;"",RIGHT($N1636,6)="tarief",F1636="Vergoeding"),SUM(P1636)*FLOOR(SUM(R1636),0.0001),AND(P1636&lt;&gt;"",R1636&lt;&gt;"",RIGHT($N1636,6)="tarief"),P1636*FLOOR(R1636,0.01),T1636&gt;0,FLOOR(SUM(T1636),0.01)),""),""),"")</f>
        <v/>
      </c>
      <c r="W1636" s="317" t="str" cm="1">
        <f t="array" aca="1" ref="W1636" ca="1">IFERROR(_xlfn.IFS(OR(F1636="",LEFT(Methode_Keuze,4)="Geen",Methode_Keuze=""),"",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17" t="str" cm="1">
        <f t="array" aca="1" ref="X1636" ca="1">IFERROR(_xlfn.IFS(OR(F1636="",LEFT(Methode_Keuze,4)="Geen",Methode_Keuze=""),"",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26"/>
      <c r="Z1636" s="319"/>
      <c r="AA1636" s="32" t="str" cm="1">
        <f t="array" ref="AA1636">IFERROR(IF(INDEX(SubsidieTabel!$AD$1:$AG$12,MATCH($F1636,SubsidieTabel!$AD$1:$AD$12,0),IFERROR(MATCH(Methode_Keuze,SubsidieTabel!$AD$1:$AG$1,0),2))&lt;&gt;1=TRUE,"ja",""),"")</f>
        <v/>
      </c>
    </row>
    <row r="1637" spans="1:27" x14ac:dyDescent="0.25">
      <c r="A1637" s="320"/>
      <c r="B1637" s="321" t="str">
        <f>IF(A1637&lt;&gt;"",_xlfn.MAXIFS($B$1:B1636,$A$1:A1636,A1637)+1,"")</f>
        <v/>
      </c>
      <c r="C1637" s="299"/>
      <c r="D1637" s="299"/>
      <c r="E1637" s="299"/>
      <c r="F1637" s="299"/>
      <c r="G1637" s="330"/>
      <c r="H1637" s="328"/>
      <c r="I1637" s="329"/>
      <c r="J1637" s="329"/>
      <c r="K1637" s="322"/>
      <c r="L1637" s="322"/>
      <c r="M1637" s="323" t="str">
        <f>IFERROR(VLOOKUP(H1637,Lijsten!$H$1:$I$100,2,0),"")</f>
        <v/>
      </c>
      <c r="N1637" s="323" t="str">
        <f ca="1">IFERROR(IF(VLOOKUP(F1637,Kostentypen!$A$3:$E$21,3,0)=0,"",IF(OR(F1637="Arbeidskosten",F1637="Vergoeding"),VLOOKUP(G1637,Tb_KostenTypen[],2,0),VLOOKUP(F1637,Kostentypen!$A$3:$E$20,3,0))),"")</f>
        <v/>
      </c>
      <c r="O1637" s="324"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4"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3"/>
      <c r="R1637" s="363"/>
      <c r="S1637" s="325"/>
      <c r="T1637" s="325"/>
      <c r="U1637" s="317" t="str" cm="1">
        <f t="array" aca="1" ref="U1637" ca="1">IFERROR(IF(AA1637&lt;&gt;"ja",_xlfn.IFNA(_xlfn.IFS(AND(O1637&lt;&gt;"",F1637&lt;&gt;"",RIGHT($N1637,6)="tarief",F1637="Vergoeding"),SUM(O1637)*FLOOR(SUM(Q1637),0.0001),AND(O1637&lt;&gt;"",F1637&lt;&gt;"",RIGHT($N1637,6)="tarief"),SUM(O1637)*FLOOR(SUM(Q1637),0.01),S1637&gt;0,IF(F1637&lt;&gt;"",FLOOR(SUM(S1637),0.01),"")),""),""),"")</f>
        <v/>
      </c>
      <c r="V1637" s="317" t="str" cm="1">
        <f t="array" aca="1" ref="V1637" ca="1">IFERROR(IF(AA1637&lt;&gt;"ja",_xlfn.IFNA(_xlfn.IFS(AND(P1637&lt;&gt;"",R1637&lt;&gt;"",RIGHT($N1637,6)="tarief",F1637="Vergoeding"),SUM(P1637)*FLOOR(SUM(R1637),0.0001),AND(P1637&lt;&gt;"",R1637&lt;&gt;"",RIGHT($N1637,6)="tarief"),P1637*FLOOR(R1637,0.01),T1637&gt;0,FLOOR(SUM(T1637),0.01)),""),""),"")</f>
        <v/>
      </c>
      <c r="W1637" s="317" t="str" cm="1">
        <f t="array" aca="1" ref="W1637" ca="1">IFERROR(_xlfn.IFS(OR(F1637="",LEFT(Methode_Keuze,4)="Geen",Methode_Keuze=""),"",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17" t="str" cm="1">
        <f t="array" aca="1" ref="X1637" ca="1">IFERROR(_xlfn.IFS(OR(F1637="",LEFT(Methode_Keuze,4)="Geen",Methode_Keuze=""),"",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26"/>
      <c r="Z1637" s="319"/>
      <c r="AA1637" s="32" t="str" cm="1">
        <f t="array" ref="AA1637">IFERROR(IF(INDEX(SubsidieTabel!$AD$1:$AG$12,MATCH($F1637,SubsidieTabel!$AD$1:$AD$12,0),IFERROR(MATCH(Methode_Keuze,SubsidieTabel!$AD$1:$AG$1,0),2))&lt;&gt;1=TRUE,"ja",""),"")</f>
        <v/>
      </c>
    </row>
    <row r="1638" spans="1:27" x14ac:dyDescent="0.25">
      <c r="A1638" s="320"/>
      <c r="B1638" s="321" t="str">
        <f>IF(A1638&lt;&gt;"",_xlfn.MAXIFS($B$1:B1637,$A$1:A1637,A1638)+1,"")</f>
        <v/>
      </c>
      <c r="C1638" s="299"/>
      <c r="D1638" s="299"/>
      <c r="E1638" s="299"/>
      <c r="F1638" s="299"/>
      <c r="G1638" s="330"/>
      <c r="H1638" s="328"/>
      <c r="I1638" s="329"/>
      <c r="J1638" s="329"/>
      <c r="K1638" s="322"/>
      <c r="L1638" s="322"/>
      <c r="M1638" s="323" t="str">
        <f>IFERROR(VLOOKUP(H1638,Lijsten!$H$1:$I$100,2,0),"")</f>
        <v/>
      </c>
      <c r="N1638" s="323" t="str">
        <f ca="1">IFERROR(IF(VLOOKUP(F1638,Kostentypen!$A$3:$E$21,3,0)=0,"",IF(OR(F1638="Arbeidskosten",F1638="Vergoeding"),VLOOKUP(G1638,Tb_KostenTypen[],2,0),VLOOKUP(F1638,Kostentypen!$A$3:$E$20,3,0))),"")</f>
        <v/>
      </c>
      <c r="O1638" s="324"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4"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3"/>
      <c r="R1638" s="363"/>
      <c r="S1638" s="325"/>
      <c r="T1638" s="325"/>
      <c r="U1638" s="317" t="str" cm="1">
        <f t="array" aca="1" ref="U1638" ca="1">IFERROR(IF(AA1638&lt;&gt;"ja",_xlfn.IFNA(_xlfn.IFS(AND(O1638&lt;&gt;"",F1638&lt;&gt;"",RIGHT($N1638,6)="tarief",F1638="Vergoeding"),SUM(O1638)*FLOOR(SUM(Q1638),0.0001),AND(O1638&lt;&gt;"",F1638&lt;&gt;"",RIGHT($N1638,6)="tarief"),SUM(O1638)*FLOOR(SUM(Q1638),0.01),S1638&gt;0,IF(F1638&lt;&gt;"",FLOOR(SUM(S1638),0.01),"")),""),""),"")</f>
        <v/>
      </c>
      <c r="V1638" s="317" t="str" cm="1">
        <f t="array" aca="1" ref="V1638" ca="1">IFERROR(IF(AA1638&lt;&gt;"ja",_xlfn.IFNA(_xlfn.IFS(AND(P1638&lt;&gt;"",R1638&lt;&gt;"",RIGHT($N1638,6)="tarief",F1638="Vergoeding"),SUM(P1638)*FLOOR(SUM(R1638),0.0001),AND(P1638&lt;&gt;"",R1638&lt;&gt;"",RIGHT($N1638,6)="tarief"),P1638*FLOOR(R1638,0.01),T1638&gt;0,FLOOR(SUM(T1638),0.01)),""),""),"")</f>
        <v/>
      </c>
      <c r="W1638" s="317" t="str" cm="1">
        <f t="array" aca="1" ref="W1638" ca="1">IFERROR(_xlfn.IFS(OR(F1638="",LEFT(Methode_Keuze,4)="Geen",Methode_Keuze=""),"",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17" t="str" cm="1">
        <f t="array" aca="1" ref="X1638" ca="1">IFERROR(_xlfn.IFS(OR(F1638="",LEFT(Methode_Keuze,4)="Geen",Methode_Keuze=""),"",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26"/>
      <c r="Z1638" s="319"/>
      <c r="AA1638" s="32" t="str" cm="1">
        <f t="array" ref="AA1638">IFERROR(IF(INDEX(SubsidieTabel!$AD$1:$AG$12,MATCH($F1638,SubsidieTabel!$AD$1:$AD$12,0),IFERROR(MATCH(Methode_Keuze,SubsidieTabel!$AD$1:$AG$1,0),2))&lt;&gt;1=TRUE,"ja",""),"")</f>
        <v/>
      </c>
    </row>
    <row r="1639" spans="1:27" x14ac:dyDescent="0.25">
      <c r="A1639" s="320"/>
      <c r="B1639" s="321" t="str">
        <f>IF(A1639&lt;&gt;"",_xlfn.MAXIFS($B$1:B1638,$A$1:A1638,A1639)+1,"")</f>
        <v/>
      </c>
      <c r="C1639" s="299"/>
      <c r="D1639" s="299"/>
      <c r="E1639" s="299"/>
      <c r="F1639" s="299"/>
      <c r="G1639" s="330"/>
      <c r="H1639" s="328"/>
      <c r="I1639" s="329"/>
      <c r="J1639" s="329"/>
      <c r="K1639" s="322"/>
      <c r="L1639" s="322"/>
      <c r="M1639" s="323" t="str">
        <f>IFERROR(VLOOKUP(H1639,Lijsten!$H$1:$I$100,2,0),"")</f>
        <v/>
      </c>
      <c r="N1639" s="323" t="str">
        <f ca="1">IFERROR(IF(VLOOKUP(F1639,Kostentypen!$A$3:$E$21,3,0)=0,"",IF(OR(F1639="Arbeidskosten",F1639="Vergoeding"),VLOOKUP(G1639,Tb_KostenTypen[],2,0),VLOOKUP(F1639,Kostentypen!$A$3:$E$20,3,0))),"")</f>
        <v/>
      </c>
      <c r="O1639" s="324"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4"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3"/>
      <c r="R1639" s="363"/>
      <c r="S1639" s="325"/>
      <c r="T1639" s="325"/>
      <c r="U1639" s="317" t="str" cm="1">
        <f t="array" aca="1" ref="U1639" ca="1">IFERROR(IF(AA1639&lt;&gt;"ja",_xlfn.IFNA(_xlfn.IFS(AND(O1639&lt;&gt;"",F1639&lt;&gt;"",RIGHT($N1639,6)="tarief",F1639="Vergoeding"),SUM(O1639)*FLOOR(SUM(Q1639),0.0001),AND(O1639&lt;&gt;"",F1639&lt;&gt;"",RIGHT($N1639,6)="tarief"),SUM(O1639)*FLOOR(SUM(Q1639),0.01),S1639&gt;0,IF(F1639&lt;&gt;"",FLOOR(SUM(S1639),0.01),"")),""),""),"")</f>
        <v/>
      </c>
      <c r="V1639" s="317" t="str" cm="1">
        <f t="array" aca="1" ref="V1639" ca="1">IFERROR(IF(AA1639&lt;&gt;"ja",_xlfn.IFNA(_xlfn.IFS(AND(P1639&lt;&gt;"",R1639&lt;&gt;"",RIGHT($N1639,6)="tarief",F1639="Vergoeding"),SUM(P1639)*FLOOR(SUM(R1639),0.0001),AND(P1639&lt;&gt;"",R1639&lt;&gt;"",RIGHT($N1639,6)="tarief"),P1639*FLOOR(R1639,0.01),T1639&gt;0,FLOOR(SUM(T1639),0.01)),""),""),"")</f>
        <v/>
      </c>
      <c r="W1639" s="317" t="str" cm="1">
        <f t="array" aca="1" ref="W1639" ca="1">IFERROR(_xlfn.IFS(OR(F1639="",LEFT(Methode_Keuze,4)="Geen",Methode_Keuze=""),"",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17" t="str" cm="1">
        <f t="array" aca="1" ref="X1639" ca="1">IFERROR(_xlfn.IFS(OR(F1639="",LEFT(Methode_Keuze,4)="Geen",Methode_Keuze=""),"",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26"/>
      <c r="Z1639" s="319"/>
      <c r="AA1639" s="32" t="str" cm="1">
        <f t="array" ref="AA1639">IFERROR(IF(INDEX(SubsidieTabel!$AD$1:$AG$12,MATCH($F1639,SubsidieTabel!$AD$1:$AD$12,0),IFERROR(MATCH(Methode_Keuze,SubsidieTabel!$AD$1:$AG$1,0),2))&lt;&gt;1=TRUE,"ja",""),"")</f>
        <v/>
      </c>
    </row>
    <row r="1640" spans="1:27" x14ac:dyDescent="0.25">
      <c r="A1640" s="320"/>
      <c r="B1640" s="321" t="str">
        <f>IF(A1640&lt;&gt;"",_xlfn.MAXIFS($B$1:B1639,$A$1:A1639,A1640)+1,"")</f>
        <v/>
      </c>
      <c r="C1640" s="299"/>
      <c r="D1640" s="299"/>
      <c r="E1640" s="299"/>
      <c r="F1640" s="299"/>
      <c r="G1640" s="330"/>
      <c r="H1640" s="328"/>
      <c r="I1640" s="329"/>
      <c r="J1640" s="329"/>
      <c r="K1640" s="322"/>
      <c r="L1640" s="322"/>
      <c r="M1640" s="323" t="str">
        <f>IFERROR(VLOOKUP(H1640,Lijsten!$H$1:$I$100,2,0),"")</f>
        <v/>
      </c>
      <c r="N1640" s="323" t="str">
        <f ca="1">IFERROR(IF(VLOOKUP(F1640,Kostentypen!$A$3:$E$21,3,0)=0,"",IF(OR(F1640="Arbeidskosten",F1640="Vergoeding"),VLOOKUP(G1640,Tb_KostenTypen[],2,0),VLOOKUP(F1640,Kostentypen!$A$3:$E$20,3,0))),"")</f>
        <v/>
      </c>
      <c r="O1640" s="324"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4"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3"/>
      <c r="R1640" s="363"/>
      <c r="S1640" s="325"/>
      <c r="T1640" s="325"/>
      <c r="U1640" s="317" t="str" cm="1">
        <f t="array" aca="1" ref="U1640" ca="1">IFERROR(IF(AA1640&lt;&gt;"ja",_xlfn.IFNA(_xlfn.IFS(AND(O1640&lt;&gt;"",F1640&lt;&gt;"",RIGHT($N1640,6)="tarief",F1640="Vergoeding"),SUM(O1640)*FLOOR(SUM(Q1640),0.0001),AND(O1640&lt;&gt;"",F1640&lt;&gt;"",RIGHT($N1640,6)="tarief"),SUM(O1640)*FLOOR(SUM(Q1640),0.01),S1640&gt;0,IF(F1640&lt;&gt;"",FLOOR(SUM(S1640),0.01),"")),""),""),"")</f>
        <v/>
      </c>
      <c r="V1640" s="317" t="str" cm="1">
        <f t="array" aca="1" ref="V1640" ca="1">IFERROR(IF(AA1640&lt;&gt;"ja",_xlfn.IFNA(_xlfn.IFS(AND(P1640&lt;&gt;"",R1640&lt;&gt;"",RIGHT($N1640,6)="tarief",F1640="Vergoeding"),SUM(P1640)*FLOOR(SUM(R1640),0.0001),AND(P1640&lt;&gt;"",R1640&lt;&gt;"",RIGHT($N1640,6)="tarief"),P1640*FLOOR(R1640,0.01),T1640&gt;0,FLOOR(SUM(T1640),0.01)),""),""),"")</f>
        <v/>
      </c>
      <c r="W1640" s="317" t="str" cm="1">
        <f t="array" aca="1" ref="W1640" ca="1">IFERROR(_xlfn.IFS(OR(F1640="",LEFT(Methode_Keuze,4)="Geen",Methode_Keuze=""),"",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17" t="str" cm="1">
        <f t="array" aca="1" ref="X1640" ca="1">IFERROR(_xlfn.IFS(OR(F1640="",LEFT(Methode_Keuze,4)="Geen",Methode_Keuze=""),"",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26"/>
      <c r="Z1640" s="319"/>
      <c r="AA1640" s="32" t="str" cm="1">
        <f t="array" ref="AA1640">IFERROR(IF(INDEX(SubsidieTabel!$AD$1:$AG$12,MATCH($F1640,SubsidieTabel!$AD$1:$AD$12,0),IFERROR(MATCH(Methode_Keuze,SubsidieTabel!$AD$1:$AG$1,0),2))&lt;&gt;1=TRUE,"ja",""),"")</f>
        <v/>
      </c>
    </row>
    <row r="1641" spans="1:27" x14ac:dyDescent="0.25">
      <c r="A1641" s="320"/>
      <c r="B1641" s="321" t="str">
        <f>IF(A1641&lt;&gt;"",_xlfn.MAXIFS($B$1:B1640,$A$1:A1640,A1641)+1,"")</f>
        <v/>
      </c>
      <c r="C1641" s="299"/>
      <c r="D1641" s="299"/>
      <c r="E1641" s="299"/>
      <c r="F1641" s="299"/>
      <c r="G1641" s="330"/>
      <c r="H1641" s="328"/>
      <c r="I1641" s="329"/>
      <c r="J1641" s="329"/>
      <c r="K1641" s="322"/>
      <c r="L1641" s="322"/>
      <c r="M1641" s="323" t="str">
        <f>IFERROR(VLOOKUP(H1641,Lijsten!$H$1:$I$100,2,0),"")</f>
        <v/>
      </c>
      <c r="N1641" s="323" t="str">
        <f ca="1">IFERROR(IF(VLOOKUP(F1641,Kostentypen!$A$3:$E$21,3,0)=0,"",IF(OR(F1641="Arbeidskosten",F1641="Vergoeding"),VLOOKUP(G1641,Tb_KostenTypen[],2,0),VLOOKUP(F1641,Kostentypen!$A$3:$E$20,3,0))),"")</f>
        <v/>
      </c>
      <c r="O1641" s="324"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4"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3"/>
      <c r="R1641" s="363"/>
      <c r="S1641" s="325"/>
      <c r="T1641" s="325"/>
      <c r="U1641" s="317" t="str" cm="1">
        <f t="array" aca="1" ref="U1641" ca="1">IFERROR(IF(AA1641&lt;&gt;"ja",_xlfn.IFNA(_xlfn.IFS(AND(O1641&lt;&gt;"",F1641&lt;&gt;"",RIGHT($N1641,6)="tarief",F1641="Vergoeding"),SUM(O1641)*FLOOR(SUM(Q1641),0.0001),AND(O1641&lt;&gt;"",F1641&lt;&gt;"",RIGHT($N1641,6)="tarief"),SUM(O1641)*FLOOR(SUM(Q1641),0.01),S1641&gt;0,IF(F1641&lt;&gt;"",FLOOR(SUM(S1641),0.01),"")),""),""),"")</f>
        <v/>
      </c>
      <c r="V1641" s="317" t="str" cm="1">
        <f t="array" aca="1" ref="V1641" ca="1">IFERROR(IF(AA1641&lt;&gt;"ja",_xlfn.IFNA(_xlfn.IFS(AND(P1641&lt;&gt;"",R1641&lt;&gt;"",RIGHT($N1641,6)="tarief",F1641="Vergoeding"),SUM(P1641)*FLOOR(SUM(R1641),0.0001),AND(P1641&lt;&gt;"",R1641&lt;&gt;"",RIGHT($N1641,6)="tarief"),P1641*FLOOR(R1641,0.01),T1641&gt;0,FLOOR(SUM(T1641),0.01)),""),""),"")</f>
        <v/>
      </c>
      <c r="W1641" s="317" t="str" cm="1">
        <f t="array" aca="1" ref="W1641" ca="1">IFERROR(_xlfn.IFS(OR(F1641="",LEFT(Methode_Keuze,4)="Geen",Methode_Keuze=""),"",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17" t="str" cm="1">
        <f t="array" aca="1" ref="X1641" ca="1">IFERROR(_xlfn.IFS(OR(F1641="",LEFT(Methode_Keuze,4)="Geen",Methode_Keuze=""),"",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26"/>
      <c r="Z1641" s="319"/>
      <c r="AA1641" s="32" t="str" cm="1">
        <f t="array" ref="AA1641">IFERROR(IF(INDEX(SubsidieTabel!$AD$1:$AG$12,MATCH($F1641,SubsidieTabel!$AD$1:$AD$12,0),IFERROR(MATCH(Methode_Keuze,SubsidieTabel!$AD$1:$AG$1,0),2))&lt;&gt;1=TRUE,"ja",""),"")</f>
        <v/>
      </c>
    </row>
    <row r="1642" spans="1:27" x14ac:dyDescent="0.25">
      <c r="A1642" s="320"/>
      <c r="B1642" s="321" t="str">
        <f>IF(A1642&lt;&gt;"",_xlfn.MAXIFS($B$1:B1641,$A$1:A1641,A1642)+1,"")</f>
        <v/>
      </c>
      <c r="C1642" s="299"/>
      <c r="D1642" s="299"/>
      <c r="E1642" s="299"/>
      <c r="F1642" s="299"/>
      <c r="G1642" s="330"/>
      <c r="H1642" s="328"/>
      <c r="I1642" s="329"/>
      <c r="J1642" s="329"/>
      <c r="K1642" s="322"/>
      <c r="L1642" s="322"/>
      <c r="M1642" s="323" t="str">
        <f>IFERROR(VLOOKUP(H1642,Lijsten!$H$1:$I$100,2,0),"")</f>
        <v/>
      </c>
      <c r="N1642" s="323" t="str">
        <f ca="1">IFERROR(IF(VLOOKUP(F1642,Kostentypen!$A$3:$E$21,3,0)=0,"",IF(OR(F1642="Arbeidskosten",F1642="Vergoeding"),VLOOKUP(G1642,Tb_KostenTypen[],2,0),VLOOKUP(F1642,Kostentypen!$A$3:$E$20,3,0))),"")</f>
        <v/>
      </c>
      <c r="O1642" s="324"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4"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3"/>
      <c r="R1642" s="363"/>
      <c r="S1642" s="325"/>
      <c r="T1642" s="325"/>
      <c r="U1642" s="317" t="str" cm="1">
        <f t="array" aca="1" ref="U1642" ca="1">IFERROR(IF(AA1642&lt;&gt;"ja",_xlfn.IFNA(_xlfn.IFS(AND(O1642&lt;&gt;"",F1642&lt;&gt;"",RIGHT($N1642,6)="tarief",F1642="Vergoeding"),SUM(O1642)*FLOOR(SUM(Q1642),0.0001),AND(O1642&lt;&gt;"",F1642&lt;&gt;"",RIGHT($N1642,6)="tarief"),SUM(O1642)*FLOOR(SUM(Q1642),0.01),S1642&gt;0,IF(F1642&lt;&gt;"",FLOOR(SUM(S1642),0.01),"")),""),""),"")</f>
        <v/>
      </c>
      <c r="V1642" s="317" t="str" cm="1">
        <f t="array" aca="1" ref="V1642" ca="1">IFERROR(IF(AA1642&lt;&gt;"ja",_xlfn.IFNA(_xlfn.IFS(AND(P1642&lt;&gt;"",R1642&lt;&gt;"",RIGHT($N1642,6)="tarief",F1642="Vergoeding"),SUM(P1642)*FLOOR(SUM(R1642),0.0001),AND(P1642&lt;&gt;"",R1642&lt;&gt;"",RIGHT($N1642,6)="tarief"),P1642*FLOOR(R1642,0.01),T1642&gt;0,FLOOR(SUM(T1642),0.01)),""),""),"")</f>
        <v/>
      </c>
      <c r="W1642" s="317" t="str" cm="1">
        <f t="array" aca="1" ref="W1642" ca="1">IFERROR(_xlfn.IFS(OR(F1642="",LEFT(Methode_Keuze,4)="Geen",Methode_Keuze=""),"",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17" t="str" cm="1">
        <f t="array" aca="1" ref="X1642" ca="1">IFERROR(_xlfn.IFS(OR(F1642="",LEFT(Methode_Keuze,4)="Geen",Methode_Keuze=""),"",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26"/>
      <c r="Z1642" s="319"/>
      <c r="AA1642" s="32" t="str" cm="1">
        <f t="array" ref="AA1642">IFERROR(IF(INDEX(SubsidieTabel!$AD$1:$AG$12,MATCH($F1642,SubsidieTabel!$AD$1:$AD$12,0),IFERROR(MATCH(Methode_Keuze,SubsidieTabel!$AD$1:$AG$1,0),2))&lt;&gt;1=TRUE,"ja",""),"")</f>
        <v/>
      </c>
    </row>
    <row r="1643" spans="1:27" x14ac:dyDescent="0.25">
      <c r="A1643" s="320"/>
      <c r="B1643" s="321" t="str">
        <f>IF(A1643&lt;&gt;"",_xlfn.MAXIFS($B$1:B1642,$A$1:A1642,A1643)+1,"")</f>
        <v/>
      </c>
      <c r="C1643" s="299"/>
      <c r="D1643" s="299"/>
      <c r="E1643" s="299"/>
      <c r="F1643" s="299"/>
      <c r="G1643" s="330"/>
      <c r="H1643" s="328"/>
      <c r="I1643" s="329"/>
      <c r="J1643" s="329"/>
      <c r="K1643" s="322"/>
      <c r="L1643" s="322"/>
      <c r="M1643" s="323" t="str">
        <f>IFERROR(VLOOKUP(H1643,Lijsten!$H$1:$I$100,2,0),"")</f>
        <v/>
      </c>
      <c r="N1643" s="323" t="str">
        <f ca="1">IFERROR(IF(VLOOKUP(F1643,Kostentypen!$A$3:$E$21,3,0)=0,"",IF(OR(F1643="Arbeidskosten",F1643="Vergoeding"),VLOOKUP(G1643,Tb_KostenTypen[],2,0),VLOOKUP(F1643,Kostentypen!$A$3:$E$20,3,0))),"")</f>
        <v/>
      </c>
      <c r="O1643" s="324"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4"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3"/>
      <c r="R1643" s="363"/>
      <c r="S1643" s="325"/>
      <c r="T1643" s="325"/>
      <c r="U1643" s="317" t="str" cm="1">
        <f t="array" aca="1" ref="U1643" ca="1">IFERROR(IF(AA1643&lt;&gt;"ja",_xlfn.IFNA(_xlfn.IFS(AND(O1643&lt;&gt;"",F1643&lt;&gt;"",RIGHT($N1643,6)="tarief",F1643="Vergoeding"),SUM(O1643)*FLOOR(SUM(Q1643),0.0001),AND(O1643&lt;&gt;"",F1643&lt;&gt;"",RIGHT($N1643,6)="tarief"),SUM(O1643)*FLOOR(SUM(Q1643),0.01),S1643&gt;0,IF(F1643&lt;&gt;"",FLOOR(SUM(S1643),0.01),"")),""),""),"")</f>
        <v/>
      </c>
      <c r="V1643" s="317" t="str" cm="1">
        <f t="array" aca="1" ref="V1643" ca="1">IFERROR(IF(AA1643&lt;&gt;"ja",_xlfn.IFNA(_xlfn.IFS(AND(P1643&lt;&gt;"",R1643&lt;&gt;"",RIGHT($N1643,6)="tarief",F1643="Vergoeding"),SUM(P1643)*FLOOR(SUM(R1643),0.0001),AND(P1643&lt;&gt;"",R1643&lt;&gt;"",RIGHT($N1643,6)="tarief"),P1643*FLOOR(R1643,0.01),T1643&gt;0,FLOOR(SUM(T1643),0.01)),""),""),"")</f>
        <v/>
      </c>
      <c r="W1643" s="317" t="str" cm="1">
        <f t="array" aca="1" ref="W1643" ca="1">IFERROR(_xlfn.IFS(OR(F1643="",LEFT(Methode_Keuze,4)="Geen",Methode_Keuze=""),"",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17" t="str" cm="1">
        <f t="array" aca="1" ref="X1643" ca="1">IFERROR(_xlfn.IFS(OR(F1643="",LEFT(Methode_Keuze,4)="Geen",Methode_Keuze=""),"",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26"/>
      <c r="Z1643" s="319"/>
      <c r="AA1643" s="32" t="str" cm="1">
        <f t="array" ref="AA1643">IFERROR(IF(INDEX(SubsidieTabel!$AD$1:$AG$12,MATCH($F1643,SubsidieTabel!$AD$1:$AD$12,0),IFERROR(MATCH(Methode_Keuze,SubsidieTabel!$AD$1:$AG$1,0),2))&lt;&gt;1=TRUE,"ja",""),"")</f>
        <v/>
      </c>
    </row>
    <row r="1644" spans="1:27" x14ac:dyDescent="0.25">
      <c r="A1644" s="320"/>
      <c r="B1644" s="321" t="str">
        <f>IF(A1644&lt;&gt;"",_xlfn.MAXIFS($B$1:B1643,$A$1:A1643,A1644)+1,"")</f>
        <v/>
      </c>
      <c r="C1644" s="299"/>
      <c r="D1644" s="299"/>
      <c r="E1644" s="299"/>
      <c r="F1644" s="299"/>
      <c r="G1644" s="330"/>
      <c r="H1644" s="328"/>
      <c r="I1644" s="329"/>
      <c r="J1644" s="329"/>
      <c r="K1644" s="322"/>
      <c r="L1644" s="322"/>
      <c r="M1644" s="323" t="str">
        <f>IFERROR(VLOOKUP(H1644,Lijsten!$H$1:$I$100,2,0),"")</f>
        <v/>
      </c>
      <c r="N1644" s="323" t="str">
        <f ca="1">IFERROR(IF(VLOOKUP(F1644,Kostentypen!$A$3:$E$21,3,0)=0,"",IF(OR(F1644="Arbeidskosten",F1644="Vergoeding"),VLOOKUP(G1644,Tb_KostenTypen[],2,0),VLOOKUP(F1644,Kostentypen!$A$3:$E$20,3,0))),"")</f>
        <v/>
      </c>
      <c r="O1644" s="324"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4"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3"/>
      <c r="R1644" s="363"/>
      <c r="S1644" s="325"/>
      <c r="T1644" s="325"/>
      <c r="U1644" s="317" t="str" cm="1">
        <f t="array" aca="1" ref="U1644" ca="1">IFERROR(IF(AA1644&lt;&gt;"ja",_xlfn.IFNA(_xlfn.IFS(AND(O1644&lt;&gt;"",F1644&lt;&gt;"",RIGHT($N1644,6)="tarief",F1644="Vergoeding"),SUM(O1644)*FLOOR(SUM(Q1644),0.0001),AND(O1644&lt;&gt;"",F1644&lt;&gt;"",RIGHT($N1644,6)="tarief"),SUM(O1644)*FLOOR(SUM(Q1644),0.01),S1644&gt;0,IF(F1644&lt;&gt;"",FLOOR(SUM(S1644),0.01),"")),""),""),"")</f>
        <v/>
      </c>
      <c r="V1644" s="317" t="str" cm="1">
        <f t="array" aca="1" ref="V1644" ca="1">IFERROR(IF(AA1644&lt;&gt;"ja",_xlfn.IFNA(_xlfn.IFS(AND(P1644&lt;&gt;"",R1644&lt;&gt;"",RIGHT($N1644,6)="tarief",F1644="Vergoeding"),SUM(P1644)*FLOOR(SUM(R1644),0.0001),AND(P1644&lt;&gt;"",R1644&lt;&gt;"",RIGHT($N1644,6)="tarief"),P1644*FLOOR(R1644,0.01),T1644&gt;0,FLOOR(SUM(T1644),0.01)),""),""),"")</f>
        <v/>
      </c>
      <c r="W1644" s="317" t="str" cm="1">
        <f t="array" aca="1" ref="W1644" ca="1">IFERROR(_xlfn.IFS(OR(F1644="",LEFT(Methode_Keuze,4)="Geen",Methode_Keuze=""),"",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17" t="str" cm="1">
        <f t="array" aca="1" ref="X1644" ca="1">IFERROR(_xlfn.IFS(OR(F1644="",LEFT(Methode_Keuze,4)="Geen",Methode_Keuze=""),"",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26"/>
      <c r="Z1644" s="319"/>
      <c r="AA1644" s="32" t="str" cm="1">
        <f t="array" ref="AA1644">IFERROR(IF(INDEX(SubsidieTabel!$AD$1:$AG$12,MATCH($F1644,SubsidieTabel!$AD$1:$AD$12,0),IFERROR(MATCH(Methode_Keuze,SubsidieTabel!$AD$1:$AG$1,0),2))&lt;&gt;1=TRUE,"ja",""),"")</f>
        <v/>
      </c>
    </row>
    <row r="1645" spans="1:27" x14ac:dyDescent="0.25">
      <c r="A1645" s="320"/>
      <c r="B1645" s="321" t="str">
        <f>IF(A1645&lt;&gt;"",_xlfn.MAXIFS($B$1:B1644,$A$1:A1644,A1645)+1,"")</f>
        <v/>
      </c>
      <c r="C1645" s="299"/>
      <c r="D1645" s="299"/>
      <c r="E1645" s="299"/>
      <c r="F1645" s="299"/>
      <c r="G1645" s="330"/>
      <c r="H1645" s="328"/>
      <c r="I1645" s="329"/>
      <c r="J1645" s="329"/>
      <c r="K1645" s="322"/>
      <c r="L1645" s="322"/>
      <c r="M1645" s="323" t="str">
        <f>IFERROR(VLOOKUP(H1645,Lijsten!$H$1:$I$100,2,0),"")</f>
        <v/>
      </c>
      <c r="N1645" s="323" t="str">
        <f ca="1">IFERROR(IF(VLOOKUP(F1645,Kostentypen!$A$3:$E$21,3,0)=0,"",IF(OR(F1645="Arbeidskosten",F1645="Vergoeding"),VLOOKUP(G1645,Tb_KostenTypen[],2,0),VLOOKUP(F1645,Kostentypen!$A$3:$E$20,3,0))),"")</f>
        <v/>
      </c>
      <c r="O1645" s="324"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4"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3"/>
      <c r="R1645" s="363"/>
      <c r="S1645" s="325"/>
      <c r="T1645" s="325"/>
      <c r="U1645" s="317" t="str" cm="1">
        <f t="array" aca="1" ref="U1645" ca="1">IFERROR(IF(AA1645&lt;&gt;"ja",_xlfn.IFNA(_xlfn.IFS(AND(O1645&lt;&gt;"",F1645&lt;&gt;"",RIGHT($N1645,6)="tarief",F1645="Vergoeding"),SUM(O1645)*FLOOR(SUM(Q1645),0.0001),AND(O1645&lt;&gt;"",F1645&lt;&gt;"",RIGHT($N1645,6)="tarief"),SUM(O1645)*FLOOR(SUM(Q1645),0.01),S1645&gt;0,IF(F1645&lt;&gt;"",FLOOR(SUM(S1645),0.01),"")),""),""),"")</f>
        <v/>
      </c>
      <c r="V1645" s="317" t="str" cm="1">
        <f t="array" aca="1" ref="V1645" ca="1">IFERROR(IF(AA1645&lt;&gt;"ja",_xlfn.IFNA(_xlfn.IFS(AND(P1645&lt;&gt;"",R1645&lt;&gt;"",RIGHT($N1645,6)="tarief",F1645="Vergoeding"),SUM(P1645)*FLOOR(SUM(R1645),0.0001),AND(P1645&lt;&gt;"",R1645&lt;&gt;"",RIGHT($N1645,6)="tarief"),P1645*FLOOR(R1645,0.01),T1645&gt;0,FLOOR(SUM(T1645),0.01)),""),""),"")</f>
        <v/>
      </c>
      <c r="W1645" s="317" t="str" cm="1">
        <f t="array" aca="1" ref="W1645" ca="1">IFERROR(_xlfn.IFS(OR(F1645="",LEFT(Methode_Keuze,4)="Geen",Methode_Keuze=""),"",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17" t="str" cm="1">
        <f t="array" aca="1" ref="X1645" ca="1">IFERROR(_xlfn.IFS(OR(F1645="",LEFT(Methode_Keuze,4)="Geen",Methode_Keuze=""),"",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26"/>
      <c r="Z1645" s="319"/>
      <c r="AA1645" s="32" t="str" cm="1">
        <f t="array" ref="AA1645">IFERROR(IF(INDEX(SubsidieTabel!$AD$1:$AG$12,MATCH($F1645,SubsidieTabel!$AD$1:$AD$12,0),IFERROR(MATCH(Methode_Keuze,SubsidieTabel!$AD$1:$AG$1,0),2))&lt;&gt;1=TRUE,"ja",""),"")</f>
        <v/>
      </c>
    </row>
    <row r="1646" spans="1:27" x14ac:dyDescent="0.25">
      <c r="A1646" s="320"/>
      <c r="B1646" s="321" t="str">
        <f>IF(A1646&lt;&gt;"",_xlfn.MAXIFS($B$1:B1645,$A$1:A1645,A1646)+1,"")</f>
        <v/>
      </c>
      <c r="C1646" s="299"/>
      <c r="D1646" s="299"/>
      <c r="E1646" s="299"/>
      <c r="F1646" s="299"/>
      <c r="G1646" s="330"/>
      <c r="H1646" s="328"/>
      <c r="I1646" s="329"/>
      <c r="J1646" s="329"/>
      <c r="K1646" s="322"/>
      <c r="L1646" s="322"/>
      <c r="M1646" s="323" t="str">
        <f>IFERROR(VLOOKUP(H1646,Lijsten!$H$1:$I$100,2,0),"")</f>
        <v/>
      </c>
      <c r="N1646" s="323" t="str">
        <f ca="1">IFERROR(IF(VLOOKUP(F1646,Kostentypen!$A$3:$E$21,3,0)=0,"",IF(OR(F1646="Arbeidskosten",F1646="Vergoeding"),VLOOKUP(G1646,Tb_KostenTypen[],2,0),VLOOKUP(F1646,Kostentypen!$A$3:$E$20,3,0))),"")</f>
        <v/>
      </c>
      <c r="O1646" s="324"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4"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3"/>
      <c r="R1646" s="363"/>
      <c r="S1646" s="325"/>
      <c r="T1646" s="325"/>
      <c r="U1646" s="317" t="str" cm="1">
        <f t="array" aca="1" ref="U1646" ca="1">IFERROR(IF(AA1646&lt;&gt;"ja",_xlfn.IFNA(_xlfn.IFS(AND(O1646&lt;&gt;"",F1646&lt;&gt;"",RIGHT($N1646,6)="tarief",F1646="Vergoeding"),SUM(O1646)*FLOOR(SUM(Q1646),0.0001),AND(O1646&lt;&gt;"",F1646&lt;&gt;"",RIGHT($N1646,6)="tarief"),SUM(O1646)*FLOOR(SUM(Q1646),0.01),S1646&gt;0,IF(F1646&lt;&gt;"",FLOOR(SUM(S1646),0.01),"")),""),""),"")</f>
        <v/>
      </c>
      <c r="V1646" s="317" t="str" cm="1">
        <f t="array" aca="1" ref="V1646" ca="1">IFERROR(IF(AA1646&lt;&gt;"ja",_xlfn.IFNA(_xlfn.IFS(AND(P1646&lt;&gt;"",R1646&lt;&gt;"",RIGHT($N1646,6)="tarief",F1646="Vergoeding"),SUM(P1646)*FLOOR(SUM(R1646),0.0001),AND(P1646&lt;&gt;"",R1646&lt;&gt;"",RIGHT($N1646,6)="tarief"),P1646*FLOOR(R1646,0.01),T1646&gt;0,FLOOR(SUM(T1646),0.01)),""),""),"")</f>
        <v/>
      </c>
      <c r="W1646" s="317" t="str" cm="1">
        <f t="array" aca="1" ref="W1646" ca="1">IFERROR(_xlfn.IFS(OR(F1646="",LEFT(Methode_Keuze,4)="Geen",Methode_Keuze=""),"",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17" t="str" cm="1">
        <f t="array" aca="1" ref="X1646" ca="1">IFERROR(_xlfn.IFS(OR(F1646="",LEFT(Methode_Keuze,4)="Geen",Methode_Keuze=""),"",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26"/>
      <c r="Z1646" s="319"/>
      <c r="AA1646" s="32" t="str" cm="1">
        <f t="array" ref="AA1646">IFERROR(IF(INDEX(SubsidieTabel!$AD$1:$AG$12,MATCH($F1646,SubsidieTabel!$AD$1:$AD$12,0),IFERROR(MATCH(Methode_Keuze,SubsidieTabel!$AD$1:$AG$1,0),2))&lt;&gt;1=TRUE,"ja",""),"")</f>
        <v/>
      </c>
    </row>
    <row r="1647" spans="1:27" x14ac:dyDescent="0.25">
      <c r="A1647" s="320"/>
      <c r="B1647" s="321" t="str">
        <f>IF(A1647&lt;&gt;"",_xlfn.MAXIFS($B$1:B1646,$A$1:A1646,A1647)+1,"")</f>
        <v/>
      </c>
      <c r="C1647" s="299"/>
      <c r="D1647" s="299"/>
      <c r="E1647" s="299"/>
      <c r="F1647" s="299"/>
      <c r="G1647" s="330"/>
      <c r="H1647" s="328"/>
      <c r="I1647" s="329"/>
      <c r="J1647" s="329"/>
      <c r="K1647" s="322"/>
      <c r="L1647" s="322"/>
      <c r="M1647" s="323" t="str">
        <f>IFERROR(VLOOKUP(H1647,Lijsten!$H$1:$I$100,2,0),"")</f>
        <v/>
      </c>
      <c r="N1647" s="323" t="str">
        <f ca="1">IFERROR(IF(VLOOKUP(F1647,Kostentypen!$A$3:$E$21,3,0)=0,"",IF(OR(F1647="Arbeidskosten",F1647="Vergoeding"),VLOOKUP(G1647,Tb_KostenTypen[],2,0),VLOOKUP(F1647,Kostentypen!$A$3:$E$20,3,0))),"")</f>
        <v/>
      </c>
      <c r="O1647" s="324"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4"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3"/>
      <c r="R1647" s="363"/>
      <c r="S1647" s="325"/>
      <c r="T1647" s="325"/>
      <c r="U1647" s="317" t="str" cm="1">
        <f t="array" aca="1" ref="U1647" ca="1">IFERROR(IF(AA1647&lt;&gt;"ja",_xlfn.IFNA(_xlfn.IFS(AND(O1647&lt;&gt;"",F1647&lt;&gt;"",RIGHT($N1647,6)="tarief",F1647="Vergoeding"),SUM(O1647)*FLOOR(SUM(Q1647),0.0001),AND(O1647&lt;&gt;"",F1647&lt;&gt;"",RIGHT($N1647,6)="tarief"),SUM(O1647)*FLOOR(SUM(Q1647),0.01),S1647&gt;0,IF(F1647&lt;&gt;"",FLOOR(SUM(S1647),0.01),"")),""),""),"")</f>
        <v/>
      </c>
      <c r="V1647" s="317" t="str" cm="1">
        <f t="array" aca="1" ref="V1647" ca="1">IFERROR(IF(AA1647&lt;&gt;"ja",_xlfn.IFNA(_xlfn.IFS(AND(P1647&lt;&gt;"",R1647&lt;&gt;"",RIGHT($N1647,6)="tarief",F1647="Vergoeding"),SUM(P1647)*FLOOR(SUM(R1647),0.0001),AND(P1647&lt;&gt;"",R1647&lt;&gt;"",RIGHT($N1647,6)="tarief"),P1647*FLOOR(R1647,0.01),T1647&gt;0,FLOOR(SUM(T1647),0.01)),""),""),"")</f>
        <v/>
      </c>
      <c r="W1647" s="317" t="str" cm="1">
        <f t="array" aca="1" ref="W1647" ca="1">IFERROR(_xlfn.IFS(OR(F1647="",LEFT(Methode_Keuze,4)="Geen",Methode_Keuze=""),"",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17" t="str" cm="1">
        <f t="array" aca="1" ref="X1647" ca="1">IFERROR(_xlfn.IFS(OR(F1647="",LEFT(Methode_Keuze,4)="Geen",Methode_Keuze=""),"",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26"/>
      <c r="Z1647" s="319"/>
      <c r="AA1647" s="32" t="str" cm="1">
        <f t="array" ref="AA1647">IFERROR(IF(INDEX(SubsidieTabel!$AD$1:$AG$12,MATCH($F1647,SubsidieTabel!$AD$1:$AD$12,0),IFERROR(MATCH(Methode_Keuze,SubsidieTabel!$AD$1:$AG$1,0),2))&lt;&gt;1=TRUE,"ja",""),"")</f>
        <v/>
      </c>
    </row>
    <row r="1648" spans="1:27" x14ac:dyDescent="0.25">
      <c r="A1648" s="320"/>
      <c r="B1648" s="321" t="str">
        <f>IF(A1648&lt;&gt;"",_xlfn.MAXIFS($B$1:B1647,$A$1:A1647,A1648)+1,"")</f>
        <v/>
      </c>
      <c r="C1648" s="299"/>
      <c r="D1648" s="299"/>
      <c r="E1648" s="299"/>
      <c r="F1648" s="299"/>
      <c r="G1648" s="330"/>
      <c r="H1648" s="328"/>
      <c r="I1648" s="329"/>
      <c r="J1648" s="329"/>
      <c r="K1648" s="322"/>
      <c r="L1648" s="322"/>
      <c r="M1648" s="323" t="str">
        <f>IFERROR(VLOOKUP(H1648,Lijsten!$H$1:$I$100,2,0),"")</f>
        <v/>
      </c>
      <c r="N1648" s="323" t="str">
        <f ca="1">IFERROR(IF(VLOOKUP(F1648,Kostentypen!$A$3:$E$21,3,0)=0,"",IF(OR(F1648="Arbeidskosten",F1648="Vergoeding"),VLOOKUP(G1648,Tb_KostenTypen[],2,0),VLOOKUP(F1648,Kostentypen!$A$3:$E$20,3,0))),"")</f>
        <v/>
      </c>
      <c r="O1648" s="324"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4"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3"/>
      <c r="R1648" s="363"/>
      <c r="S1648" s="325"/>
      <c r="T1648" s="325"/>
      <c r="U1648" s="317" t="str" cm="1">
        <f t="array" aca="1" ref="U1648" ca="1">IFERROR(IF(AA1648&lt;&gt;"ja",_xlfn.IFNA(_xlfn.IFS(AND(O1648&lt;&gt;"",F1648&lt;&gt;"",RIGHT($N1648,6)="tarief",F1648="Vergoeding"),SUM(O1648)*FLOOR(SUM(Q1648),0.0001),AND(O1648&lt;&gt;"",F1648&lt;&gt;"",RIGHT($N1648,6)="tarief"),SUM(O1648)*FLOOR(SUM(Q1648),0.01),S1648&gt;0,IF(F1648&lt;&gt;"",FLOOR(SUM(S1648),0.01),"")),""),""),"")</f>
        <v/>
      </c>
      <c r="V1648" s="317" t="str" cm="1">
        <f t="array" aca="1" ref="V1648" ca="1">IFERROR(IF(AA1648&lt;&gt;"ja",_xlfn.IFNA(_xlfn.IFS(AND(P1648&lt;&gt;"",R1648&lt;&gt;"",RIGHT($N1648,6)="tarief",F1648="Vergoeding"),SUM(P1648)*FLOOR(SUM(R1648),0.0001),AND(P1648&lt;&gt;"",R1648&lt;&gt;"",RIGHT($N1648,6)="tarief"),P1648*FLOOR(R1648,0.01),T1648&gt;0,FLOOR(SUM(T1648),0.01)),""),""),"")</f>
        <v/>
      </c>
      <c r="W1648" s="317" t="str" cm="1">
        <f t="array" aca="1" ref="W1648" ca="1">IFERROR(_xlfn.IFS(OR(F1648="",LEFT(Methode_Keuze,4)="Geen",Methode_Keuze=""),"",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17" t="str" cm="1">
        <f t="array" aca="1" ref="X1648" ca="1">IFERROR(_xlfn.IFS(OR(F1648="",LEFT(Methode_Keuze,4)="Geen",Methode_Keuze=""),"",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26"/>
      <c r="Z1648" s="319"/>
      <c r="AA1648" s="32" t="str" cm="1">
        <f t="array" ref="AA1648">IFERROR(IF(INDEX(SubsidieTabel!$AD$1:$AG$12,MATCH($F1648,SubsidieTabel!$AD$1:$AD$12,0),IFERROR(MATCH(Methode_Keuze,SubsidieTabel!$AD$1:$AG$1,0),2))&lt;&gt;1=TRUE,"ja",""),"")</f>
        <v/>
      </c>
    </row>
    <row r="1649" spans="1:27" x14ac:dyDescent="0.25">
      <c r="A1649" s="320"/>
      <c r="B1649" s="321" t="str">
        <f>IF(A1649&lt;&gt;"",_xlfn.MAXIFS($B$1:B1648,$A$1:A1648,A1649)+1,"")</f>
        <v/>
      </c>
      <c r="C1649" s="299"/>
      <c r="D1649" s="299"/>
      <c r="E1649" s="299"/>
      <c r="F1649" s="299"/>
      <c r="G1649" s="330"/>
      <c r="H1649" s="328"/>
      <c r="I1649" s="329"/>
      <c r="J1649" s="329"/>
      <c r="K1649" s="322"/>
      <c r="L1649" s="322"/>
      <c r="M1649" s="323" t="str">
        <f>IFERROR(VLOOKUP(H1649,Lijsten!$H$1:$I$100,2,0),"")</f>
        <v/>
      </c>
      <c r="N1649" s="323" t="str">
        <f ca="1">IFERROR(IF(VLOOKUP(F1649,Kostentypen!$A$3:$E$21,3,0)=0,"",IF(OR(F1649="Arbeidskosten",F1649="Vergoeding"),VLOOKUP(G1649,Tb_KostenTypen[],2,0),VLOOKUP(F1649,Kostentypen!$A$3:$E$20,3,0))),"")</f>
        <v/>
      </c>
      <c r="O1649" s="324"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4"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3"/>
      <c r="R1649" s="363"/>
      <c r="S1649" s="325"/>
      <c r="T1649" s="325"/>
      <c r="U1649" s="317" t="str" cm="1">
        <f t="array" aca="1" ref="U1649" ca="1">IFERROR(IF(AA1649&lt;&gt;"ja",_xlfn.IFNA(_xlfn.IFS(AND(O1649&lt;&gt;"",F1649&lt;&gt;"",RIGHT($N1649,6)="tarief",F1649="Vergoeding"),SUM(O1649)*FLOOR(SUM(Q1649),0.0001),AND(O1649&lt;&gt;"",F1649&lt;&gt;"",RIGHT($N1649,6)="tarief"),SUM(O1649)*FLOOR(SUM(Q1649),0.01),S1649&gt;0,IF(F1649&lt;&gt;"",FLOOR(SUM(S1649),0.01),"")),""),""),"")</f>
        <v/>
      </c>
      <c r="V1649" s="317" t="str" cm="1">
        <f t="array" aca="1" ref="V1649" ca="1">IFERROR(IF(AA1649&lt;&gt;"ja",_xlfn.IFNA(_xlfn.IFS(AND(P1649&lt;&gt;"",R1649&lt;&gt;"",RIGHT($N1649,6)="tarief",F1649="Vergoeding"),SUM(P1649)*FLOOR(SUM(R1649),0.0001),AND(P1649&lt;&gt;"",R1649&lt;&gt;"",RIGHT($N1649,6)="tarief"),P1649*FLOOR(R1649,0.01),T1649&gt;0,FLOOR(SUM(T1649),0.01)),""),""),"")</f>
        <v/>
      </c>
      <c r="W1649" s="317" t="str" cm="1">
        <f t="array" aca="1" ref="W1649" ca="1">IFERROR(_xlfn.IFS(OR(F1649="",LEFT(Methode_Keuze,4)="Geen",Methode_Keuze=""),"",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17" t="str" cm="1">
        <f t="array" aca="1" ref="X1649" ca="1">IFERROR(_xlfn.IFS(OR(F1649="",LEFT(Methode_Keuze,4)="Geen",Methode_Keuze=""),"",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26"/>
      <c r="Z1649" s="319"/>
      <c r="AA1649" s="32" t="str" cm="1">
        <f t="array" ref="AA1649">IFERROR(IF(INDEX(SubsidieTabel!$AD$1:$AG$12,MATCH($F1649,SubsidieTabel!$AD$1:$AD$12,0),IFERROR(MATCH(Methode_Keuze,SubsidieTabel!$AD$1:$AG$1,0),2))&lt;&gt;1=TRUE,"ja",""),"")</f>
        <v/>
      </c>
    </row>
    <row r="1650" spans="1:27" x14ac:dyDescent="0.25">
      <c r="A1650" s="320"/>
      <c r="B1650" s="321" t="str">
        <f>IF(A1650&lt;&gt;"",_xlfn.MAXIFS($B$1:B1649,$A$1:A1649,A1650)+1,"")</f>
        <v/>
      </c>
      <c r="C1650" s="299"/>
      <c r="D1650" s="299"/>
      <c r="E1650" s="299"/>
      <c r="F1650" s="299"/>
      <c r="G1650" s="330"/>
      <c r="H1650" s="328"/>
      <c r="I1650" s="329"/>
      <c r="J1650" s="329"/>
      <c r="K1650" s="322"/>
      <c r="L1650" s="322"/>
      <c r="M1650" s="323" t="str">
        <f>IFERROR(VLOOKUP(H1650,Lijsten!$H$1:$I$100,2,0),"")</f>
        <v/>
      </c>
      <c r="N1650" s="323" t="str">
        <f ca="1">IFERROR(IF(VLOOKUP(F1650,Kostentypen!$A$3:$E$21,3,0)=0,"",IF(OR(F1650="Arbeidskosten",F1650="Vergoeding"),VLOOKUP(G1650,Tb_KostenTypen[],2,0),VLOOKUP(F1650,Kostentypen!$A$3:$E$20,3,0))),"")</f>
        <v/>
      </c>
      <c r="O1650" s="324"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4"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3"/>
      <c r="R1650" s="363"/>
      <c r="S1650" s="325"/>
      <c r="T1650" s="325"/>
      <c r="U1650" s="317" t="str" cm="1">
        <f t="array" aca="1" ref="U1650" ca="1">IFERROR(IF(AA1650&lt;&gt;"ja",_xlfn.IFNA(_xlfn.IFS(AND(O1650&lt;&gt;"",F1650&lt;&gt;"",RIGHT($N1650,6)="tarief",F1650="Vergoeding"),SUM(O1650)*FLOOR(SUM(Q1650),0.0001),AND(O1650&lt;&gt;"",F1650&lt;&gt;"",RIGHT($N1650,6)="tarief"),SUM(O1650)*FLOOR(SUM(Q1650),0.01),S1650&gt;0,IF(F1650&lt;&gt;"",FLOOR(SUM(S1650),0.01),"")),""),""),"")</f>
        <v/>
      </c>
      <c r="V1650" s="317" t="str" cm="1">
        <f t="array" aca="1" ref="V1650" ca="1">IFERROR(IF(AA1650&lt;&gt;"ja",_xlfn.IFNA(_xlfn.IFS(AND(P1650&lt;&gt;"",R1650&lt;&gt;"",RIGHT($N1650,6)="tarief",F1650="Vergoeding"),SUM(P1650)*FLOOR(SUM(R1650),0.0001),AND(P1650&lt;&gt;"",R1650&lt;&gt;"",RIGHT($N1650,6)="tarief"),P1650*FLOOR(R1650,0.01),T1650&gt;0,FLOOR(SUM(T1650),0.01)),""),""),"")</f>
        <v/>
      </c>
      <c r="W1650" s="317" t="str" cm="1">
        <f t="array" aca="1" ref="W1650" ca="1">IFERROR(_xlfn.IFS(OR(F1650="",LEFT(Methode_Keuze,4)="Geen",Methode_Keuze=""),"",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17" t="str" cm="1">
        <f t="array" aca="1" ref="X1650" ca="1">IFERROR(_xlfn.IFS(OR(F1650="",LEFT(Methode_Keuze,4)="Geen",Methode_Keuze=""),"",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26"/>
      <c r="Z1650" s="319"/>
      <c r="AA1650" s="32" t="str" cm="1">
        <f t="array" ref="AA1650">IFERROR(IF(INDEX(SubsidieTabel!$AD$1:$AG$12,MATCH($F1650,SubsidieTabel!$AD$1:$AD$12,0),IFERROR(MATCH(Methode_Keuze,SubsidieTabel!$AD$1:$AG$1,0),2))&lt;&gt;1=TRUE,"ja",""),"")</f>
        <v/>
      </c>
    </row>
    <row r="1651" spans="1:27" x14ac:dyDescent="0.25">
      <c r="A1651" s="320"/>
      <c r="B1651" s="321" t="str">
        <f>IF(A1651&lt;&gt;"",_xlfn.MAXIFS($B$1:B1650,$A$1:A1650,A1651)+1,"")</f>
        <v/>
      </c>
      <c r="C1651" s="299"/>
      <c r="D1651" s="299"/>
      <c r="E1651" s="299"/>
      <c r="F1651" s="299"/>
      <c r="G1651" s="330"/>
      <c r="H1651" s="328"/>
      <c r="I1651" s="329"/>
      <c r="J1651" s="329"/>
      <c r="K1651" s="322"/>
      <c r="L1651" s="322"/>
      <c r="M1651" s="323" t="str">
        <f>IFERROR(VLOOKUP(H1651,Lijsten!$H$1:$I$100,2,0),"")</f>
        <v/>
      </c>
      <c r="N1651" s="323" t="str">
        <f ca="1">IFERROR(IF(VLOOKUP(F1651,Kostentypen!$A$3:$E$21,3,0)=0,"",IF(OR(F1651="Arbeidskosten",F1651="Vergoeding"),VLOOKUP(G1651,Tb_KostenTypen[],2,0),VLOOKUP(F1651,Kostentypen!$A$3:$E$20,3,0))),"")</f>
        <v/>
      </c>
      <c r="O1651" s="324"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4"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3"/>
      <c r="R1651" s="363"/>
      <c r="S1651" s="325"/>
      <c r="T1651" s="325"/>
      <c r="U1651" s="317" t="str" cm="1">
        <f t="array" aca="1" ref="U1651" ca="1">IFERROR(IF(AA1651&lt;&gt;"ja",_xlfn.IFNA(_xlfn.IFS(AND(O1651&lt;&gt;"",F1651&lt;&gt;"",RIGHT($N1651,6)="tarief",F1651="Vergoeding"),SUM(O1651)*FLOOR(SUM(Q1651),0.0001),AND(O1651&lt;&gt;"",F1651&lt;&gt;"",RIGHT($N1651,6)="tarief"),SUM(O1651)*FLOOR(SUM(Q1651),0.01),S1651&gt;0,IF(F1651&lt;&gt;"",FLOOR(SUM(S1651),0.01),"")),""),""),"")</f>
        <v/>
      </c>
      <c r="V1651" s="317" t="str" cm="1">
        <f t="array" aca="1" ref="V1651" ca="1">IFERROR(IF(AA1651&lt;&gt;"ja",_xlfn.IFNA(_xlfn.IFS(AND(P1651&lt;&gt;"",R1651&lt;&gt;"",RIGHT($N1651,6)="tarief",F1651="Vergoeding"),SUM(P1651)*FLOOR(SUM(R1651),0.0001),AND(P1651&lt;&gt;"",R1651&lt;&gt;"",RIGHT($N1651,6)="tarief"),P1651*FLOOR(R1651,0.01),T1651&gt;0,FLOOR(SUM(T1651),0.01)),""),""),"")</f>
        <v/>
      </c>
      <c r="W1651" s="317" t="str" cm="1">
        <f t="array" aca="1" ref="W1651" ca="1">IFERROR(_xlfn.IFS(OR(F1651="",LEFT(Methode_Keuze,4)="Geen",Methode_Keuze=""),"",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17" t="str" cm="1">
        <f t="array" aca="1" ref="X1651" ca="1">IFERROR(_xlfn.IFS(OR(F1651="",LEFT(Methode_Keuze,4)="Geen",Methode_Keuze=""),"",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26"/>
      <c r="Z1651" s="319"/>
      <c r="AA1651" s="32" t="str" cm="1">
        <f t="array" ref="AA1651">IFERROR(IF(INDEX(SubsidieTabel!$AD$1:$AG$12,MATCH($F1651,SubsidieTabel!$AD$1:$AD$12,0),IFERROR(MATCH(Methode_Keuze,SubsidieTabel!$AD$1:$AG$1,0),2))&lt;&gt;1=TRUE,"ja",""),"")</f>
        <v/>
      </c>
    </row>
    <row r="1652" spans="1:27" x14ac:dyDescent="0.25">
      <c r="A1652" s="320"/>
      <c r="B1652" s="321" t="str">
        <f>IF(A1652&lt;&gt;"",_xlfn.MAXIFS($B$1:B1651,$A$1:A1651,A1652)+1,"")</f>
        <v/>
      </c>
      <c r="C1652" s="299"/>
      <c r="D1652" s="299"/>
      <c r="E1652" s="299"/>
      <c r="F1652" s="299"/>
      <c r="G1652" s="330"/>
      <c r="H1652" s="328"/>
      <c r="I1652" s="329"/>
      <c r="J1652" s="329"/>
      <c r="K1652" s="322"/>
      <c r="L1652" s="322"/>
      <c r="M1652" s="323" t="str">
        <f>IFERROR(VLOOKUP(H1652,Lijsten!$H$1:$I$100,2,0),"")</f>
        <v/>
      </c>
      <c r="N1652" s="323" t="str">
        <f ca="1">IFERROR(IF(VLOOKUP(F1652,Kostentypen!$A$3:$E$21,3,0)=0,"",IF(OR(F1652="Arbeidskosten",F1652="Vergoeding"),VLOOKUP(G1652,Tb_KostenTypen[],2,0),VLOOKUP(F1652,Kostentypen!$A$3:$E$20,3,0))),"")</f>
        <v/>
      </c>
      <c r="O1652" s="324"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4"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3"/>
      <c r="R1652" s="363"/>
      <c r="S1652" s="325"/>
      <c r="T1652" s="325"/>
      <c r="U1652" s="317" t="str" cm="1">
        <f t="array" aca="1" ref="U1652" ca="1">IFERROR(IF(AA1652&lt;&gt;"ja",_xlfn.IFNA(_xlfn.IFS(AND(O1652&lt;&gt;"",F1652&lt;&gt;"",RIGHT($N1652,6)="tarief",F1652="Vergoeding"),SUM(O1652)*FLOOR(SUM(Q1652),0.0001),AND(O1652&lt;&gt;"",F1652&lt;&gt;"",RIGHT($N1652,6)="tarief"),SUM(O1652)*FLOOR(SUM(Q1652),0.01),S1652&gt;0,IF(F1652&lt;&gt;"",FLOOR(SUM(S1652),0.01),"")),""),""),"")</f>
        <v/>
      </c>
      <c r="V1652" s="317" t="str" cm="1">
        <f t="array" aca="1" ref="V1652" ca="1">IFERROR(IF(AA1652&lt;&gt;"ja",_xlfn.IFNA(_xlfn.IFS(AND(P1652&lt;&gt;"",R1652&lt;&gt;"",RIGHT($N1652,6)="tarief",F1652="Vergoeding"),SUM(P1652)*FLOOR(SUM(R1652),0.0001),AND(P1652&lt;&gt;"",R1652&lt;&gt;"",RIGHT($N1652,6)="tarief"),P1652*FLOOR(R1652,0.01),T1652&gt;0,FLOOR(SUM(T1652),0.01)),""),""),"")</f>
        <v/>
      </c>
      <c r="W1652" s="317" t="str" cm="1">
        <f t="array" aca="1" ref="W1652" ca="1">IFERROR(_xlfn.IFS(OR(F1652="",LEFT(Methode_Keuze,4)="Geen",Methode_Keuze=""),"",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17" t="str" cm="1">
        <f t="array" aca="1" ref="X1652" ca="1">IFERROR(_xlfn.IFS(OR(F1652="",LEFT(Methode_Keuze,4)="Geen",Methode_Keuze=""),"",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26"/>
      <c r="Z1652" s="319"/>
      <c r="AA1652" s="32" t="str" cm="1">
        <f t="array" ref="AA1652">IFERROR(IF(INDEX(SubsidieTabel!$AD$1:$AG$12,MATCH($F1652,SubsidieTabel!$AD$1:$AD$12,0),IFERROR(MATCH(Methode_Keuze,SubsidieTabel!$AD$1:$AG$1,0),2))&lt;&gt;1=TRUE,"ja",""),"")</f>
        <v/>
      </c>
    </row>
    <row r="1653" spans="1:27" x14ac:dyDescent="0.25">
      <c r="A1653" s="320"/>
      <c r="B1653" s="321" t="str">
        <f>IF(A1653&lt;&gt;"",_xlfn.MAXIFS($B$1:B1652,$A$1:A1652,A1653)+1,"")</f>
        <v/>
      </c>
      <c r="C1653" s="299"/>
      <c r="D1653" s="299"/>
      <c r="E1653" s="299"/>
      <c r="F1653" s="299"/>
      <c r="G1653" s="330"/>
      <c r="H1653" s="328"/>
      <c r="I1653" s="329"/>
      <c r="J1653" s="329"/>
      <c r="K1653" s="322"/>
      <c r="L1653" s="322"/>
      <c r="M1653" s="323" t="str">
        <f>IFERROR(VLOOKUP(H1653,Lijsten!$H$1:$I$100,2,0),"")</f>
        <v/>
      </c>
      <c r="N1653" s="323" t="str">
        <f ca="1">IFERROR(IF(VLOOKUP(F1653,Kostentypen!$A$3:$E$21,3,0)=0,"",IF(OR(F1653="Arbeidskosten",F1653="Vergoeding"),VLOOKUP(G1653,Tb_KostenTypen[],2,0),VLOOKUP(F1653,Kostentypen!$A$3:$E$20,3,0))),"")</f>
        <v/>
      </c>
      <c r="O1653" s="324"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4"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3"/>
      <c r="R1653" s="363"/>
      <c r="S1653" s="325"/>
      <c r="T1653" s="325"/>
      <c r="U1653" s="317" t="str" cm="1">
        <f t="array" aca="1" ref="U1653" ca="1">IFERROR(IF(AA1653&lt;&gt;"ja",_xlfn.IFNA(_xlfn.IFS(AND(O1653&lt;&gt;"",F1653&lt;&gt;"",RIGHT($N1653,6)="tarief",F1653="Vergoeding"),SUM(O1653)*FLOOR(SUM(Q1653),0.0001),AND(O1653&lt;&gt;"",F1653&lt;&gt;"",RIGHT($N1653,6)="tarief"),SUM(O1653)*FLOOR(SUM(Q1653),0.01),S1653&gt;0,IF(F1653&lt;&gt;"",FLOOR(SUM(S1653),0.01),"")),""),""),"")</f>
        <v/>
      </c>
      <c r="V1653" s="317" t="str" cm="1">
        <f t="array" aca="1" ref="V1653" ca="1">IFERROR(IF(AA1653&lt;&gt;"ja",_xlfn.IFNA(_xlfn.IFS(AND(P1653&lt;&gt;"",R1653&lt;&gt;"",RIGHT($N1653,6)="tarief",F1653="Vergoeding"),SUM(P1653)*FLOOR(SUM(R1653),0.0001),AND(P1653&lt;&gt;"",R1653&lt;&gt;"",RIGHT($N1653,6)="tarief"),P1653*FLOOR(R1653,0.01),T1653&gt;0,FLOOR(SUM(T1653),0.01)),""),""),"")</f>
        <v/>
      </c>
      <c r="W1653" s="317" t="str" cm="1">
        <f t="array" aca="1" ref="W1653" ca="1">IFERROR(_xlfn.IFS(OR(F1653="",LEFT(Methode_Keuze,4)="Geen",Methode_Keuze=""),"",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17" t="str" cm="1">
        <f t="array" aca="1" ref="X1653" ca="1">IFERROR(_xlfn.IFS(OR(F1653="",LEFT(Methode_Keuze,4)="Geen",Methode_Keuze=""),"",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26"/>
      <c r="Z1653" s="319"/>
      <c r="AA1653" s="32" t="str" cm="1">
        <f t="array" ref="AA1653">IFERROR(IF(INDEX(SubsidieTabel!$AD$1:$AG$12,MATCH($F1653,SubsidieTabel!$AD$1:$AD$12,0),IFERROR(MATCH(Methode_Keuze,SubsidieTabel!$AD$1:$AG$1,0),2))&lt;&gt;1=TRUE,"ja",""),"")</f>
        <v/>
      </c>
    </row>
    <row r="1654" spans="1:27" x14ac:dyDescent="0.25">
      <c r="A1654" s="320"/>
      <c r="B1654" s="321" t="str">
        <f>IF(A1654&lt;&gt;"",_xlfn.MAXIFS($B$1:B1653,$A$1:A1653,A1654)+1,"")</f>
        <v/>
      </c>
      <c r="C1654" s="299"/>
      <c r="D1654" s="299"/>
      <c r="E1654" s="299"/>
      <c r="F1654" s="299"/>
      <c r="G1654" s="330"/>
      <c r="H1654" s="328"/>
      <c r="I1654" s="329"/>
      <c r="J1654" s="329"/>
      <c r="K1654" s="322"/>
      <c r="L1654" s="322"/>
      <c r="M1654" s="323" t="str">
        <f>IFERROR(VLOOKUP(H1654,Lijsten!$H$1:$I$100,2,0),"")</f>
        <v/>
      </c>
      <c r="N1654" s="323" t="str">
        <f ca="1">IFERROR(IF(VLOOKUP(F1654,Kostentypen!$A$3:$E$21,3,0)=0,"",IF(OR(F1654="Arbeidskosten",F1654="Vergoeding"),VLOOKUP(G1654,Tb_KostenTypen[],2,0),VLOOKUP(F1654,Kostentypen!$A$3:$E$20,3,0))),"")</f>
        <v/>
      </c>
      <c r="O1654" s="324"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4"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3"/>
      <c r="R1654" s="363"/>
      <c r="S1654" s="325"/>
      <c r="T1654" s="325"/>
      <c r="U1654" s="317" t="str" cm="1">
        <f t="array" aca="1" ref="U1654" ca="1">IFERROR(IF(AA1654&lt;&gt;"ja",_xlfn.IFNA(_xlfn.IFS(AND(O1654&lt;&gt;"",F1654&lt;&gt;"",RIGHT($N1654,6)="tarief",F1654="Vergoeding"),SUM(O1654)*FLOOR(SUM(Q1654),0.0001),AND(O1654&lt;&gt;"",F1654&lt;&gt;"",RIGHT($N1654,6)="tarief"),SUM(O1654)*FLOOR(SUM(Q1654),0.01),S1654&gt;0,IF(F1654&lt;&gt;"",FLOOR(SUM(S1654),0.01),"")),""),""),"")</f>
        <v/>
      </c>
      <c r="V1654" s="317" t="str" cm="1">
        <f t="array" aca="1" ref="V1654" ca="1">IFERROR(IF(AA1654&lt;&gt;"ja",_xlfn.IFNA(_xlfn.IFS(AND(P1654&lt;&gt;"",R1654&lt;&gt;"",RIGHT($N1654,6)="tarief",F1654="Vergoeding"),SUM(P1654)*FLOOR(SUM(R1654),0.0001),AND(P1654&lt;&gt;"",R1654&lt;&gt;"",RIGHT($N1654,6)="tarief"),P1654*FLOOR(R1654,0.01),T1654&gt;0,FLOOR(SUM(T1654),0.01)),""),""),"")</f>
        <v/>
      </c>
      <c r="W1654" s="317" t="str" cm="1">
        <f t="array" aca="1" ref="W1654" ca="1">IFERROR(_xlfn.IFS(OR(F1654="",LEFT(Methode_Keuze,4)="Geen",Methode_Keuze=""),"",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17" t="str" cm="1">
        <f t="array" aca="1" ref="X1654" ca="1">IFERROR(_xlfn.IFS(OR(F1654="",LEFT(Methode_Keuze,4)="Geen",Methode_Keuze=""),"",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26"/>
      <c r="Z1654" s="319"/>
      <c r="AA1654" s="32" t="str" cm="1">
        <f t="array" ref="AA1654">IFERROR(IF(INDEX(SubsidieTabel!$AD$1:$AG$12,MATCH($F1654,SubsidieTabel!$AD$1:$AD$12,0),IFERROR(MATCH(Methode_Keuze,SubsidieTabel!$AD$1:$AG$1,0),2))&lt;&gt;1=TRUE,"ja",""),"")</f>
        <v/>
      </c>
    </row>
    <row r="1655" spans="1:27" x14ac:dyDescent="0.25">
      <c r="A1655" s="320"/>
      <c r="B1655" s="321" t="str">
        <f>IF(A1655&lt;&gt;"",_xlfn.MAXIFS($B$1:B1654,$A$1:A1654,A1655)+1,"")</f>
        <v/>
      </c>
      <c r="C1655" s="299"/>
      <c r="D1655" s="299"/>
      <c r="E1655" s="299"/>
      <c r="F1655" s="299"/>
      <c r="G1655" s="330"/>
      <c r="H1655" s="328"/>
      <c r="I1655" s="329"/>
      <c r="J1655" s="329"/>
      <c r="K1655" s="322"/>
      <c r="L1655" s="322"/>
      <c r="M1655" s="323" t="str">
        <f>IFERROR(VLOOKUP(H1655,Lijsten!$H$1:$I$100,2,0),"")</f>
        <v/>
      </c>
      <c r="N1655" s="323" t="str">
        <f ca="1">IFERROR(IF(VLOOKUP(F1655,Kostentypen!$A$3:$E$21,3,0)=0,"",IF(OR(F1655="Arbeidskosten",F1655="Vergoeding"),VLOOKUP(G1655,Tb_KostenTypen[],2,0),VLOOKUP(F1655,Kostentypen!$A$3:$E$20,3,0))),"")</f>
        <v/>
      </c>
      <c r="O1655" s="324"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4"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3"/>
      <c r="R1655" s="363"/>
      <c r="S1655" s="325"/>
      <c r="T1655" s="325"/>
      <c r="U1655" s="317" t="str" cm="1">
        <f t="array" aca="1" ref="U1655" ca="1">IFERROR(IF(AA1655&lt;&gt;"ja",_xlfn.IFNA(_xlfn.IFS(AND(O1655&lt;&gt;"",F1655&lt;&gt;"",RIGHT($N1655,6)="tarief",F1655="Vergoeding"),SUM(O1655)*FLOOR(SUM(Q1655),0.0001),AND(O1655&lt;&gt;"",F1655&lt;&gt;"",RIGHT($N1655,6)="tarief"),SUM(O1655)*FLOOR(SUM(Q1655),0.01),S1655&gt;0,IF(F1655&lt;&gt;"",FLOOR(SUM(S1655),0.01),"")),""),""),"")</f>
        <v/>
      </c>
      <c r="V1655" s="317" t="str" cm="1">
        <f t="array" aca="1" ref="V1655" ca="1">IFERROR(IF(AA1655&lt;&gt;"ja",_xlfn.IFNA(_xlfn.IFS(AND(P1655&lt;&gt;"",R1655&lt;&gt;"",RIGHT($N1655,6)="tarief",F1655="Vergoeding"),SUM(P1655)*FLOOR(SUM(R1655),0.0001),AND(P1655&lt;&gt;"",R1655&lt;&gt;"",RIGHT($N1655,6)="tarief"),P1655*FLOOR(R1655,0.01),T1655&gt;0,FLOOR(SUM(T1655),0.01)),""),""),"")</f>
        <v/>
      </c>
      <c r="W1655" s="317" t="str" cm="1">
        <f t="array" aca="1" ref="W1655" ca="1">IFERROR(_xlfn.IFS(OR(F1655="",LEFT(Methode_Keuze,4)="Geen",Methode_Keuze=""),"",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17" t="str" cm="1">
        <f t="array" aca="1" ref="X1655" ca="1">IFERROR(_xlfn.IFS(OR(F1655="",LEFT(Methode_Keuze,4)="Geen",Methode_Keuze=""),"",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26"/>
      <c r="Z1655" s="319"/>
      <c r="AA1655" s="32" t="str" cm="1">
        <f t="array" ref="AA1655">IFERROR(IF(INDEX(SubsidieTabel!$AD$1:$AG$12,MATCH($F1655,SubsidieTabel!$AD$1:$AD$12,0),IFERROR(MATCH(Methode_Keuze,SubsidieTabel!$AD$1:$AG$1,0),2))&lt;&gt;1=TRUE,"ja",""),"")</f>
        <v/>
      </c>
    </row>
    <row r="1656" spans="1:27" x14ac:dyDescent="0.25">
      <c r="A1656" s="320"/>
      <c r="B1656" s="321" t="str">
        <f>IF(A1656&lt;&gt;"",_xlfn.MAXIFS($B$1:B1655,$A$1:A1655,A1656)+1,"")</f>
        <v/>
      </c>
      <c r="C1656" s="299"/>
      <c r="D1656" s="299"/>
      <c r="E1656" s="299"/>
      <c r="F1656" s="299"/>
      <c r="G1656" s="330"/>
      <c r="H1656" s="328"/>
      <c r="I1656" s="329"/>
      <c r="J1656" s="329"/>
      <c r="K1656" s="322"/>
      <c r="L1656" s="322"/>
      <c r="M1656" s="323" t="str">
        <f>IFERROR(VLOOKUP(H1656,Lijsten!$H$1:$I$100,2,0),"")</f>
        <v/>
      </c>
      <c r="N1656" s="323" t="str">
        <f ca="1">IFERROR(IF(VLOOKUP(F1656,Kostentypen!$A$3:$E$21,3,0)=0,"",IF(OR(F1656="Arbeidskosten",F1656="Vergoeding"),VLOOKUP(G1656,Tb_KostenTypen[],2,0),VLOOKUP(F1656,Kostentypen!$A$3:$E$20,3,0))),"")</f>
        <v/>
      </c>
      <c r="O1656" s="324"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4"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3"/>
      <c r="R1656" s="363"/>
      <c r="S1656" s="325"/>
      <c r="T1656" s="325"/>
      <c r="U1656" s="317" t="str" cm="1">
        <f t="array" aca="1" ref="U1656" ca="1">IFERROR(IF(AA1656&lt;&gt;"ja",_xlfn.IFNA(_xlfn.IFS(AND(O1656&lt;&gt;"",F1656&lt;&gt;"",RIGHT($N1656,6)="tarief",F1656="Vergoeding"),SUM(O1656)*FLOOR(SUM(Q1656),0.0001),AND(O1656&lt;&gt;"",F1656&lt;&gt;"",RIGHT($N1656,6)="tarief"),SUM(O1656)*FLOOR(SUM(Q1656),0.01),S1656&gt;0,IF(F1656&lt;&gt;"",FLOOR(SUM(S1656),0.01),"")),""),""),"")</f>
        <v/>
      </c>
      <c r="V1656" s="317" t="str" cm="1">
        <f t="array" aca="1" ref="V1656" ca="1">IFERROR(IF(AA1656&lt;&gt;"ja",_xlfn.IFNA(_xlfn.IFS(AND(P1656&lt;&gt;"",R1656&lt;&gt;"",RIGHT($N1656,6)="tarief",F1656="Vergoeding"),SUM(P1656)*FLOOR(SUM(R1656),0.0001),AND(P1656&lt;&gt;"",R1656&lt;&gt;"",RIGHT($N1656,6)="tarief"),P1656*FLOOR(R1656,0.01),T1656&gt;0,FLOOR(SUM(T1656),0.01)),""),""),"")</f>
        <v/>
      </c>
      <c r="W1656" s="317" t="str" cm="1">
        <f t="array" aca="1" ref="W1656" ca="1">IFERROR(_xlfn.IFS(OR(F1656="",LEFT(Methode_Keuze,4)="Geen",Methode_Keuze=""),"",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17" t="str" cm="1">
        <f t="array" aca="1" ref="X1656" ca="1">IFERROR(_xlfn.IFS(OR(F1656="",LEFT(Methode_Keuze,4)="Geen",Methode_Keuze=""),"",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26"/>
      <c r="Z1656" s="319"/>
      <c r="AA1656" s="32" t="str" cm="1">
        <f t="array" ref="AA1656">IFERROR(IF(INDEX(SubsidieTabel!$AD$1:$AG$12,MATCH($F1656,SubsidieTabel!$AD$1:$AD$12,0),IFERROR(MATCH(Methode_Keuze,SubsidieTabel!$AD$1:$AG$1,0),2))&lt;&gt;1=TRUE,"ja",""),"")</f>
        <v/>
      </c>
    </row>
    <row r="1657" spans="1:27" x14ac:dyDescent="0.25">
      <c r="A1657" s="320"/>
      <c r="B1657" s="321" t="str">
        <f>IF(A1657&lt;&gt;"",_xlfn.MAXIFS($B$1:B1656,$A$1:A1656,A1657)+1,"")</f>
        <v/>
      </c>
      <c r="C1657" s="299"/>
      <c r="D1657" s="299"/>
      <c r="E1657" s="299"/>
      <c r="F1657" s="299"/>
      <c r="G1657" s="330"/>
      <c r="H1657" s="328"/>
      <c r="I1657" s="329"/>
      <c r="J1657" s="329"/>
      <c r="K1657" s="322"/>
      <c r="L1657" s="322"/>
      <c r="M1657" s="323" t="str">
        <f>IFERROR(VLOOKUP(H1657,Lijsten!$H$1:$I$100,2,0),"")</f>
        <v/>
      </c>
      <c r="N1657" s="323" t="str">
        <f ca="1">IFERROR(IF(VLOOKUP(F1657,Kostentypen!$A$3:$E$21,3,0)=0,"",IF(OR(F1657="Arbeidskosten",F1657="Vergoeding"),VLOOKUP(G1657,Tb_KostenTypen[],2,0),VLOOKUP(F1657,Kostentypen!$A$3:$E$20,3,0))),"")</f>
        <v/>
      </c>
      <c r="O1657" s="324"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4"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3"/>
      <c r="R1657" s="363"/>
      <c r="S1657" s="325"/>
      <c r="T1657" s="325"/>
      <c r="U1657" s="317" t="str" cm="1">
        <f t="array" aca="1" ref="U1657" ca="1">IFERROR(IF(AA1657&lt;&gt;"ja",_xlfn.IFNA(_xlfn.IFS(AND(O1657&lt;&gt;"",F1657&lt;&gt;"",RIGHT($N1657,6)="tarief",F1657="Vergoeding"),SUM(O1657)*FLOOR(SUM(Q1657),0.0001),AND(O1657&lt;&gt;"",F1657&lt;&gt;"",RIGHT($N1657,6)="tarief"),SUM(O1657)*FLOOR(SUM(Q1657),0.01),S1657&gt;0,IF(F1657&lt;&gt;"",FLOOR(SUM(S1657),0.01),"")),""),""),"")</f>
        <v/>
      </c>
      <c r="V1657" s="317" t="str" cm="1">
        <f t="array" aca="1" ref="V1657" ca="1">IFERROR(IF(AA1657&lt;&gt;"ja",_xlfn.IFNA(_xlfn.IFS(AND(P1657&lt;&gt;"",R1657&lt;&gt;"",RIGHT($N1657,6)="tarief",F1657="Vergoeding"),SUM(P1657)*FLOOR(SUM(R1657),0.0001),AND(P1657&lt;&gt;"",R1657&lt;&gt;"",RIGHT($N1657,6)="tarief"),P1657*FLOOR(R1657,0.01),T1657&gt;0,FLOOR(SUM(T1657),0.01)),""),""),"")</f>
        <v/>
      </c>
      <c r="W1657" s="317" t="str" cm="1">
        <f t="array" aca="1" ref="W1657" ca="1">IFERROR(_xlfn.IFS(OR(F1657="",LEFT(Methode_Keuze,4)="Geen",Methode_Keuze=""),"",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17" t="str" cm="1">
        <f t="array" aca="1" ref="X1657" ca="1">IFERROR(_xlfn.IFS(OR(F1657="",LEFT(Methode_Keuze,4)="Geen",Methode_Keuze=""),"",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26"/>
      <c r="Z1657" s="319"/>
      <c r="AA1657" s="32" t="str" cm="1">
        <f t="array" ref="AA1657">IFERROR(IF(INDEX(SubsidieTabel!$AD$1:$AG$12,MATCH($F1657,SubsidieTabel!$AD$1:$AD$12,0),IFERROR(MATCH(Methode_Keuze,SubsidieTabel!$AD$1:$AG$1,0),2))&lt;&gt;1=TRUE,"ja",""),"")</f>
        <v/>
      </c>
    </row>
    <row r="1658" spans="1:27" x14ac:dyDescent="0.25">
      <c r="A1658" s="320"/>
      <c r="B1658" s="321" t="str">
        <f>IF(A1658&lt;&gt;"",_xlfn.MAXIFS($B$1:B1657,$A$1:A1657,A1658)+1,"")</f>
        <v/>
      </c>
      <c r="C1658" s="299"/>
      <c r="D1658" s="299"/>
      <c r="E1658" s="299"/>
      <c r="F1658" s="299"/>
      <c r="G1658" s="330"/>
      <c r="H1658" s="328"/>
      <c r="I1658" s="329"/>
      <c r="J1658" s="329"/>
      <c r="K1658" s="322"/>
      <c r="L1658" s="322"/>
      <c r="M1658" s="323" t="str">
        <f>IFERROR(VLOOKUP(H1658,Lijsten!$H$1:$I$100,2,0),"")</f>
        <v/>
      </c>
      <c r="N1658" s="323" t="str">
        <f ca="1">IFERROR(IF(VLOOKUP(F1658,Kostentypen!$A$3:$E$21,3,0)=0,"",IF(OR(F1658="Arbeidskosten",F1658="Vergoeding"),VLOOKUP(G1658,Tb_KostenTypen[],2,0),VLOOKUP(F1658,Kostentypen!$A$3:$E$20,3,0))),"")</f>
        <v/>
      </c>
      <c r="O1658" s="324"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4"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3"/>
      <c r="R1658" s="363"/>
      <c r="S1658" s="325"/>
      <c r="T1658" s="325"/>
      <c r="U1658" s="317" t="str" cm="1">
        <f t="array" aca="1" ref="U1658" ca="1">IFERROR(IF(AA1658&lt;&gt;"ja",_xlfn.IFNA(_xlfn.IFS(AND(O1658&lt;&gt;"",F1658&lt;&gt;"",RIGHT($N1658,6)="tarief",F1658="Vergoeding"),SUM(O1658)*FLOOR(SUM(Q1658),0.0001),AND(O1658&lt;&gt;"",F1658&lt;&gt;"",RIGHT($N1658,6)="tarief"),SUM(O1658)*FLOOR(SUM(Q1658),0.01),S1658&gt;0,IF(F1658&lt;&gt;"",FLOOR(SUM(S1658),0.01),"")),""),""),"")</f>
        <v/>
      </c>
      <c r="V1658" s="317" t="str" cm="1">
        <f t="array" aca="1" ref="V1658" ca="1">IFERROR(IF(AA1658&lt;&gt;"ja",_xlfn.IFNA(_xlfn.IFS(AND(P1658&lt;&gt;"",R1658&lt;&gt;"",RIGHT($N1658,6)="tarief",F1658="Vergoeding"),SUM(P1658)*FLOOR(SUM(R1658),0.0001),AND(P1658&lt;&gt;"",R1658&lt;&gt;"",RIGHT($N1658,6)="tarief"),P1658*FLOOR(R1658,0.01),T1658&gt;0,FLOOR(SUM(T1658),0.01)),""),""),"")</f>
        <v/>
      </c>
      <c r="W1658" s="317" t="str" cm="1">
        <f t="array" aca="1" ref="W1658" ca="1">IFERROR(_xlfn.IFS(OR(F1658="",LEFT(Methode_Keuze,4)="Geen",Methode_Keuze=""),"",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17" t="str" cm="1">
        <f t="array" aca="1" ref="X1658" ca="1">IFERROR(_xlfn.IFS(OR(F1658="",LEFT(Methode_Keuze,4)="Geen",Methode_Keuze=""),"",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26"/>
      <c r="Z1658" s="319"/>
      <c r="AA1658" s="32" t="str" cm="1">
        <f t="array" ref="AA1658">IFERROR(IF(INDEX(SubsidieTabel!$AD$1:$AG$12,MATCH($F1658,SubsidieTabel!$AD$1:$AD$12,0),IFERROR(MATCH(Methode_Keuze,SubsidieTabel!$AD$1:$AG$1,0),2))&lt;&gt;1=TRUE,"ja",""),"")</f>
        <v/>
      </c>
    </row>
    <row r="1659" spans="1:27" x14ac:dyDescent="0.25">
      <c r="A1659" s="320"/>
      <c r="B1659" s="321" t="str">
        <f>IF(A1659&lt;&gt;"",_xlfn.MAXIFS($B$1:B1658,$A$1:A1658,A1659)+1,"")</f>
        <v/>
      </c>
      <c r="C1659" s="299"/>
      <c r="D1659" s="299"/>
      <c r="E1659" s="299"/>
      <c r="F1659" s="299"/>
      <c r="G1659" s="330"/>
      <c r="H1659" s="328"/>
      <c r="I1659" s="329"/>
      <c r="J1659" s="329"/>
      <c r="K1659" s="322"/>
      <c r="L1659" s="322"/>
      <c r="M1659" s="323" t="str">
        <f>IFERROR(VLOOKUP(H1659,Lijsten!$H$1:$I$100,2,0),"")</f>
        <v/>
      </c>
      <c r="N1659" s="323" t="str">
        <f ca="1">IFERROR(IF(VLOOKUP(F1659,Kostentypen!$A$3:$E$21,3,0)=0,"",IF(OR(F1659="Arbeidskosten",F1659="Vergoeding"),VLOOKUP(G1659,Tb_KostenTypen[],2,0),VLOOKUP(F1659,Kostentypen!$A$3:$E$20,3,0))),"")</f>
        <v/>
      </c>
      <c r="O1659" s="324"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4"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3"/>
      <c r="R1659" s="363"/>
      <c r="S1659" s="325"/>
      <c r="T1659" s="325"/>
      <c r="U1659" s="317" t="str" cm="1">
        <f t="array" aca="1" ref="U1659" ca="1">IFERROR(IF(AA1659&lt;&gt;"ja",_xlfn.IFNA(_xlfn.IFS(AND(O1659&lt;&gt;"",F1659&lt;&gt;"",RIGHT($N1659,6)="tarief",F1659="Vergoeding"),SUM(O1659)*FLOOR(SUM(Q1659),0.0001),AND(O1659&lt;&gt;"",F1659&lt;&gt;"",RIGHT($N1659,6)="tarief"),SUM(O1659)*FLOOR(SUM(Q1659),0.01),S1659&gt;0,IF(F1659&lt;&gt;"",FLOOR(SUM(S1659),0.01),"")),""),""),"")</f>
        <v/>
      </c>
      <c r="V1659" s="317" t="str" cm="1">
        <f t="array" aca="1" ref="V1659" ca="1">IFERROR(IF(AA1659&lt;&gt;"ja",_xlfn.IFNA(_xlfn.IFS(AND(P1659&lt;&gt;"",R1659&lt;&gt;"",RIGHT($N1659,6)="tarief",F1659="Vergoeding"),SUM(P1659)*FLOOR(SUM(R1659),0.0001),AND(P1659&lt;&gt;"",R1659&lt;&gt;"",RIGHT($N1659,6)="tarief"),P1659*FLOOR(R1659,0.01),T1659&gt;0,FLOOR(SUM(T1659),0.01)),""),""),"")</f>
        <v/>
      </c>
      <c r="W1659" s="317" t="str" cm="1">
        <f t="array" aca="1" ref="W1659" ca="1">IFERROR(_xlfn.IFS(OR(F1659="",LEFT(Methode_Keuze,4)="Geen",Methode_Keuze=""),"",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17" t="str" cm="1">
        <f t="array" aca="1" ref="X1659" ca="1">IFERROR(_xlfn.IFS(OR(F1659="",LEFT(Methode_Keuze,4)="Geen",Methode_Keuze=""),"",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26"/>
      <c r="Z1659" s="319"/>
      <c r="AA1659" s="32" t="str" cm="1">
        <f t="array" ref="AA1659">IFERROR(IF(INDEX(SubsidieTabel!$AD$1:$AG$12,MATCH($F1659,SubsidieTabel!$AD$1:$AD$12,0),IFERROR(MATCH(Methode_Keuze,SubsidieTabel!$AD$1:$AG$1,0),2))&lt;&gt;1=TRUE,"ja",""),"")</f>
        <v/>
      </c>
    </row>
    <row r="1660" spans="1:27" x14ac:dyDescent="0.25">
      <c r="A1660" s="320"/>
      <c r="B1660" s="321" t="str">
        <f>IF(A1660&lt;&gt;"",_xlfn.MAXIFS($B$1:B1659,$A$1:A1659,A1660)+1,"")</f>
        <v/>
      </c>
      <c r="C1660" s="299"/>
      <c r="D1660" s="299"/>
      <c r="E1660" s="299"/>
      <c r="F1660" s="299"/>
      <c r="G1660" s="330"/>
      <c r="H1660" s="328"/>
      <c r="I1660" s="329"/>
      <c r="J1660" s="329"/>
      <c r="K1660" s="322"/>
      <c r="L1660" s="322"/>
      <c r="M1660" s="323" t="str">
        <f>IFERROR(VLOOKUP(H1660,Lijsten!$H$1:$I$100,2,0),"")</f>
        <v/>
      </c>
      <c r="N1660" s="323" t="str">
        <f ca="1">IFERROR(IF(VLOOKUP(F1660,Kostentypen!$A$3:$E$21,3,0)=0,"",IF(OR(F1660="Arbeidskosten",F1660="Vergoeding"),VLOOKUP(G1660,Tb_KostenTypen[],2,0),VLOOKUP(F1660,Kostentypen!$A$3:$E$20,3,0))),"")</f>
        <v/>
      </c>
      <c r="O1660" s="324"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4"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3"/>
      <c r="R1660" s="363"/>
      <c r="S1660" s="325"/>
      <c r="T1660" s="325"/>
      <c r="U1660" s="317" t="str" cm="1">
        <f t="array" aca="1" ref="U1660" ca="1">IFERROR(IF(AA1660&lt;&gt;"ja",_xlfn.IFNA(_xlfn.IFS(AND(O1660&lt;&gt;"",F1660&lt;&gt;"",RIGHT($N1660,6)="tarief",F1660="Vergoeding"),SUM(O1660)*FLOOR(SUM(Q1660),0.0001),AND(O1660&lt;&gt;"",F1660&lt;&gt;"",RIGHT($N1660,6)="tarief"),SUM(O1660)*FLOOR(SUM(Q1660),0.01),S1660&gt;0,IF(F1660&lt;&gt;"",FLOOR(SUM(S1660),0.01),"")),""),""),"")</f>
        <v/>
      </c>
      <c r="V1660" s="317" t="str" cm="1">
        <f t="array" aca="1" ref="V1660" ca="1">IFERROR(IF(AA1660&lt;&gt;"ja",_xlfn.IFNA(_xlfn.IFS(AND(P1660&lt;&gt;"",R1660&lt;&gt;"",RIGHT($N1660,6)="tarief",F1660="Vergoeding"),SUM(P1660)*FLOOR(SUM(R1660),0.0001),AND(P1660&lt;&gt;"",R1660&lt;&gt;"",RIGHT($N1660,6)="tarief"),P1660*FLOOR(R1660,0.01),T1660&gt;0,FLOOR(SUM(T1660),0.01)),""),""),"")</f>
        <v/>
      </c>
      <c r="W1660" s="317" t="str" cm="1">
        <f t="array" aca="1" ref="W1660" ca="1">IFERROR(_xlfn.IFS(OR(F1660="",LEFT(Methode_Keuze,4)="Geen",Methode_Keuze=""),"",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17" t="str" cm="1">
        <f t="array" aca="1" ref="X1660" ca="1">IFERROR(_xlfn.IFS(OR(F1660="",LEFT(Methode_Keuze,4)="Geen",Methode_Keuze=""),"",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26"/>
      <c r="Z1660" s="319"/>
      <c r="AA1660" s="32" t="str" cm="1">
        <f t="array" ref="AA1660">IFERROR(IF(INDEX(SubsidieTabel!$AD$1:$AG$12,MATCH($F1660,SubsidieTabel!$AD$1:$AD$12,0),IFERROR(MATCH(Methode_Keuze,SubsidieTabel!$AD$1:$AG$1,0),2))&lt;&gt;1=TRUE,"ja",""),"")</f>
        <v/>
      </c>
    </row>
    <row r="1661" spans="1:27" x14ac:dyDescent="0.25">
      <c r="A1661" s="320"/>
      <c r="B1661" s="321" t="str">
        <f>IF(A1661&lt;&gt;"",_xlfn.MAXIFS($B$1:B1660,$A$1:A1660,A1661)+1,"")</f>
        <v/>
      </c>
      <c r="C1661" s="299"/>
      <c r="D1661" s="299"/>
      <c r="E1661" s="299"/>
      <c r="F1661" s="299"/>
      <c r="G1661" s="330"/>
      <c r="H1661" s="328"/>
      <c r="I1661" s="329"/>
      <c r="J1661" s="329"/>
      <c r="K1661" s="322"/>
      <c r="L1661" s="322"/>
      <c r="M1661" s="323" t="str">
        <f>IFERROR(VLOOKUP(H1661,Lijsten!$H$1:$I$100,2,0),"")</f>
        <v/>
      </c>
      <c r="N1661" s="323" t="str">
        <f ca="1">IFERROR(IF(VLOOKUP(F1661,Kostentypen!$A$3:$E$21,3,0)=0,"",IF(OR(F1661="Arbeidskosten",F1661="Vergoeding"),VLOOKUP(G1661,Tb_KostenTypen[],2,0),VLOOKUP(F1661,Kostentypen!$A$3:$E$20,3,0))),"")</f>
        <v/>
      </c>
      <c r="O1661" s="324"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4"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3"/>
      <c r="R1661" s="363"/>
      <c r="S1661" s="325"/>
      <c r="T1661" s="325"/>
      <c r="U1661" s="317" t="str" cm="1">
        <f t="array" aca="1" ref="U1661" ca="1">IFERROR(IF(AA1661&lt;&gt;"ja",_xlfn.IFNA(_xlfn.IFS(AND(O1661&lt;&gt;"",F1661&lt;&gt;"",RIGHT($N1661,6)="tarief",F1661="Vergoeding"),SUM(O1661)*FLOOR(SUM(Q1661),0.0001),AND(O1661&lt;&gt;"",F1661&lt;&gt;"",RIGHT($N1661,6)="tarief"),SUM(O1661)*FLOOR(SUM(Q1661),0.01),S1661&gt;0,IF(F1661&lt;&gt;"",FLOOR(SUM(S1661),0.01),"")),""),""),"")</f>
        <v/>
      </c>
      <c r="V1661" s="317" t="str" cm="1">
        <f t="array" aca="1" ref="V1661" ca="1">IFERROR(IF(AA1661&lt;&gt;"ja",_xlfn.IFNA(_xlfn.IFS(AND(P1661&lt;&gt;"",R1661&lt;&gt;"",RIGHT($N1661,6)="tarief",F1661="Vergoeding"),SUM(P1661)*FLOOR(SUM(R1661),0.0001),AND(P1661&lt;&gt;"",R1661&lt;&gt;"",RIGHT($N1661,6)="tarief"),P1661*FLOOR(R1661,0.01),T1661&gt;0,FLOOR(SUM(T1661),0.01)),""),""),"")</f>
        <v/>
      </c>
      <c r="W1661" s="317" t="str" cm="1">
        <f t="array" aca="1" ref="W1661" ca="1">IFERROR(_xlfn.IFS(OR(F1661="",LEFT(Methode_Keuze,4)="Geen",Methode_Keuze=""),"",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17" t="str" cm="1">
        <f t="array" aca="1" ref="X1661" ca="1">IFERROR(_xlfn.IFS(OR(F1661="",LEFT(Methode_Keuze,4)="Geen",Methode_Keuze=""),"",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26"/>
      <c r="Z1661" s="319"/>
      <c r="AA1661" s="32" t="str" cm="1">
        <f t="array" ref="AA1661">IFERROR(IF(INDEX(SubsidieTabel!$AD$1:$AG$12,MATCH($F1661,SubsidieTabel!$AD$1:$AD$12,0),IFERROR(MATCH(Methode_Keuze,SubsidieTabel!$AD$1:$AG$1,0),2))&lt;&gt;1=TRUE,"ja",""),"")</f>
        <v/>
      </c>
    </row>
    <row r="1662" spans="1:27" x14ac:dyDescent="0.25">
      <c r="A1662" s="320"/>
      <c r="B1662" s="321" t="str">
        <f>IF(A1662&lt;&gt;"",_xlfn.MAXIFS($B$1:B1661,$A$1:A1661,A1662)+1,"")</f>
        <v/>
      </c>
      <c r="C1662" s="299"/>
      <c r="D1662" s="299"/>
      <c r="E1662" s="299"/>
      <c r="F1662" s="299"/>
      <c r="G1662" s="330"/>
      <c r="H1662" s="328"/>
      <c r="I1662" s="329"/>
      <c r="J1662" s="329"/>
      <c r="K1662" s="322"/>
      <c r="L1662" s="322"/>
      <c r="M1662" s="323" t="str">
        <f>IFERROR(VLOOKUP(H1662,Lijsten!$H$1:$I$100,2,0),"")</f>
        <v/>
      </c>
      <c r="N1662" s="323" t="str">
        <f ca="1">IFERROR(IF(VLOOKUP(F1662,Kostentypen!$A$3:$E$21,3,0)=0,"",IF(OR(F1662="Arbeidskosten",F1662="Vergoeding"),VLOOKUP(G1662,Tb_KostenTypen[],2,0),VLOOKUP(F1662,Kostentypen!$A$3:$E$20,3,0))),"")</f>
        <v/>
      </c>
      <c r="O1662" s="324"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4"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3"/>
      <c r="R1662" s="363"/>
      <c r="S1662" s="325"/>
      <c r="T1662" s="325"/>
      <c r="U1662" s="317" t="str" cm="1">
        <f t="array" aca="1" ref="U1662" ca="1">IFERROR(IF(AA1662&lt;&gt;"ja",_xlfn.IFNA(_xlfn.IFS(AND(O1662&lt;&gt;"",F1662&lt;&gt;"",RIGHT($N1662,6)="tarief",F1662="Vergoeding"),SUM(O1662)*FLOOR(SUM(Q1662),0.0001),AND(O1662&lt;&gt;"",F1662&lt;&gt;"",RIGHT($N1662,6)="tarief"),SUM(O1662)*FLOOR(SUM(Q1662),0.01),S1662&gt;0,IF(F1662&lt;&gt;"",FLOOR(SUM(S1662),0.01),"")),""),""),"")</f>
        <v/>
      </c>
      <c r="V1662" s="317" t="str" cm="1">
        <f t="array" aca="1" ref="V1662" ca="1">IFERROR(IF(AA1662&lt;&gt;"ja",_xlfn.IFNA(_xlfn.IFS(AND(P1662&lt;&gt;"",R1662&lt;&gt;"",RIGHT($N1662,6)="tarief",F1662="Vergoeding"),SUM(P1662)*FLOOR(SUM(R1662),0.0001),AND(P1662&lt;&gt;"",R1662&lt;&gt;"",RIGHT($N1662,6)="tarief"),P1662*FLOOR(R1662,0.01),T1662&gt;0,FLOOR(SUM(T1662),0.01)),""),""),"")</f>
        <v/>
      </c>
      <c r="W1662" s="317" t="str" cm="1">
        <f t="array" aca="1" ref="W1662" ca="1">IFERROR(_xlfn.IFS(OR(F1662="",LEFT(Methode_Keuze,4)="Geen",Methode_Keuze=""),"",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17" t="str" cm="1">
        <f t="array" aca="1" ref="X1662" ca="1">IFERROR(_xlfn.IFS(OR(F1662="",LEFT(Methode_Keuze,4)="Geen",Methode_Keuze=""),"",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26"/>
      <c r="Z1662" s="319"/>
      <c r="AA1662" s="32" t="str" cm="1">
        <f t="array" ref="AA1662">IFERROR(IF(INDEX(SubsidieTabel!$AD$1:$AG$12,MATCH($F1662,SubsidieTabel!$AD$1:$AD$12,0),IFERROR(MATCH(Methode_Keuze,SubsidieTabel!$AD$1:$AG$1,0),2))&lt;&gt;1=TRUE,"ja",""),"")</f>
        <v/>
      </c>
    </row>
    <row r="1663" spans="1:27" x14ac:dyDescent="0.25">
      <c r="A1663" s="320"/>
      <c r="B1663" s="321" t="str">
        <f>IF(A1663&lt;&gt;"",_xlfn.MAXIFS($B$1:B1662,$A$1:A1662,A1663)+1,"")</f>
        <v/>
      </c>
      <c r="C1663" s="299"/>
      <c r="D1663" s="299"/>
      <c r="E1663" s="299"/>
      <c r="F1663" s="299"/>
      <c r="G1663" s="330"/>
      <c r="H1663" s="328"/>
      <c r="I1663" s="329"/>
      <c r="J1663" s="329"/>
      <c r="K1663" s="322"/>
      <c r="L1663" s="322"/>
      <c r="M1663" s="323" t="str">
        <f>IFERROR(VLOOKUP(H1663,Lijsten!$H$1:$I$100,2,0),"")</f>
        <v/>
      </c>
      <c r="N1663" s="323" t="str">
        <f ca="1">IFERROR(IF(VLOOKUP(F1663,Kostentypen!$A$3:$E$21,3,0)=0,"",IF(OR(F1663="Arbeidskosten",F1663="Vergoeding"),VLOOKUP(G1663,Tb_KostenTypen[],2,0),VLOOKUP(F1663,Kostentypen!$A$3:$E$20,3,0))),"")</f>
        <v/>
      </c>
      <c r="O1663" s="324"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4"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3"/>
      <c r="R1663" s="363"/>
      <c r="S1663" s="325"/>
      <c r="T1663" s="325"/>
      <c r="U1663" s="317" t="str" cm="1">
        <f t="array" aca="1" ref="U1663" ca="1">IFERROR(IF(AA1663&lt;&gt;"ja",_xlfn.IFNA(_xlfn.IFS(AND(O1663&lt;&gt;"",F1663&lt;&gt;"",RIGHT($N1663,6)="tarief",F1663="Vergoeding"),SUM(O1663)*FLOOR(SUM(Q1663),0.0001),AND(O1663&lt;&gt;"",F1663&lt;&gt;"",RIGHT($N1663,6)="tarief"),SUM(O1663)*FLOOR(SUM(Q1663),0.01),S1663&gt;0,IF(F1663&lt;&gt;"",FLOOR(SUM(S1663),0.01),"")),""),""),"")</f>
        <v/>
      </c>
      <c r="V1663" s="317" t="str" cm="1">
        <f t="array" aca="1" ref="V1663" ca="1">IFERROR(IF(AA1663&lt;&gt;"ja",_xlfn.IFNA(_xlfn.IFS(AND(P1663&lt;&gt;"",R1663&lt;&gt;"",RIGHT($N1663,6)="tarief",F1663="Vergoeding"),SUM(P1663)*FLOOR(SUM(R1663),0.0001),AND(P1663&lt;&gt;"",R1663&lt;&gt;"",RIGHT($N1663,6)="tarief"),P1663*FLOOR(R1663,0.01),T1663&gt;0,FLOOR(SUM(T1663),0.01)),""),""),"")</f>
        <v/>
      </c>
      <c r="W1663" s="317" t="str" cm="1">
        <f t="array" aca="1" ref="W1663" ca="1">IFERROR(_xlfn.IFS(OR(F1663="",LEFT(Methode_Keuze,4)="Geen",Methode_Keuze=""),"",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17" t="str" cm="1">
        <f t="array" aca="1" ref="X1663" ca="1">IFERROR(_xlfn.IFS(OR(F1663="",LEFT(Methode_Keuze,4)="Geen",Methode_Keuze=""),"",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26"/>
      <c r="Z1663" s="319"/>
      <c r="AA1663" s="32" t="str" cm="1">
        <f t="array" ref="AA1663">IFERROR(IF(INDEX(SubsidieTabel!$AD$1:$AG$12,MATCH($F1663,SubsidieTabel!$AD$1:$AD$12,0),IFERROR(MATCH(Methode_Keuze,SubsidieTabel!$AD$1:$AG$1,0),2))&lt;&gt;1=TRUE,"ja",""),"")</f>
        <v/>
      </c>
    </row>
    <row r="1664" spans="1:27" x14ac:dyDescent="0.25">
      <c r="A1664" s="320"/>
      <c r="B1664" s="321" t="str">
        <f>IF(A1664&lt;&gt;"",_xlfn.MAXIFS($B$1:B1663,$A$1:A1663,A1664)+1,"")</f>
        <v/>
      </c>
      <c r="C1664" s="299"/>
      <c r="D1664" s="299"/>
      <c r="E1664" s="299"/>
      <c r="F1664" s="299"/>
      <c r="G1664" s="330"/>
      <c r="H1664" s="328"/>
      <c r="I1664" s="329"/>
      <c r="J1664" s="329"/>
      <c r="K1664" s="322"/>
      <c r="L1664" s="322"/>
      <c r="M1664" s="323" t="str">
        <f>IFERROR(VLOOKUP(H1664,Lijsten!$H$1:$I$100,2,0),"")</f>
        <v/>
      </c>
      <c r="N1664" s="323" t="str">
        <f ca="1">IFERROR(IF(VLOOKUP(F1664,Kostentypen!$A$3:$E$21,3,0)=0,"",IF(OR(F1664="Arbeidskosten",F1664="Vergoeding"),VLOOKUP(G1664,Tb_KostenTypen[],2,0),VLOOKUP(F1664,Kostentypen!$A$3:$E$20,3,0))),"")</f>
        <v/>
      </c>
      <c r="O1664" s="324"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4"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3"/>
      <c r="R1664" s="363"/>
      <c r="S1664" s="325"/>
      <c r="T1664" s="325"/>
      <c r="U1664" s="317" t="str" cm="1">
        <f t="array" aca="1" ref="U1664" ca="1">IFERROR(IF(AA1664&lt;&gt;"ja",_xlfn.IFNA(_xlfn.IFS(AND(O1664&lt;&gt;"",F1664&lt;&gt;"",RIGHT($N1664,6)="tarief",F1664="Vergoeding"),SUM(O1664)*FLOOR(SUM(Q1664),0.0001),AND(O1664&lt;&gt;"",F1664&lt;&gt;"",RIGHT($N1664,6)="tarief"),SUM(O1664)*FLOOR(SUM(Q1664),0.01),S1664&gt;0,IF(F1664&lt;&gt;"",FLOOR(SUM(S1664),0.01),"")),""),""),"")</f>
        <v/>
      </c>
      <c r="V1664" s="317" t="str" cm="1">
        <f t="array" aca="1" ref="V1664" ca="1">IFERROR(IF(AA1664&lt;&gt;"ja",_xlfn.IFNA(_xlfn.IFS(AND(P1664&lt;&gt;"",R1664&lt;&gt;"",RIGHT($N1664,6)="tarief",F1664="Vergoeding"),SUM(P1664)*FLOOR(SUM(R1664),0.0001),AND(P1664&lt;&gt;"",R1664&lt;&gt;"",RIGHT($N1664,6)="tarief"),P1664*FLOOR(R1664,0.01),T1664&gt;0,FLOOR(SUM(T1664),0.01)),""),""),"")</f>
        <v/>
      </c>
      <c r="W1664" s="317" t="str" cm="1">
        <f t="array" aca="1" ref="W1664" ca="1">IFERROR(_xlfn.IFS(OR(F1664="",LEFT(Methode_Keuze,4)="Geen",Methode_Keuze=""),"",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17" t="str" cm="1">
        <f t="array" aca="1" ref="X1664" ca="1">IFERROR(_xlfn.IFS(OR(F1664="",LEFT(Methode_Keuze,4)="Geen",Methode_Keuze=""),"",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26"/>
      <c r="Z1664" s="319"/>
      <c r="AA1664" s="32" t="str" cm="1">
        <f t="array" ref="AA1664">IFERROR(IF(INDEX(SubsidieTabel!$AD$1:$AG$12,MATCH($F1664,SubsidieTabel!$AD$1:$AD$12,0),IFERROR(MATCH(Methode_Keuze,SubsidieTabel!$AD$1:$AG$1,0),2))&lt;&gt;1=TRUE,"ja",""),"")</f>
        <v/>
      </c>
    </row>
    <row r="1665" spans="1:27" x14ac:dyDescent="0.25">
      <c r="A1665" s="320"/>
      <c r="B1665" s="321" t="str">
        <f>IF(A1665&lt;&gt;"",_xlfn.MAXIFS($B$1:B1664,$A$1:A1664,A1665)+1,"")</f>
        <v/>
      </c>
      <c r="C1665" s="299"/>
      <c r="D1665" s="299"/>
      <c r="E1665" s="299"/>
      <c r="F1665" s="299"/>
      <c r="G1665" s="330"/>
      <c r="H1665" s="328"/>
      <c r="I1665" s="329"/>
      <c r="J1665" s="329"/>
      <c r="K1665" s="322"/>
      <c r="L1665" s="322"/>
      <c r="M1665" s="323" t="str">
        <f>IFERROR(VLOOKUP(H1665,Lijsten!$H$1:$I$100,2,0),"")</f>
        <v/>
      </c>
      <c r="N1665" s="323" t="str">
        <f ca="1">IFERROR(IF(VLOOKUP(F1665,Kostentypen!$A$3:$E$21,3,0)=0,"",IF(OR(F1665="Arbeidskosten",F1665="Vergoeding"),VLOOKUP(G1665,Tb_KostenTypen[],2,0),VLOOKUP(F1665,Kostentypen!$A$3:$E$20,3,0))),"")</f>
        <v/>
      </c>
      <c r="O1665" s="324"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4"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3"/>
      <c r="R1665" s="363"/>
      <c r="S1665" s="325"/>
      <c r="T1665" s="325"/>
      <c r="U1665" s="317" t="str" cm="1">
        <f t="array" aca="1" ref="U1665" ca="1">IFERROR(IF(AA1665&lt;&gt;"ja",_xlfn.IFNA(_xlfn.IFS(AND(O1665&lt;&gt;"",F1665&lt;&gt;"",RIGHT($N1665,6)="tarief",F1665="Vergoeding"),SUM(O1665)*FLOOR(SUM(Q1665),0.0001),AND(O1665&lt;&gt;"",F1665&lt;&gt;"",RIGHT($N1665,6)="tarief"),SUM(O1665)*FLOOR(SUM(Q1665),0.01),S1665&gt;0,IF(F1665&lt;&gt;"",FLOOR(SUM(S1665),0.01),"")),""),""),"")</f>
        <v/>
      </c>
      <c r="V1665" s="317" t="str" cm="1">
        <f t="array" aca="1" ref="V1665" ca="1">IFERROR(IF(AA1665&lt;&gt;"ja",_xlfn.IFNA(_xlfn.IFS(AND(P1665&lt;&gt;"",R1665&lt;&gt;"",RIGHT($N1665,6)="tarief",F1665="Vergoeding"),SUM(P1665)*FLOOR(SUM(R1665),0.0001),AND(P1665&lt;&gt;"",R1665&lt;&gt;"",RIGHT($N1665,6)="tarief"),P1665*FLOOR(R1665,0.01),T1665&gt;0,FLOOR(SUM(T1665),0.01)),""),""),"")</f>
        <v/>
      </c>
      <c r="W1665" s="317" t="str" cm="1">
        <f t="array" aca="1" ref="W1665" ca="1">IFERROR(_xlfn.IFS(OR(F1665="",LEFT(Methode_Keuze,4)="Geen",Methode_Keuze=""),"",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17" t="str" cm="1">
        <f t="array" aca="1" ref="X1665" ca="1">IFERROR(_xlfn.IFS(OR(F1665="",LEFT(Methode_Keuze,4)="Geen",Methode_Keuze=""),"",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26"/>
      <c r="Z1665" s="319"/>
      <c r="AA1665" s="32" t="str" cm="1">
        <f t="array" ref="AA1665">IFERROR(IF(INDEX(SubsidieTabel!$AD$1:$AG$12,MATCH($F1665,SubsidieTabel!$AD$1:$AD$12,0),IFERROR(MATCH(Methode_Keuze,SubsidieTabel!$AD$1:$AG$1,0),2))&lt;&gt;1=TRUE,"ja",""),"")</f>
        <v/>
      </c>
    </row>
    <row r="1666" spans="1:27" x14ac:dyDescent="0.25">
      <c r="A1666" s="320"/>
      <c r="B1666" s="321" t="str">
        <f>IF(A1666&lt;&gt;"",_xlfn.MAXIFS($B$1:B1665,$A$1:A1665,A1666)+1,"")</f>
        <v/>
      </c>
      <c r="C1666" s="299"/>
      <c r="D1666" s="299"/>
      <c r="E1666" s="299"/>
      <c r="F1666" s="299"/>
      <c r="G1666" s="330"/>
      <c r="H1666" s="328"/>
      <c r="I1666" s="329"/>
      <c r="J1666" s="329"/>
      <c r="K1666" s="322"/>
      <c r="L1666" s="322"/>
      <c r="M1666" s="323" t="str">
        <f>IFERROR(VLOOKUP(H1666,Lijsten!$H$1:$I$100,2,0),"")</f>
        <v/>
      </c>
      <c r="N1666" s="323" t="str">
        <f ca="1">IFERROR(IF(VLOOKUP(F1666,Kostentypen!$A$3:$E$21,3,0)=0,"",IF(OR(F1666="Arbeidskosten",F1666="Vergoeding"),VLOOKUP(G1666,Tb_KostenTypen[],2,0),VLOOKUP(F1666,Kostentypen!$A$3:$E$20,3,0))),"")</f>
        <v/>
      </c>
      <c r="O1666" s="324"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4"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3"/>
      <c r="R1666" s="363"/>
      <c r="S1666" s="325"/>
      <c r="T1666" s="325"/>
      <c r="U1666" s="317" t="str" cm="1">
        <f t="array" aca="1" ref="U1666" ca="1">IFERROR(IF(AA1666&lt;&gt;"ja",_xlfn.IFNA(_xlfn.IFS(AND(O1666&lt;&gt;"",F1666&lt;&gt;"",RIGHT($N1666,6)="tarief",F1666="Vergoeding"),SUM(O1666)*FLOOR(SUM(Q1666),0.0001),AND(O1666&lt;&gt;"",F1666&lt;&gt;"",RIGHT($N1666,6)="tarief"),SUM(O1666)*FLOOR(SUM(Q1666),0.01),S1666&gt;0,IF(F1666&lt;&gt;"",FLOOR(SUM(S1666),0.01),"")),""),""),"")</f>
        <v/>
      </c>
      <c r="V1666" s="317" t="str" cm="1">
        <f t="array" aca="1" ref="V1666" ca="1">IFERROR(IF(AA1666&lt;&gt;"ja",_xlfn.IFNA(_xlfn.IFS(AND(P1666&lt;&gt;"",R1666&lt;&gt;"",RIGHT($N1666,6)="tarief",F1666="Vergoeding"),SUM(P1666)*FLOOR(SUM(R1666),0.0001),AND(P1666&lt;&gt;"",R1666&lt;&gt;"",RIGHT($N1666,6)="tarief"),P1666*FLOOR(R1666,0.01),T1666&gt;0,FLOOR(SUM(T1666),0.01)),""),""),"")</f>
        <v/>
      </c>
      <c r="W1666" s="317" t="str" cm="1">
        <f t="array" aca="1" ref="W1666" ca="1">IFERROR(_xlfn.IFS(OR(F1666="",LEFT(Methode_Keuze,4)="Geen",Methode_Keuze=""),"",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17" t="str" cm="1">
        <f t="array" aca="1" ref="X1666" ca="1">IFERROR(_xlfn.IFS(OR(F1666="",LEFT(Methode_Keuze,4)="Geen",Methode_Keuze=""),"",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26"/>
      <c r="Z1666" s="319"/>
      <c r="AA1666" s="32" t="str" cm="1">
        <f t="array" ref="AA1666">IFERROR(IF(INDEX(SubsidieTabel!$AD$1:$AG$12,MATCH($F1666,SubsidieTabel!$AD$1:$AD$12,0),IFERROR(MATCH(Methode_Keuze,SubsidieTabel!$AD$1:$AG$1,0),2))&lt;&gt;1=TRUE,"ja",""),"")</f>
        <v/>
      </c>
    </row>
    <row r="1667" spans="1:27" x14ac:dyDescent="0.25">
      <c r="A1667" s="320"/>
      <c r="B1667" s="321" t="str">
        <f>IF(A1667&lt;&gt;"",_xlfn.MAXIFS($B$1:B1666,$A$1:A1666,A1667)+1,"")</f>
        <v/>
      </c>
      <c r="C1667" s="299"/>
      <c r="D1667" s="299"/>
      <c r="E1667" s="299"/>
      <c r="F1667" s="299"/>
      <c r="G1667" s="330"/>
      <c r="H1667" s="328"/>
      <c r="I1667" s="329"/>
      <c r="J1667" s="329"/>
      <c r="K1667" s="322"/>
      <c r="L1667" s="322"/>
      <c r="M1667" s="323" t="str">
        <f>IFERROR(VLOOKUP(H1667,Lijsten!$H$1:$I$100,2,0),"")</f>
        <v/>
      </c>
      <c r="N1667" s="323" t="str">
        <f ca="1">IFERROR(IF(VLOOKUP(F1667,Kostentypen!$A$3:$E$21,3,0)=0,"",IF(OR(F1667="Arbeidskosten",F1667="Vergoeding"),VLOOKUP(G1667,Tb_KostenTypen[],2,0),VLOOKUP(F1667,Kostentypen!$A$3:$E$20,3,0))),"")</f>
        <v/>
      </c>
      <c r="O1667" s="324"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4"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3"/>
      <c r="R1667" s="363"/>
      <c r="S1667" s="325"/>
      <c r="T1667" s="325"/>
      <c r="U1667" s="317" t="str" cm="1">
        <f t="array" aca="1" ref="U1667" ca="1">IFERROR(IF(AA1667&lt;&gt;"ja",_xlfn.IFNA(_xlfn.IFS(AND(O1667&lt;&gt;"",F1667&lt;&gt;"",RIGHT($N1667,6)="tarief",F1667="Vergoeding"),SUM(O1667)*FLOOR(SUM(Q1667),0.0001),AND(O1667&lt;&gt;"",F1667&lt;&gt;"",RIGHT($N1667,6)="tarief"),SUM(O1667)*FLOOR(SUM(Q1667),0.01),S1667&gt;0,IF(F1667&lt;&gt;"",FLOOR(SUM(S1667),0.01),"")),""),""),"")</f>
        <v/>
      </c>
      <c r="V1667" s="317" t="str" cm="1">
        <f t="array" aca="1" ref="V1667" ca="1">IFERROR(IF(AA1667&lt;&gt;"ja",_xlfn.IFNA(_xlfn.IFS(AND(P1667&lt;&gt;"",R1667&lt;&gt;"",RIGHT($N1667,6)="tarief",F1667="Vergoeding"),SUM(P1667)*FLOOR(SUM(R1667),0.0001),AND(P1667&lt;&gt;"",R1667&lt;&gt;"",RIGHT($N1667,6)="tarief"),P1667*FLOOR(R1667,0.01),T1667&gt;0,FLOOR(SUM(T1667),0.01)),""),""),"")</f>
        <v/>
      </c>
      <c r="W1667" s="317" t="str" cm="1">
        <f t="array" aca="1" ref="W1667" ca="1">IFERROR(_xlfn.IFS(OR(F1667="",LEFT(Methode_Keuze,4)="Geen",Methode_Keuze=""),"",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17" t="str" cm="1">
        <f t="array" aca="1" ref="X1667" ca="1">IFERROR(_xlfn.IFS(OR(F1667="",LEFT(Methode_Keuze,4)="Geen",Methode_Keuze=""),"",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26"/>
      <c r="Z1667" s="319"/>
      <c r="AA1667" s="32" t="str" cm="1">
        <f t="array" ref="AA1667">IFERROR(IF(INDEX(SubsidieTabel!$AD$1:$AG$12,MATCH($F1667,SubsidieTabel!$AD$1:$AD$12,0),IFERROR(MATCH(Methode_Keuze,SubsidieTabel!$AD$1:$AG$1,0),2))&lt;&gt;1=TRUE,"ja",""),"")</f>
        <v/>
      </c>
    </row>
    <row r="1668" spans="1:27" x14ac:dyDescent="0.25">
      <c r="A1668" s="320"/>
      <c r="B1668" s="321" t="str">
        <f>IF(A1668&lt;&gt;"",_xlfn.MAXIFS($B$1:B1667,$A$1:A1667,A1668)+1,"")</f>
        <v/>
      </c>
      <c r="C1668" s="299"/>
      <c r="D1668" s="299"/>
      <c r="E1668" s="299"/>
      <c r="F1668" s="299"/>
      <c r="G1668" s="330"/>
      <c r="H1668" s="328"/>
      <c r="I1668" s="329"/>
      <c r="J1668" s="329"/>
      <c r="K1668" s="322"/>
      <c r="L1668" s="322"/>
      <c r="M1668" s="323" t="str">
        <f>IFERROR(VLOOKUP(H1668,Lijsten!$H$1:$I$100,2,0),"")</f>
        <v/>
      </c>
      <c r="N1668" s="323" t="str">
        <f ca="1">IFERROR(IF(VLOOKUP(F1668,Kostentypen!$A$3:$E$21,3,0)=0,"",IF(OR(F1668="Arbeidskosten",F1668="Vergoeding"),VLOOKUP(G1668,Tb_KostenTypen[],2,0),VLOOKUP(F1668,Kostentypen!$A$3:$E$20,3,0))),"")</f>
        <v/>
      </c>
      <c r="O1668" s="324"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4"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3"/>
      <c r="R1668" s="363"/>
      <c r="S1668" s="325"/>
      <c r="T1668" s="325"/>
      <c r="U1668" s="317" t="str" cm="1">
        <f t="array" aca="1" ref="U1668" ca="1">IFERROR(IF(AA1668&lt;&gt;"ja",_xlfn.IFNA(_xlfn.IFS(AND(O1668&lt;&gt;"",F1668&lt;&gt;"",RIGHT($N1668,6)="tarief",F1668="Vergoeding"),SUM(O1668)*FLOOR(SUM(Q1668),0.0001),AND(O1668&lt;&gt;"",F1668&lt;&gt;"",RIGHT($N1668,6)="tarief"),SUM(O1668)*FLOOR(SUM(Q1668),0.01),S1668&gt;0,IF(F1668&lt;&gt;"",FLOOR(SUM(S1668),0.01),"")),""),""),"")</f>
        <v/>
      </c>
      <c r="V1668" s="317" t="str" cm="1">
        <f t="array" aca="1" ref="V1668" ca="1">IFERROR(IF(AA1668&lt;&gt;"ja",_xlfn.IFNA(_xlfn.IFS(AND(P1668&lt;&gt;"",R1668&lt;&gt;"",RIGHT($N1668,6)="tarief",F1668="Vergoeding"),SUM(P1668)*FLOOR(SUM(R1668),0.0001),AND(P1668&lt;&gt;"",R1668&lt;&gt;"",RIGHT($N1668,6)="tarief"),P1668*FLOOR(R1668,0.01),T1668&gt;0,FLOOR(SUM(T1668),0.01)),""),""),"")</f>
        <v/>
      </c>
      <c r="W1668" s="317" t="str" cm="1">
        <f t="array" aca="1" ref="W1668" ca="1">IFERROR(_xlfn.IFS(OR(F1668="",LEFT(Methode_Keuze,4)="Geen",Methode_Keuze=""),"",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17" t="str" cm="1">
        <f t="array" aca="1" ref="X1668" ca="1">IFERROR(_xlfn.IFS(OR(F1668="",LEFT(Methode_Keuze,4)="Geen",Methode_Keuze=""),"",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26"/>
      <c r="Z1668" s="319"/>
      <c r="AA1668" s="32" t="str" cm="1">
        <f t="array" ref="AA1668">IFERROR(IF(INDEX(SubsidieTabel!$AD$1:$AG$12,MATCH($F1668,SubsidieTabel!$AD$1:$AD$12,0),IFERROR(MATCH(Methode_Keuze,SubsidieTabel!$AD$1:$AG$1,0),2))&lt;&gt;1=TRUE,"ja",""),"")</f>
        <v/>
      </c>
    </row>
    <row r="1669" spans="1:27" x14ac:dyDescent="0.25">
      <c r="A1669" s="320"/>
      <c r="B1669" s="321" t="str">
        <f>IF(A1669&lt;&gt;"",_xlfn.MAXIFS($B$1:B1668,$A$1:A1668,A1669)+1,"")</f>
        <v/>
      </c>
      <c r="C1669" s="299"/>
      <c r="D1669" s="299"/>
      <c r="E1669" s="299"/>
      <c r="F1669" s="299"/>
      <c r="G1669" s="330"/>
      <c r="H1669" s="328"/>
      <c r="I1669" s="329"/>
      <c r="J1669" s="329"/>
      <c r="K1669" s="322"/>
      <c r="L1669" s="322"/>
      <c r="M1669" s="323" t="str">
        <f>IFERROR(VLOOKUP(H1669,Lijsten!$H$1:$I$100,2,0),"")</f>
        <v/>
      </c>
      <c r="N1669" s="323" t="str">
        <f ca="1">IFERROR(IF(VLOOKUP(F1669,Kostentypen!$A$3:$E$21,3,0)=0,"",IF(OR(F1669="Arbeidskosten",F1669="Vergoeding"),VLOOKUP(G1669,Tb_KostenTypen[],2,0),VLOOKUP(F1669,Kostentypen!$A$3:$E$20,3,0))),"")</f>
        <v/>
      </c>
      <c r="O1669" s="324"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4"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3"/>
      <c r="R1669" s="363"/>
      <c r="S1669" s="325"/>
      <c r="T1669" s="325"/>
      <c r="U1669" s="317" t="str" cm="1">
        <f t="array" aca="1" ref="U1669" ca="1">IFERROR(IF(AA1669&lt;&gt;"ja",_xlfn.IFNA(_xlfn.IFS(AND(O1669&lt;&gt;"",F1669&lt;&gt;"",RIGHT($N1669,6)="tarief",F1669="Vergoeding"),SUM(O1669)*FLOOR(SUM(Q1669),0.0001),AND(O1669&lt;&gt;"",F1669&lt;&gt;"",RIGHT($N1669,6)="tarief"),SUM(O1669)*FLOOR(SUM(Q1669),0.01),S1669&gt;0,IF(F1669&lt;&gt;"",FLOOR(SUM(S1669),0.01),"")),""),""),"")</f>
        <v/>
      </c>
      <c r="V1669" s="317" t="str" cm="1">
        <f t="array" aca="1" ref="V1669" ca="1">IFERROR(IF(AA1669&lt;&gt;"ja",_xlfn.IFNA(_xlfn.IFS(AND(P1669&lt;&gt;"",R1669&lt;&gt;"",RIGHT($N1669,6)="tarief",F1669="Vergoeding"),SUM(P1669)*FLOOR(SUM(R1669),0.0001),AND(P1669&lt;&gt;"",R1669&lt;&gt;"",RIGHT($N1669,6)="tarief"),P1669*FLOOR(R1669,0.01),T1669&gt;0,FLOOR(SUM(T1669),0.01)),""),""),"")</f>
        <v/>
      </c>
      <c r="W1669" s="317" t="str" cm="1">
        <f t="array" aca="1" ref="W1669" ca="1">IFERROR(_xlfn.IFS(OR(F1669="",LEFT(Methode_Keuze,4)="Geen",Methode_Keuze=""),"",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17" t="str" cm="1">
        <f t="array" aca="1" ref="X1669" ca="1">IFERROR(_xlfn.IFS(OR(F1669="",LEFT(Methode_Keuze,4)="Geen",Methode_Keuze=""),"",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26"/>
      <c r="Z1669" s="319"/>
      <c r="AA1669" s="32" t="str" cm="1">
        <f t="array" ref="AA1669">IFERROR(IF(INDEX(SubsidieTabel!$AD$1:$AG$12,MATCH($F1669,SubsidieTabel!$AD$1:$AD$12,0),IFERROR(MATCH(Methode_Keuze,SubsidieTabel!$AD$1:$AG$1,0),2))&lt;&gt;1=TRUE,"ja",""),"")</f>
        <v/>
      </c>
    </row>
    <row r="1670" spans="1:27" x14ac:dyDescent="0.25">
      <c r="A1670" s="320"/>
      <c r="B1670" s="321" t="str">
        <f>IF(A1670&lt;&gt;"",_xlfn.MAXIFS($B$1:B1669,$A$1:A1669,A1670)+1,"")</f>
        <v/>
      </c>
      <c r="C1670" s="299"/>
      <c r="D1670" s="299"/>
      <c r="E1670" s="299"/>
      <c r="F1670" s="299"/>
      <c r="G1670" s="330"/>
      <c r="H1670" s="328"/>
      <c r="I1670" s="329"/>
      <c r="J1670" s="329"/>
      <c r="K1670" s="322"/>
      <c r="L1670" s="322"/>
      <c r="M1670" s="323" t="str">
        <f>IFERROR(VLOOKUP(H1670,Lijsten!$H$1:$I$100,2,0),"")</f>
        <v/>
      </c>
      <c r="N1670" s="323" t="str">
        <f ca="1">IFERROR(IF(VLOOKUP(F1670,Kostentypen!$A$3:$E$21,3,0)=0,"",IF(OR(F1670="Arbeidskosten",F1670="Vergoeding"),VLOOKUP(G1670,Tb_KostenTypen[],2,0),VLOOKUP(F1670,Kostentypen!$A$3:$E$20,3,0))),"")</f>
        <v/>
      </c>
      <c r="O1670" s="324"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4"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3"/>
      <c r="R1670" s="363"/>
      <c r="S1670" s="325"/>
      <c r="T1670" s="325"/>
      <c r="U1670" s="317" t="str" cm="1">
        <f t="array" aca="1" ref="U1670" ca="1">IFERROR(IF(AA1670&lt;&gt;"ja",_xlfn.IFNA(_xlfn.IFS(AND(O1670&lt;&gt;"",F1670&lt;&gt;"",RIGHT($N1670,6)="tarief",F1670="Vergoeding"),SUM(O1670)*FLOOR(SUM(Q1670),0.0001),AND(O1670&lt;&gt;"",F1670&lt;&gt;"",RIGHT($N1670,6)="tarief"),SUM(O1670)*FLOOR(SUM(Q1670),0.01),S1670&gt;0,IF(F1670&lt;&gt;"",FLOOR(SUM(S1670),0.01),"")),""),""),"")</f>
        <v/>
      </c>
      <c r="V1670" s="317" t="str" cm="1">
        <f t="array" aca="1" ref="V1670" ca="1">IFERROR(IF(AA1670&lt;&gt;"ja",_xlfn.IFNA(_xlfn.IFS(AND(P1670&lt;&gt;"",R1670&lt;&gt;"",RIGHT($N1670,6)="tarief",F1670="Vergoeding"),SUM(P1670)*FLOOR(SUM(R1670),0.0001),AND(P1670&lt;&gt;"",R1670&lt;&gt;"",RIGHT($N1670,6)="tarief"),P1670*FLOOR(R1670,0.01),T1670&gt;0,FLOOR(SUM(T1670),0.01)),""),""),"")</f>
        <v/>
      </c>
      <c r="W1670" s="317" t="str" cm="1">
        <f t="array" aca="1" ref="W1670" ca="1">IFERROR(_xlfn.IFS(OR(F1670="",LEFT(Methode_Keuze,4)="Geen",Methode_Keuze=""),"",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17" t="str" cm="1">
        <f t="array" aca="1" ref="X1670" ca="1">IFERROR(_xlfn.IFS(OR(F1670="",LEFT(Methode_Keuze,4)="Geen",Methode_Keuze=""),"",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26"/>
      <c r="Z1670" s="319"/>
      <c r="AA1670" s="32" t="str" cm="1">
        <f t="array" ref="AA1670">IFERROR(IF(INDEX(SubsidieTabel!$AD$1:$AG$12,MATCH($F1670,SubsidieTabel!$AD$1:$AD$12,0),IFERROR(MATCH(Methode_Keuze,SubsidieTabel!$AD$1:$AG$1,0),2))&lt;&gt;1=TRUE,"ja",""),"")</f>
        <v/>
      </c>
    </row>
    <row r="1671" spans="1:27" x14ac:dyDescent="0.25">
      <c r="A1671" s="320"/>
      <c r="B1671" s="321" t="str">
        <f>IF(A1671&lt;&gt;"",_xlfn.MAXIFS($B$1:B1670,$A$1:A1670,A1671)+1,"")</f>
        <v/>
      </c>
      <c r="C1671" s="299"/>
      <c r="D1671" s="299"/>
      <c r="E1671" s="299"/>
      <c r="F1671" s="299"/>
      <c r="G1671" s="330"/>
      <c r="H1671" s="328"/>
      <c r="I1671" s="329"/>
      <c r="J1671" s="329"/>
      <c r="K1671" s="322"/>
      <c r="L1671" s="322"/>
      <c r="M1671" s="323" t="str">
        <f>IFERROR(VLOOKUP(H1671,Lijsten!$H$1:$I$100,2,0),"")</f>
        <v/>
      </c>
      <c r="N1671" s="323" t="str">
        <f ca="1">IFERROR(IF(VLOOKUP(F1671,Kostentypen!$A$3:$E$21,3,0)=0,"",IF(OR(F1671="Arbeidskosten",F1671="Vergoeding"),VLOOKUP(G1671,Tb_KostenTypen[],2,0),VLOOKUP(F1671,Kostentypen!$A$3:$E$20,3,0))),"")</f>
        <v/>
      </c>
      <c r="O1671" s="324"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4"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3"/>
      <c r="R1671" s="363"/>
      <c r="S1671" s="325"/>
      <c r="T1671" s="325"/>
      <c r="U1671" s="317" t="str" cm="1">
        <f t="array" aca="1" ref="U1671" ca="1">IFERROR(IF(AA1671&lt;&gt;"ja",_xlfn.IFNA(_xlfn.IFS(AND(O1671&lt;&gt;"",F1671&lt;&gt;"",RIGHT($N1671,6)="tarief",F1671="Vergoeding"),SUM(O1671)*FLOOR(SUM(Q1671),0.0001),AND(O1671&lt;&gt;"",F1671&lt;&gt;"",RIGHT($N1671,6)="tarief"),SUM(O1671)*FLOOR(SUM(Q1671),0.01),S1671&gt;0,IF(F1671&lt;&gt;"",FLOOR(SUM(S1671),0.01),"")),""),""),"")</f>
        <v/>
      </c>
      <c r="V1671" s="317" t="str" cm="1">
        <f t="array" aca="1" ref="V1671" ca="1">IFERROR(IF(AA1671&lt;&gt;"ja",_xlfn.IFNA(_xlfn.IFS(AND(P1671&lt;&gt;"",R1671&lt;&gt;"",RIGHT($N1671,6)="tarief",F1671="Vergoeding"),SUM(P1671)*FLOOR(SUM(R1671),0.0001),AND(P1671&lt;&gt;"",R1671&lt;&gt;"",RIGHT($N1671,6)="tarief"),P1671*FLOOR(R1671,0.01),T1671&gt;0,FLOOR(SUM(T1671),0.01)),""),""),"")</f>
        <v/>
      </c>
      <c r="W1671" s="317" t="str" cm="1">
        <f t="array" aca="1" ref="W1671" ca="1">IFERROR(_xlfn.IFS(OR(F1671="",LEFT(Methode_Keuze,4)="Geen",Methode_Keuze=""),"",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17" t="str" cm="1">
        <f t="array" aca="1" ref="X1671" ca="1">IFERROR(_xlfn.IFS(OR(F1671="",LEFT(Methode_Keuze,4)="Geen",Methode_Keuze=""),"",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26"/>
      <c r="Z1671" s="319"/>
      <c r="AA1671" s="32" t="str" cm="1">
        <f t="array" ref="AA1671">IFERROR(IF(INDEX(SubsidieTabel!$AD$1:$AG$12,MATCH($F1671,SubsidieTabel!$AD$1:$AD$12,0),IFERROR(MATCH(Methode_Keuze,SubsidieTabel!$AD$1:$AG$1,0),2))&lt;&gt;1=TRUE,"ja",""),"")</f>
        <v/>
      </c>
    </row>
    <row r="1672" spans="1:27" x14ac:dyDescent="0.25">
      <c r="A1672" s="320"/>
      <c r="B1672" s="321" t="str">
        <f>IF(A1672&lt;&gt;"",_xlfn.MAXIFS($B$1:B1671,$A$1:A1671,A1672)+1,"")</f>
        <v/>
      </c>
      <c r="C1672" s="299"/>
      <c r="D1672" s="299"/>
      <c r="E1672" s="299"/>
      <c r="F1672" s="299"/>
      <c r="G1672" s="330"/>
      <c r="H1672" s="328"/>
      <c r="I1672" s="329"/>
      <c r="J1672" s="329"/>
      <c r="K1672" s="322"/>
      <c r="L1672" s="322"/>
      <c r="M1672" s="323" t="str">
        <f>IFERROR(VLOOKUP(H1672,Lijsten!$H$1:$I$100,2,0),"")</f>
        <v/>
      </c>
      <c r="N1672" s="323" t="str">
        <f ca="1">IFERROR(IF(VLOOKUP(F1672,Kostentypen!$A$3:$E$21,3,0)=0,"",IF(OR(F1672="Arbeidskosten",F1672="Vergoeding"),VLOOKUP(G1672,Tb_KostenTypen[],2,0),VLOOKUP(F1672,Kostentypen!$A$3:$E$20,3,0))),"")</f>
        <v/>
      </c>
      <c r="O1672" s="324"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4"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3"/>
      <c r="R1672" s="363"/>
      <c r="S1672" s="325"/>
      <c r="T1672" s="325"/>
      <c r="U1672" s="317" t="str" cm="1">
        <f t="array" aca="1" ref="U1672" ca="1">IFERROR(IF(AA1672&lt;&gt;"ja",_xlfn.IFNA(_xlfn.IFS(AND(O1672&lt;&gt;"",F1672&lt;&gt;"",RIGHT($N1672,6)="tarief",F1672="Vergoeding"),SUM(O1672)*FLOOR(SUM(Q1672),0.0001),AND(O1672&lt;&gt;"",F1672&lt;&gt;"",RIGHT($N1672,6)="tarief"),SUM(O1672)*FLOOR(SUM(Q1672),0.01),S1672&gt;0,IF(F1672&lt;&gt;"",FLOOR(SUM(S1672),0.01),"")),""),""),"")</f>
        <v/>
      </c>
      <c r="V1672" s="317" t="str" cm="1">
        <f t="array" aca="1" ref="V1672" ca="1">IFERROR(IF(AA1672&lt;&gt;"ja",_xlfn.IFNA(_xlfn.IFS(AND(P1672&lt;&gt;"",R1672&lt;&gt;"",RIGHT($N1672,6)="tarief",F1672="Vergoeding"),SUM(P1672)*FLOOR(SUM(R1672),0.0001),AND(P1672&lt;&gt;"",R1672&lt;&gt;"",RIGHT($N1672,6)="tarief"),P1672*FLOOR(R1672,0.01),T1672&gt;0,FLOOR(SUM(T1672),0.01)),""),""),"")</f>
        <v/>
      </c>
      <c r="W1672" s="317" t="str" cm="1">
        <f t="array" aca="1" ref="W1672" ca="1">IFERROR(_xlfn.IFS(OR(F1672="",LEFT(Methode_Keuze,4)="Geen",Methode_Keuze=""),"",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17" t="str" cm="1">
        <f t="array" aca="1" ref="X1672" ca="1">IFERROR(_xlfn.IFS(OR(F1672="",LEFT(Methode_Keuze,4)="Geen",Methode_Keuze=""),"",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26"/>
      <c r="Z1672" s="319"/>
      <c r="AA1672" s="32" t="str" cm="1">
        <f t="array" ref="AA1672">IFERROR(IF(INDEX(SubsidieTabel!$AD$1:$AG$12,MATCH($F1672,SubsidieTabel!$AD$1:$AD$12,0),IFERROR(MATCH(Methode_Keuze,SubsidieTabel!$AD$1:$AG$1,0),2))&lt;&gt;1=TRUE,"ja",""),"")</f>
        <v/>
      </c>
    </row>
    <row r="1673" spans="1:27" x14ac:dyDescent="0.25">
      <c r="A1673" s="320"/>
      <c r="B1673" s="321" t="str">
        <f>IF(A1673&lt;&gt;"",_xlfn.MAXIFS($B$1:B1672,$A$1:A1672,A1673)+1,"")</f>
        <v/>
      </c>
      <c r="C1673" s="299"/>
      <c r="D1673" s="299"/>
      <c r="E1673" s="299"/>
      <c r="F1673" s="299"/>
      <c r="G1673" s="330"/>
      <c r="H1673" s="328"/>
      <c r="I1673" s="329"/>
      <c r="J1673" s="329"/>
      <c r="K1673" s="322"/>
      <c r="L1673" s="322"/>
      <c r="M1673" s="323" t="str">
        <f>IFERROR(VLOOKUP(H1673,Lijsten!$H$1:$I$100,2,0),"")</f>
        <v/>
      </c>
      <c r="N1673" s="323" t="str">
        <f ca="1">IFERROR(IF(VLOOKUP(F1673,Kostentypen!$A$3:$E$21,3,0)=0,"",IF(OR(F1673="Arbeidskosten",F1673="Vergoeding"),VLOOKUP(G1673,Tb_KostenTypen[],2,0),VLOOKUP(F1673,Kostentypen!$A$3:$E$20,3,0))),"")</f>
        <v/>
      </c>
      <c r="O1673" s="324"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4"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3"/>
      <c r="R1673" s="363"/>
      <c r="S1673" s="325"/>
      <c r="T1673" s="325"/>
      <c r="U1673" s="317" t="str" cm="1">
        <f t="array" aca="1" ref="U1673" ca="1">IFERROR(IF(AA1673&lt;&gt;"ja",_xlfn.IFNA(_xlfn.IFS(AND(O1673&lt;&gt;"",F1673&lt;&gt;"",RIGHT($N1673,6)="tarief",F1673="Vergoeding"),SUM(O1673)*FLOOR(SUM(Q1673),0.0001),AND(O1673&lt;&gt;"",F1673&lt;&gt;"",RIGHT($N1673,6)="tarief"),SUM(O1673)*FLOOR(SUM(Q1673),0.01),S1673&gt;0,IF(F1673&lt;&gt;"",FLOOR(SUM(S1673),0.01),"")),""),""),"")</f>
        <v/>
      </c>
      <c r="V1673" s="317" t="str" cm="1">
        <f t="array" aca="1" ref="V1673" ca="1">IFERROR(IF(AA1673&lt;&gt;"ja",_xlfn.IFNA(_xlfn.IFS(AND(P1673&lt;&gt;"",R1673&lt;&gt;"",RIGHT($N1673,6)="tarief",F1673="Vergoeding"),SUM(P1673)*FLOOR(SUM(R1673),0.0001),AND(P1673&lt;&gt;"",R1673&lt;&gt;"",RIGHT($N1673,6)="tarief"),P1673*FLOOR(R1673,0.01),T1673&gt;0,FLOOR(SUM(T1673),0.01)),""),""),"")</f>
        <v/>
      </c>
      <c r="W1673" s="317" t="str" cm="1">
        <f t="array" aca="1" ref="W1673" ca="1">IFERROR(_xlfn.IFS(OR(F1673="",LEFT(Methode_Keuze,4)="Geen",Methode_Keuze=""),"",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17" t="str" cm="1">
        <f t="array" aca="1" ref="X1673" ca="1">IFERROR(_xlfn.IFS(OR(F1673="",LEFT(Methode_Keuze,4)="Geen",Methode_Keuze=""),"",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26"/>
      <c r="Z1673" s="319"/>
      <c r="AA1673" s="32" t="str" cm="1">
        <f t="array" ref="AA1673">IFERROR(IF(INDEX(SubsidieTabel!$AD$1:$AG$12,MATCH($F1673,SubsidieTabel!$AD$1:$AD$12,0),IFERROR(MATCH(Methode_Keuze,SubsidieTabel!$AD$1:$AG$1,0),2))&lt;&gt;1=TRUE,"ja",""),"")</f>
        <v/>
      </c>
    </row>
    <row r="1674" spans="1:27" x14ac:dyDescent="0.25">
      <c r="A1674" s="320"/>
      <c r="B1674" s="321" t="str">
        <f>IF(A1674&lt;&gt;"",_xlfn.MAXIFS($B$1:B1673,$A$1:A1673,A1674)+1,"")</f>
        <v/>
      </c>
      <c r="C1674" s="299"/>
      <c r="D1674" s="299"/>
      <c r="E1674" s="299"/>
      <c r="F1674" s="299"/>
      <c r="G1674" s="330"/>
      <c r="H1674" s="328"/>
      <c r="I1674" s="329"/>
      <c r="J1674" s="329"/>
      <c r="K1674" s="322"/>
      <c r="L1674" s="322"/>
      <c r="M1674" s="323" t="str">
        <f>IFERROR(VLOOKUP(H1674,Lijsten!$H$1:$I$100,2,0),"")</f>
        <v/>
      </c>
      <c r="N1674" s="323" t="str">
        <f ca="1">IFERROR(IF(VLOOKUP(F1674,Kostentypen!$A$3:$E$21,3,0)=0,"",IF(OR(F1674="Arbeidskosten",F1674="Vergoeding"),VLOOKUP(G1674,Tb_KostenTypen[],2,0),VLOOKUP(F1674,Kostentypen!$A$3:$E$20,3,0))),"")</f>
        <v/>
      </c>
      <c r="O1674" s="324"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4"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3"/>
      <c r="R1674" s="363"/>
      <c r="S1674" s="325"/>
      <c r="T1674" s="325"/>
      <c r="U1674" s="317" t="str" cm="1">
        <f t="array" aca="1" ref="U1674" ca="1">IFERROR(IF(AA1674&lt;&gt;"ja",_xlfn.IFNA(_xlfn.IFS(AND(O1674&lt;&gt;"",F1674&lt;&gt;"",RIGHT($N1674,6)="tarief",F1674="Vergoeding"),SUM(O1674)*FLOOR(SUM(Q1674),0.0001),AND(O1674&lt;&gt;"",F1674&lt;&gt;"",RIGHT($N1674,6)="tarief"),SUM(O1674)*FLOOR(SUM(Q1674),0.01),S1674&gt;0,IF(F1674&lt;&gt;"",FLOOR(SUM(S1674),0.01),"")),""),""),"")</f>
        <v/>
      </c>
      <c r="V1674" s="317" t="str" cm="1">
        <f t="array" aca="1" ref="V1674" ca="1">IFERROR(IF(AA1674&lt;&gt;"ja",_xlfn.IFNA(_xlfn.IFS(AND(P1674&lt;&gt;"",R1674&lt;&gt;"",RIGHT($N1674,6)="tarief",F1674="Vergoeding"),SUM(P1674)*FLOOR(SUM(R1674),0.0001),AND(P1674&lt;&gt;"",R1674&lt;&gt;"",RIGHT($N1674,6)="tarief"),P1674*FLOOR(R1674,0.01),T1674&gt;0,FLOOR(SUM(T1674),0.01)),""),""),"")</f>
        <v/>
      </c>
      <c r="W1674" s="317" t="str" cm="1">
        <f t="array" aca="1" ref="W1674" ca="1">IFERROR(_xlfn.IFS(OR(F1674="",LEFT(Methode_Keuze,4)="Geen",Methode_Keuze=""),"",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17" t="str" cm="1">
        <f t="array" aca="1" ref="X1674" ca="1">IFERROR(_xlfn.IFS(OR(F1674="",LEFT(Methode_Keuze,4)="Geen",Methode_Keuze=""),"",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26"/>
      <c r="Z1674" s="319"/>
      <c r="AA1674" s="32" t="str" cm="1">
        <f t="array" ref="AA1674">IFERROR(IF(INDEX(SubsidieTabel!$AD$1:$AG$12,MATCH($F1674,SubsidieTabel!$AD$1:$AD$12,0),IFERROR(MATCH(Methode_Keuze,SubsidieTabel!$AD$1:$AG$1,0),2))&lt;&gt;1=TRUE,"ja",""),"")</f>
        <v/>
      </c>
    </row>
    <row r="1675" spans="1:27" x14ac:dyDescent="0.25">
      <c r="A1675" s="320"/>
      <c r="B1675" s="321" t="str">
        <f>IF(A1675&lt;&gt;"",_xlfn.MAXIFS($B$1:B1674,$A$1:A1674,A1675)+1,"")</f>
        <v/>
      </c>
      <c r="C1675" s="299"/>
      <c r="D1675" s="299"/>
      <c r="E1675" s="299"/>
      <c r="F1675" s="299"/>
      <c r="G1675" s="330"/>
      <c r="H1675" s="328"/>
      <c r="I1675" s="329"/>
      <c r="J1675" s="329"/>
      <c r="K1675" s="322"/>
      <c r="L1675" s="322"/>
      <c r="M1675" s="323" t="str">
        <f>IFERROR(VLOOKUP(H1675,Lijsten!$H$1:$I$100,2,0),"")</f>
        <v/>
      </c>
      <c r="N1675" s="323" t="str">
        <f ca="1">IFERROR(IF(VLOOKUP(F1675,Kostentypen!$A$3:$E$21,3,0)=0,"",IF(OR(F1675="Arbeidskosten",F1675="Vergoeding"),VLOOKUP(G1675,Tb_KostenTypen[],2,0),VLOOKUP(F1675,Kostentypen!$A$3:$E$20,3,0))),"")</f>
        <v/>
      </c>
      <c r="O1675" s="324"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4"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3"/>
      <c r="R1675" s="363"/>
      <c r="S1675" s="325"/>
      <c r="T1675" s="325"/>
      <c r="U1675" s="317" t="str" cm="1">
        <f t="array" aca="1" ref="U1675" ca="1">IFERROR(IF(AA1675&lt;&gt;"ja",_xlfn.IFNA(_xlfn.IFS(AND(O1675&lt;&gt;"",F1675&lt;&gt;"",RIGHT($N1675,6)="tarief",F1675="Vergoeding"),SUM(O1675)*FLOOR(SUM(Q1675),0.0001),AND(O1675&lt;&gt;"",F1675&lt;&gt;"",RIGHT($N1675,6)="tarief"),SUM(O1675)*FLOOR(SUM(Q1675),0.01),S1675&gt;0,IF(F1675&lt;&gt;"",FLOOR(SUM(S1675),0.01),"")),""),""),"")</f>
        <v/>
      </c>
      <c r="V1675" s="317" t="str" cm="1">
        <f t="array" aca="1" ref="V1675" ca="1">IFERROR(IF(AA1675&lt;&gt;"ja",_xlfn.IFNA(_xlfn.IFS(AND(P1675&lt;&gt;"",R1675&lt;&gt;"",RIGHT($N1675,6)="tarief",F1675="Vergoeding"),SUM(P1675)*FLOOR(SUM(R1675),0.0001),AND(P1675&lt;&gt;"",R1675&lt;&gt;"",RIGHT($N1675,6)="tarief"),P1675*FLOOR(R1675,0.01),T1675&gt;0,FLOOR(SUM(T1675),0.01)),""),""),"")</f>
        <v/>
      </c>
      <c r="W1675" s="317" t="str" cm="1">
        <f t="array" aca="1" ref="W1675" ca="1">IFERROR(_xlfn.IFS(OR(F1675="",LEFT(Methode_Keuze,4)="Geen",Methode_Keuze=""),"",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17" t="str" cm="1">
        <f t="array" aca="1" ref="X1675" ca="1">IFERROR(_xlfn.IFS(OR(F1675="",LEFT(Methode_Keuze,4)="Geen",Methode_Keuze=""),"",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26"/>
      <c r="Z1675" s="319"/>
      <c r="AA1675" s="32" t="str" cm="1">
        <f t="array" ref="AA1675">IFERROR(IF(INDEX(SubsidieTabel!$AD$1:$AG$12,MATCH($F1675,SubsidieTabel!$AD$1:$AD$12,0),IFERROR(MATCH(Methode_Keuze,SubsidieTabel!$AD$1:$AG$1,0),2))&lt;&gt;1=TRUE,"ja",""),"")</f>
        <v/>
      </c>
    </row>
    <row r="1676" spans="1:27" x14ac:dyDescent="0.25">
      <c r="A1676" s="320"/>
      <c r="B1676" s="321" t="str">
        <f>IF(A1676&lt;&gt;"",_xlfn.MAXIFS($B$1:B1675,$A$1:A1675,A1676)+1,"")</f>
        <v/>
      </c>
      <c r="C1676" s="299"/>
      <c r="D1676" s="299"/>
      <c r="E1676" s="299"/>
      <c r="F1676" s="299"/>
      <c r="G1676" s="330"/>
      <c r="H1676" s="328"/>
      <c r="I1676" s="329"/>
      <c r="J1676" s="329"/>
      <c r="K1676" s="322"/>
      <c r="L1676" s="322"/>
      <c r="M1676" s="323" t="str">
        <f>IFERROR(VLOOKUP(H1676,Lijsten!$H$1:$I$100,2,0),"")</f>
        <v/>
      </c>
      <c r="N1676" s="323" t="str">
        <f ca="1">IFERROR(IF(VLOOKUP(F1676,Kostentypen!$A$3:$E$21,3,0)=0,"",IF(OR(F1676="Arbeidskosten",F1676="Vergoeding"),VLOOKUP(G1676,Tb_KostenTypen[],2,0),VLOOKUP(F1676,Kostentypen!$A$3:$E$20,3,0))),"")</f>
        <v/>
      </c>
      <c r="O1676" s="324"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4"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3"/>
      <c r="R1676" s="363"/>
      <c r="S1676" s="325"/>
      <c r="T1676" s="325"/>
      <c r="U1676" s="317" t="str" cm="1">
        <f t="array" aca="1" ref="U1676" ca="1">IFERROR(IF(AA1676&lt;&gt;"ja",_xlfn.IFNA(_xlfn.IFS(AND(O1676&lt;&gt;"",F1676&lt;&gt;"",RIGHT($N1676,6)="tarief",F1676="Vergoeding"),SUM(O1676)*FLOOR(SUM(Q1676),0.0001),AND(O1676&lt;&gt;"",F1676&lt;&gt;"",RIGHT($N1676,6)="tarief"),SUM(O1676)*FLOOR(SUM(Q1676),0.01),S1676&gt;0,IF(F1676&lt;&gt;"",FLOOR(SUM(S1676),0.01),"")),""),""),"")</f>
        <v/>
      </c>
      <c r="V1676" s="317" t="str" cm="1">
        <f t="array" aca="1" ref="V1676" ca="1">IFERROR(IF(AA1676&lt;&gt;"ja",_xlfn.IFNA(_xlfn.IFS(AND(P1676&lt;&gt;"",R1676&lt;&gt;"",RIGHT($N1676,6)="tarief",F1676="Vergoeding"),SUM(P1676)*FLOOR(SUM(R1676),0.0001),AND(P1676&lt;&gt;"",R1676&lt;&gt;"",RIGHT($N1676,6)="tarief"),P1676*FLOOR(R1676,0.01),T1676&gt;0,FLOOR(SUM(T1676),0.01)),""),""),"")</f>
        <v/>
      </c>
      <c r="W1676" s="317" t="str" cm="1">
        <f t="array" aca="1" ref="W1676" ca="1">IFERROR(_xlfn.IFS(OR(F1676="",LEFT(Methode_Keuze,4)="Geen",Methode_Keuze=""),"",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17" t="str" cm="1">
        <f t="array" aca="1" ref="X1676" ca="1">IFERROR(_xlfn.IFS(OR(F1676="",LEFT(Methode_Keuze,4)="Geen",Methode_Keuze=""),"",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26"/>
      <c r="Z1676" s="319"/>
      <c r="AA1676" s="32" t="str" cm="1">
        <f t="array" ref="AA1676">IFERROR(IF(INDEX(SubsidieTabel!$AD$1:$AG$12,MATCH($F1676,SubsidieTabel!$AD$1:$AD$12,0),IFERROR(MATCH(Methode_Keuze,SubsidieTabel!$AD$1:$AG$1,0),2))&lt;&gt;1=TRUE,"ja",""),"")</f>
        <v/>
      </c>
    </row>
    <row r="1677" spans="1:27" x14ac:dyDescent="0.25">
      <c r="A1677" s="320"/>
      <c r="B1677" s="321" t="str">
        <f>IF(A1677&lt;&gt;"",_xlfn.MAXIFS($B$1:B1676,$A$1:A1676,A1677)+1,"")</f>
        <v/>
      </c>
      <c r="C1677" s="299"/>
      <c r="D1677" s="299"/>
      <c r="E1677" s="299"/>
      <c r="F1677" s="299"/>
      <c r="G1677" s="330"/>
      <c r="H1677" s="328"/>
      <c r="I1677" s="329"/>
      <c r="J1677" s="329"/>
      <c r="K1677" s="322"/>
      <c r="L1677" s="322"/>
      <c r="M1677" s="323" t="str">
        <f>IFERROR(VLOOKUP(H1677,Lijsten!$H$1:$I$100,2,0),"")</f>
        <v/>
      </c>
      <c r="N1677" s="323" t="str">
        <f ca="1">IFERROR(IF(VLOOKUP(F1677,Kostentypen!$A$3:$E$21,3,0)=0,"",IF(OR(F1677="Arbeidskosten",F1677="Vergoeding"),VLOOKUP(G1677,Tb_KostenTypen[],2,0),VLOOKUP(F1677,Kostentypen!$A$3:$E$20,3,0))),"")</f>
        <v/>
      </c>
      <c r="O1677" s="324"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4"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3"/>
      <c r="R1677" s="363"/>
      <c r="S1677" s="325"/>
      <c r="T1677" s="325"/>
      <c r="U1677" s="317" t="str" cm="1">
        <f t="array" aca="1" ref="U1677" ca="1">IFERROR(IF(AA1677&lt;&gt;"ja",_xlfn.IFNA(_xlfn.IFS(AND(O1677&lt;&gt;"",F1677&lt;&gt;"",RIGHT($N1677,6)="tarief",F1677="Vergoeding"),SUM(O1677)*FLOOR(SUM(Q1677),0.0001),AND(O1677&lt;&gt;"",F1677&lt;&gt;"",RIGHT($N1677,6)="tarief"),SUM(O1677)*FLOOR(SUM(Q1677),0.01),S1677&gt;0,IF(F1677&lt;&gt;"",FLOOR(SUM(S1677),0.01),"")),""),""),"")</f>
        <v/>
      </c>
      <c r="V1677" s="317" t="str" cm="1">
        <f t="array" aca="1" ref="V1677" ca="1">IFERROR(IF(AA1677&lt;&gt;"ja",_xlfn.IFNA(_xlfn.IFS(AND(P1677&lt;&gt;"",R1677&lt;&gt;"",RIGHT($N1677,6)="tarief",F1677="Vergoeding"),SUM(P1677)*FLOOR(SUM(R1677),0.0001),AND(P1677&lt;&gt;"",R1677&lt;&gt;"",RIGHT($N1677,6)="tarief"),P1677*FLOOR(R1677,0.01),T1677&gt;0,FLOOR(SUM(T1677),0.01)),""),""),"")</f>
        <v/>
      </c>
      <c r="W1677" s="317" t="str" cm="1">
        <f t="array" aca="1" ref="W1677" ca="1">IFERROR(_xlfn.IFS(OR(F1677="",LEFT(Methode_Keuze,4)="Geen",Methode_Keuze=""),"",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17" t="str" cm="1">
        <f t="array" aca="1" ref="X1677" ca="1">IFERROR(_xlfn.IFS(OR(F1677="",LEFT(Methode_Keuze,4)="Geen",Methode_Keuze=""),"",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26"/>
      <c r="Z1677" s="319"/>
      <c r="AA1677" s="32" t="str" cm="1">
        <f t="array" ref="AA1677">IFERROR(IF(INDEX(SubsidieTabel!$AD$1:$AG$12,MATCH($F1677,SubsidieTabel!$AD$1:$AD$12,0),IFERROR(MATCH(Methode_Keuze,SubsidieTabel!$AD$1:$AG$1,0),2))&lt;&gt;1=TRUE,"ja",""),"")</f>
        <v/>
      </c>
    </row>
    <row r="1678" spans="1:27" x14ac:dyDescent="0.25">
      <c r="A1678" s="320"/>
      <c r="B1678" s="321" t="str">
        <f>IF(A1678&lt;&gt;"",_xlfn.MAXIFS($B$1:B1677,$A$1:A1677,A1678)+1,"")</f>
        <v/>
      </c>
      <c r="C1678" s="299"/>
      <c r="D1678" s="299"/>
      <c r="E1678" s="299"/>
      <c r="F1678" s="299"/>
      <c r="G1678" s="330"/>
      <c r="H1678" s="328"/>
      <c r="I1678" s="329"/>
      <c r="J1678" s="329"/>
      <c r="K1678" s="322"/>
      <c r="L1678" s="322"/>
      <c r="M1678" s="323" t="str">
        <f>IFERROR(VLOOKUP(H1678,Lijsten!$H$1:$I$100,2,0),"")</f>
        <v/>
      </c>
      <c r="N1678" s="323" t="str">
        <f ca="1">IFERROR(IF(VLOOKUP(F1678,Kostentypen!$A$3:$E$21,3,0)=0,"",IF(OR(F1678="Arbeidskosten",F1678="Vergoeding"),VLOOKUP(G1678,Tb_KostenTypen[],2,0),VLOOKUP(F1678,Kostentypen!$A$3:$E$20,3,0))),"")</f>
        <v/>
      </c>
      <c r="O1678" s="324"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4"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3"/>
      <c r="R1678" s="363"/>
      <c r="S1678" s="325"/>
      <c r="T1678" s="325"/>
      <c r="U1678" s="317" t="str" cm="1">
        <f t="array" aca="1" ref="U1678" ca="1">IFERROR(IF(AA1678&lt;&gt;"ja",_xlfn.IFNA(_xlfn.IFS(AND(O1678&lt;&gt;"",F1678&lt;&gt;"",RIGHT($N1678,6)="tarief",F1678="Vergoeding"),SUM(O1678)*FLOOR(SUM(Q1678),0.0001),AND(O1678&lt;&gt;"",F1678&lt;&gt;"",RIGHT($N1678,6)="tarief"),SUM(O1678)*FLOOR(SUM(Q1678),0.01),S1678&gt;0,IF(F1678&lt;&gt;"",FLOOR(SUM(S1678),0.01),"")),""),""),"")</f>
        <v/>
      </c>
      <c r="V1678" s="317" t="str" cm="1">
        <f t="array" aca="1" ref="V1678" ca="1">IFERROR(IF(AA1678&lt;&gt;"ja",_xlfn.IFNA(_xlfn.IFS(AND(P1678&lt;&gt;"",R1678&lt;&gt;"",RIGHT($N1678,6)="tarief",F1678="Vergoeding"),SUM(P1678)*FLOOR(SUM(R1678),0.0001),AND(P1678&lt;&gt;"",R1678&lt;&gt;"",RIGHT($N1678,6)="tarief"),P1678*FLOOR(R1678,0.01),T1678&gt;0,FLOOR(SUM(T1678),0.01)),""),""),"")</f>
        <v/>
      </c>
      <c r="W1678" s="317" t="str" cm="1">
        <f t="array" aca="1" ref="W1678" ca="1">IFERROR(_xlfn.IFS(OR(F1678="",LEFT(Methode_Keuze,4)="Geen",Methode_Keuze=""),"",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17" t="str" cm="1">
        <f t="array" aca="1" ref="X1678" ca="1">IFERROR(_xlfn.IFS(OR(F1678="",LEFT(Methode_Keuze,4)="Geen",Methode_Keuze=""),"",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26"/>
      <c r="Z1678" s="319"/>
      <c r="AA1678" s="32" t="str" cm="1">
        <f t="array" ref="AA1678">IFERROR(IF(INDEX(SubsidieTabel!$AD$1:$AG$12,MATCH($F1678,SubsidieTabel!$AD$1:$AD$12,0),IFERROR(MATCH(Methode_Keuze,SubsidieTabel!$AD$1:$AG$1,0),2))&lt;&gt;1=TRUE,"ja",""),"")</f>
        <v/>
      </c>
    </row>
    <row r="1679" spans="1:27" x14ac:dyDescent="0.25">
      <c r="A1679" s="320"/>
      <c r="B1679" s="321" t="str">
        <f>IF(A1679&lt;&gt;"",_xlfn.MAXIFS($B$1:B1678,$A$1:A1678,A1679)+1,"")</f>
        <v/>
      </c>
      <c r="C1679" s="299"/>
      <c r="D1679" s="299"/>
      <c r="E1679" s="299"/>
      <c r="F1679" s="299"/>
      <c r="G1679" s="330"/>
      <c r="H1679" s="328"/>
      <c r="I1679" s="329"/>
      <c r="J1679" s="329"/>
      <c r="K1679" s="322"/>
      <c r="L1679" s="322"/>
      <c r="M1679" s="323" t="str">
        <f>IFERROR(VLOOKUP(H1679,Lijsten!$H$1:$I$100,2,0),"")</f>
        <v/>
      </c>
      <c r="N1679" s="323" t="str">
        <f ca="1">IFERROR(IF(VLOOKUP(F1679,Kostentypen!$A$3:$E$21,3,0)=0,"",IF(OR(F1679="Arbeidskosten",F1679="Vergoeding"),VLOOKUP(G1679,Tb_KostenTypen[],2,0),VLOOKUP(F1679,Kostentypen!$A$3:$E$20,3,0))),"")</f>
        <v/>
      </c>
      <c r="O1679" s="324"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4"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3"/>
      <c r="R1679" s="363"/>
      <c r="S1679" s="325"/>
      <c r="T1679" s="325"/>
      <c r="U1679" s="317" t="str" cm="1">
        <f t="array" aca="1" ref="U1679" ca="1">IFERROR(IF(AA1679&lt;&gt;"ja",_xlfn.IFNA(_xlfn.IFS(AND(O1679&lt;&gt;"",F1679&lt;&gt;"",RIGHT($N1679,6)="tarief",F1679="Vergoeding"),SUM(O1679)*FLOOR(SUM(Q1679),0.0001),AND(O1679&lt;&gt;"",F1679&lt;&gt;"",RIGHT($N1679,6)="tarief"),SUM(O1679)*FLOOR(SUM(Q1679),0.01),S1679&gt;0,IF(F1679&lt;&gt;"",FLOOR(SUM(S1679),0.01),"")),""),""),"")</f>
        <v/>
      </c>
      <c r="V1679" s="317" t="str" cm="1">
        <f t="array" aca="1" ref="V1679" ca="1">IFERROR(IF(AA1679&lt;&gt;"ja",_xlfn.IFNA(_xlfn.IFS(AND(P1679&lt;&gt;"",R1679&lt;&gt;"",RIGHT($N1679,6)="tarief",F1679="Vergoeding"),SUM(P1679)*FLOOR(SUM(R1679),0.0001),AND(P1679&lt;&gt;"",R1679&lt;&gt;"",RIGHT($N1679,6)="tarief"),P1679*FLOOR(R1679,0.01),T1679&gt;0,FLOOR(SUM(T1679),0.01)),""),""),"")</f>
        <v/>
      </c>
      <c r="W1679" s="317" t="str" cm="1">
        <f t="array" aca="1" ref="W1679" ca="1">IFERROR(_xlfn.IFS(OR(F1679="",LEFT(Methode_Keuze,4)="Geen",Methode_Keuze=""),"",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17" t="str" cm="1">
        <f t="array" aca="1" ref="X1679" ca="1">IFERROR(_xlfn.IFS(OR(F1679="",LEFT(Methode_Keuze,4)="Geen",Methode_Keuze=""),"",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26"/>
      <c r="Z1679" s="319"/>
      <c r="AA1679" s="32" t="str" cm="1">
        <f t="array" ref="AA1679">IFERROR(IF(INDEX(SubsidieTabel!$AD$1:$AG$12,MATCH($F1679,SubsidieTabel!$AD$1:$AD$12,0),IFERROR(MATCH(Methode_Keuze,SubsidieTabel!$AD$1:$AG$1,0),2))&lt;&gt;1=TRUE,"ja",""),"")</f>
        <v/>
      </c>
    </row>
    <row r="1680" spans="1:27" x14ac:dyDescent="0.25">
      <c r="A1680" s="320"/>
      <c r="B1680" s="321" t="str">
        <f>IF(A1680&lt;&gt;"",_xlfn.MAXIFS($B$1:B1679,$A$1:A1679,A1680)+1,"")</f>
        <v/>
      </c>
      <c r="C1680" s="299"/>
      <c r="D1680" s="299"/>
      <c r="E1680" s="299"/>
      <c r="F1680" s="299"/>
      <c r="G1680" s="330"/>
      <c r="H1680" s="328"/>
      <c r="I1680" s="329"/>
      <c r="J1680" s="329"/>
      <c r="K1680" s="322"/>
      <c r="L1680" s="322"/>
      <c r="M1680" s="323" t="str">
        <f>IFERROR(VLOOKUP(H1680,Lijsten!$H$1:$I$100,2,0),"")</f>
        <v/>
      </c>
      <c r="N1680" s="323" t="str">
        <f ca="1">IFERROR(IF(VLOOKUP(F1680,Kostentypen!$A$3:$E$21,3,0)=0,"",IF(OR(F1680="Arbeidskosten",F1680="Vergoeding"),VLOOKUP(G1680,Tb_KostenTypen[],2,0),VLOOKUP(F1680,Kostentypen!$A$3:$E$20,3,0))),"")</f>
        <v/>
      </c>
      <c r="O1680" s="324"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4"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3"/>
      <c r="R1680" s="363"/>
      <c r="S1680" s="325"/>
      <c r="T1680" s="325"/>
      <c r="U1680" s="317" t="str" cm="1">
        <f t="array" aca="1" ref="U1680" ca="1">IFERROR(IF(AA1680&lt;&gt;"ja",_xlfn.IFNA(_xlfn.IFS(AND(O1680&lt;&gt;"",F1680&lt;&gt;"",RIGHT($N1680,6)="tarief",F1680="Vergoeding"),SUM(O1680)*FLOOR(SUM(Q1680),0.0001),AND(O1680&lt;&gt;"",F1680&lt;&gt;"",RIGHT($N1680,6)="tarief"),SUM(O1680)*FLOOR(SUM(Q1680),0.01),S1680&gt;0,IF(F1680&lt;&gt;"",FLOOR(SUM(S1680),0.01),"")),""),""),"")</f>
        <v/>
      </c>
      <c r="V1680" s="317" t="str" cm="1">
        <f t="array" aca="1" ref="V1680" ca="1">IFERROR(IF(AA1680&lt;&gt;"ja",_xlfn.IFNA(_xlfn.IFS(AND(P1680&lt;&gt;"",R1680&lt;&gt;"",RIGHT($N1680,6)="tarief",F1680="Vergoeding"),SUM(P1680)*FLOOR(SUM(R1680),0.0001),AND(P1680&lt;&gt;"",R1680&lt;&gt;"",RIGHT($N1680,6)="tarief"),P1680*FLOOR(R1680,0.01),T1680&gt;0,FLOOR(SUM(T1680),0.01)),""),""),"")</f>
        <v/>
      </c>
      <c r="W1680" s="317" t="str" cm="1">
        <f t="array" aca="1" ref="W1680" ca="1">IFERROR(_xlfn.IFS(OR(F1680="",LEFT(Methode_Keuze,4)="Geen",Methode_Keuze=""),"",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17" t="str" cm="1">
        <f t="array" aca="1" ref="X1680" ca="1">IFERROR(_xlfn.IFS(OR(F1680="",LEFT(Methode_Keuze,4)="Geen",Methode_Keuze=""),"",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26"/>
      <c r="Z1680" s="319"/>
      <c r="AA1680" s="32" t="str" cm="1">
        <f t="array" ref="AA1680">IFERROR(IF(INDEX(SubsidieTabel!$AD$1:$AG$12,MATCH($F1680,SubsidieTabel!$AD$1:$AD$12,0),IFERROR(MATCH(Methode_Keuze,SubsidieTabel!$AD$1:$AG$1,0),2))&lt;&gt;1=TRUE,"ja",""),"")</f>
        <v/>
      </c>
    </row>
    <row r="1681" spans="1:27" x14ac:dyDescent="0.25">
      <c r="A1681" s="320"/>
      <c r="B1681" s="321" t="str">
        <f>IF(A1681&lt;&gt;"",_xlfn.MAXIFS($B$1:B1680,$A$1:A1680,A1681)+1,"")</f>
        <v/>
      </c>
      <c r="C1681" s="299"/>
      <c r="D1681" s="299"/>
      <c r="E1681" s="299"/>
      <c r="F1681" s="299"/>
      <c r="G1681" s="330"/>
      <c r="H1681" s="328"/>
      <c r="I1681" s="329"/>
      <c r="J1681" s="329"/>
      <c r="K1681" s="322"/>
      <c r="L1681" s="322"/>
      <c r="M1681" s="323" t="str">
        <f>IFERROR(VLOOKUP(H1681,Lijsten!$H$1:$I$100,2,0),"")</f>
        <v/>
      </c>
      <c r="N1681" s="323" t="str">
        <f ca="1">IFERROR(IF(VLOOKUP(F1681,Kostentypen!$A$3:$E$21,3,0)=0,"",IF(OR(F1681="Arbeidskosten",F1681="Vergoeding"),VLOOKUP(G1681,Tb_KostenTypen[],2,0),VLOOKUP(F1681,Kostentypen!$A$3:$E$20,3,0))),"")</f>
        <v/>
      </c>
      <c r="O1681" s="324"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4"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3"/>
      <c r="R1681" s="363"/>
      <c r="S1681" s="325"/>
      <c r="T1681" s="325"/>
      <c r="U1681" s="317" t="str" cm="1">
        <f t="array" aca="1" ref="U1681" ca="1">IFERROR(IF(AA1681&lt;&gt;"ja",_xlfn.IFNA(_xlfn.IFS(AND(O1681&lt;&gt;"",F1681&lt;&gt;"",RIGHT($N1681,6)="tarief",F1681="Vergoeding"),SUM(O1681)*FLOOR(SUM(Q1681),0.0001),AND(O1681&lt;&gt;"",F1681&lt;&gt;"",RIGHT($N1681,6)="tarief"),SUM(O1681)*FLOOR(SUM(Q1681),0.01),S1681&gt;0,IF(F1681&lt;&gt;"",FLOOR(SUM(S1681),0.01),"")),""),""),"")</f>
        <v/>
      </c>
      <c r="V1681" s="317" t="str" cm="1">
        <f t="array" aca="1" ref="V1681" ca="1">IFERROR(IF(AA1681&lt;&gt;"ja",_xlfn.IFNA(_xlfn.IFS(AND(P1681&lt;&gt;"",R1681&lt;&gt;"",RIGHT($N1681,6)="tarief",F1681="Vergoeding"),SUM(P1681)*FLOOR(SUM(R1681),0.0001),AND(P1681&lt;&gt;"",R1681&lt;&gt;"",RIGHT($N1681,6)="tarief"),P1681*FLOOR(R1681,0.01),T1681&gt;0,FLOOR(SUM(T1681),0.01)),""),""),"")</f>
        <v/>
      </c>
      <c r="W1681" s="317" t="str" cm="1">
        <f t="array" aca="1" ref="W1681" ca="1">IFERROR(_xlfn.IFS(OR(F1681="",LEFT(Methode_Keuze,4)="Geen",Methode_Keuze=""),"",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17" t="str" cm="1">
        <f t="array" aca="1" ref="X1681" ca="1">IFERROR(_xlfn.IFS(OR(F1681="",LEFT(Methode_Keuze,4)="Geen",Methode_Keuze=""),"",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26"/>
      <c r="Z1681" s="319"/>
      <c r="AA1681" s="32" t="str" cm="1">
        <f t="array" ref="AA1681">IFERROR(IF(INDEX(SubsidieTabel!$AD$1:$AG$12,MATCH($F1681,SubsidieTabel!$AD$1:$AD$12,0),IFERROR(MATCH(Methode_Keuze,SubsidieTabel!$AD$1:$AG$1,0),2))&lt;&gt;1=TRUE,"ja",""),"")</f>
        <v/>
      </c>
    </row>
    <row r="1682" spans="1:27" x14ac:dyDescent="0.25">
      <c r="A1682" s="320"/>
      <c r="B1682" s="321" t="str">
        <f>IF(A1682&lt;&gt;"",_xlfn.MAXIFS($B$1:B1681,$A$1:A1681,A1682)+1,"")</f>
        <v/>
      </c>
      <c r="C1682" s="299"/>
      <c r="D1682" s="299"/>
      <c r="E1682" s="299"/>
      <c r="F1682" s="299"/>
      <c r="G1682" s="330"/>
      <c r="H1682" s="328"/>
      <c r="I1682" s="329"/>
      <c r="J1682" s="329"/>
      <c r="K1682" s="322"/>
      <c r="L1682" s="322"/>
      <c r="M1682" s="323" t="str">
        <f>IFERROR(VLOOKUP(H1682,Lijsten!$H$1:$I$100,2,0),"")</f>
        <v/>
      </c>
      <c r="N1682" s="323" t="str">
        <f ca="1">IFERROR(IF(VLOOKUP(F1682,Kostentypen!$A$3:$E$21,3,0)=0,"",IF(OR(F1682="Arbeidskosten",F1682="Vergoeding"),VLOOKUP(G1682,Tb_KostenTypen[],2,0),VLOOKUP(F1682,Kostentypen!$A$3:$E$20,3,0))),"")</f>
        <v/>
      </c>
      <c r="O1682" s="324"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4"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3"/>
      <c r="R1682" s="363"/>
      <c r="S1682" s="325"/>
      <c r="T1682" s="325"/>
      <c r="U1682" s="317" t="str" cm="1">
        <f t="array" aca="1" ref="U1682" ca="1">IFERROR(IF(AA1682&lt;&gt;"ja",_xlfn.IFNA(_xlfn.IFS(AND(O1682&lt;&gt;"",F1682&lt;&gt;"",RIGHT($N1682,6)="tarief",F1682="Vergoeding"),SUM(O1682)*FLOOR(SUM(Q1682),0.0001),AND(O1682&lt;&gt;"",F1682&lt;&gt;"",RIGHT($N1682,6)="tarief"),SUM(O1682)*FLOOR(SUM(Q1682),0.01),S1682&gt;0,IF(F1682&lt;&gt;"",FLOOR(SUM(S1682),0.01),"")),""),""),"")</f>
        <v/>
      </c>
      <c r="V1682" s="317" t="str" cm="1">
        <f t="array" aca="1" ref="V1682" ca="1">IFERROR(IF(AA1682&lt;&gt;"ja",_xlfn.IFNA(_xlfn.IFS(AND(P1682&lt;&gt;"",R1682&lt;&gt;"",RIGHT($N1682,6)="tarief",F1682="Vergoeding"),SUM(P1682)*FLOOR(SUM(R1682),0.0001),AND(P1682&lt;&gt;"",R1682&lt;&gt;"",RIGHT($N1682,6)="tarief"),P1682*FLOOR(R1682,0.01),T1682&gt;0,FLOOR(SUM(T1682),0.01)),""),""),"")</f>
        <v/>
      </c>
      <c r="W1682" s="317" t="str" cm="1">
        <f t="array" aca="1" ref="W1682" ca="1">IFERROR(_xlfn.IFS(OR(F1682="",LEFT(Methode_Keuze,4)="Geen",Methode_Keuze=""),"",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17" t="str" cm="1">
        <f t="array" aca="1" ref="X1682" ca="1">IFERROR(_xlfn.IFS(OR(F1682="",LEFT(Methode_Keuze,4)="Geen",Methode_Keuze=""),"",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26"/>
      <c r="Z1682" s="319"/>
      <c r="AA1682" s="32" t="str" cm="1">
        <f t="array" ref="AA1682">IFERROR(IF(INDEX(SubsidieTabel!$AD$1:$AG$12,MATCH($F1682,SubsidieTabel!$AD$1:$AD$12,0),IFERROR(MATCH(Methode_Keuze,SubsidieTabel!$AD$1:$AG$1,0),2))&lt;&gt;1=TRUE,"ja",""),"")</f>
        <v/>
      </c>
    </row>
    <row r="1683" spans="1:27" x14ac:dyDescent="0.25">
      <c r="A1683" s="320"/>
      <c r="B1683" s="321" t="str">
        <f>IF(A1683&lt;&gt;"",_xlfn.MAXIFS($B$1:B1682,$A$1:A1682,A1683)+1,"")</f>
        <v/>
      </c>
      <c r="C1683" s="299"/>
      <c r="D1683" s="299"/>
      <c r="E1683" s="299"/>
      <c r="F1683" s="299"/>
      <c r="G1683" s="330"/>
      <c r="H1683" s="328"/>
      <c r="I1683" s="329"/>
      <c r="J1683" s="329"/>
      <c r="K1683" s="322"/>
      <c r="L1683" s="322"/>
      <c r="M1683" s="323" t="str">
        <f>IFERROR(VLOOKUP(H1683,Lijsten!$H$1:$I$100,2,0),"")</f>
        <v/>
      </c>
      <c r="N1683" s="323" t="str">
        <f ca="1">IFERROR(IF(VLOOKUP(F1683,Kostentypen!$A$3:$E$21,3,0)=0,"",IF(OR(F1683="Arbeidskosten",F1683="Vergoeding"),VLOOKUP(G1683,Tb_KostenTypen[],2,0),VLOOKUP(F1683,Kostentypen!$A$3:$E$20,3,0))),"")</f>
        <v/>
      </c>
      <c r="O1683" s="324"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4"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3"/>
      <c r="R1683" s="363"/>
      <c r="S1683" s="325"/>
      <c r="T1683" s="325"/>
      <c r="U1683" s="317" t="str" cm="1">
        <f t="array" aca="1" ref="U1683" ca="1">IFERROR(IF(AA1683&lt;&gt;"ja",_xlfn.IFNA(_xlfn.IFS(AND(O1683&lt;&gt;"",F1683&lt;&gt;"",RIGHT($N1683,6)="tarief",F1683="Vergoeding"),SUM(O1683)*FLOOR(SUM(Q1683),0.0001),AND(O1683&lt;&gt;"",F1683&lt;&gt;"",RIGHT($N1683,6)="tarief"),SUM(O1683)*FLOOR(SUM(Q1683),0.01),S1683&gt;0,IF(F1683&lt;&gt;"",FLOOR(SUM(S1683),0.01),"")),""),""),"")</f>
        <v/>
      </c>
      <c r="V1683" s="317" t="str" cm="1">
        <f t="array" aca="1" ref="V1683" ca="1">IFERROR(IF(AA1683&lt;&gt;"ja",_xlfn.IFNA(_xlfn.IFS(AND(P1683&lt;&gt;"",R1683&lt;&gt;"",RIGHT($N1683,6)="tarief",F1683="Vergoeding"),SUM(P1683)*FLOOR(SUM(R1683),0.0001),AND(P1683&lt;&gt;"",R1683&lt;&gt;"",RIGHT($N1683,6)="tarief"),P1683*FLOOR(R1683,0.01),T1683&gt;0,FLOOR(SUM(T1683),0.01)),""),""),"")</f>
        <v/>
      </c>
      <c r="W1683" s="317" t="str" cm="1">
        <f t="array" aca="1" ref="W1683" ca="1">IFERROR(_xlfn.IFS(OR(F1683="",LEFT(Methode_Keuze,4)="Geen",Methode_Keuze=""),"",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17" t="str" cm="1">
        <f t="array" aca="1" ref="X1683" ca="1">IFERROR(_xlfn.IFS(OR(F1683="",LEFT(Methode_Keuze,4)="Geen",Methode_Keuze=""),"",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26"/>
      <c r="Z1683" s="319"/>
      <c r="AA1683" s="32" t="str" cm="1">
        <f t="array" ref="AA1683">IFERROR(IF(INDEX(SubsidieTabel!$AD$1:$AG$12,MATCH($F1683,SubsidieTabel!$AD$1:$AD$12,0),IFERROR(MATCH(Methode_Keuze,SubsidieTabel!$AD$1:$AG$1,0),2))&lt;&gt;1=TRUE,"ja",""),"")</f>
        <v/>
      </c>
    </row>
    <row r="1684" spans="1:27" x14ac:dyDescent="0.25">
      <c r="A1684" s="320"/>
      <c r="B1684" s="321" t="str">
        <f>IF(A1684&lt;&gt;"",_xlfn.MAXIFS($B$1:B1683,$A$1:A1683,A1684)+1,"")</f>
        <v/>
      </c>
      <c r="C1684" s="299"/>
      <c r="D1684" s="299"/>
      <c r="E1684" s="299"/>
      <c r="F1684" s="299"/>
      <c r="G1684" s="330"/>
      <c r="H1684" s="328"/>
      <c r="I1684" s="329"/>
      <c r="J1684" s="329"/>
      <c r="K1684" s="322"/>
      <c r="L1684" s="322"/>
      <c r="M1684" s="323" t="str">
        <f>IFERROR(VLOOKUP(H1684,Lijsten!$H$1:$I$100,2,0),"")</f>
        <v/>
      </c>
      <c r="N1684" s="323" t="str">
        <f ca="1">IFERROR(IF(VLOOKUP(F1684,Kostentypen!$A$3:$E$21,3,0)=0,"",IF(OR(F1684="Arbeidskosten",F1684="Vergoeding"),VLOOKUP(G1684,Tb_KostenTypen[],2,0),VLOOKUP(F1684,Kostentypen!$A$3:$E$20,3,0))),"")</f>
        <v/>
      </c>
      <c r="O1684" s="324"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4"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3"/>
      <c r="R1684" s="363"/>
      <c r="S1684" s="325"/>
      <c r="T1684" s="325"/>
      <c r="U1684" s="317" t="str" cm="1">
        <f t="array" aca="1" ref="U1684" ca="1">IFERROR(IF(AA1684&lt;&gt;"ja",_xlfn.IFNA(_xlfn.IFS(AND(O1684&lt;&gt;"",F1684&lt;&gt;"",RIGHT($N1684,6)="tarief",F1684="Vergoeding"),SUM(O1684)*FLOOR(SUM(Q1684),0.0001),AND(O1684&lt;&gt;"",F1684&lt;&gt;"",RIGHT($N1684,6)="tarief"),SUM(O1684)*FLOOR(SUM(Q1684),0.01),S1684&gt;0,IF(F1684&lt;&gt;"",FLOOR(SUM(S1684),0.01),"")),""),""),"")</f>
        <v/>
      </c>
      <c r="V1684" s="317" t="str" cm="1">
        <f t="array" aca="1" ref="V1684" ca="1">IFERROR(IF(AA1684&lt;&gt;"ja",_xlfn.IFNA(_xlfn.IFS(AND(P1684&lt;&gt;"",R1684&lt;&gt;"",RIGHT($N1684,6)="tarief",F1684="Vergoeding"),SUM(P1684)*FLOOR(SUM(R1684),0.0001),AND(P1684&lt;&gt;"",R1684&lt;&gt;"",RIGHT($N1684,6)="tarief"),P1684*FLOOR(R1684,0.01),T1684&gt;0,FLOOR(SUM(T1684),0.01)),""),""),"")</f>
        <v/>
      </c>
      <c r="W1684" s="317" t="str" cm="1">
        <f t="array" aca="1" ref="W1684" ca="1">IFERROR(_xlfn.IFS(OR(F1684="",LEFT(Methode_Keuze,4)="Geen",Methode_Keuze=""),"",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17" t="str" cm="1">
        <f t="array" aca="1" ref="X1684" ca="1">IFERROR(_xlfn.IFS(OR(F1684="",LEFT(Methode_Keuze,4)="Geen",Methode_Keuze=""),"",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26"/>
      <c r="Z1684" s="319"/>
      <c r="AA1684" s="32" t="str" cm="1">
        <f t="array" ref="AA1684">IFERROR(IF(INDEX(SubsidieTabel!$AD$1:$AG$12,MATCH($F1684,SubsidieTabel!$AD$1:$AD$12,0),IFERROR(MATCH(Methode_Keuze,SubsidieTabel!$AD$1:$AG$1,0),2))&lt;&gt;1=TRUE,"ja",""),"")</f>
        <v/>
      </c>
    </row>
    <row r="1685" spans="1:27" x14ac:dyDescent="0.25">
      <c r="A1685" s="320"/>
      <c r="B1685" s="321" t="str">
        <f>IF(A1685&lt;&gt;"",_xlfn.MAXIFS($B$1:B1684,$A$1:A1684,A1685)+1,"")</f>
        <v/>
      </c>
      <c r="C1685" s="299"/>
      <c r="D1685" s="299"/>
      <c r="E1685" s="299"/>
      <c r="F1685" s="299"/>
      <c r="G1685" s="330"/>
      <c r="H1685" s="328"/>
      <c r="I1685" s="329"/>
      <c r="J1685" s="329"/>
      <c r="K1685" s="322"/>
      <c r="L1685" s="322"/>
      <c r="M1685" s="323" t="str">
        <f>IFERROR(VLOOKUP(H1685,Lijsten!$H$1:$I$100,2,0),"")</f>
        <v/>
      </c>
      <c r="N1685" s="323" t="str">
        <f ca="1">IFERROR(IF(VLOOKUP(F1685,Kostentypen!$A$3:$E$21,3,0)=0,"",IF(OR(F1685="Arbeidskosten",F1685="Vergoeding"),VLOOKUP(G1685,Tb_KostenTypen[],2,0),VLOOKUP(F1685,Kostentypen!$A$3:$E$20,3,0))),"")</f>
        <v/>
      </c>
      <c r="O1685" s="324"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4"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3"/>
      <c r="R1685" s="363"/>
      <c r="S1685" s="325"/>
      <c r="T1685" s="325"/>
      <c r="U1685" s="317" t="str" cm="1">
        <f t="array" aca="1" ref="U1685" ca="1">IFERROR(IF(AA1685&lt;&gt;"ja",_xlfn.IFNA(_xlfn.IFS(AND(O1685&lt;&gt;"",F1685&lt;&gt;"",RIGHT($N1685,6)="tarief",F1685="Vergoeding"),SUM(O1685)*FLOOR(SUM(Q1685),0.0001),AND(O1685&lt;&gt;"",F1685&lt;&gt;"",RIGHT($N1685,6)="tarief"),SUM(O1685)*FLOOR(SUM(Q1685),0.01),S1685&gt;0,IF(F1685&lt;&gt;"",FLOOR(SUM(S1685),0.01),"")),""),""),"")</f>
        <v/>
      </c>
      <c r="V1685" s="317" t="str" cm="1">
        <f t="array" aca="1" ref="V1685" ca="1">IFERROR(IF(AA1685&lt;&gt;"ja",_xlfn.IFNA(_xlfn.IFS(AND(P1685&lt;&gt;"",R1685&lt;&gt;"",RIGHT($N1685,6)="tarief",F1685="Vergoeding"),SUM(P1685)*FLOOR(SUM(R1685),0.0001),AND(P1685&lt;&gt;"",R1685&lt;&gt;"",RIGHT($N1685,6)="tarief"),P1685*FLOOR(R1685,0.01),T1685&gt;0,FLOOR(SUM(T1685),0.01)),""),""),"")</f>
        <v/>
      </c>
      <c r="W1685" s="317" t="str" cm="1">
        <f t="array" aca="1" ref="W1685" ca="1">IFERROR(_xlfn.IFS(OR(F1685="",LEFT(Methode_Keuze,4)="Geen",Methode_Keuze=""),"",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17" t="str" cm="1">
        <f t="array" aca="1" ref="X1685" ca="1">IFERROR(_xlfn.IFS(OR(F1685="",LEFT(Methode_Keuze,4)="Geen",Methode_Keuze=""),"",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26"/>
      <c r="Z1685" s="319"/>
      <c r="AA1685" s="32" t="str" cm="1">
        <f t="array" ref="AA1685">IFERROR(IF(INDEX(SubsidieTabel!$AD$1:$AG$12,MATCH($F1685,SubsidieTabel!$AD$1:$AD$12,0),IFERROR(MATCH(Methode_Keuze,SubsidieTabel!$AD$1:$AG$1,0),2))&lt;&gt;1=TRUE,"ja",""),"")</f>
        <v/>
      </c>
    </row>
    <row r="1686" spans="1:27" x14ac:dyDescent="0.25">
      <c r="A1686" s="320"/>
      <c r="B1686" s="321" t="str">
        <f>IF(A1686&lt;&gt;"",_xlfn.MAXIFS($B$1:B1685,$A$1:A1685,A1686)+1,"")</f>
        <v/>
      </c>
      <c r="C1686" s="299"/>
      <c r="D1686" s="299"/>
      <c r="E1686" s="299"/>
      <c r="F1686" s="299"/>
      <c r="G1686" s="330"/>
      <c r="H1686" s="328"/>
      <c r="I1686" s="329"/>
      <c r="J1686" s="329"/>
      <c r="K1686" s="322"/>
      <c r="L1686" s="322"/>
      <c r="M1686" s="323" t="str">
        <f>IFERROR(VLOOKUP(H1686,Lijsten!$H$1:$I$100,2,0),"")</f>
        <v/>
      </c>
      <c r="N1686" s="323" t="str">
        <f ca="1">IFERROR(IF(VLOOKUP(F1686,Kostentypen!$A$3:$E$21,3,0)=0,"",IF(OR(F1686="Arbeidskosten",F1686="Vergoeding"),VLOOKUP(G1686,Tb_KostenTypen[],2,0),VLOOKUP(F1686,Kostentypen!$A$3:$E$20,3,0))),"")</f>
        <v/>
      </c>
      <c r="O1686" s="324"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4"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3"/>
      <c r="R1686" s="363"/>
      <c r="S1686" s="325"/>
      <c r="T1686" s="325"/>
      <c r="U1686" s="317" t="str" cm="1">
        <f t="array" aca="1" ref="U1686" ca="1">IFERROR(IF(AA1686&lt;&gt;"ja",_xlfn.IFNA(_xlfn.IFS(AND(O1686&lt;&gt;"",F1686&lt;&gt;"",RIGHT($N1686,6)="tarief",F1686="Vergoeding"),SUM(O1686)*FLOOR(SUM(Q1686),0.0001),AND(O1686&lt;&gt;"",F1686&lt;&gt;"",RIGHT($N1686,6)="tarief"),SUM(O1686)*FLOOR(SUM(Q1686),0.01),S1686&gt;0,IF(F1686&lt;&gt;"",FLOOR(SUM(S1686),0.01),"")),""),""),"")</f>
        <v/>
      </c>
      <c r="V1686" s="317" t="str" cm="1">
        <f t="array" aca="1" ref="V1686" ca="1">IFERROR(IF(AA1686&lt;&gt;"ja",_xlfn.IFNA(_xlfn.IFS(AND(P1686&lt;&gt;"",R1686&lt;&gt;"",RIGHT($N1686,6)="tarief",F1686="Vergoeding"),SUM(P1686)*FLOOR(SUM(R1686),0.0001),AND(P1686&lt;&gt;"",R1686&lt;&gt;"",RIGHT($N1686,6)="tarief"),P1686*FLOOR(R1686,0.01),T1686&gt;0,FLOOR(SUM(T1686),0.01)),""),""),"")</f>
        <v/>
      </c>
      <c r="W1686" s="317" t="str" cm="1">
        <f t="array" aca="1" ref="W1686" ca="1">IFERROR(_xlfn.IFS(OR(F1686="",LEFT(Methode_Keuze,4)="Geen",Methode_Keuze=""),"",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17" t="str" cm="1">
        <f t="array" aca="1" ref="X1686" ca="1">IFERROR(_xlfn.IFS(OR(F1686="",LEFT(Methode_Keuze,4)="Geen",Methode_Keuze=""),"",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26"/>
      <c r="Z1686" s="319"/>
      <c r="AA1686" s="32" t="str" cm="1">
        <f t="array" ref="AA1686">IFERROR(IF(INDEX(SubsidieTabel!$AD$1:$AG$12,MATCH($F1686,SubsidieTabel!$AD$1:$AD$12,0),IFERROR(MATCH(Methode_Keuze,SubsidieTabel!$AD$1:$AG$1,0),2))&lt;&gt;1=TRUE,"ja",""),"")</f>
        <v/>
      </c>
    </row>
    <row r="1687" spans="1:27" x14ac:dyDescent="0.25">
      <c r="A1687" s="320"/>
      <c r="B1687" s="321" t="str">
        <f>IF(A1687&lt;&gt;"",_xlfn.MAXIFS($B$1:B1686,$A$1:A1686,A1687)+1,"")</f>
        <v/>
      </c>
      <c r="C1687" s="299"/>
      <c r="D1687" s="299"/>
      <c r="E1687" s="299"/>
      <c r="F1687" s="299"/>
      <c r="G1687" s="330"/>
      <c r="H1687" s="328"/>
      <c r="I1687" s="329"/>
      <c r="J1687" s="329"/>
      <c r="K1687" s="322"/>
      <c r="L1687" s="322"/>
      <c r="M1687" s="323" t="str">
        <f>IFERROR(VLOOKUP(H1687,Lijsten!$H$1:$I$100,2,0),"")</f>
        <v/>
      </c>
      <c r="N1687" s="323" t="str">
        <f ca="1">IFERROR(IF(VLOOKUP(F1687,Kostentypen!$A$3:$E$21,3,0)=0,"",IF(OR(F1687="Arbeidskosten",F1687="Vergoeding"),VLOOKUP(G1687,Tb_KostenTypen[],2,0),VLOOKUP(F1687,Kostentypen!$A$3:$E$20,3,0))),"")</f>
        <v/>
      </c>
      <c r="O1687" s="324"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4"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3"/>
      <c r="R1687" s="363"/>
      <c r="S1687" s="325"/>
      <c r="T1687" s="325"/>
      <c r="U1687" s="317" t="str" cm="1">
        <f t="array" aca="1" ref="U1687" ca="1">IFERROR(IF(AA1687&lt;&gt;"ja",_xlfn.IFNA(_xlfn.IFS(AND(O1687&lt;&gt;"",F1687&lt;&gt;"",RIGHT($N1687,6)="tarief",F1687="Vergoeding"),SUM(O1687)*FLOOR(SUM(Q1687),0.0001),AND(O1687&lt;&gt;"",F1687&lt;&gt;"",RIGHT($N1687,6)="tarief"),SUM(O1687)*FLOOR(SUM(Q1687),0.01),S1687&gt;0,IF(F1687&lt;&gt;"",FLOOR(SUM(S1687),0.01),"")),""),""),"")</f>
        <v/>
      </c>
      <c r="V1687" s="317" t="str" cm="1">
        <f t="array" aca="1" ref="V1687" ca="1">IFERROR(IF(AA1687&lt;&gt;"ja",_xlfn.IFNA(_xlfn.IFS(AND(P1687&lt;&gt;"",R1687&lt;&gt;"",RIGHT($N1687,6)="tarief",F1687="Vergoeding"),SUM(P1687)*FLOOR(SUM(R1687),0.0001),AND(P1687&lt;&gt;"",R1687&lt;&gt;"",RIGHT($N1687,6)="tarief"),P1687*FLOOR(R1687,0.01),T1687&gt;0,FLOOR(SUM(T1687),0.01)),""),""),"")</f>
        <v/>
      </c>
      <c r="W1687" s="317" t="str" cm="1">
        <f t="array" aca="1" ref="W1687" ca="1">IFERROR(_xlfn.IFS(OR(F1687="",LEFT(Methode_Keuze,4)="Geen",Methode_Keuze=""),"",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17" t="str" cm="1">
        <f t="array" aca="1" ref="X1687" ca="1">IFERROR(_xlfn.IFS(OR(F1687="",LEFT(Methode_Keuze,4)="Geen",Methode_Keuze=""),"",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26"/>
      <c r="Z1687" s="319"/>
      <c r="AA1687" s="32" t="str" cm="1">
        <f t="array" ref="AA1687">IFERROR(IF(INDEX(SubsidieTabel!$AD$1:$AG$12,MATCH($F1687,SubsidieTabel!$AD$1:$AD$12,0),IFERROR(MATCH(Methode_Keuze,SubsidieTabel!$AD$1:$AG$1,0),2))&lt;&gt;1=TRUE,"ja",""),"")</f>
        <v/>
      </c>
    </row>
    <row r="1688" spans="1:27" x14ac:dyDescent="0.25">
      <c r="A1688" s="320"/>
      <c r="B1688" s="321" t="str">
        <f>IF(A1688&lt;&gt;"",_xlfn.MAXIFS($B$1:B1687,$A$1:A1687,A1688)+1,"")</f>
        <v/>
      </c>
      <c r="C1688" s="299"/>
      <c r="D1688" s="299"/>
      <c r="E1688" s="299"/>
      <c r="F1688" s="299"/>
      <c r="G1688" s="330"/>
      <c r="H1688" s="328"/>
      <c r="I1688" s="329"/>
      <c r="J1688" s="329"/>
      <c r="K1688" s="322"/>
      <c r="L1688" s="322"/>
      <c r="M1688" s="323" t="str">
        <f>IFERROR(VLOOKUP(H1688,Lijsten!$H$1:$I$100,2,0),"")</f>
        <v/>
      </c>
      <c r="N1688" s="323" t="str">
        <f ca="1">IFERROR(IF(VLOOKUP(F1688,Kostentypen!$A$3:$E$21,3,0)=0,"",IF(OR(F1688="Arbeidskosten",F1688="Vergoeding"),VLOOKUP(G1688,Tb_KostenTypen[],2,0),VLOOKUP(F1688,Kostentypen!$A$3:$E$20,3,0))),"")</f>
        <v/>
      </c>
      <c r="O1688" s="324"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4"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3"/>
      <c r="R1688" s="363"/>
      <c r="S1688" s="325"/>
      <c r="T1688" s="325"/>
      <c r="U1688" s="317" t="str" cm="1">
        <f t="array" aca="1" ref="U1688" ca="1">IFERROR(IF(AA1688&lt;&gt;"ja",_xlfn.IFNA(_xlfn.IFS(AND(O1688&lt;&gt;"",F1688&lt;&gt;"",RIGHT($N1688,6)="tarief",F1688="Vergoeding"),SUM(O1688)*FLOOR(SUM(Q1688),0.0001),AND(O1688&lt;&gt;"",F1688&lt;&gt;"",RIGHT($N1688,6)="tarief"),SUM(O1688)*FLOOR(SUM(Q1688),0.01),S1688&gt;0,IF(F1688&lt;&gt;"",FLOOR(SUM(S1688),0.01),"")),""),""),"")</f>
        <v/>
      </c>
      <c r="V1688" s="317" t="str" cm="1">
        <f t="array" aca="1" ref="V1688" ca="1">IFERROR(IF(AA1688&lt;&gt;"ja",_xlfn.IFNA(_xlfn.IFS(AND(P1688&lt;&gt;"",R1688&lt;&gt;"",RIGHT($N1688,6)="tarief",F1688="Vergoeding"),SUM(P1688)*FLOOR(SUM(R1688),0.0001),AND(P1688&lt;&gt;"",R1688&lt;&gt;"",RIGHT($N1688,6)="tarief"),P1688*FLOOR(R1688,0.01),T1688&gt;0,FLOOR(SUM(T1688),0.01)),""),""),"")</f>
        <v/>
      </c>
      <c r="W1688" s="317" t="str" cm="1">
        <f t="array" aca="1" ref="W1688" ca="1">IFERROR(_xlfn.IFS(OR(F1688="",LEFT(Methode_Keuze,4)="Geen",Methode_Keuze=""),"",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17" t="str" cm="1">
        <f t="array" aca="1" ref="X1688" ca="1">IFERROR(_xlfn.IFS(OR(F1688="",LEFT(Methode_Keuze,4)="Geen",Methode_Keuze=""),"",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26"/>
      <c r="Z1688" s="319"/>
      <c r="AA1688" s="32" t="str" cm="1">
        <f t="array" ref="AA1688">IFERROR(IF(INDEX(SubsidieTabel!$AD$1:$AG$12,MATCH($F1688,SubsidieTabel!$AD$1:$AD$12,0),IFERROR(MATCH(Methode_Keuze,SubsidieTabel!$AD$1:$AG$1,0),2))&lt;&gt;1=TRUE,"ja",""),"")</f>
        <v/>
      </c>
    </row>
    <row r="1689" spans="1:27" x14ac:dyDescent="0.25">
      <c r="A1689" s="320"/>
      <c r="B1689" s="321" t="str">
        <f>IF(A1689&lt;&gt;"",_xlfn.MAXIFS($B$1:B1688,$A$1:A1688,A1689)+1,"")</f>
        <v/>
      </c>
      <c r="C1689" s="299"/>
      <c r="D1689" s="299"/>
      <c r="E1689" s="299"/>
      <c r="F1689" s="299"/>
      <c r="G1689" s="330"/>
      <c r="H1689" s="328"/>
      <c r="I1689" s="329"/>
      <c r="J1689" s="329"/>
      <c r="K1689" s="322"/>
      <c r="L1689" s="322"/>
      <c r="M1689" s="323" t="str">
        <f>IFERROR(VLOOKUP(H1689,Lijsten!$H$1:$I$100,2,0),"")</f>
        <v/>
      </c>
      <c r="N1689" s="323" t="str">
        <f ca="1">IFERROR(IF(VLOOKUP(F1689,Kostentypen!$A$3:$E$21,3,0)=0,"",IF(OR(F1689="Arbeidskosten",F1689="Vergoeding"),VLOOKUP(G1689,Tb_KostenTypen[],2,0),VLOOKUP(F1689,Kostentypen!$A$3:$E$20,3,0))),"")</f>
        <v/>
      </c>
      <c r="O1689" s="324"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4"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3"/>
      <c r="R1689" s="363"/>
      <c r="S1689" s="325"/>
      <c r="T1689" s="325"/>
      <c r="U1689" s="317" t="str" cm="1">
        <f t="array" aca="1" ref="U1689" ca="1">IFERROR(IF(AA1689&lt;&gt;"ja",_xlfn.IFNA(_xlfn.IFS(AND(O1689&lt;&gt;"",F1689&lt;&gt;"",RIGHT($N1689,6)="tarief",F1689="Vergoeding"),SUM(O1689)*FLOOR(SUM(Q1689),0.0001),AND(O1689&lt;&gt;"",F1689&lt;&gt;"",RIGHT($N1689,6)="tarief"),SUM(O1689)*FLOOR(SUM(Q1689),0.01),S1689&gt;0,IF(F1689&lt;&gt;"",FLOOR(SUM(S1689),0.01),"")),""),""),"")</f>
        <v/>
      </c>
      <c r="V1689" s="317" t="str" cm="1">
        <f t="array" aca="1" ref="V1689" ca="1">IFERROR(IF(AA1689&lt;&gt;"ja",_xlfn.IFNA(_xlfn.IFS(AND(P1689&lt;&gt;"",R1689&lt;&gt;"",RIGHT($N1689,6)="tarief",F1689="Vergoeding"),SUM(P1689)*FLOOR(SUM(R1689),0.0001),AND(P1689&lt;&gt;"",R1689&lt;&gt;"",RIGHT($N1689,6)="tarief"),P1689*FLOOR(R1689,0.01),T1689&gt;0,FLOOR(SUM(T1689),0.01)),""),""),"")</f>
        <v/>
      </c>
      <c r="W1689" s="317" t="str" cm="1">
        <f t="array" aca="1" ref="W1689" ca="1">IFERROR(_xlfn.IFS(OR(F1689="",LEFT(Methode_Keuze,4)="Geen",Methode_Keuze=""),"",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17" t="str" cm="1">
        <f t="array" aca="1" ref="X1689" ca="1">IFERROR(_xlfn.IFS(OR(F1689="",LEFT(Methode_Keuze,4)="Geen",Methode_Keuze=""),"",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26"/>
      <c r="Z1689" s="319"/>
      <c r="AA1689" s="32" t="str" cm="1">
        <f t="array" ref="AA1689">IFERROR(IF(INDEX(SubsidieTabel!$AD$1:$AG$12,MATCH($F1689,SubsidieTabel!$AD$1:$AD$12,0),IFERROR(MATCH(Methode_Keuze,SubsidieTabel!$AD$1:$AG$1,0),2))&lt;&gt;1=TRUE,"ja",""),"")</f>
        <v/>
      </c>
    </row>
    <row r="1690" spans="1:27" x14ac:dyDescent="0.25">
      <c r="A1690" s="320"/>
      <c r="B1690" s="321" t="str">
        <f>IF(A1690&lt;&gt;"",_xlfn.MAXIFS($B$1:B1689,$A$1:A1689,A1690)+1,"")</f>
        <v/>
      </c>
      <c r="C1690" s="299"/>
      <c r="D1690" s="299"/>
      <c r="E1690" s="299"/>
      <c r="F1690" s="299"/>
      <c r="G1690" s="330"/>
      <c r="H1690" s="328"/>
      <c r="I1690" s="329"/>
      <c r="J1690" s="329"/>
      <c r="K1690" s="322"/>
      <c r="L1690" s="322"/>
      <c r="M1690" s="323" t="str">
        <f>IFERROR(VLOOKUP(H1690,Lijsten!$H$1:$I$100,2,0),"")</f>
        <v/>
      </c>
      <c r="N1690" s="323" t="str">
        <f ca="1">IFERROR(IF(VLOOKUP(F1690,Kostentypen!$A$3:$E$21,3,0)=0,"",IF(OR(F1690="Arbeidskosten",F1690="Vergoeding"),VLOOKUP(G1690,Tb_KostenTypen[],2,0),VLOOKUP(F1690,Kostentypen!$A$3:$E$20,3,0))),"")</f>
        <v/>
      </c>
      <c r="O1690" s="324"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4"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3"/>
      <c r="R1690" s="363"/>
      <c r="S1690" s="325"/>
      <c r="T1690" s="325"/>
      <c r="U1690" s="317" t="str" cm="1">
        <f t="array" aca="1" ref="U1690" ca="1">IFERROR(IF(AA1690&lt;&gt;"ja",_xlfn.IFNA(_xlfn.IFS(AND(O1690&lt;&gt;"",F1690&lt;&gt;"",RIGHT($N1690,6)="tarief",F1690="Vergoeding"),SUM(O1690)*FLOOR(SUM(Q1690),0.0001),AND(O1690&lt;&gt;"",F1690&lt;&gt;"",RIGHT($N1690,6)="tarief"),SUM(O1690)*FLOOR(SUM(Q1690),0.01),S1690&gt;0,IF(F1690&lt;&gt;"",FLOOR(SUM(S1690),0.01),"")),""),""),"")</f>
        <v/>
      </c>
      <c r="V1690" s="317" t="str" cm="1">
        <f t="array" aca="1" ref="V1690" ca="1">IFERROR(IF(AA1690&lt;&gt;"ja",_xlfn.IFNA(_xlfn.IFS(AND(P1690&lt;&gt;"",R1690&lt;&gt;"",RIGHT($N1690,6)="tarief",F1690="Vergoeding"),SUM(P1690)*FLOOR(SUM(R1690),0.0001),AND(P1690&lt;&gt;"",R1690&lt;&gt;"",RIGHT($N1690,6)="tarief"),P1690*FLOOR(R1690,0.01),T1690&gt;0,FLOOR(SUM(T1690),0.01)),""),""),"")</f>
        <v/>
      </c>
      <c r="W1690" s="317" t="str" cm="1">
        <f t="array" aca="1" ref="W1690" ca="1">IFERROR(_xlfn.IFS(OR(F1690="",LEFT(Methode_Keuze,4)="Geen",Methode_Keuze=""),"",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17" t="str" cm="1">
        <f t="array" aca="1" ref="X1690" ca="1">IFERROR(_xlfn.IFS(OR(F1690="",LEFT(Methode_Keuze,4)="Geen",Methode_Keuze=""),"",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26"/>
      <c r="Z1690" s="319"/>
      <c r="AA1690" s="32" t="str" cm="1">
        <f t="array" ref="AA1690">IFERROR(IF(INDEX(SubsidieTabel!$AD$1:$AG$12,MATCH($F1690,SubsidieTabel!$AD$1:$AD$12,0),IFERROR(MATCH(Methode_Keuze,SubsidieTabel!$AD$1:$AG$1,0),2))&lt;&gt;1=TRUE,"ja",""),"")</f>
        <v/>
      </c>
    </row>
    <row r="1691" spans="1:27" x14ac:dyDescent="0.25">
      <c r="A1691" s="320"/>
      <c r="B1691" s="321" t="str">
        <f>IF(A1691&lt;&gt;"",_xlfn.MAXIFS($B$1:B1690,$A$1:A1690,A1691)+1,"")</f>
        <v/>
      </c>
      <c r="C1691" s="299"/>
      <c r="D1691" s="299"/>
      <c r="E1691" s="299"/>
      <c r="F1691" s="299"/>
      <c r="G1691" s="330"/>
      <c r="H1691" s="328"/>
      <c r="I1691" s="329"/>
      <c r="J1691" s="329"/>
      <c r="K1691" s="322"/>
      <c r="L1691" s="322"/>
      <c r="M1691" s="323" t="str">
        <f>IFERROR(VLOOKUP(H1691,Lijsten!$H$1:$I$100,2,0),"")</f>
        <v/>
      </c>
      <c r="N1691" s="323" t="str">
        <f ca="1">IFERROR(IF(VLOOKUP(F1691,Kostentypen!$A$3:$E$21,3,0)=0,"",IF(OR(F1691="Arbeidskosten",F1691="Vergoeding"),VLOOKUP(G1691,Tb_KostenTypen[],2,0),VLOOKUP(F1691,Kostentypen!$A$3:$E$20,3,0))),"")</f>
        <v/>
      </c>
      <c r="O1691" s="324"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4"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3"/>
      <c r="R1691" s="363"/>
      <c r="S1691" s="325"/>
      <c r="T1691" s="325"/>
      <c r="U1691" s="317" t="str" cm="1">
        <f t="array" aca="1" ref="U1691" ca="1">IFERROR(IF(AA1691&lt;&gt;"ja",_xlfn.IFNA(_xlfn.IFS(AND(O1691&lt;&gt;"",F1691&lt;&gt;"",RIGHT($N1691,6)="tarief",F1691="Vergoeding"),SUM(O1691)*FLOOR(SUM(Q1691),0.0001),AND(O1691&lt;&gt;"",F1691&lt;&gt;"",RIGHT($N1691,6)="tarief"),SUM(O1691)*FLOOR(SUM(Q1691),0.01),S1691&gt;0,IF(F1691&lt;&gt;"",FLOOR(SUM(S1691),0.01),"")),""),""),"")</f>
        <v/>
      </c>
      <c r="V1691" s="317" t="str" cm="1">
        <f t="array" aca="1" ref="V1691" ca="1">IFERROR(IF(AA1691&lt;&gt;"ja",_xlfn.IFNA(_xlfn.IFS(AND(P1691&lt;&gt;"",R1691&lt;&gt;"",RIGHT($N1691,6)="tarief",F1691="Vergoeding"),SUM(P1691)*FLOOR(SUM(R1691),0.0001),AND(P1691&lt;&gt;"",R1691&lt;&gt;"",RIGHT($N1691,6)="tarief"),P1691*FLOOR(R1691,0.01),T1691&gt;0,FLOOR(SUM(T1691),0.01)),""),""),"")</f>
        <v/>
      </c>
      <c r="W1691" s="317" t="str" cm="1">
        <f t="array" aca="1" ref="W1691" ca="1">IFERROR(_xlfn.IFS(OR(F1691="",LEFT(Methode_Keuze,4)="Geen",Methode_Keuze=""),"",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17" t="str" cm="1">
        <f t="array" aca="1" ref="X1691" ca="1">IFERROR(_xlfn.IFS(OR(F1691="",LEFT(Methode_Keuze,4)="Geen",Methode_Keuze=""),"",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26"/>
      <c r="Z1691" s="319"/>
      <c r="AA1691" s="32" t="str" cm="1">
        <f t="array" ref="AA1691">IFERROR(IF(INDEX(SubsidieTabel!$AD$1:$AG$12,MATCH($F1691,SubsidieTabel!$AD$1:$AD$12,0),IFERROR(MATCH(Methode_Keuze,SubsidieTabel!$AD$1:$AG$1,0),2))&lt;&gt;1=TRUE,"ja",""),"")</f>
        <v/>
      </c>
    </row>
    <row r="1692" spans="1:27" x14ac:dyDescent="0.25">
      <c r="A1692" s="320"/>
      <c r="B1692" s="321" t="str">
        <f>IF(A1692&lt;&gt;"",_xlfn.MAXIFS($B$1:B1691,$A$1:A1691,A1692)+1,"")</f>
        <v/>
      </c>
      <c r="C1692" s="299"/>
      <c r="D1692" s="299"/>
      <c r="E1692" s="299"/>
      <c r="F1692" s="299"/>
      <c r="G1692" s="330"/>
      <c r="H1692" s="328"/>
      <c r="I1692" s="329"/>
      <c r="J1692" s="329"/>
      <c r="K1692" s="322"/>
      <c r="L1692" s="322"/>
      <c r="M1692" s="323" t="str">
        <f>IFERROR(VLOOKUP(H1692,Lijsten!$H$1:$I$100,2,0),"")</f>
        <v/>
      </c>
      <c r="N1692" s="323" t="str">
        <f ca="1">IFERROR(IF(VLOOKUP(F1692,Kostentypen!$A$3:$E$21,3,0)=0,"",IF(OR(F1692="Arbeidskosten",F1692="Vergoeding"),VLOOKUP(G1692,Tb_KostenTypen[],2,0),VLOOKUP(F1692,Kostentypen!$A$3:$E$20,3,0))),"")</f>
        <v/>
      </c>
      <c r="O1692" s="324"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4"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3"/>
      <c r="R1692" s="363"/>
      <c r="S1692" s="325"/>
      <c r="T1692" s="325"/>
      <c r="U1692" s="317" t="str" cm="1">
        <f t="array" aca="1" ref="U1692" ca="1">IFERROR(IF(AA1692&lt;&gt;"ja",_xlfn.IFNA(_xlfn.IFS(AND(O1692&lt;&gt;"",F1692&lt;&gt;"",RIGHT($N1692,6)="tarief",F1692="Vergoeding"),SUM(O1692)*FLOOR(SUM(Q1692),0.0001),AND(O1692&lt;&gt;"",F1692&lt;&gt;"",RIGHT($N1692,6)="tarief"),SUM(O1692)*FLOOR(SUM(Q1692),0.01),S1692&gt;0,IF(F1692&lt;&gt;"",FLOOR(SUM(S1692),0.01),"")),""),""),"")</f>
        <v/>
      </c>
      <c r="V1692" s="317" t="str" cm="1">
        <f t="array" aca="1" ref="V1692" ca="1">IFERROR(IF(AA1692&lt;&gt;"ja",_xlfn.IFNA(_xlfn.IFS(AND(P1692&lt;&gt;"",R1692&lt;&gt;"",RIGHT($N1692,6)="tarief",F1692="Vergoeding"),SUM(P1692)*FLOOR(SUM(R1692),0.0001),AND(P1692&lt;&gt;"",R1692&lt;&gt;"",RIGHT($N1692,6)="tarief"),P1692*FLOOR(R1692,0.01),T1692&gt;0,FLOOR(SUM(T1692),0.01)),""),""),"")</f>
        <v/>
      </c>
      <c r="W1692" s="317" t="str" cm="1">
        <f t="array" aca="1" ref="W1692" ca="1">IFERROR(_xlfn.IFS(OR(F1692="",LEFT(Methode_Keuze,4)="Geen",Methode_Keuze=""),"",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17" t="str" cm="1">
        <f t="array" aca="1" ref="X1692" ca="1">IFERROR(_xlfn.IFS(OR(F1692="",LEFT(Methode_Keuze,4)="Geen",Methode_Keuze=""),"",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26"/>
      <c r="Z1692" s="319"/>
      <c r="AA1692" s="32" t="str" cm="1">
        <f t="array" ref="AA1692">IFERROR(IF(INDEX(SubsidieTabel!$AD$1:$AG$12,MATCH($F1692,SubsidieTabel!$AD$1:$AD$12,0),IFERROR(MATCH(Methode_Keuze,SubsidieTabel!$AD$1:$AG$1,0),2))&lt;&gt;1=TRUE,"ja",""),"")</f>
        <v/>
      </c>
    </row>
    <row r="1693" spans="1:27" x14ac:dyDescent="0.25">
      <c r="A1693" s="320"/>
      <c r="B1693" s="321" t="str">
        <f>IF(A1693&lt;&gt;"",_xlfn.MAXIFS($B$1:B1692,$A$1:A1692,A1693)+1,"")</f>
        <v/>
      </c>
      <c r="C1693" s="299"/>
      <c r="D1693" s="299"/>
      <c r="E1693" s="299"/>
      <c r="F1693" s="299"/>
      <c r="G1693" s="330"/>
      <c r="H1693" s="328"/>
      <c r="I1693" s="329"/>
      <c r="J1693" s="329"/>
      <c r="K1693" s="322"/>
      <c r="L1693" s="322"/>
      <c r="M1693" s="323" t="str">
        <f>IFERROR(VLOOKUP(H1693,Lijsten!$H$1:$I$100,2,0),"")</f>
        <v/>
      </c>
      <c r="N1693" s="323" t="str">
        <f ca="1">IFERROR(IF(VLOOKUP(F1693,Kostentypen!$A$3:$E$21,3,0)=0,"",IF(OR(F1693="Arbeidskosten",F1693="Vergoeding"),VLOOKUP(G1693,Tb_KostenTypen[],2,0),VLOOKUP(F1693,Kostentypen!$A$3:$E$20,3,0))),"")</f>
        <v/>
      </c>
      <c r="O1693" s="324"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4"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3"/>
      <c r="R1693" s="363"/>
      <c r="S1693" s="325"/>
      <c r="T1693" s="325"/>
      <c r="U1693" s="317" t="str" cm="1">
        <f t="array" aca="1" ref="U1693" ca="1">IFERROR(IF(AA1693&lt;&gt;"ja",_xlfn.IFNA(_xlfn.IFS(AND(O1693&lt;&gt;"",F1693&lt;&gt;"",RIGHT($N1693,6)="tarief",F1693="Vergoeding"),SUM(O1693)*FLOOR(SUM(Q1693),0.0001),AND(O1693&lt;&gt;"",F1693&lt;&gt;"",RIGHT($N1693,6)="tarief"),SUM(O1693)*FLOOR(SUM(Q1693),0.01),S1693&gt;0,IF(F1693&lt;&gt;"",FLOOR(SUM(S1693),0.01),"")),""),""),"")</f>
        <v/>
      </c>
      <c r="V1693" s="317" t="str" cm="1">
        <f t="array" aca="1" ref="V1693" ca="1">IFERROR(IF(AA1693&lt;&gt;"ja",_xlfn.IFNA(_xlfn.IFS(AND(P1693&lt;&gt;"",R1693&lt;&gt;"",RIGHT($N1693,6)="tarief",F1693="Vergoeding"),SUM(P1693)*FLOOR(SUM(R1693),0.0001),AND(P1693&lt;&gt;"",R1693&lt;&gt;"",RIGHT($N1693,6)="tarief"),P1693*FLOOR(R1693,0.01),T1693&gt;0,FLOOR(SUM(T1693),0.01)),""),""),"")</f>
        <v/>
      </c>
      <c r="W1693" s="317" t="str" cm="1">
        <f t="array" aca="1" ref="W1693" ca="1">IFERROR(_xlfn.IFS(OR(F1693="",LEFT(Methode_Keuze,4)="Geen",Methode_Keuze=""),"",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17" t="str" cm="1">
        <f t="array" aca="1" ref="X1693" ca="1">IFERROR(_xlfn.IFS(OR(F1693="",LEFT(Methode_Keuze,4)="Geen",Methode_Keuze=""),"",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26"/>
      <c r="Z1693" s="319"/>
      <c r="AA1693" s="32" t="str" cm="1">
        <f t="array" ref="AA1693">IFERROR(IF(INDEX(SubsidieTabel!$AD$1:$AG$12,MATCH($F1693,SubsidieTabel!$AD$1:$AD$12,0),IFERROR(MATCH(Methode_Keuze,SubsidieTabel!$AD$1:$AG$1,0),2))&lt;&gt;1=TRUE,"ja",""),"")</f>
        <v/>
      </c>
    </row>
    <row r="1694" spans="1:27" x14ac:dyDescent="0.25">
      <c r="A1694" s="320"/>
      <c r="B1694" s="321" t="str">
        <f>IF(A1694&lt;&gt;"",_xlfn.MAXIFS($B$1:B1693,$A$1:A1693,A1694)+1,"")</f>
        <v/>
      </c>
      <c r="C1694" s="299"/>
      <c r="D1694" s="299"/>
      <c r="E1694" s="299"/>
      <c r="F1694" s="299"/>
      <c r="G1694" s="330"/>
      <c r="H1694" s="328"/>
      <c r="I1694" s="329"/>
      <c r="J1694" s="329"/>
      <c r="K1694" s="322"/>
      <c r="L1694" s="322"/>
      <c r="M1694" s="323" t="str">
        <f>IFERROR(VLOOKUP(H1694,Lijsten!$H$1:$I$100,2,0),"")</f>
        <v/>
      </c>
      <c r="N1694" s="323" t="str">
        <f ca="1">IFERROR(IF(VLOOKUP(F1694,Kostentypen!$A$3:$E$21,3,0)=0,"",IF(OR(F1694="Arbeidskosten",F1694="Vergoeding"),VLOOKUP(G1694,Tb_KostenTypen[],2,0),VLOOKUP(F1694,Kostentypen!$A$3:$E$20,3,0))),"")</f>
        <v/>
      </c>
      <c r="O1694" s="324"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4"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3"/>
      <c r="R1694" s="363"/>
      <c r="S1694" s="325"/>
      <c r="T1694" s="325"/>
      <c r="U1694" s="317" t="str" cm="1">
        <f t="array" aca="1" ref="U1694" ca="1">IFERROR(IF(AA1694&lt;&gt;"ja",_xlfn.IFNA(_xlfn.IFS(AND(O1694&lt;&gt;"",F1694&lt;&gt;"",RIGHT($N1694,6)="tarief",F1694="Vergoeding"),SUM(O1694)*FLOOR(SUM(Q1694),0.0001),AND(O1694&lt;&gt;"",F1694&lt;&gt;"",RIGHT($N1694,6)="tarief"),SUM(O1694)*FLOOR(SUM(Q1694),0.01),S1694&gt;0,IF(F1694&lt;&gt;"",FLOOR(SUM(S1694),0.01),"")),""),""),"")</f>
        <v/>
      </c>
      <c r="V1694" s="317" t="str" cm="1">
        <f t="array" aca="1" ref="V1694" ca="1">IFERROR(IF(AA1694&lt;&gt;"ja",_xlfn.IFNA(_xlfn.IFS(AND(P1694&lt;&gt;"",R1694&lt;&gt;"",RIGHT($N1694,6)="tarief",F1694="Vergoeding"),SUM(P1694)*FLOOR(SUM(R1694),0.0001),AND(P1694&lt;&gt;"",R1694&lt;&gt;"",RIGHT($N1694,6)="tarief"),P1694*FLOOR(R1694,0.01),T1694&gt;0,FLOOR(SUM(T1694),0.01)),""),""),"")</f>
        <v/>
      </c>
      <c r="W1694" s="317" t="str" cm="1">
        <f t="array" aca="1" ref="W1694" ca="1">IFERROR(_xlfn.IFS(OR(F1694="",LEFT(Methode_Keuze,4)="Geen",Methode_Keuze=""),"",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17" t="str" cm="1">
        <f t="array" aca="1" ref="X1694" ca="1">IFERROR(_xlfn.IFS(OR(F1694="",LEFT(Methode_Keuze,4)="Geen",Methode_Keuze=""),"",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26"/>
      <c r="Z1694" s="319"/>
      <c r="AA1694" s="32" t="str" cm="1">
        <f t="array" ref="AA1694">IFERROR(IF(INDEX(SubsidieTabel!$AD$1:$AG$12,MATCH($F1694,SubsidieTabel!$AD$1:$AD$12,0),IFERROR(MATCH(Methode_Keuze,SubsidieTabel!$AD$1:$AG$1,0),2))&lt;&gt;1=TRUE,"ja",""),"")</f>
        <v/>
      </c>
    </row>
    <row r="1695" spans="1:27" x14ac:dyDescent="0.25">
      <c r="A1695" s="320"/>
      <c r="B1695" s="321" t="str">
        <f>IF(A1695&lt;&gt;"",_xlfn.MAXIFS($B$1:B1694,$A$1:A1694,A1695)+1,"")</f>
        <v/>
      </c>
      <c r="C1695" s="299"/>
      <c r="D1695" s="299"/>
      <c r="E1695" s="299"/>
      <c r="F1695" s="299"/>
      <c r="G1695" s="330"/>
      <c r="H1695" s="328"/>
      <c r="I1695" s="329"/>
      <c r="J1695" s="329"/>
      <c r="K1695" s="322"/>
      <c r="L1695" s="322"/>
      <c r="M1695" s="323" t="str">
        <f>IFERROR(VLOOKUP(H1695,Lijsten!$H$1:$I$100,2,0),"")</f>
        <v/>
      </c>
      <c r="N1695" s="323" t="str">
        <f ca="1">IFERROR(IF(VLOOKUP(F1695,Kostentypen!$A$3:$E$21,3,0)=0,"",IF(OR(F1695="Arbeidskosten",F1695="Vergoeding"),VLOOKUP(G1695,Tb_KostenTypen[],2,0),VLOOKUP(F1695,Kostentypen!$A$3:$E$20,3,0))),"")</f>
        <v/>
      </c>
      <c r="O1695" s="324"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4"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3"/>
      <c r="R1695" s="363"/>
      <c r="S1695" s="325"/>
      <c r="T1695" s="325"/>
      <c r="U1695" s="317" t="str" cm="1">
        <f t="array" aca="1" ref="U1695" ca="1">IFERROR(IF(AA1695&lt;&gt;"ja",_xlfn.IFNA(_xlfn.IFS(AND(O1695&lt;&gt;"",F1695&lt;&gt;"",RIGHT($N1695,6)="tarief",F1695="Vergoeding"),SUM(O1695)*FLOOR(SUM(Q1695),0.0001),AND(O1695&lt;&gt;"",F1695&lt;&gt;"",RIGHT($N1695,6)="tarief"),SUM(O1695)*FLOOR(SUM(Q1695),0.01),S1695&gt;0,IF(F1695&lt;&gt;"",FLOOR(SUM(S1695),0.01),"")),""),""),"")</f>
        <v/>
      </c>
      <c r="V1695" s="317" t="str" cm="1">
        <f t="array" aca="1" ref="V1695" ca="1">IFERROR(IF(AA1695&lt;&gt;"ja",_xlfn.IFNA(_xlfn.IFS(AND(P1695&lt;&gt;"",R1695&lt;&gt;"",RIGHT($N1695,6)="tarief",F1695="Vergoeding"),SUM(P1695)*FLOOR(SUM(R1695),0.0001),AND(P1695&lt;&gt;"",R1695&lt;&gt;"",RIGHT($N1695,6)="tarief"),P1695*FLOOR(R1695,0.01),T1695&gt;0,FLOOR(SUM(T1695),0.01)),""),""),"")</f>
        <v/>
      </c>
      <c r="W1695" s="317" t="str" cm="1">
        <f t="array" aca="1" ref="W1695" ca="1">IFERROR(_xlfn.IFS(OR(F1695="",LEFT(Methode_Keuze,4)="Geen",Methode_Keuze=""),"",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17" t="str" cm="1">
        <f t="array" aca="1" ref="X1695" ca="1">IFERROR(_xlfn.IFS(OR(F1695="",LEFT(Methode_Keuze,4)="Geen",Methode_Keuze=""),"",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26"/>
      <c r="Z1695" s="319"/>
      <c r="AA1695" s="32" t="str" cm="1">
        <f t="array" ref="AA1695">IFERROR(IF(INDEX(SubsidieTabel!$AD$1:$AG$12,MATCH($F1695,SubsidieTabel!$AD$1:$AD$12,0),IFERROR(MATCH(Methode_Keuze,SubsidieTabel!$AD$1:$AG$1,0),2))&lt;&gt;1=TRUE,"ja",""),"")</f>
        <v/>
      </c>
    </row>
    <row r="1696" spans="1:27" x14ac:dyDescent="0.25">
      <c r="A1696" s="320"/>
      <c r="B1696" s="321" t="str">
        <f>IF(A1696&lt;&gt;"",_xlfn.MAXIFS($B$1:B1695,$A$1:A1695,A1696)+1,"")</f>
        <v/>
      </c>
      <c r="C1696" s="299"/>
      <c r="D1696" s="299"/>
      <c r="E1696" s="299"/>
      <c r="F1696" s="299"/>
      <c r="G1696" s="330"/>
      <c r="H1696" s="328"/>
      <c r="I1696" s="329"/>
      <c r="J1696" s="329"/>
      <c r="K1696" s="322"/>
      <c r="L1696" s="322"/>
      <c r="M1696" s="323" t="str">
        <f>IFERROR(VLOOKUP(H1696,Lijsten!$H$1:$I$100,2,0),"")</f>
        <v/>
      </c>
      <c r="N1696" s="323" t="str">
        <f ca="1">IFERROR(IF(VLOOKUP(F1696,Kostentypen!$A$3:$E$21,3,0)=0,"",IF(OR(F1696="Arbeidskosten",F1696="Vergoeding"),VLOOKUP(G1696,Tb_KostenTypen[],2,0),VLOOKUP(F1696,Kostentypen!$A$3:$E$20,3,0))),"")</f>
        <v/>
      </c>
      <c r="O1696" s="324"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4"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3"/>
      <c r="R1696" s="363"/>
      <c r="S1696" s="325"/>
      <c r="T1696" s="325"/>
      <c r="U1696" s="317" t="str" cm="1">
        <f t="array" aca="1" ref="U1696" ca="1">IFERROR(IF(AA1696&lt;&gt;"ja",_xlfn.IFNA(_xlfn.IFS(AND(O1696&lt;&gt;"",F1696&lt;&gt;"",RIGHT($N1696,6)="tarief",F1696="Vergoeding"),SUM(O1696)*FLOOR(SUM(Q1696),0.0001),AND(O1696&lt;&gt;"",F1696&lt;&gt;"",RIGHT($N1696,6)="tarief"),SUM(O1696)*FLOOR(SUM(Q1696),0.01),S1696&gt;0,IF(F1696&lt;&gt;"",FLOOR(SUM(S1696),0.01),"")),""),""),"")</f>
        <v/>
      </c>
      <c r="V1696" s="317" t="str" cm="1">
        <f t="array" aca="1" ref="V1696" ca="1">IFERROR(IF(AA1696&lt;&gt;"ja",_xlfn.IFNA(_xlfn.IFS(AND(P1696&lt;&gt;"",R1696&lt;&gt;"",RIGHT($N1696,6)="tarief",F1696="Vergoeding"),SUM(P1696)*FLOOR(SUM(R1696),0.0001),AND(P1696&lt;&gt;"",R1696&lt;&gt;"",RIGHT($N1696,6)="tarief"),P1696*FLOOR(R1696,0.01),T1696&gt;0,FLOOR(SUM(T1696),0.01)),""),""),"")</f>
        <v/>
      </c>
      <c r="W1696" s="317" t="str" cm="1">
        <f t="array" aca="1" ref="W1696" ca="1">IFERROR(_xlfn.IFS(OR(F1696="",LEFT(Methode_Keuze,4)="Geen",Methode_Keuze=""),"",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17" t="str" cm="1">
        <f t="array" aca="1" ref="X1696" ca="1">IFERROR(_xlfn.IFS(OR(F1696="",LEFT(Methode_Keuze,4)="Geen",Methode_Keuze=""),"",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26"/>
      <c r="Z1696" s="319"/>
      <c r="AA1696" s="32" t="str" cm="1">
        <f t="array" ref="AA1696">IFERROR(IF(INDEX(SubsidieTabel!$AD$1:$AG$12,MATCH($F1696,SubsidieTabel!$AD$1:$AD$12,0),IFERROR(MATCH(Methode_Keuze,SubsidieTabel!$AD$1:$AG$1,0),2))&lt;&gt;1=TRUE,"ja",""),"")</f>
        <v/>
      </c>
    </row>
    <row r="1697" spans="1:27" x14ac:dyDescent="0.25">
      <c r="A1697" s="320"/>
      <c r="B1697" s="321" t="str">
        <f>IF(A1697&lt;&gt;"",_xlfn.MAXIFS($B$1:B1696,$A$1:A1696,A1697)+1,"")</f>
        <v/>
      </c>
      <c r="C1697" s="299"/>
      <c r="D1697" s="299"/>
      <c r="E1697" s="299"/>
      <c r="F1697" s="299"/>
      <c r="G1697" s="330"/>
      <c r="H1697" s="328"/>
      <c r="I1697" s="329"/>
      <c r="J1697" s="329"/>
      <c r="K1697" s="322"/>
      <c r="L1697" s="322"/>
      <c r="M1697" s="323" t="str">
        <f>IFERROR(VLOOKUP(H1697,Lijsten!$H$1:$I$100,2,0),"")</f>
        <v/>
      </c>
      <c r="N1697" s="323" t="str">
        <f ca="1">IFERROR(IF(VLOOKUP(F1697,Kostentypen!$A$3:$E$21,3,0)=0,"",IF(OR(F1697="Arbeidskosten",F1697="Vergoeding"),VLOOKUP(G1697,Tb_KostenTypen[],2,0),VLOOKUP(F1697,Kostentypen!$A$3:$E$20,3,0))),"")</f>
        <v/>
      </c>
      <c r="O1697" s="324"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4"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3"/>
      <c r="R1697" s="363"/>
      <c r="S1697" s="325"/>
      <c r="T1697" s="325"/>
      <c r="U1697" s="317" t="str" cm="1">
        <f t="array" aca="1" ref="U1697" ca="1">IFERROR(IF(AA1697&lt;&gt;"ja",_xlfn.IFNA(_xlfn.IFS(AND(O1697&lt;&gt;"",F1697&lt;&gt;"",RIGHT($N1697,6)="tarief",F1697="Vergoeding"),SUM(O1697)*FLOOR(SUM(Q1697),0.0001),AND(O1697&lt;&gt;"",F1697&lt;&gt;"",RIGHT($N1697,6)="tarief"),SUM(O1697)*FLOOR(SUM(Q1697),0.01),S1697&gt;0,IF(F1697&lt;&gt;"",FLOOR(SUM(S1697),0.01),"")),""),""),"")</f>
        <v/>
      </c>
      <c r="V1697" s="317" t="str" cm="1">
        <f t="array" aca="1" ref="V1697" ca="1">IFERROR(IF(AA1697&lt;&gt;"ja",_xlfn.IFNA(_xlfn.IFS(AND(P1697&lt;&gt;"",R1697&lt;&gt;"",RIGHT($N1697,6)="tarief",F1697="Vergoeding"),SUM(P1697)*FLOOR(SUM(R1697),0.0001),AND(P1697&lt;&gt;"",R1697&lt;&gt;"",RIGHT($N1697,6)="tarief"),P1697*FLOOR(R1697,0.01),T1697&gt;0,FLOOR(SUM(T1697),0.01)),""),""),"")</f>
        <v/>
      </c>
      <c r="W1697" s="317" t="str" cm="1">
        <f t="array" aca="1" ref="W1697" ca="1">IFERROR(_xlfn.IFS(OR(F1697="",LEFT(Methode_Keuze,4)="Geen",Methode_Keuze=""),"",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17" t="str" cm="1">
        <f t="array" aca="1" ref="X1697" ca="1">IFERROR(_xlfn.IFS(OR(F1697="",LEFT(Methode_Keuze,4)="Geen",Methode_Keuze=""),"",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26"/>
      <c r="Z1697" s="319"/>
      <c r="AA1697" s="32" t="str" cm="1">
        <f t="array" ref="AA1697">IFERROR(IF(INDEX(SubsidieTabel!$AD$1:$AG$12,MATCH($F1697,SubsidieTabel!$AD$1:$AD$12,0),IFERROR(MATCH(Methode_Keuze,SubsidieTabel!$AD$1:$AG$1,0),2))&lt;&gt;1=TRUE,"ja",""),"")</f>
        <v/>
      </c>
    </row>
    <row r="1698" spans="1:27" x14ac:dyDescent="0.25">
      <c r="A1698" s="320"/>
      <c r="B1698" s="321" t="str">
        <f>IF(A1698&lt;&gt;"",_xlfn.MAXIFS($B$1:B1697,$A$1:A1697,A1698)+1,"")</f>
        <v/>
      </c>
      <c r="C1698" s="299"/>
      <c r="D1698" s="299"/>
      <c r="E1698" s="299"/>
      <c r="F1698" s="299"/>
      <c r="G1698" s="330"/>
      <c r="H1698" s="328"/>
      <c r="I1698" s="329"/>
      <c r="J1698" s="329"/>
      <c r="K1698" s="322"/>
      <c r="L1698" s="322"/>
      <c r="M1698" s="323" t="str">
        <f>IFERROR(VLOOKUP(H1698,Lijsten!$H$1:$I$100,2,0),"")</f>
        <v/>
      </c>
      <c r="N1698" s="323" t="str">
        <f ca="1">IFERROR(IF(VLOOKUP(F1698,Kostentypen!$A$3:$E$21,3,0)=0,"",IF(OR(F1698="Arbeidskosten",F1698="Vergoeding"),VLOOKUP(G1698,Tb_KostenTypen[],2,0),VLOOKUP(F1698,Kostentypen!$A$3:$E$20,3,0))),"")</f>
        <v/>
      </c>
      <c r="O1698" s="324"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4"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3"/>
      <c r="R1698" s="363"/>
      <c r="S1698" s="325"/>
      <c r="T1698" s="325"/>
      <c r="U1698" s="317" t="str" cm="1">
        <f t="array" aca="1" ref="U1698" ca="1">IFERROR(IF(AA1698&lt;&gt;"ja",_xlfn.IFNA(_xlfn.IFS(AND(O1698&lt;&gt;"",F1698&lt;&gt;"",RIGHT($N1698,6)="tarief",F1698="Vergoeding"),SUM(O1698)*FLOOR(SUM(Q1698),0.0001),AND(O1698&lt;&gt;"",F1698&lt;&gt;"",RIGHT($N1698,6)="tarief"),SUM(O1698)*FLOOR(SUM(Q1698),0.01),S1698&gt;0,IF(F1698&lt;&gt;"",FLOOR(SUM(S1698),0.01),"")),""),""),"")</f>
        <v/>
      </c>
      <c r="V1698" s="317" t="str" cm="1">
        <f t="array" aca="1" ref="V1698" ca="1">IFERROR(IF(AA1698&lt;&gt;"ja",_xlfn.IFNA(_xlfn.IFS(AND(P1698&lt;&gt;"",R1698&lt;&gt;"",RIGHT($N1698,6)="tarief",F1698="Vergoeding"),SUM(P1698)*FLOOR(SUM(R1698),0.0001),AND(P1698&lt;&gt;"",R1698&lt;&gt;"",RIGHT($N1698,6)="tarief"),P1698*FLOOR(R1698,0.01),T1698&gt;0,FLOOR(SUM(T1698),0.01)),""),""),"")</f>
        <v/>
      </c>
      <c r="W1698" s="317" t="str" cm="1">
        <f t="array" aca="1" ref="W1698" ca="1">IFERROR(_xlfn.IFS(OR(F1698="",LEFT(Methode_Keuze,4)="Geen",Methode_Keuze=""),"",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17" t="str" cm="1">
        <f t="array" aca="1" ref="X1698" ca="1">IFERROR(_xlfn.IFS(OR(F1698="",LEFT(Methode_Keuze,4)="Geen",Methode_Keuze=""),"",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26"/>
      <c r="Z1698" s="319"/>
      <c r="AA1698" s="32" t="str" cm="1">
        <f t="array" ref="AA1698">IFERROR(IF(INDEX(SubsidieTabel!$AD$1:$AG$12,MATCH($F1698,SubsidieTabel!$AD$1:$AD$12,0),IFERROR(MATCH(Methode_Keuze,SubsidieTabel!$AD$1:$AG$1,0),2))&lt;&gt;1=TRUE,"ja",""),"")</f>
        <v/>
      </c>
    </row>
    <row r="1699" spans="1:27" x14ac:dyDescent="0.25">
      <c r="A1699" s="320"/>
      <c r="B1699" s="321" t="str">
        <f>IF(A1699&lt;&gt;"",_xlfn.MAXIFS($B$1:B1698,$A$1:A1698,A1699)+1,"")</f>
        <v/>
      </c>
      <c r="C1699" s="299"/>
      <c r="D1699" s="299"/>
      <c r="E1699" s="299"/>
      <c r="F1699" s="299"/>
      <c r="G1699" s="330"/>
      <c r="H1699" s="328"/>
      <c r="I1699" s="329"/>
      <c r="J1699" s="329"/>
      <c r="K1699" s="322"/>
      <c r="L1699" s="322"/>
      <c r="M1699" s="323" t="str">
        <f>IFERROR(VLOOKUP(H1699,Lijsten!$H$1:$I$100,2,0),"")</f>
        <v/>
      </c>
      <c r="N1699" s="323" t="str">
        <f ca="1">IFERROR(IF(VLOOKUP(F1699,Kostentypen!$A$3:$E$21,3,0)=0,"",IF(OR(F1699="Arbeidskosten",F1699="Vergoeding"),VLOOKUP(G1699,Tb_KostenTypen[],2,0),VLOOKUP(F1699,Kostentypen!$A$3:$E$20,3,0))),"")</f>
        <v/>
      </c>
      <c r="O1699" s="324"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4"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3"/>
      <c r="R1699" s="363"/>
      <c r="S1699" s="325"/>
      <c r="T1699" s="325"/>
      <c r="U1699" s="317" t="str" cm="1">
        <f t="array" aca="1" ref="U1699" ca="1">IFERROR(IF(AA1699&lt;&gt;"ja",_xlfn.IFNA(_xlfn.IFS(AND(O1699&lt;&gt;"",F1699&lt;&gt;"",RIGHT($N1699,6)="tarief",F1699="Vergoeding"),SUM(O1699)*FLOOR(SUM(Q1699),0.0001),AND(O1699&lt;&gt;"",F1699&lt;&gt;"",RIGHT($N1699,6)="tarief"),SUM(O1699)*FLOOR(SUM(Q1699),0.01),S1699&gt;0,IF(F1699&lt;&gt;"",FLOOR(SUM(S1699),0.01),"")),""),""),"")</f>
        <v/>
      </c>
      <c r="V1699" s="317" t="str" cm="1">
        <f t="array" aca="1" ref="V1699" ca="1">IFERROR(IF(AA1699&lt;&gt;"ja",_xlfn.IFNA(_xlfn.IFS(AND(P1699&lt;&gt;"",R1699&lt;&gt;"",RIGHT($N1699,6)="tarief",F1699="Vergoeding"),SUM(P1699)*FLOOR(SUM(R1699),0.0001),AND(P1699&lt;&gt;"",R1699&lt;&gt;"",RIGHT($N1699,6)="tarief"),P1699*FLOOR(R1699,0.01),T1699&gt;0,FLOOR(SUM(T1699),0.01)),""),""),"")</f>
        <v/>
      </c>
      <c r="W1699" s="317" t="str" cm="1">
        <f t="array" aca="1" ref="W1699" ca="1">IFERROR(_xlfn.IFS(OR(F1699="",LEFT(Methode_Keuze,4)="Geen",Methode_Keuze=""),"",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17" t="str" cm="1">
        <f t="array" aca="1" ref="X1699" ca="1">IFERROR(_xlfn.IFS(OR(F1699="",LEFT(Methode_Keuze,4)="Geen",Methode_Keuze=""),"",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26"/>
      <c r="Z1699" s="319"/>
      <c r="AA1699" s="32" t="str" cm="1">
        <f t="array" ref="AA1699">IFERROR(IF(INDEX(SubsidieTabel!$AD$1:$AG$12,MATCH($F1699,SubsidieTabel!$AD$1:$AD$12,0),IFERROR(MATCH(Methode_Keuze,SubsidieTabel!$AD$1:$AG$1,0),2))&lt;&gt;1=TRUE,"ja",""),"")</f>
        <v/>
      </c>
    </row>
    <row r="1700" spans="1:27" x14ac:dyDescent="0.25">
      <c r="A1700" s="320"/>
      <c r="B1700" s="321" t="str">
        <f>IF(A1700&lt;&gt;"",_xlfn.MAXIFS($B$1:B1699,$A$1:A1699,A1700)+1,"")</f>
        <v/>
      </c>
      <c r="C1700" s="299"/>
      <c r="D1700" s="299"/>
      <c r="E1700" s="299"/>
      <c r="F1700" s="299"/>
      <c r="G1700" s="330"/>
      <c r="H1700" s="328"/>
      <c r="I1700" s="329"/>
      <c r="J1700" s="329"/>
      <c r="K1700" s="322"/>
      <c r="L1700" s="322"/>
      <c r="M1700" s="323" t="str">
        <f>IFERROR(VLOOKUP(H1700,Lijsten!$H$1:$I$100,2,0),"")</f>
        <v/>
      </c>
      <c r="N1700" s="323" t="str">
        <f ca="1">IFERROR(IF(VLOOKUP(F1700,Kostentypen!$A$3:$E$21,3,0)=0,"",IF(OR(F1700="Arbeidskosten",F1700="Vergoeding"),VLOOKUP(G1700,Tb_KostenTypen[],2,0),VLOOKUP(F1700,Kostentypen!$A$3:$E$20,3,0))),"")</f>
        <v/>
      </c>
      <c r="O1700" s="324"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4"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3"/>
      <c r="R1700" s="363"/>
      <c r="S1700" s="325"/>
      <c r="T1700" s="325"/>
      <c r="U1700" s="317" t="str" cm="1">
        <f t="array" aca="1" ref="U1700" ca="1">IFERROR(IF(AA1700&lt;&gt;"ja",_xlfn.IFNA(_xlfn.IFS(AND(O1700&lt;&gt;"",F1700&lt;&gt;"",RIGHT($N1700,6)="tarief",F1700="Vergoeding"),SUM(O1700)*FLOOR(SUM(Q1700),0.0001),AND(O1700&lt;&gt;"",F1700&lt;&gt;"",RIGHT($N1700,6)="tarief"),SUM(O1700)*FLOOR(SUM(Q1700),0.01),S1700&gt;0,IF(F1700&lt;&gt;"",FLOOR(SUM(S1700),0.01),"")),""),""),"")</f>
        <v/>
      </c>
      <c r="V1700" s="317" t="str" cm="1">
        <f t="array" aca="1" ref="V1700" ca="1">IFERROR(IF(AA1700&lt;&gt;"ja",_xlfn.IFNA(_xlfn.IFS(AND(P1700&lt;&gt;"",R1700&lt;&gt;"",RIGHT($N1700,6)="tarief",F1700="Vergoeding"),SUM(P1700)*FLOOR(SUM(R1700),0.0001),AND(P1700&lt;&gt;"",R1700&lt;&gt;"",RIGHT($N1700,6)="tarief"),P1700*FLOOR(R1700,0.01),T1700&gt;0,FLOOR(SUM(T1700),0.01)),""),""),"")</f>
        <v/>
      </c>
      <c r="W1700" s="317" t="str" cm="1">
        <f t="array" aca="1" ref="W1700" ca="1">IFERROR(_xlfn.IFS(OR(F1700="",LEFT(Methode_Keuze,4)="Geen",Methode_Keuze=""),"",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17" t="str" cm="1">
        <f t="array" aca="1" ref="X1700" ca="1">IFERROR(_xlfn.IFS(OR(F1700="",LEFT(Methode_Keuze,4)="Geen",Methode_Keuze=""),"",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26"/>
      <c r="Z1700" s="319"/>
      <c r="AA1700" s="32" t="str" cm="1">
        <f t="array" ref="AA1700">IFERROR(IF(INDEX(SubsidieTabel!$AD$1:$AG$12,MATCH($F1700,SubsidieTabel!$AD$1:$AD$12,0),IFERROR(MATCH(Methode_Keuze,SubsidieTabel!$AD$1:$AG$1,0),2))&lt;&gt;1=TRUE,"ja",""),"")</f>
        <v/>
      </c>
    </row>
    <row r="1701" spans="1:27" x14ac:dyDescent="0.25">
      <c r="A1701" s="320"/>
      <c r="B1701" s="321" t="str">
        <f>IF(A1701&lt;&gt;"",_xlfn.MAXIFS($B$1:B1700,$A$1:A1700,A1701)+1,"")</f>
        <v/>
      </c>
      <c r="C1701" s="299"/>
      <c r="D1701" s="299"/>
      <c r="E1701" s="299"/>
      <c r="F1701" s="299"/>
      <c r="G1701" s="330"/>
      <c r="H1701" s="328"/>
      <c r="I1701" s="329"/>
      <c r="J1701" s="329"/>
      <c r="K1701" s="322"/>
      <c r="L1701" s="322"/>
      <c r="M1701" s="323" t="str">
        <f>IFERROR(VLOOKUP(H1701,Lijsten!$H$1:$I$100,2,0),"")</f>
        <v/>
      </c>
      <c r="N1701" s="323" t="str">
        <f ca="1">IFERROR(IF(VLOOKUP(F1701,Kostentypen!$A$3:$E$21,3,0)=0,"",IF(OR(F1701="Arbeidskosten",F1701="Vergoeding"),VLOOKUP(G1701,Tb_KostenTypen[],2,0),VLOOKUP(F1701,Kostentypen!$A$3:$E$20,3,0))),"")</f>
        <v/>
      </c>
      <c r="O1701" s="324"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4"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3"/>
      <c r="R1701" s="363"/>
      <c r="S1701" s="325"/>
      <c r="T1701" s="325"/>
      <c r="U1701" s="317" t="str" cm="1">
        <f t="array" aca="1" ref="U1701" ca="1">IFERROR(IF(AA1701&lt;&gt;"ja",_xlfn.IFNA(_xlfn.IFS(AND(O1701&lt;&gt;"",F1701&lt;&gt;"",RIGHT($N1701,6)="tarief",F1701="Vergoeding"),SUM(O1701)*FLOOR(SUM(Q1701),0.0001),AND(O1701&lt;&gt;"",F1701&lt;&gt;"",RIGHT($N1701,6)="tarief"),SUM(O1701)*FLOOR(SUM(Q1701),0.01),S1701&gt;0,IF(F1701&lt;&gt;"",FLOOR(SUM(S1701),0.01),"")),""),""),"")</f>
        <v/>
      </c>
      <c r="V1701" s="317" t="str" cm="1">
        <f t="array" aca="1" ref="V1701" ca="1">IFERROR(IF(AA1701&lt;&gt;"ja",_xlfn.IFNA(_xlfn.IFS(AND(P1701&lt;&gt;"",R1701&lt;&gt;"",RIGHT($N1701,6)="tarief",F1701="Vergoeding"),SUM(P1701)*FLOOR(SUM(R1701),0.0001),AND(P1701&lt;&gt;"",R1701&lt;&gt;"",RIGHT($N1701,6)="tarief"),P1701*FLOOR(R1701,0.01),T1701&gt;0,FLOOR(SUM(T1701),0.01)),""),""),"")</f>
        <v/>
      </c>
      <c r="W1701" s="317" t="str" cm="1">
        <f t="array" aca="1" ref="W1701" ca="1">IFERROR(_xlfn.IFS(OR(F1701="",LEFT(Methode_Keuze,4)="Geen",Methode_Keuze=""),"",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17" t="str" cm="1">
        <f t="array" aca="1" ref="X1701" ca="1">IFERROR(_xlfn.IFS(OR(F1701="",LEFT(Methode_Keuze,4)="Geen",Methode_Keuze=""),"",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26"/>
      <c r="Z1701" s="319"/>
      <c r="AA1701" s="32" t="str" cm="1">
        <f t="array" ref="AA1701">IFERROR(IF(INDEX(SubsidieTabel!$AD$1:$AG$12,MATCH($F1701,SubsidieTabel!$AD$1:$AD$12,0),IFERROR(MATCH(Methode_Keuze,SubsidieTabel!$AD$1:$AG$1,0),2))&lt;&gt;1=TRUE,"ja",""),"")</f>
        <v/>
      </c>
    </row>
    <row r="1702" spans="1:27" x14ac:dyDescent="0.25">
      <c r="A1702" s="320"/>
      <c r="B1702" s="321" t="str">
        <f>IF(A1702&lt;&gt;"",_xlfn.MAXIFS($B$1:B1701,$A$1:A1701,A1702)+1,"")</f>
        <v/>
      </c>
      <c r="C1702" s="299"/>
      <c r="D1702" s="299"/>
      <c r="E1702" s="299"/>
      <c r="F1702" s="299"/>
      <c r="G1702" s="330"/>
      <c r="H1702" s="328"/>
      <c r="I1702" s="329"/>
      <c r="J1702" s="329"/>
      <c r="K1702" s="322"/>
      <c r="L1702" s="322"/>
      <c r="M1702" s="323" t="str">
        <f>IFERROR(VLOOKUP(H1702,Lijsten!$H$1:$I$100,2,0),"")</f>
        <v/>
      </c>
      <c r="N1702" s="323" t="str">
        <f ca="1">IFERROR(IF(VLOOKUP(F1702,Kostentypen!$A$3:$E$21,3,0)=0,"",IF(OR(F1702="Arbeidskosten",F1702="Vergoeding"),VLOOKUP(G1702,Tb_KostenTypen[],2,0),VLOOKUP(F1702,Kostentypen!$A$3:$E$20,3,0))),"")</f>
        <v/>
      </c>
      <c r="O1702" s="324"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4"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3"/>
      <c r="R1702" s="363"/>
      <c r="S1702" s="325"/>
      <c r="T1702" s="325"/>
      <c r="U1702" s="317" t="str" cm="1">
        <f t="array" aca="1" ref="U1702" ca="1">IFERROR(IF(AA1702&lt;&gt;"ja",_xlfn.IFNA(_xlfn.IFS(AND(O1702&lt;&gt;"",F1702&lt;&gt;"",RIGHT($N1702,6)="tarief",F1702="Vergoeding"),SUM(O1702)*FLOOR(SUM(Q1702),0.0001),AND(O1702&lt;&gt;"",F1702&lt;&gt;"",RIGHT($N1702,6)="tarief"),SUM(O1702)*FLOOR(SUM(Q1702),0.01),S1702&gt;0,IF(F1702&lt;&gt;"",FLOOR(SUM(S1702),0.01),"")),""),""),"")</f>
        <v/>
      </c>
      <c r="V1702" s="317" t="str" cm="1">
        <f t="array" aca="1" ref="V1702" ca="1">IFERROR(IF(AA1702&lt;&gt;"ja",_xlfn.IFNA(_xlfn.IFS(AND(P1702&lt;&gt;"",R1702&lt;&gt;"",RIGHT($N1702,6)="tarief",F1702="Vergoeding"),SUM(P1702)*FLOOR(SUM(R1702),0.0001),AND(P1702&lt;&gt;"",R1702&lt;&gt;"",RIGHT($N1702,6)="tarief"),P1702*FLOOR(R1702,0.01),T1702&gt;0,FLOOR(SUM(T1702),0.01)),""),""),"")</f>
        <v/>
      </c>
      <c r="W1702" s="317" t="str" cm="1">
        <f t="array" aca="1" ref="W1702" ca="1">IFERROR(_xlfn.IFS(OR(F1702="",LEFT(Methode_Keuze,4)="Geen",Methode_Keuze=""),"",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17" t="str" cm="1">
        <f t="array" aca="1" ref="X1702" ca="1">IFERROR(_xlfn.IFS(OR(F1702="",LEFT(Methode_Keuze,4)="Geen",Methode_Keuze=""),"",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26"/>
      <c r="Z1702" s="319"/>
      <c r="AA1702" s="32" t="str" cm="1">
        <f t="array" ref="AA1702">IFERROR(IF(INDEX(SubsidieTabel!$AD$1:$AG$12,MATCH($F1702,SubsidieTabel!$AD$1:$AD$12,0),IFERROR(MATCH(Methode_Keuze,SubsidieTabel!$AD$1:$AG$1,0),2))&lt;&gt;1=TRUE,"ja",""),"")</f>
        <v/>
      </c>
    </row>
    <row r="1703" spans="1:27" x14ac:dyDescent="0.25">
      <c r="A1703" s="320"/>
      <c r="B1703" s="321" t="str">
        <f>IF(A1703&lt;&gt;"",_xlfn.MAXIFS($B$1:B1702,$A$1:A1702,A1703)+1,"")</f>
        <v/>
      </c>
      <c r="C1703" s="299"/>
      <c r="D1703" s="299"/>
      <c r="E1703" s="299"/>
      <c r="F1703" s="299"/>
      <c r="G1703" s="330"/>
      <c r="H1703" s="328"/>
      <c r="I1703" s="329"/>
      <c r="J1703" s="329"/>
      <c r="K1703" s="322"/>
      <c r="L1703" s="322"/>
      <c r="M1703" s="323" t="str">
        <f>IFERROR(VLOOKUP(H1703,Lijsten!$H$1:$I$100,2,0),"")</f>
        <v/>
      </c>
      <c r="N1703" s="323" t="str">
        <f ca="1">IFERROR(IF(VLOOKUP(F1703,Kostentypen!$A$3:$E$21,3,0)=0,"",IF(OR(F1703="Arbeidskosten",F1703="Vergoeding"),VLOOKUP(G1703,Tb_KostenTypen[],2,0),VLOOKUP(F1703,Kostentypen!$A$3:$E$20,3,0))),"")</f>
        <v/>
      </c>
      <c r="O1703" s="324"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4"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3"/>
      <c r="R1703" s="363"/>
      <c r="S1703" s="325"/>
      <c r="T1703" s="325"/>
      <c r="U1703" s="317" t="str" cm="1">
        <f t="array" aca="1" ref="U1703" ca="1">IFERROR(IF(AA1703&lt;&gt;"ja",_xlfn.IFNA(_xlfn.IFS(AND(O1703&lt;&gt;"",F1703&lt;&gt;"",RIGHT($N1703,6)="tarief",F1703="Vergoeding"),SUM(O1703)*FLOOR(SUM(Q1703),0.0001),AND(O1703&lt;&gt;"",F1703&lt;&gt;"",RIGHT($N1703,6)="tarief"),SUM(O1703)*FLOOR(SUM(Q1703),0.01),S1703&gt;0,IF(F1703&lt;&gt;"",FLOOR(SUM(S1703),0.01),"")),""),""),"")</f>
        <v/>
      </c>
      <c r="V1703" s="317" t="str" cm="1">
        <f t="array" aca="1" ref="V1703" ca="1">IFERROR(IF(AA1703&lt;&gt;"ja",_xlfn.IFNA(_xlfn.IFS(AND(P1703&lt;&gt;"",R1703&lt;&gt;"",RIGHT($N1703,6)="tarief",F1703="Vergoeding"),SUM(P1703)*FLOOR(SUM(R1703),0.0001),AND(P1703&lt;&gt;"",R1703&lt;&gt;"",RIGHT($N1703,6)="tarief"),P1703*FLOOR(R1703,0.01),T1703&gt;0,FLOOR(SUM(T1703),0.01)),""),""),"")</f>
        <v/>
      </c>
      <c r="W1703" s="317" t="str" cm="1">
        <f t="array" aca="1" ref="W1703" ca="1">IFERROR(_xlfn.IFS(OR(F1703="",LEFT(Methode_Keuze,4)="Geen",Methode_Keuze=""),"",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17" t="str" cm="1">
        <f t="array" aca="1" ref="X1703" ca="1">IFERROR(_xlfn.IFS(OR(F1703="",LEFT(Methode_Keuze,4)="Geen",Methode_Keuze=""),"",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26"/>
      <c r="Z1703" s="319"/>
      <c r="AA1703" s="32" t="str" cm="1">
        <f t="array" ref="AA1703">IFERROR(IF(INDEX(SubsidieTabel!$AD$1:$AG$12,MATCH($F1703,SubsidieTabel!$AD$1:$AD$12,0),IFERROR(MATCH(Methode_Keuze,SubsidieTabel!$AD$1:$AG$1,0),2))&lt;&gt;1=TRUE,"ja",""),"")</f>
        <v/>
      </c>
    </row>
    <row r="1704" spans="1:27" x14ac:dyDescent="0.25">
      <c r="A1704" s="320"/>
      <c r="B1704" s="321" t="str">
        <f>IF(A1704&lt;&gt;"",_xlfn.MAXIFS($B$1:B1703,$A$1:A1703,A1704)+1,"")</f>
        <v/>
      </c>
      <c r="C1704" s="299"/>
      <c r="D1704" s="299"/>
      <c r="E1704" s="299"/>
      <c r="F1704" s="299"/>
      <c r="G1704" s="330"/>
      <c r="H1704" s="328"/>
      <c r="I1704" s="329"/>
      <c r="J1704" s="329"/>
      <c r="K1704" s="322"/>
      <c r="L1704" s="322"/>
      <c r="M1704" s="323" t="str">
        <f>IFERROR(VLOOKUP(H1704,Lijsten!$H$1:$I$100,2,0),"")</f>
        <v/>
      </c>
      <c r="N1704" s="323" t="str">
        <f ca="1">IFERROR(IF(VLOOKUP(F1704,Kostentypen!$A$3:$E$21,3,0)=0,"",IF(OR(F1704="Arbeidskosten",F1704="Vergoeding"),VLOOKUP(G1704,Tb_KostenTypen[],2,0),VLOOKUP(F1704,Kostentypen!$A$3:$E$20,3,0))),"")</f>
        <v/>
      </c>
      <c r="O1704" s="324"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4"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3"/>
      <c r="R1704" s="363"/>
      <c r="S1704" s="325"/>
      <c r="T1704" s="325"/>
      <c r="U1704" s="317" t="str" cm="1">
        <f t="array" aca="1" ref="U1704" ca="1">IFERROR(IF(AA1704&lt;&gt;"ja",_xlfn.IFNA(_xlfn.IFS(AND(O1704&lt;&gt;"",F1704&lt;&gt;"",RIGHT($N1704,6)="tarief",F1704="Vergoeding"),SUM(O1704)*FLOOR(SUM(Q1704),0.0001),AND(O1704&lt;&gt;"",F1704&lt;&gt;"",RIGHT($N1704,6)="tarief"),SUM(O1704)*FLOOR(SUM(Q1704),0.01),S1704&gt;0,IF(F1704&lt;&gt;"",FLOOR(SUM(S1704),0.01),"")),""),""),"")</f>
        <v/>
      </c>
      <c r="V1704" s="317" t="str" cm="1">
        <f t="array" aca="1" ref="V1704" ca="1">IFERROR(IF(AA1704&lt;&gt;"ja",_xlfn.IFNA(_xlfn.IFS(AND(P1704&lt;&gt;"",R1704&lt;&gt;"",RIGHT($N1704,6)="tarief",F1704="Vergoeding"),SUM(P1704)*FLOOR(SUM(R1704),0.0001),AND(P1704&lt;&gt;"",R1704&lt;&gt;"",RIGHT($N1704,6)="tarief"),P1704*FLOOR(R1704,0.01),T1704&gt;0,FLOOR(SUM(T1704),0.01)),""),""),"")</f>
        <v/>
      </c>
      <c r="W1704" s="317" t="str" cm="1">
        <f t="array" aca="1" ref="W1704" ca="1">IFERROR(_xlfn.IFS(OR(F1704="",LEFT(Methode_Keuze,4)="Geen",Methode_Keuze=""),"",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17" t="str" cm="1">
        <f t="array" aca="1" ref="X1704" ca="1">IFERROR(_xlfn.IFS(OR(F1704="",LEFT(Methode_Keuze,4)="Geen",Methode_Keuze=""),"",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26"/>
      <c r="Z1704" s="319"/>
      <c r="AA1704" s="32" t="str" cm="1">
        <f t="array" ref="AA1704">IFERROR(IF(INDEX(SubsidieTabel!$AD$1:$AG$12,MATCH($F1704,SubsidieTabel!$AD$1:$AD$12,0),IFERROR(MATCH(Methode_Keuze,SubsidieTabel!$AD$1:$AG$1,0),2))&lt;&gt;1=TRUE,"ja",""),"")</f>
        <v/>
      </c>
    </row>
    <row r="1705" spans="1:27" x14ac:dyDescent="0.25">
      <c r="A1705" s="320"/>
      <c r="B1705" s="321" t="str">
        <f>IF(A1705&lt;&gt;"",_xlfn.MAXIFS($B$1:B1704,$A$1:A1704,A1705)+1,"")</f>
        <v/>
      </c>
      <c r="C1705" s="299"/>
      <c r="D1705" s="299"/>
      <c r="E1705" s="299"/>
      <c r="F1705" s="299"/>
      <c r="G1705" s="330"/>
      <c r="H1705" s="328"/>
      <c r="I1705" s="329"/>
      <c r="J1705" s="329"/>
      <c r="K1705" s="322"/>
      <c r="L1705" s="322"/>
      <c r="M1705" s="323" t="str">
        <f>IFERROR(VLOOKUP(H1705,Lijsten!$H$1:$I$100,2,0),"")</f>
        <v/>
      </c>
      <c r="N1705" s="323" t="str">
        <f ca="1">IFERROR(IF(VLOOKUP(F1705,Kostentypen!$A$3:$E$21,3,0)=0,"",IF(OR(F1705="Arbeidskosten",F1705="Vergoeding"),VLOOKUP(G1705,Tb_KostenTypen[],2,0),VLOOKUP(F1705,Kostentypen!$A$3:$E$20,3,0))),"")</f>
        <v/>
      </c>
      <c r="O1705" s="324"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4"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3"/>
      <c r="R1705" s="363"/>
      <c r="S1705" s="325"/>
      <c r="T1705" s="325"/>
      <c r="U1705" s="317" t="str" cm="1">
        <f t="array" aca="1" ref="U1705" ca="1">IFERROR(IF(AA1705&lt;&gt;"ja",_xlfn.IFNA(_xlfn.IFS(AND(O1705&lt;&gt;"",F1705&lt;&gt;"",RIGHT($N1705,6)="tarief",F1705="Vergoeding"),SUM(O1705)*FLOOR(SUM(Q1705),0.0001),AND(O1705&lt;&gt;"",F1705&lt;&gt;"",RIGHT($N1705,6)="tarief"),SUM(O1705)*FLOOR(SUM(Q1705),0.01),S1705&gt;0,IF(F1705&lt;&gt;"",FLOOR(SUM(S1705),0.01),"")),""),""),"")</f>
        <v/>
      </c>
      <c r="V1705" s="317" t="str" cm="1">
        <f t="array" aca="1" ref="V1705" ca="1">IFERROR(IF(AA1705&lt;&gt;"ja",_xlfn.IFNA(_xlfn.IFS(AND(P1705&lt;&gt;"",R1705&lt;&gt;"",RIGHT($N1705,6)="tarief",F1705="Vergoeding"),SUM(P1705)*FLOOR(SUM(R1705),0.0001),AND(P1705&lt;&gt;"",R1705&lt;&gt;"",RIGHT($N1705,6)="tarief"),P1705*FLOOR(R1705,0.01),T1705&gt;0,FLOOR(SUM(T1705),0.01)),""),""),"")</f>
        <v/>
      </c>
      <c r="W1705" s="317" t="str" cm="1">
        <f t="array" aca="1" ref="W1705" ca="1">IFERROR(_xlfn.IFS(OR(F1705="",LEFT(Methode_Keuze,4)="Geen",Methode_Keuze=""),"",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17" t="str" cm="1">
        <f t="array" aca="1" ref="X1705" ca="1">IFERROR(_xlfn.IFS(OR(F1705="",LEFT(Methode_Keuze,4)="Geen",Methode_Keuze=""),"",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26"/>
      <c r="Z1705" s="319"/>
      <c r="AA1705" s="32" t="str" cm="1">
        <f t="array" ref="AA1705">IFERROR(IF(INDEX(SubsidieTabel!$AD$1:$AG$12,MATCH($F1705,SubsidieTabel!$AD$1:$AD$12,0),IFERROR(MATCH(Methode_Keuze,SubsidieTabel!$AD$1:$AG$1,0),2))&lt;&gt;1=TRUE,"ja",""),"")</f>
        <v/>
      </c>
    </row>
    <row r="1706" spans="1:27" x14ac:dyDescent="0.25">
      <c r="A1706" s="320"/>
      <c r="B1706" s="321" t="str">
        <f>IF(A1706&lt;&gt;"",_xlfn.MAXIFS($B$1:B1705,$A$1:A1705,A1706)+1,"")</f>
        <v/>
      </c>
      <c r="C1706" s="299"/>
      <c r="D1706" s="299"/>
      <c r="E1706" s="299"/>
      <c r="F1706" s="299"/>
      <c r="G1706" s="330"/>
      <c r="H1706" s="328"/>
      <c r="I1706" s="329"/>
      <c r="J1706" s="329"/>
      <c r="K1706" s="322"/>
      <c r="L1706" s="322"/>
      <c r="M1706" s="323" t="str">
        <f>IFERROR(VLOOKUP(H1706,Lijsten!$H$1:$I$100,2,0),"")</f>
        <v/>
      </c>
      <c r="N1706" s="323" t="str">
        <f ca="1">IFERROR(IF(VLOOKUP(F1706,Kostentypen!$A$3:$E$21,3,0)=0,"",IF(OR(F1706="Arbeidskosten",F1706="Vergoeding"),VLOOKUP(G1706,Tb_KostenTypen[],2,0),VLOOKUP(F1706,Kostentypen!$A$3:$E$20,3,0))),"")</f>
        <v/>
      </c>
      <c r="O1706" s="324"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4"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3"/>
      <c r="R1706" s="363"/>
      <c r="S1706" s="325"/>
      <c r="T1706" s="325"/>
      <c r="U1706" s="317" t="str" cm="1">
        <f t="array" aca="1" ref="U1706" ca="1">IFERROR(IF(AA1706&lt;&gt;"ja",_xlfn.IFNA(_xlfn.IFS(AND(O1706&lt;&gt;"",F1706&lt;&gt;"",RIGHT($N1706,6)="tarief",F1706="Vergoeding"),SUM(O1706)*FLOOR(SUM(Q1706),0.0001),AND(O1706&lt;&gt;"",F1706&lt;&gt;"",RIGHT($N1706,6)="tarief"),SUM(O1706)*FLOOR(SUM(Q1706),0.01),S1706&gt;0,IF(F1706&lt;&gt;"",FLOOR(SUM(S1706),0.01),"")),""),""),"")</f>
        <v/>
      </c>
      <c r="V1706" s="317" t="str" cm="1">
        <f t="array" aca="1" ref="V1706" ca="1">IFERROR(IF(AA1706&lt;&gt;"ja",_xlfn.IFNA(_xlfn.IFS(AND(P1706&lt;&gt;"",R1706&lt;&gt;"",RIGHT($N1706,6)="tarief",F1706="Vergoeding"),SUM(P1706)*FLOOR(SUM(R1706),0.0001),AND(P1706&lt;&gt;"",R1706&lt;&gt;"",RIGHT($N1706,6)="tarief"),P1706*FLOOR(R1706,0.01),T1706&gt;0,FLOOR(SUM(T1706),0.01)),""),""),"")</f>
        <v/>
      </c>
      <c r="W1706" s="317" t="str" cm="1">
        <f t="array" aca="1" ref="W1706" ca="1">IFERROR(_xlfn.IFS(OR(F1706="",LEFT(Methode_Keuze,4)="Geen",Methode_Keuze=""),"",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17" t="str" cm="1">
        <f t="array" aca="1" ref="X1706" ca="1">IFERROR(_xlfn.IFS(OR(F1706="",LEFT(Methode_Keuze,4)="Geen",Methode_Keuze=""),"",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26"/>
      <c r="Z1706" s="319"/>
      <c r="AA1706" s="32" t="str" cm="1">
        <f t="array" ref="AA1706">IFERROR(IF(INDEX(SubsidieTabel!$AD$1:$AG$12,MATCH($F1706,SubsidieTabel!$AD$1:$AD$12,0),IFERROR(MATCH(Methode_Keuze,SubsidieTabel!$AD$1:$AG$1,0),2))&lt;&gt;1=TRUE,"ja",""),"")</f>
        <v/>
      </c>
    </row>
    <row r="1707" spans="1:27" x14ac:dyDescent="0.25">
      <c r="A1707" s="320"/>
      <c r="B1707" s="321" t="str">
        <f>IF(A1707&lt;&gt;"",_xlfn.MAXIFS($B$1:B1706,$A$1:A1706,A1707)+1,"")</f>
        <v/>
      </c>
      <c r="C1707" s="299"/>
      <c r="D1707" s="299"/>
      <c r="E1707" s="299"/>
      <c r="F1707" s="299"/>
      <c r="G1707" s="330"/>
      <c r="H1707" s="328"/>
      <c r="I1707" s="329"/>
      <c r="J1707" s="329"/>
      <c r="K1707" s="322"/>
      <c r="L1707" s="322"/>
      <c r="M1707" s="323" t="str">
        <f>IFERROR(VLOOKUP(H1707,Lijsten!$H$1:$I$100,2,0),"")</f>
        <v/>
      </c>
      <c r="N1707" s="323" t="str">
        <f ca="1">IFERROR(IF(VLOOKUP(F1707,Kostentypen!$A$3:$E$21,3,0)=0,"",IF(OR(F1707="Arbeidskosten",F1707="Vergoeding"),VLOOKUP(G1707,Tb_KostenTypen[],2,0),VLOOKUP(F1707,Kostentypen!$A$3:$E$20,3,0))),"")</f>
        <v/>
      </c>
      <c r="O1707" s="324"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4"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3"/>
      <c r="R1707" s="363"/>
      <c r="S1707" s="325"/>
      <c r="T1707" s="325"/>
      <c r="U1707" s="317" t="str" cm="1">
        <f t="array" aca="1" ref="U1707" ca="1">IFERROR(IF(AA1707&lt;&gt;"ja",_xlfn.IFNA(_xlfn.IFS(AND(O1707&lt;&gt;"",F1707&lt;&gt;"",RIGHT($N1707,6)="tarief",F1707="Vergoeding"),SUM(O1707)*FLOOR(SUM(Q1707),0.0001),AND(O1707&lt;&gt;"",F1707&lt;&gt;"",RIGHT($N1707,6)="tarief"),SUM(O1707)*FLOOR(SUM(Q1707),0.01),S1707&gt;0,IF(F1707&lt;&gt;"",FLOOR(SUM(S1707),0.01),"")),""),""),"")</f>
        <v/>
      </c>
      <c r="V1707" s="317" t="str" cm="1">
        <f t="array" aca="1" ref="V1707" ca="1">IFERROR(IF(AA1707&lt;&gt;"ja",_xlfn.IFNA(_xlfn.IFS(AND(P1707&lt;&gt;"",R1707&lt;&gt;"",RIGHT($N1707,6)="tarief",F1707="Vergoeding"),SUM(P1707)*FLOOR(SUM(R1707),0.0001),AND(P1707&lt;&gt;"",R1707&lt;&gt;"",RIGHT($N1707,6)="tarief"),P1707*FLOOR(R1707,0.01),T1707&gt;0,FLOOR(SUM(T1707),0.01)),""),""),"")</f>
        <v/>
      </c>
      <c r="W1707" s="317" t="str" cm="1">
        <f t="array" aca="1" ref="W1707" ca="1">IFERROR(_xlfn.IFS(OR(F1707="",LEFT(Methode_Keuze,4)="Geen",Methode_Keuze=""),"",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17" t="str" cm="1">
        <f t="array" aca="1" ref="X1707" ca="1">IFERROR(_xlfn.IFS(OR(F1707="",LEFT(Methode_Keuze,4)="Geen",Methode_Keuze=""),"",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26"/>
      <c r="Z1707" s="319"/>
      <c r="AA1707" s="32" t="str" cm="1">
        <f t="array" ref="AA1707">IFERROR(IF(INDEX(SubsidieTabel!$AD$1:$AG$12,MATCH($F1707,SubsidieTabel!$AD$1:$AD$12,0),IFERROR(MATCH(Methode_Keuze,SubsidieTabel!$AD$1:$AG$1,0),2))&lt;&gt;1=TRUE,"ja",""),"")</f>
        <v/>
      </c>
    </row>
    <row r="1708" spans="1:27" x14ac:dyDescent="0.25">
      <c r="A1708" s="320"/>
      <c r="B1708" s="321" t="str">
        <f>IF(A1708&lt;&gt;"",_xlfn.MAXIFS($B$1:B1707,$A$1:A1707,A1708)+1,"")</f>
        <v/>
      </c>
      <c r="C1708" s="299"/>
      <c r="D1708" s="299"/>
      <c r="E1708" s="299"/>
      <c r="F1708" s="299"/>
      <c r="G1708" s="330"/>
      <c r="H1708" s="328"/>
      <c r="I1708" s="329"/>
      <c r="J1708" s="329"/>
      <c r="K1708" s="322"/>
      <c r="L1708" s="322"/>
      <c r="M1708" s="323" t="str">
        <f>IFERROR(VLOOKUP(H1708,Lijsten!$H$1:$I$100,2,0),"")</f>
        <v/>
      </c>
      <c r="N1708" s="323" t="str">
        <f ca="1">IFERROR(IF(VLOOKUP(F1708,Kostentypen!$A$3:$E$21,3,0)=0,"",IF(OR(F1708="Arbeidskosten",F1708="Vergoeding"),VLOOKUP(G1708,Tb_KostenTypen[],2,0),VLOOKUP(F1708,Kostentypen!$A$3:$E$20,3,0))),"")</f>
        <v/>
      </c>
      <c r="O1708" s="324"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4"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3"/>
      <c r="R1708" s="363"/>
      <c r="S1708" s="325"/>
      <c r="T1708" s="325"/>
      <c r="U1708" s="317" t="str" cm="1">
        <f t="array" aca="1" ref="U1708" ca="1">IFERROR(IF(AA1708&lt;&gt;"ja",_xlfn.IFNA(_xlfn.IFS(AND(O1708&lt;&gt;"",F1708&lt;&gt;"",RIGHT($N1708,6)="tarief",F1708="Vergoeding"),SUM(O1708)*FLOOR(SUM(Q1708),0.0001),AND(O1708&lt;&gt;"",F1708&lt;&gt;"",RIGHT($N1708,6)="tarief"),SUM(O1708)*FLOOR(SUM(Q1708),0.01),S1708&gt;0,IF(F1708&lt;&gt;"",FLOOR(SUM(S1708),0.01),"")),""),""),"")</f>
        <v/>
      </c>
      <c r="V1708" s="317" t="str" cm="1">
        <f t="array" aca="1" ref="V1708" ca="1">IFERROR(IF(AA1708&lt;&gt;"ja",_xlfn.IFNA(_xlfn.IFS(AND(P1708&lt;&gt;"",R1708&lt;&gt;"",RIGHT($N1708,6)="tarief",F1708="Vergoeding"),SUM(P1708)*FLOOR(SUM(R1708),0.0001),AND(P1708&lt;&gt;"",R1708&lt;&gt;"",RIGHT($N1708,6)="tarief"),P1708*FLOOR(R1708,0.01),T1708&gt;0,FLOOR(SUM(T1708),0.01)),""),""),"")</f>
        <v/>
      </c>
      <c r="W1708" s="317" t="str" cm="1">
        <f t="array" aca="1" ref="W1708" ca="1">IFERROR(_xlfn.IFS(OR(F1708="",LEFT(Methode_Keuze,4)="Geen",Methode_Keuze=""),"",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17" t="str" cm="1">
        <f t="array" aca="1" ref="X1708" ca="1">IFERROR(_xlfn.IFS(OR(F1708="",LEFT(Methode_Keuze,4)="Geen",Methode_Keuze=""),"",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26"/>
      <c r="Z1708" s="319"/>
      <c r="AA1708" s="32" t="str" cm="1">
        <f t="array" ref="AA1708">IFERROR(IF(INDEX(SubsidieTabel!$AD$1:$AG$12,MATCH($F1708,SubsidieTabel!$AD$1:$AD$12,0),IFERROR(MATCH(Methode_Keuze,SubsidieTabel!$AD$1:$AG$1,0),2))&lt;&gt;1=TRUE,"ja",""),"")</f>
        <v/>
      </c>
    </row>
    <row r="1709" spans="1:27" x14ac:dyDescent="0.25">
      <c r="A1709" s="320"/>
      <c r="B1709" s="321" t="str">
        <f>IF(A1709&lt;&gt;"",_xlfn.MAXIFS($B$1:B1708,$A$1:A1708,A1709)+1,"")</f>
        <v/>
      </c>
      <c r="C1709" s="299"/>
      <c r="D1709" s="299"/>
      <c r="E1709" s="299"/>
      <c r="F1709" s="299"/>
      <c r="G1709" s="330"/>
      <c r="H1709" s="328"/>
      <c r="I1709" s="329"/>
      <c r="J1709" s="329"/>
      <c r="K1709" s="322"/>
      <c r="L1709" s="322"/>
      <c r="M1709" s="323" t="str">
        <f>IFERROR(VLOOKUP(H1709,Lijsten!$H$1:$I$100,2,0),"")</f>
        <v/>
      </c>
      <c r="N1709" s="323" t="str">
        <f ca="1">IFERROR(IF(VLOOKUP(F1709,Kostentypen!$A$3:$E$21,3,0)=0,"",IF(OR(F1709="Arbeidskosten",F1709="Vergoeding"),VLOOKUP(G1709,Tb_KostenTypen[],2,0),VLOOKUP(F1709,Kostentypen!$A$3:$E$20,3,0))),"")</f>
        <v/>
      </c>
      <c r="O1709" s="324"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4"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3"/>
      <c r="R1709" s="363"/>
      <c r="S1709" s="325"/>
      <c r="T1709" s="325"/>
      <c r="U1709" s="317" t="str" cm="1">
        <f t="array" aca="1" ref="U1709" ca="1">IFERROR(IF(AA1709&lt;&gt;"ja",_xlfn.IFNA(_xlfn.IFS(AND(O1709&lt;&gt;"",F1709&lt;&gt;"",RIGHT($N1709,6)="tarief",F1709="Vergoeding"),SUM(O1709)*FLOOR(SUM(Q1709),0.0001),AND(O1709&lt;&gt;"",F1709&lt;&gt;"",RIGHT($N1709,6)="tarief"),SUM(O1709)*FLOOR(SUM(Q1709),0.01),S1709&gt;0,IF(F1709&lt;&gt;"",FLOOR(SUM(S1709),0.01),"")),""),""),"")</f>
        <v/>
      </c>
      <c r="V1709" s="317" t="str" cm="1">
        <f t="array" aca="1" ref="V1709" ca="1">IFERROR(IF(AA1709&lt;&gt;"ja",_xlfn.IFNA(_xlfn.IFS(AND(P1709&lt;&gt;"",R1709&lt;&gt;"",RIGHT($N1709,6)="tarief",F1709="Vergoeding"),SUM(P1709)*FLOOR(SUM(R1709),0.0001),AND(P1709&lt;&gt;"",R1709&lt;&gt;"",RIGHT($N1709,6)="tarief"),P1709*FLOOR(R1709,0.01),T1709&gt;0,FLOOR(SUM(T1709),0.01)),""),""),"")</f>
        <v/>
      </c>
      <c r="W1709" s="317" t="str" cm="1">
        <f t="array" aca="1" ref="W1709" ca="1">IFERROR(_xlfn.IFS(OR(F1709="",LEFT(Methode_Keuze,4)="Geen",Methode_Keuze=""),"",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17" t="str" cm="1">
        <f t="array" aca="1" ref="X1709" ca="1">IFERROR(_xlfn.IFS(OR(F1709="",LEFT(Methode_Keuze,4)="Geen",Methode_Keuze=""),"",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26"/>
      <c r="Z1709" s="319"/>
      <c r="AA1709" s="32" t="str" cm="1">
        <f t="array" ref="AA1709">IFERROR(IF(INDEX(SubsidieTabel!$AD$1:$AG$12,MATCH($F1709,SubsidieTabel!$AD$1:$AD$12,0),IFERROR(MATCH(Methode_Keuze,SubsidieTabel!$AD$1:$AG$1,0),2))&lt;&gt;1=TRUE,"ja",""),"")</f>
        <v/>
      </c>
    </row>
    <row r="1710" spans="1:27" x14ac:dyDescent="0.25">
      <c r="A1710" s="320"/>
      <c r="B1710" s="321" t="str">
        <f>IF(A1710&lt;&gt;"",_xlfn.MAXIFS($B$1:B1709,$A$1:A1709,A1710)+1,"")</f>
        <v/>
      </c>
      <c r="C1710" s="299"/>
      <c r="D1710" s="299"/>
      <c r="E1710" s="299"/>
      <c r="F1710" s="299"/>
      <c r="G1710" s="330"/>
      <c r="H1710" s="328"/>
      <c r="I1710" s="329"/>
      <c r="J1710" s="329"/>
      <c r="K1710" s="322"/>
      <c r="L1710" s="322"/>
      <c r="M1710" s="323" t="str">
        <f>IFERROR(VLOOKUP(H1710,Lijsten!$H$1:$I$100,2,0),"")</f>
        <v/>
      </c>
      <c r="N1710" s="323" t="str">
        <f ca="1">IFERROR(IF(VLOOKUP(F1710,Kostentypen!$A$3:$E$21,3,0)=0,"",IF(OR(F1710="Arbeidskosten",F1710="Vergoeding"),VLOOKUP(G1710,Tb_KostenTypen[],2,0),VLOOKUP(F1710,Kostentypen!$A$3:$E$20,3,0))),"")</f>
        <v/>
      </c>
      <c r="O1710" s="324"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4"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3"/>
      <c r="R1710" s="363"/>
      <c r="S1710" s="325"/>
      <c r="T1710" s="325"/>
      <c r="U1710" s="317" t="str" cm="1">
        <f t="array" aca="1" ref="U1710" ca="1">IFERROR(IF(AA1710&lt;&gt;"ja",_xlfn.IFNA(_xlfn.IFS(AND(O1710&lt;&gt;"",F1710&lt;&gt;"",RIGHT($N1710,6)="tarief",F1710="Vergoeding"),SUM(O1710)*FLOOR(SUM(Q1710),0.0001),AND(O1710&lt;&gt;"",F1710&lt;&gt;"",RIGHT($N1710,6)="tarief"),SUM(O1710)*FLOOR(SUM(Q1710),0.01),S1710&gt;0,IF(F1710&lt;&gt;"",FLOOR(SUM(S1710),0.01),"")),""),""),"")</f>
        <v/>
      </c>
      <c r="V1710" s="317" t="str" cm="1">
        <f t="array" aca="1" ref="V1710" ca="1">IFERROR(IF(AA1710&lt;&gt;"ja",_xlfn.IFNA(_xlfn.IFS(AND(P1710&lt;&gt;"",R1710&lt;&gt;"",RIGHT($N1710,6)="tarief",F1710="Vergoeding"),SUM(P1710)*FLOOR(SUM(R1710),0.0001),AND(P1710&lt;&gt;"",R1710&lt;&gt;"",RIGHT($N1710,6)="tarief"),P1710*FLOOR(R1710,0.01),T1710&gt;0,FLOOR(SUM(T1710),0.01)),""),""),"")</f>
        <v/>
      </c>
      <c r="W1710" s="317" t="str" cm="1">
        <f t="array" aca="1" ref="W1710" ca="1">IFERROR(_xlfn.IFS(OR(F1710="",LEFT(Methode_Keuze,4)="Geen",Methode_Keuze=""),"",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17" t="str" cm="1">
        <f t="array" aca="1" ref="X1710" ca="1">IFERROR(_xlfn.IFS(OR(F1710="",LEFT(Methode_Keuze,4)="Geen",Methode_Keuze=""),"",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26"/>
      <c r="Z1710" s="319"/>
      <c r="AA1710" s="32" t="str" cm="1">
        <f t="array" ref="AA1710">IFERROR(IF(INDEX(SubsidieTabel!$AD$1:$AG$12,MATCH($F1710,SubsidieTabel!$AD$1:$AD$12,0),IFERROR(MATCH(Methode_Keuze,SubsidieTabel!$AD$1:$AG$1,0),2))&lt;&gt;1=TRUE,"ja",""),"")</f>
        <v/>
      </c>
    </row>
    <row r="1711" spans="1:27" x14ac:dyDescent="0.25">
      <c r="A1711" s="320"/>
      <c r="B1711" s="321" t="str">
        <f>IF(A1711&lt;&gt;"",_xlfn.MAXIFS($B$1:B1710,$A$1:A1710,A1711)+1,"")</f>
        <v/>
      </c>
      <c r="C1711" s="299"/>
      <c r="D1711" s="299"/>
      <c r="E1711" s="299"/>
      <c r="F1711" s="299"/>
      <c r="G1711" s="330"/>
      <c r="H1711" s="328"/>
      <c r="I1711" s="329"/>
      <c r="J1711" s="329"/>
      <c r="K1711" s="322"/>
      <c r="L1711" s="322"/>
      <c r="M1711" s="323" t="str">
        <f>IFERROR(VLOOKUP(H1711,Lijsten!$H$1:$I$100,2,0),"")</f>
        <v/>
      </c>
      <c r="N1711" s="323" t="str">
        <f ca="1">IFERROR(IF(VLOOKUP(F1711,Kostentypen!$A$3:$E$21,3,0)=0,"",IF(OR(F1711="Arbeidskosten",F1711="Vergoeding"),VLOOKUP(G1711,Tb_KostenTypen[],2,0),VLOOKUP(F1711,Kostentypen!$A$3:$E$20,3,0))),"")</f>
        <v/>
      </c>
      <c r="O1711" s="324"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4"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3"/>
      <c r="R1711" s="363"/>
      <c r="S1711" s="325"/>
      <c r="T1711" s="325"/>
      <c r="U1711" s="317" t="str" cm="1">
        <f t="array" aca="1" ref="U1711" ca="1">IFERROR(IF(AA1711&lt;&gt;"ja",_xlfn.IFNA(_xlfn.IFS(AND(O1711&lt;&gt;"",F1711&lt;&gt;"",RIGHT($N1711,6)="tarief",F1711="Vergoeding"),SUM(O1711)*FLOOR(SUM(Q1711),0.0001),AND(O1711&lt;&gt;"",F1711&lt;&gt;"",RIGHT($N1711,6)="tarief"),SUM(O1711)*FLOOR(SUM(Q1711),0.01),S1711&gt;0,IF(F1711&lt;&gt;"",FLOOR(SUM(S1711),0.01),"")),""),""),"")</f>
        <v/>
      </c>
      <c r="V1711" s="317" t="str" cm="1">
        <f t="array" aca="1" ref="V1711" ca="1">IFERROR(IF(AA1711&lt;&gt;"ja",_xlfn.IFNA(_xlfn.IFS(AND(P1711&lt;&gt;"",R1711&lt;&gt;"",RIGHT($N1711,6)="tarief",F1711="Vergoeding"),SUM(P1711)*FLOOR(SUM(R1711),0.0001),AND(P1711&lt;&gt;"",R1711&lt;&gt;"",RIGHT($N1711,6)="tarief"),P1711*FLOOR(R1711,0.01),T1711&gt;0,FLOOR(SUM(T1711),0.01)),""),""),"")</f>
        <v/>
      </c>
      <c r="W1711" s="317" t="str" cm="1">
        <f t="array" aca="1" ref="W1711" ca="1">IFERROR(_xlfn.IFS(OR(F1711="",LEFT(Methode_Keuze,4)="Geen",Methode_Keuze=""),"",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17" t="str" cm="1">
        <f t="array" aca="1" ref="X1711" ca="1">IFERROR(_xlfn.IFS(OR(F1711="",LEFT(Methode_Keuze,4)="Geen",Methode_Keuze=""),"",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26"/>
      <c r="Z1711" s="319"/>
      <c r="AA1711" s="32" t="str" cm="1">
        <f t="array" ref="AA1711">IFERROR(IF(INDEX(SubsidieTabel!$AD$1:$AG$12,MATCH($F1711,SubsidieTabel!$AD$1:$AD$12,0),IFERROR(MATCH(Methode_Keuze,SubsidieTabel!$AD$1:$AG$1,0),2))&lt;&gt;1=TRUE,"ja",""),"")</f>
        <v/>
      </c>
    </row>
    <row r="1712" spans="1:27" x14ac:dyDescent="0.25">
      <c r="A1712" s="320"/>
      <c r="B1712" s="321" t="str">
        <f>IF(A1712&lt;&gt;"",_xlfn.MAXIFS($B$1:B1711,$A$1:A1711,A1712)+1,"")</f>
        <v/>
      </c>
      <c r="C1712" s="299"/>
      <c r="D1712" s="299"/>
      <c r="E1712" s="299"/>
      <c r="F1712" s="299"/>
      <c r="G1712" s="330"/>
      <c r="H1712" s="328"/>
      <c r="I1712" s="329"/>
      <c r="J1712" s="329"/>
      <c r="K1712" s="322"/>
      <c r="L1712" s="322"/>
      <c r="M1712" s="323" t="str">
        <f>IFERROR(VLOOKUP(H1712,Lijsten!$H$1:$I$100,2,0),"")</f>
        <v/>
      </c>
      <c r="N1712" s="323" t="str">
        <f ca="1">IFERROR(IF(VLOOKUP(F1712,Kostentypen!$A$3:$E$21,3,0)=0,"",IF(OR(F1712="Arbeidskosten",F1712="Vergoeding"),VLOOKUP(G1712,Tb_KostenTypen[],2,0),VLOOKUP(F1712,Kostentypen!$A$3:$E$20,3,0))),"")</f>
        <v/>
      </c>
      <c r="O1712" s="324"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4"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3"/>
      <c r="R1712" s="363"/>
      <c r="S1712" s="325"/>
      <c r="T1712" s="325"/>
      <c r="U1712" s="317" t="str" cm="1">
        <f t="array" aca="1" ref="U1712" ca="1">IFERROR(IF(AA1712&lt;&gt;"ja",_xlfn.IFNA(_xlfn.IFS(AND(O1712&lt;&gt;"",F1712&lt;&gt;"",RIGHT($N1712,6)="tarief",F1712="Vergoeding"),SUM(O1712)*FLOOR(SUM(Q1712),0.0001),AND(O1712&lt;&gt;"",F1712&lt;&gt;"",RIGHT($N1712,6)="tarief"),SUM(O1712)*FLOOR(SUM(Q1712),0.01),S1712&gt;0,IF(F1712&lt;&gt;"",FLOOR(SUM(S1712),0.01),"")),""),""),"")</f>
        <v/>
      </c>
      <c r="V1712" s="317" t="str" cm="1">
        <f t="array" aca="1" ref="V1712" ca="1">IFERROR(IF(AA1712&lt;&gt;"ja",_xlfn.IFNA(_xlfn.IFS(AND(P1712&lt;&gt;"",R1712&lt;&gt;"",RIGHT($N1712,6)="tarief",F1712="Vergoeding"),SUM(P1712)*FLOOR(SUM(R1712),0.0001),AND(P1712&lt;&gt;"",R1712&lt;&gt;"",RIGHT($N1712,6)="tarief"),P1712*FLOOR(R1712,0.01),T1712&gt;0,FLOOR(SUM(T1712),0.01)),""),""),"")</f>
        <v/>
      </c>
      <c r="W1712" s="317" t="str" cm="1">
        <f t="array" aca="1" ref="W1712" ca="1">IFERROR(_xlfn.IFS(OR(F1712="",LEFT(Methode_Keuze,4)="Geen",Methode_Keuze=""),"",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17" t="str" cm="1">
        <f t="array" aca="1" ref="X1712" ca="1">IFERROR(_xlfn.IFS(OR(F1712="",LEFT(Methode_Keuze,4)="Geen",Methode_Keuze=""),"",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26"/>
      <c r="Z1712" s="319"/>
      <c r="AA1712" s="32" t="str" cm="1">
        <f t="array" ref="AA1712">IFERROR(IF(INDEX(SubsidieTabel!$AD$1:$AG$12,MATCH($F1712,SubsidieTabel!$AD$1:$AD$12,0),IFERROR(MATCH(Methode_Keuze,SubsidieTabel!$AD$1:$AG$1,0),2))&lt;&gt;1=TRUE,"ja",""),"")</f>
        <v/>
      </c>
    </row>
    <row r="1713" spans="1:27" x14ac:dyDescent="0.25">
      <c r="A1713" s="320"/>
      <c r="B1713" s="321" t="str">
        <f>IF(A1713&lt;&gt;"",_xlfn.MAXIFS($B$1:B1712,$A$1:A1712,A1713)+1,"")</f>
        <v/>
      </c>
      <c r="C1713" s="299"/>
      <c r="D1713" s="299"/>
      <c r="E1713" s="299"/>
      <c r="F1713" s="299"/>
      <c r="G1713" s="330"/>
      <c r="H1713" s="328"/>
      <c r="I1713" s="329"/>
      <c r="J1713" s="329"/>
      <c r="K1713" s="322"/>
      <c r="L1713" s="322"/>
      <c r="M1713" s="323" t="str">
        <f>IFERROR(VLOOKUP(H1713,Lijsten!$H$1:$I$100,2,0),"")</f>
        <v/>
      </c>
      <c r="N1713" s="323" t="str">
        <f ca="1">IFERROR(IF(VLOOKUP(F1713,Kostentypen!$A$3:$E$21,3,0)=0,"",IF(OR(F1713="Arbeidskosten",F1713="Vergoeding"),VLOOKUP(G1713,Tb_KostenTypen[],2,0),VLOOKUP(F1713,Kostentypen!$A$3:$E$20,3,0))),"")</f>
        <v/>
      </c>
      <c r="O1713" s="324"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4"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3"/>
      <c r="R1713" s="363"/>
      <c r="S1713" s="325"/>
      <c r="T1713" s="325"/>
      <c r="U1713" s="317" t="str" cm="1">
        <f t="array" aca="1" ref="U1713" ca="1">IFERROR(IF(AA1713&lt;&gt;"ja",_xlfn.IFNA(_xlfn.IFS(AND(O1713&lt;&gt;"",F1713&lt;&gt;"",RIGHT($N1713,6)="tarief",F1713="Vergoeding"),SUM(O1713)*FLOOR(SUM(Q1713),0.0001),AND(O1713&lt;&gt;"",F1713&lt;&gt;"",RIGHT($N1713,6)="tarief"),SUM(O1713)*FLOOR(SUM(Q1713),0.01),S1713&gt;0,IF(F1713&lt;&gt;"",FLOOR(SUM(S1713),0.01),"")),""),""),"")</f>
        <v/>
      </c>
      <c r="V1713" s="317" t="str" cm="1">
        <f t="array" aca="1" ref="V1713" ca="1">IFERROR(IF(AA1713&lt;&gt;"ja",_xlfn.IFNA(_xlfn.IFS(AND(P1713&lt;&gt;"",R1713&lt;&gt;"",RIGHT($N1713,6)="tarief",F1713="Vergoeding"),SUM(P1713)*FLOOR(SUM(R1713),0.0001),AND(P1713&lt;&gt;"",R1713&lt;&gt;"",RIGHT($N1713,6)="tarief"),P1713*FLOOR(R1713,0.01),T1713&gt;0,FLOOR(SUM(T1713),0.01)),""),""),"")</f>
        <v/>
      </c>
      <c r="W1713" s="317" t="str" cm="1">
        <f t="array" aca="1" ref="W1713" ca="1">IFERROR(_xlfn.IFS(OR(F1713="",LEFT(Methode_Keuze,4)="Geen",Methode_Keuze=""),"",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17" t="str" cm="1">
        <f t="array" aca="1" ref="X1713" ca="1">IFERROR(_xlfn.IFS(OR(F1713="",LEFT(Methode_Keuze,4)="Geen",Methode_Keuze=""),"",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26"/>
      <c r="Z1713" s="319"/>
      <c r="AA1713" s="32" t="str" cm="1">
        <f t="array" ref="AA1713">IFERROR(IF(INDEX(SubsidieTabel!$AD$1:$AG$12,MATCH($F1713,SubsidieTabel!$AD$1:$AD$12,0),IFERROR(MATCH(Methode_Keuze,SubsidieTabel!$AD$1:$AG$1,0),2))&lt;&gt;1=TRUE,"ja",""),"")</f>
        <v/>
      </c>
    </row>
    <row r="1714" spans="1:27" x14ac:dyDescent="0.25">
      <c r="A1714" s="320"/>
      <c r="B1714" s="321" t="str">
        <f>IF(A1714&lt;&gt;"",_xlfn.MAXIFS($B$1:B1713,$A$1:A1713,A1714)+1,"")</f>
        <v/>
      </c>
      <c r="C1714" s="299"/>
      <c r="D1714" s="299"/>
      <c r="E1714" s="299"/>
      <c r="F1714" s="299"/>
      <c r="G1714" s="330"/>
      <c r="H1714" s="328"/>
      <c r="I1714" s="329"/>
      <c r="J1714" s="329"/>
      <c r="K1714" s="322"/>
      <c r="L1714" s="322"/>
      <c r="M1714" s="323" t="str">
        <f>IFERROR(VLOOKUP(H1714,Lijsten!$H$1:$I$100,2,0),"")</f>
        <v/>
      </c>
      <c r="N1714" s="323" t="str">
        <f ca="1">IFERROR(IF(VLOOKUP(F1714,Kostentypen!$A$3:$E$21,3,0)=0,"",IF(OR(F1714="Arbeidskosten",F1714="Vergoeding"),VLOOKUP(G1714,Tb_KostenTypen[],2,0),VLOOKUP(F1714,Kostentypen!$A$3:$E$20,3,0))),"")</f>
        <v/>
      </c>
      <c r="O1714" s="324"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4"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3"/>
      <c r="R1714" s="363"/>
      <c r="S1714" s="325"/>
      <c r="T1714" s="325"/>
      <c r="U1714" s="317" t="str" cm="1">
        <f t="array" aca="1" ref="U1714" ca="1">IFERROR(IF(AA1714&lt;&gt;"ja",_xlfn.IFNA(_xlfn.IFS(AND(O1714&lt;&gt;"",F1714&lt;&gt;"",RIGHT($N1714,6)="tarief",F1714="Vergoeding"),SUM(O1714)*FLOOR(SUM(Q1714),0.0001),AND(O1714&lt;&gt;"",F1714&lt;&gt;"",RIGHT($N1714,6)="tarief"),SUM(O1714)*FLOOR(SUM(Q1714),0.01),S1714&gt;0,IF(F1714&lt;&gt;"",FLOOR(SUM(S1714),0.01),"")),""),""),"")</f>
        <v/>
      </c>
      <c r="V1714" s="317" t="str" cm="1">
        <f t="array" aca="1" ref="V1714" ca="1">IFERROR(IF(AA1714&lt;&gt;"ja",_xlfn.IFNA(_xlfn.IFS(AND(P1714&lt;&gt;"",R1714&lt;&gt;"",RIGHT($N1714,6)="tarief",F1714="Vergoeding"),SUM(P1714)*FLOOR(SUM(R1714),0.0001),AND(P1714&lt;&gt;"",R1714&lt;&gt;"",RIGHT($N1714,6)="tarief"),P1714*FLOOR(R1714,0.01),T1714&gt;0,FLOOR(SUM(T1714),0.01)),""),""),"")</f>
        <v/>
      </c>
      <c r="W1714" s="317" t="str" cm="1">
        <f t="array" aca="1" ref="W1714" ca="1">IFERROR(_xlfn.IFS(OR(F1714="",LEFT(Methode_Keuze,4)="Geen",Methode_Keuze=""),"",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17" t="str" cm="1">
        <f t="array" aca="1" ref="X1714" ca="1">IFERROR(_xlfn.IFS(OR(F1714="",LEFT(Methode_Keuze,4)="Geen",Methode_Keuze=""),"",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26"/>
      <c r="Z1714" s="319"/>
      <c r="AA1714" s="32" t="str" cm="1">
        <f t="array" ref="AA1714">IFERROR(IF(INDEX(SubsidieTabel!$AD$1:$AG$12,MATCH($F1714,SubsidieTabel!$AD$1:$AD$12,0),IFERROR(MATCH(Methode_Keuze,SubsidieTabel!$AD$1:$AG$1,0),2))&lt;&gt;1=TRUE,"ja",""),"")</f>
        <v/>
      </c>
    </row>
    <row r="1715" spans="1:27" x14ac:dyDescent="0.25">
      <c r="A1715" s="320"/>
      <c r="B1715" s="321" t="str">
        <f>IF(A1715&lt;&gt;"",_xlfn.MAXIFS($B$1:B1714,$A$1:A1714,A1715)+1,"")</f>
        <v/>
      </c>
      <c r="C1715" s="299"/>
      <c r="D1715" s="299"/>
      <c r="E1715" s="299"/>
      <c r="F1715" s="299"/>
      <c r="G1715" s="330"/>
      <c r="H1715" s="328"/>
      <c r="I1715" s="329"/>
      <c r="J1715" s="329"/>
      <c r="K1715" s="322"/>
      <c r="L1715" s="322"/>
      <c r="M1715" s="323" t="str">
        <f>IFERROR(VLOOKUP(H1715,Lijsten!$H$1:$I$100,2,0),"")</f>
        <v/>
      </c>
      <c r="N1715" s="323" t="str">
        <f ca="1">IFERROR(IF(VLOOKUP(F1715,Kostentypen!$A$3:$E$21,3,0)=0,"",IF(OR(F1715="Arbeidskosten",F1715="Vergoeding"),VLOOKUP(G1715,Tb_KostenTypen[],2,0),VLOOKUP(F1715,Kostentypen!$A$3:$E$20,3,0))),"")</f>
        <v/>
      </c>
      <c r="O1715" s="324"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4"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3"/>
      <c r="R1715" s="363"/>
      <c r="S1715" s="325"/>
      <c r="T1715" s="325"/>
      <c r="U1715" s="317" t="str" cm="1">
        <f t="array" aca="1" ref="U1715" ca="1">IFERROR(IF(AA1715&lt;&gt;"ja",_xlfn.IFNA(_xlfn.IFS(AND(O1715&lt;&gt;"",F1715&lt;&gt;"",RIGHT($N1715,6)="tarief",F1715="Vergoeding"),SUM(O1715)*FLOOR(SUM(Q1715),0.0001),AND(O1715&lt;&gt;"",F1715&lt;&gt;"",RIGHT($N1715,6)="tarief"),SUM(O1715)*FLOOR(SUM(Q1715),0.01),S1715&gt;0,IF(F1715&lt;&gt;"",FLOOR(SUM(S1715),0.01),"")),""),""),"")</f>
        <v/>
      </c>
      <c r="V1715" s="317" t="str" cm="1">
        <f t="array" aca="1" ref="V1715" ca="1">IFERROR(IF(AA1715&lt;&gt;"ja",_xlfn.IFNA(_xlfn.IFS(AND(P1715&lt;&gt;"",R1715&lt;&gt;"",RIGHT($N1715,6)="tarief",F1715="Vergoeding"),SUM(P1715)*FLOOR(SUM(R1715),0.0001),AND(P1715&lt;&gt;"",R1715&lt;&gt;"",RIGHT($N1715,6)="tarief"),P1715*FLOOR(R1715,0.01),T1715&gt;0,FLOOR(SUM(T1715),0.01)),""),""),"")</f>
        <v/>
      </c>
      <c r="W1715" s="317" t="str" cm="1">
        <f t="array" aca="1" ref="W1715" ca="1">IFERROR(_xlfn.IFS(OR(F1715="",LEFT(Methode_Keuze,4)="Geen",Methode_Keuze=""),"",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17" t="str" cm="1">
        <f t="array" aca="1" ref="X1715" ca="1">IFERROR(_xlfn.IFS(OR(F1715="",LEFT(Methode_Keuze,4)="Geen",Methode_Keuze=""),"",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26"/>
      <c r="Z1715" s="319"/>
      <c r="AA1715" s="32" t="str" cm="1">
        <f t="array" ref="AA1715">IFERROR(IF(INDEX(SubsidieTabel!$AD$1:$AG$12,MATCH($F1715,SubsidieTabel!$AD$1:$AD$12,0),IFERROR(MATCH(Methode_Keuze,SubsidieTabel!$AD$1:$AG$1,0),2))&lt;&gt;1=TRUE,"ja",""),"")</f>
        <v/>
      </c>
    </row>
    <row r="1716" spans="1:27" x14ac:dyDescent="0.25">
      <c r="A1716" s="320"/>
      <c r="B1716" s="321" t="str">
        <f>IF(A1716&lt;&gt;"",_xlfn.MAXIFS($B$1:B1715,$A$1:A1715,A1716)+1,"")</f>
        <v/>
      </c>
      <c r="C1716" s="299"/>
      <c r="D1716" s="299"/>
      <c r="E1716" s="299"/>
      <c r="F1716" s="299"/>
      <c r="G1716" s="330"/>
      <c r="H1716" s="328"/>
      <c r="I1716" s="329"/>
      <c r="J1716" s="329"/>
      <c r="K1716" s="322"/>
      <c r="L1716" s="322"/>
      <c r="M1716" s="323" t="str">
        <f>IFERROR(VLOOKUP(H1716,Lijsten!$H$1:$I$100,2,0),"")</f>
        <v/>
      </c>
      <c r="N1716" s="323" t="str">
        <f ca="1">IFERROR(IF(VLOOKUP(F1716,Kostentypen!$A$3:$E$21,3,0)=0,"",IF(OR(F1716="Arbeidskosten",F1716="Vergoeding"),VLOOKUP(G1716,Tb_KostenTypen[],2,0),VLOOKUP(F1716,Kostentypen!$A$3:$E$20,3,0))),"")</f>
        <v/>
      </c>
      <c r="O1716" s="324"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4"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3"/>
      <c r="R1716" s="363"/>
      <c r="S1716" s="325"/>
      <c r="T1716" s="325"/>
      <c r="U1716" s="317" t="str" cm="1">
        <f t="array" aca="1" ref="U1716" ca="1">IFERROR(IF(AA1716&lt;&gt;"ja",_xlfn.IFNA(_xlfn.IFS(AND(O1716&lt;&gt;"",F1716&lt;&gt;"",RIGHT($N1716,6)="tarief",F1716="Vergoeding"),SUM(O1716)*FLOOR(SUM(Q1716),0.0001),AND(O1716&lt;&gt;"",F1716&lt;&gt;"",RIGHT($N1716,6)="tarief"),SUM(O1716)*FLOOR(SUM(Q1716),0.01),S1716&gt;0,IF(F1716&lt;&gt;"",FLOOR(SUM(S1716),0.01),"")),""),""),"")</f>
        <v/>
      </c>
      <c r="V1716" s="317" t="str" cm="1">
        <f t="array" aca="1" ref="V1716" ca="1">IFERROR(IF(AA1716&lt;&gt;"ja",_xlfn.IFNA(_xlfn.IFS(AND(P1716&lt;&gt;"",R1716&lt;&gt;"",RIGHT($N1716,6)="tarief",F1716="Vergoeding"),SUM(P1716)*FLOOR(SUM(R1716),0.0001),AND(P1716&lt;&gt;"",R1716&lt;&gt;"",RIGHT($N1716,6)="tarief"),P1716*FLOOR(R1716,0.01),T1716&gt;0,FLOOR(SUM(T1716),0.01)),""),""),"")</f>
        <v/>
      </c>
      <c r="W1716" s="317" t="str" cm="1">
        <f t="array" aca="1" ref="W1716" ca="1">IFERROR(_xlfn.IFS(OR(F1716="",LEFT(Methode_Keuze,4)="Geen",Methode_Keuze=""),"",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17" t="str" cm="1">
        <f t="array" aca="1" ref="X1716" ca="1">IFERROR(_xlfn.IFS(OR(F1716="",LEFT(Methode_Keuze,4)="Geen",Methode_Keuze=""),"",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26"/>
      <c r="Z1716" s="319"/>
      <c r="AA1716" s="32" t="str" cm="1">
        <f t="array" ref="AA1716">IFERROR(IF(INDEX(SubsidieTabel!$AD$1:$AG$12,MATCH($F1716,SubsidieTabel!$AD$1:$AD$12,0),IFERROR(MATCH(Methode_Keuze,SubsidieTabel!$AD$1:$AG$1,0),2))&lt;&gt;1=TRUE,"ja",""),"")</f>
        <v/>
      </c>
    </row>
    <row r="1717" spans="1:27" x14ac:dyDescent="0.25">
      <c r="A1717" s="320"/>
      <c r="B1717" s="321" t="str">
        <f>IF(A1717&lt;&gt;"",_xlfn.MAXIFS($B$1:B1716,$A$1:A1716,A1717)+1,"")</f>
        <v/>
      </c>
      <c r="C1717" s="299"/>
      <c r="D1717" s="299"/>
      <c r="E1717" s="299"/>
      <c r="F1717" s="299"/>
      <c r="G1717" s="330"/>
      <c r="H1717" s="328"/>
      <c r="I1717" s="329"/>
      <c r="J1717" s="329"/>
      <c r="K1717" s="322"/>
      <c r="L1717" s="322"/>
      <c r="M1717" s="323" t="str">
        <f>IFERROR(VLOOKUP(H1717,Lijsten!$H$1:$I$100,2,0),"")</f>
        <v/>
      </c>
      <c r="N1717" s="323" t="str">
        <f ca="1">IFERROR(IF(VLOOKUP(F1717,Kostentypen!$A$3:$E$21,3,0)=0,"",IF(OR(F1717="Arbeidskosten",F1717="Vergoeding"),VLOOKUP(G1717,Tb_KostenTypen[],2,0),VLOOKUP(F1717,Kostentypen!$A$3:$E$20,3,0))),"")</f>
        <v/>
      </c>
      <c r="O1717" s="324"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4"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3"/>
      <c r="R1717" s="363"/>
      <c r="S1717" s="325"/>
      <c r="T1717" s="325"/>
      <c r="U1717" s="317" t="str" cm="1">
        <f t="array" aca="1" ref="U1717" ca="1">IFERROR(IF(AA1717&lt;&gt;"ja",_xlfn.IFNA(_xlfn.IFS(AND(O1717&lt;&gt;"",F1717&lt;&gt;"",RIGHT($N1717,6)="tarief",F1717="Vergoeding"),SUM(O1717)*FLOOR(SUM(Q1717),0.0001),AND(O1717&lt;&gt;"",F1717&lt;&gt;"",RIGHT($N1717,6)="tarief"),SUM(O1717)*FLOOR(SUM(Q1717),0.01),S1717&gt;0,IF(F1717&lt;&gt;"",FLOOR(SUM(S1717),0.01),"")),""),""),"")</f>
        <v/>
      </c>
      <c r="V1717" s="317" t="str" cm="1">
        <f t="array" aca="1" ref="V1717" ca="1">IFERROR(IF(AA1717&lt;&gt;"ja",_xlfn.IFNA(_xlfn.IFS(AND(P1717&lt;&gt;"",R1717&lt;&gt;"",RIGHT($N1717,6)="tarief",F1717="Vergoeding"),SUM(P1717)*FLOOR(SUM(R1717),0.0001),AND(P1717&lt;&gt;"",R1717&lt;&gt;"",RIGHT($N1717,6)="tarief"),P1717*FLOOR(R1717,0.01),T1717&gt;0,FLOOR(SUM(T1717),0.01)),""),""),"")</f>
        <v/>
      </c>
      <c r="W1717" s="317" t="str" cm="1">
        <f t="array" aca="1" ref="W1717" ca="1">IFERROR(_xlfn.IFS(OR(F1717="",LEFT(Methode_Keuze,4)="Geen",Methode_Keuze=""),"",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17" t="str" cm="1">
        <f t="array" aca="1" ref="X1717" ca="1">IFERROR(_xlfn.IFS(OR(F1717="",LEFT(Methode_Keuze,4)="Geen",Methode_Keuze=""),"",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26"/>
      <c r="Z1717" s="319"/>
      <c r="AA1717" s="32" t="str" cm="1">
        <f t="array" ref="AA1717">IFERROR(IF(INDEX(SubsidieTabel!$AD$1:$AG$12,MATCH($F1717,SubsidieTabel!$AD$1:$AD$12,0),IFERROR(MATCH(Methode_Keuze,SubsidieTabel!$AD$1:$AG$1,0),2))&lt;&gt;1=TRUE,"ja",""),"")</f>
        <v/>
      </c>
    </row>
    <row r="1718" spans="1:27" x14ac:dyDescent="0.25">
      <c r="A1718" s="320"/>
      <c r="B1718" s="321" t="str">
        <f>IF(A1718&lt;&gt;"",_xlfn.MAXIFS($B$1:B1717,$A$1:A1717,A1718)+1,"")</f>
        <v/>
      </c>
      <c r="C1718" s="299"/>
      <c r="D1718" s="299"/>
      <c r="E1718" s="299"/>
      <c r="F1718" s="299"/>
      <c r="G1718" s="330"/>
      <c r="H1718" s="328"/>
      <c r="I1718" s="329"/>
      <c r="J1718" s="329"/>
      <c r="K1718" s="322"/>
      <c r="L1718" s="322"/>
      <c r="M1718" s="323" t="str">
        <f>IFERROR(VLOOKUP(H1718,Lijsten!$H$1:$I$100,2,0),"")</f>
        <v/>
      </c>
      <c r="N1718" s="323" t="str">
        <f ca="1">IFERROR(IF(VLOOKUP(F1718,Kostentypen!$A$3:$E$21,3,0)=0,"",IF(OR(F1718="Arbeidskosten",F1718="Vergoeding"),VLOOKUP(G1718,Tb_KostenTypen[],2,0),VLOOKUP(F1718,Kostentypen!$A$3:$E$20,3,0))),"")</f>
        <v/>
      </c>
      <c r="O1718" s="324"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4"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3"/>
      <c r="R1718" s="363"/>
      <c r="S1718" s="325"/>
      <c r="T1718" s="325"/>
      <c r="U1718" s="317" t="str" cm="1">
        <f t="array" aca="1" ref="U1718" ca="1">IFERROR(IF(AA1718&lt;&gt;"ja",_xlfn.IFNA(_xlfn.IFS(AND(O1718&lt;&gt;"",F1718&lt;&gt;"",RIGHT($N1718,6)="tarief",F1718="Vergoeding"),SUM(O1718)*FLOOR(SUM(Q1718),0.0001),AND(O1718&lt;&gt;"",F1718&lt;&gt;"",RIGHT($N1718,6)="tarief"),SUM(O1718)*FLOOR(SUM(Q1718),0.01),S1718&gt;0,IF(F1718&lt;&gt;"",FLOOR(SUM(S1718),0.01),"")),""),""),"")</f>
        <v/>
      </c>
      <c r="V1718" s="317" t="str" cm="1">
        <f t="array" aca="1" ref="V1718" ca="1">IFERROR(IF(AA1718&lt;&gt;"ja",_xlfn.IFNA(_xlfn.IFS(AND(P1718&lt;&gt;"",R1718&lt;&gt;"",RIGHT($N1718,6)="tarief",F1718="Vergoeding"),SUM(P1718)*FLOOR(SUM(R1718),0.0001),AND(P1718&lt;&gt;"",R1718&lt;&gt;"",RIGHT($N1718,6)="tarief"),P1718*FLOOR(R1718,0.01),T1718&gt;0,FLOOR(SUM(T1718),0.01)),""),""),"")</f>
        <v/>
      </c>
      <c r="W1718" s="317" t="str" cm="1">
        <f t="array" aca="1" ref="W1718" ca="1">IFERROR(_xlfn.IFS(OR(F1718="",LEFT(Methode_Keuze,4)="Geen",Methode_Keuze=""),"",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17" t="str" cm="1">
        <f t="array" aca="1" ref="X1718" ca="1">IFERROR(_xlfn.IFS(OR(F1718="",LEFT(Methode_Keuze,4)="Geen",Methode_Keuze=""),"",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26"/>
      <c r="Z1718" s="319"/>
      <c r="AA1718" s="32" t="str" cm="1">
        <f t="array" ref="AA1718">IFERROR(IF(INDEX(SubsidieTabel!$AD$1:$AG$12,MATCH($F1718,SubsidieTabel!$AD$1:$AD$12,0),IFERROR(MATCH(Methode_Keuze,SubsidieTabel!$AD$1:$AG$1,0),2))&lt;&gt;1=TRUE,"ja",""),"")</f>
        <v/>
      </c>
    </row>
    <row r="1719" spans="1:27" x14ac:dyDescent="0.25">
      <c r="A1719" s="320"/>
      <c r="B1719" s="321" t="str">
        <f>IF(A1719&lt;&gt;"",_xlfn.MAXIFS($B$1:B1718,$A$1:A1718,A1719)+1,"")</f>
        <v/>
      </c>
      <c r="C1719" s="299"/>
      <c r="D1719" s="299"/>
      <c r="E1719" s="299"/>
      <c r="F1719" s="299"/>
      <c r="G1719" s="330"/>
      <c r="H1719" s="328"/>
      <c r="I1719" s="329"/>
      <c r="J1719" s="329"/>
      <c r="K1719" s="322"/>
      <c r="L1719" s="322"/>
      <c r="M1719" s="323" t="str">
        <f>IFERROR(VLOOKUP(H1719,Lijsten!$H$1:$I$100,2,0),"")</f>
        <v/>
      </c>
      <c r="N1719" s="323" t="str">
        <f ca="1">IFERROR(IF(VLOOKUP(F1719,Kostentypen!$A$3:$E$21,3,0)=0,"",IF(OR(F1719="Arbeidskosten",F1719="Vergoeding"),VLOOKUP(G1719,Tb_KostenTypen[],2,0),VLOOKUP(F1719,Kostentypen!$A$3:$E$20,3,0))),"")</f>
        <v/>
      </c>
      <c r="O1719" s="324"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4"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3"/>
      <c r="R1719" s="363"/>
      <c r="S1719" s="325"/>
      <c r="T1719" s="325"/>
      <c r="U1719" s="317" t="str" cm="1">
        <f t="array" aca="1" ref="U1719" ca="1">IFERROR(IF(AA1719&lt;&gt;"ja",_xlfn.IFNA(_xlfn.IFS(AND(O1719&lt;&gt;"",F1719&lt;&gt;"",RIGHT($N1719,6)="tarief",F1719="Vergoeding"),SUM(O1719)*FLOOR(SUM(Q1719),0.0001),AND(O1719&lt;&gt;"",F1719&lt;&gt;"",RIGHT($N1719,6)="tarief"),SUM(O1719)*FLOOR(SUM(Q1719),0.01),S1719&gt;0,IF(F1719&lt;&gt;"",FLOOR(SUM(S1719),0.01),"")),""),""),"")</f>
        <v/>
      </c>
      <c r="V1719" s="317" t="str" cm="1">
        <f t="array" aca="1" ref="V1719" ca="1">IFERROR(IF(AA1719&lt;&gt;"ja",_xlfn.IFNA(_xlfn.IFS(AND(P1719&lt;&gt;"",R1719&lt;&gt;"",RIGHT($N1719,6)="tarief",F1719="Vergoeding"),SUM(P1719)*FLOOR(SUM(R1719),0.0001),AND(P1719&lt;&gt;"",R1719&lt;&gt;"",RIGHT($N1719,6)="tarief"),P1719*FLOOR(R1719,0.01),T1719&gt;0,FLOOR(SUM(T1719),0.01)),""),""),"")</f>
        <v/>
      </c>
      <c r="W1719" s="317" t="str" cm="1">
        <f t="array" aca="1" ref="W1719" ca="1">IFERROR(_xlfn.IFS(OR(F1719="",LEFT(Methode_Keuze,4)="Geen",Methode_Keuze=""),"",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17" t="str" cm="1">
        <f t="array" aca="1" ref="X1719" ca="1">IFERROR(_xlfn.IFS(OR(F1719="",LEFT(Methode_Keuze,4)="Geen",Methode_Keuze=""),"",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26"/>
      <c r="Z1719" s="319"/>
      <c r="AA1719" s="32" t="str" cm="1">
        <f t="array" ref="AA1719">IFERROR(IF(INDEX(SubsidieTabel!$AD$1:$AG$12,MATCH($F1719,SubsidieTabel!$AD$1:$AD$12,0),IFERROR(MATCH(Methode_Keuze,SubsidieTabel!$AD$1:$AG$1,0),2))&lt;&gt;1=TRUE,"ja",""),"")</f>
        <v/>
      </c>
    </row>
    <row r="1720" spans="1:27" x14ac:dyDescent="0.25">
      <c r="A1720" s="320"/>
      <c r="B1720" s="321" t="str">
        <f>IF(A1720&lt;&gt;"",_xlfn.MAXIFS($B$1:B1719,$A$1:A1719,A1720)+1,"")</f>
        <v/>
      </c>
      <c r="C1720" s="299"/>
      <c r="D1720" s="299"/>
      <c r="E1720" s="299"/>
      <c r="F1720" s="299"/>
      <c r="G1720" s="330"/>
      <c r="H1720" s="328"/>
      <c r="I1720" s="329"/>
      <c r="J1720" s="329"/>
      <c r="K1720" s="322"/>
      <c r="L1720" s="322"/>
      <c r="M1720" s="323" t="str">
        <f>IFERROR(VLOOKUP(H1720,Lijsten!$H$1:$I$100,2,0),"")</f>
        <v/>
      </c>
      <c r="N1720" s="323" t="str">
        <f ca="1">IFERROR(IF(VLOOKUP(F1720,Kostentypen!$A$3:$E$21,3,0)=0,"",IF(OR(F1720="Arbeidskosten",F1720="Vergoeding"),VLOOKUP(G1720,Tb_KostenTypen[],2,0),VLOOKUP(F1720,Kostentypen!$A$3:$E$20,3,0))),"")</f>
        <v/>
      </c>
      <c r="O1720" s="324"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4"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3"/>
      <c r="R1720" s="363"/>
      <c r="S1720" s="325"/>
      <c r="T1720" s="325"/>
      <c r="U1720" s="317" t="str" cm="1">
        <f t="array" aca="1" ref="U1720" ca="1">IFERROR(IF(AA1720&lt;&gt;"ja",_xlfn.IFNA(_xlfn.IFS(AND(O1720&lt;&gt;"",F1720&lt;&gt;"",RIGHT($N1720,6)="tarief",F1720="Vergoeding"),SUM(O1720)*FLOOR(SUM(Q1720),0.0001),AND(O1720&lt;&gt;"",F1720&lt;&gt;"",RIGHT($N1720,6)="tarief"),SUM(O1720)*FLOOR(SUM(Q1720),0.01),S1720&gt;0,IF(F1720&lt;&gt;"",FLOOR(SUM(S1720),0.01),"")),""),""),"")</f>
        <v/>
      </c>
      <c r="V1720" s="317" t="str" cm="1">
        <f t="array" aca="1" ref="V1720" ca="1">IFERROR(IF(AA1720&lt;&gt;"ja",_xlfn.IFNA(_xlfn.IFS(AND(P1720&lt;&gt;"",R1720&lt;&gt;"",RIGHT($N1720,6)="tarief",F1720="Vergoeding"),SUM(P1720)*FLOOR(SUM(R1720),0.0001),AND(P1720&lt;&gt;"",R1720&lt;&gt;"",RIGHT($N1720,6)="tarief"),P1720*FLOOR(R1720,0.01),T1720&gt;0,FLOOR(SUM(T1720),0.01)),""),""),"")</f>
        <v/>
      </c>
      <c r="W1720" s="317" t="str" cm="1">
        <f t="array" aca="1" ref="W1720" ca="1">IFERROR(_xlfn.IFS(OR(F1720="",LEFT(Methode_Keuze,4)="Geen",Methode_Keuze=""),"",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17" t="str" cm="1">
        <f t="array" aca="1" ref="X1720" ca="1">IFERROR(_xlfn.IFS(OR(F1720="",LEFT(Methode_Keuze,4)="Geen",Methode_Keuze=""),"",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26"/>
      <c r="Z1720" s="319"/>
      <c r="AA1720" s="32" t="str" cm="1">
        <f t="array" ref="AA1720">IFERROR(IF(INDEX(SubsidieTabel!$AD$1:$AG$12,MATCH($F1720,SubsidieTabel!$AD$1:$AD$12,0),IFERROR(MATCH(Methode_Keuze,SubsidieTabel!$AD$1:$AG$1,0),2))&lt;&gt;1=TRUE,"ja",""),"")</f>
        <v/>
      </c>
    </row>
    <row r="1721" spans="1:27" x14ac:dyDescent="0.25">
      <c r="A1721" s="320"/>
      <c r="B1721" s="321" t="str">
        <f>IF(A1721&lt;&gt;"",_xlfn.MAXIFS($B$1:B1720,$A$1:A1720,A1721)+1,"")</f>
        <v/>
      </c>
      <c r="C1721" s="299"/>
      <c r="D1721" s="299"/>
      <c r="E1721" s="299"/>
      <c r="F1721" s="299"/>
      <c r="G1721" s="330"/>
      <c r="H1721" s="328"/>
      <c r="I1721" s="329"/>
      <c r="J1721" s="329"/>
      <c r="K1721" s="322"/>
      <c r="L1721" s="322"/>
      <c r="M1721" s="323" t="str">
        <f>IFERROR(VLOOKUP(H1721,Lijsten!$H$1:$I$100,2,0),"")</f>
        <v/>
      </c>
      <c r="N1721" s="323" t="str">
        <f ca="1">IFERROR(IF(VLOOKUP(F1721,Kostentypen!$A$3:$E$21,3,0)=0,"",IF(OR(F1721="Arbeidskosten",F1721="Vergoeding"),VLOOKUP(G1721,Tb_KostenTypen[],2,0),VLOOKUP(F1721,Kostentypen!$A$3:$E$20,3,0))),"")</f>
        <v/>
      </c>
      <c r="O1721" s="324"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4"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3"/>
      <c r="R1721" s="363"/>
      <c r="S1721" s="325"/>
      <c r="T1721" s="325"/>
      <c r="U1721" s="317" t="str" cm="1">
        <f t="array" aca="1" ref="U1721" ca="1">IFERROR(IF(AA1721&lt;&gt;"ja",_xlfn.IFNA(_xlfn.IFS(AND(O1721&lt;&gt;"",F1721&lt;&gt;"",RIGHT($N1721,6)="tarief",F1721="Vergoeding"),SUM(O1721)*FLOOR(SUM(Q1721),0.0001),AND(O1721&lt;&gt;"",F1721&lt;&gt;"",RIGHT($N1721,6)="tarief"),SUM(O1721)*FLOOR(SUM(Q1721),0.01),S1721&gt;0,IF(F1721&lt;&gt;"",FLOOR(SUM(S1721),0.01),"")),""),""),"")</f>
        <v/>
      </c>
      <c r="V1721" s="317" t="str" cm="1">
        <f t="array" aca="1" ref="V1721" ca="1">IFERROR(IF(AA1721&lt;&gt;"ja",_xlfn.IFNA(_xlfn.IFS(AND(P1721&lt;&gt;"",R1721&lt;&gt;"",RIGHT($N1721,6)="tarief",F1721="Vergoeding"),SUM(P1721)*FLOOR(SUM(R1721),0.0001),AND(P1721&lt;&gt;"",R1721&lt;&gt;"",RIGHT($N1721,6)="tarief"),P1721*FLOOR(R1721,0.01),T1721&gt;0,FLOOR(SUM(T1721),0.01)),""),""),"")</f>
        <v/>
      </c>
      <c r="W1721" s="317" t="str" cm="1">
        <f t="array" aca="1" ref="W1721" ca="1">IFERROR(_xlfn.IFS(OR(F1721="",LEFT(Methode_Keuze,4)="Geen",Methode_Keuze=""),"",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17" t="str" cm="1">
        <f t="array" aca="1" ref="X1721" ca="1">IFERROR(_xlfn.IFS(OR(F1721="",LEFT(Methode_Keuze,4)="Geen",Methode_Keuze=""),"",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26"/>
      <c r="Z1721" s="319"/>
      <c r="AA1721" s="32" t="str" cm="1">
        <f t="array" ref="AA1721">IFERROR(IF(INDEX(SubsidieTabel!$AD$1:$AG$12,MATCH($F1721,SubsidieTabel!$AD$1:$AD$12,0),IFERROR(MATCH(Methode_Keuze,SubsidieTabel!$AD$1:$AG$1,0),2))&lt;&gt;1=TRUE,"ja",""),"")</f>
        <v/>
      </c>
    </row>
    <row r="1722" spans="1:27" x14ac:dyDescent="0.25">
      <c r="A1722" s="320"/>
      <c r="B1722" s="321" t="str">
        <f>IF(A1722&lt;&gt;"",_xlfn.MAXIFS($B$1:B1721,$A$1:A1721,A1722)+1,"")</f>
        <v/>
      </c>
      <c r="C1722" s="299"/>
      <c r="D1722" s="299"/>
      <c r="E1722" s="299"/>
      <c r="F1722" s="299"/>
      <c r="G1722" s="330"/>
      <c r="H1722" s="328"/>
      <c r="I1722" s="329"/>
      <c r="J1722" s="329"/>
      <c r="K1722" s="322"/>
      <c r="L1722" s="322"/>
      <c r="M1722" s="323" t="str">
        <f>IFERROR(VLOOKUP(H1722,Lijsten!$H$1:$I$100,2,0),"")</f>
        <v/>
      </c>
      <c r="N1722" s="323" t="str">
        <f ca="1">IFERROR(IF(VLOOKUP(F1722,Kostentypen!$A$3:$E$21,3,0)=0,"",IF(OR(F1722="Arbeidskosten",F1722="Vergoeding"),VLOOKUP(G1722,Tb_KostenTypen[],2,0),VLOOKUP(F1722,Kostentypen!$A$3:$E$20,3,0))),"")</f>
        <v/>
      </c>
      <c r="O1722" s="324"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4"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3"/>
      <c r="R1722" s="363"/>
      <c r="S1722" s="325"/>
      <c r="T1722" s="325"/>
      <c r="U1722" s="317" t="str" cm="1">
        <f t="array" aca="1" ref="U1722" ca="1">IFERROR(IF(AA1722&lt;&gt;"ja",_xlfn.IFNA(_xlfn.IFS(AND(O1722&lt;&gt;"",F1722&lt;&gt;"",RIGHT($N1722,6)="tarief",F1722="Vergoeding"),SUM(O1722)*FLOOR(SUM(Q1722),0.0001),AND(O1722&lt;&gt;"",F1722&lt;&gt;"",RIGHT($N1722,6)="tarief"),SUM(O1722)*FLOOR(SUM(Q1722),0.01),S1722&gt;0,IF(F1722&lt;&gt;"",FLOOR(SUM(S1722),0.01),"")),""),""),"")</f>
        <v/>
      </c>
      <c r="V1722" s="317" t="str" cm="1">
        <f t="array" aca="1" ref="V1722" ca="1">IFERROR(IF(AA1722&lt;&gt;"ja",_xlfn.IFNA(_xlfn.IFS(AND(P1722&lt;&gt;"",R1722&lt;&gt;"",RIGHT($N1722,6)="tarief",F1722="Vergoeding"),SUM(P1722)*FLOOR(SUM(R1722),0.0001),AND(P1722&lt;&gt;"",R1722&lt;&gt;"",RIGHT($N1722,6)="tarief"),P1722*FLOOR(R1722,0.01),T1722&gt;0,FLOOR(SUM(T1722),0.01)),""),""),"")</f>
        <v/>
      </c>
      <c r="W1722" s="317" t="str" cm="1">
        <f t="array" aca="1" ref="W1722" ca="1">IFERROR(_xlfn.IFS(OR(F1722="",LEFT(Methode_Keuze,4)="Geen",Methode_Keuze=""),"",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17" t="str" cm="1">
        <f t="array" aca="1" ref="X1722" ca="1">IFERROR(_xlfn.IFS(OR(F1722="",LEFT(Methode_Keuze,4)="Geen",Methode_Keuze=""),"",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26"/>
      <c r="Z1722" s="319"/>
      <c r="AA1722" s="32" t="str" cm="1">
        <f t="array" ref="AA1722">IFERROR(IF(INDEX(SubsidieTabel!$AD$1:$AG$12,MATCH($F1722,SubsidieTabel!$AD$1:$AD$12,0),IFERROR(MATCH(Methode_Keuze,SubsidieTabel!$AD$1:$AG$1,0),2))&lt;&gt;1=TRUE,"ja",""),"")</f>
        <v/>
      </c>
    </row>
    <row r="1723" spans="1:27" x14ac:dyDescent="0.25">
      <c r="A1723" s="320"/>
      <c r="B1723" s="321" t="str">
        <f>IF(A1723&lt;&gt;"",_xlfn.MAXIFS($B$1:B1722,$A$1:A1722,A1723)+1,"")</f>
        <v/>
      </c>
      <c r="C1723" s="299"/>
      <c r="D1723" s="299"/>
      <c r="E1723" s="299"/>
      <c r="F1723" s="299"/>
      <c r="G1723" s="330"/>
      <c r="H1723" s="328"/>
      <c r="I1723" s="329"/>
      <c r="J1723" s="329"/>
      <c r="K1723" s="322"/>
      <c r="L1723" s="322"/>
      <c r="M1723" s="323" t="str">
        <f>IFERROR(VLOOKUP(H1723,Lijsten!$H$1:$I$100,2,0),"")</f>
        <v/>
      </c>
      <c r="N1723" s="323" t="str">
        <f ca="1">IFERROR(IF(VLOOKUP(F1723,Kostentypen!$A$3:$E$21,3,0)=0,"",IF(OR(F1723="Arbeidskosten",F1723="Vergoeding"),VLOOKUP(G1723,Tb_KostenTypen[],2,0),VLOOKUP(F1723,Kostentypen!$A$3:$E$20,3,0))),"")</f>
        <v/>
      </c>
      <c r="O1723" s="324"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4"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3"/>
      <c r="R1723" s="363"/>
      <c r="S1723" s="325"/>
      <c r="T1723" s="325"/>
      <c r="U1723" s="317" t="str" cm="1">
        <f t="array" aca="1" ref="U1723" ca="1">IFERROR(IF(AA1723&lt;&gt;"ja",_xlfn.IFNA(_xlfn.IFS(AND(O1723&lt;&gt;"",F1723&lt;&gt;"",RIGHT($N1723,6)="tarief",F1723="Vergoeding"),SUM(O1723)*FLOOR(SUM(Q1723),0.0001),AND(O1723&lt;&gt;"",F1723&lt;&gt;"",RIGHT($N1723,6)="tarief"),SUM(O1723)*FLOOR(SUM(Q1723),0.01),S1723&gt;0,IF(F1723&lt;&gt;"",FLOOR(SUM(S1723),0.01),"")),""),""),"")</f>
        <v/>
      </c>
      <c r="V1723" s="317" t="str" cm="1">
        <f t="array" aca="1" ref="V1723" ca="1">IFERROR(IF(AA1723&lt;&gt;"ja",_xlfn.IFNA(_xlfn.IFS(AND(P1723&lt;&gt;"",R1723&lt;&gt;"",RIGHT($N1723,6)="tarief",F1723="Vergoeding"),SUM(P1723)*FLOOR(SUM(R1723),0.0001),AND(P1723&lt;&gt;"",R1723&lt;&gt;"",RIGHT($N1723,6)="tarief"),P1723*FLOOR(R1723,0.01),T1723&gt;0,FLOOR(SUM(T1723),0.01)),""),""),"")</f>
        <v/>
      </c>
      <c r="W1723" s="317" t="str" cm="1">
        <f t="array" aca="1" ref="W1723" ca="1">IFERROR(_xlfn.IFS(OR(F1723="",LEFT(Methode_Keuze,4)="Geen",Methode_Keuze=""),"",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17" t="str" cm="1">
        <f t="array" aca="1" ref="X1723" ca="1">IFERROR(_xlfn.IFS(OR(F1723="",LEFT(Methode_Keuze,4)="Geen",Methode_Keuze=""),"",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26"/>
      <c r="Z1723" s="319"/>
      <c r="AA1723" s="32" t="str" cm="1">
        <f t="array" ref="AA1723">IFERROR(IF(INDEX(SubsidieTabel!$AD$1:$AG$12,MATCH($F1723,SubsidieTabel!$AD$1:$AD$12,0),IFERROR(MATCH(Methode_Keuze,SubsidieTabel!$AD$1:$AG$1,0),2))&lt;&gt;1=TRUE,"ja",""),"")</f>
        <v/>
      </c>
    </row>
    <row r="1724" spans="1:27" x14ac:dyDescent="0.25">
      <c r="A1724" s="320"/>
      <c r="B1724" s="321" t="str">
        <f>IF(A1724&lt;&gt;"",_xlfn.MAXIFS($B$1:B1723,$A$1:A1723,A1724)+1,"")</f>
        <v/>
      </c>
      <c r="C1724" s="299"/>
      <c r="D1724" s="299"/>
      <c r="E1724" s="299"/>
      <c r="F1724" s="299"/>
      <c r="G1724" s="330"/>
      <c r="H1724" s="328"/>
      <c r="I1724" s="329"/>
      <c r="J1724" s="329"/>
      <c r="K1724" s="322"/>
      <c r="L1724" s="322"/>
      <c r="M1724" s="323" t="str">
        <f>IFERROR(VLOOKUP(H1724,Lijsten!$H$1:$I$100,2,0),"")</f>
        <v/>
      </c>
      <c r="N1724" s="323" t="str">
        <f ca="1">IFERROR(IF(VLOOKUP(F1724,Kostentypen!$A$3:$E$21,3,0)=0,"",IF(OR(F1724="Arbeidskosten",F1724="Vergoeding"),VLOOKUP(G1724,Tb_KostenTypen[],2,0),VLOOKUP(F1724,Kostentypen!$A$3:$E$20,3,0))),"")</f>
        <v/>
      </c>
      <c r="O1724" s="324"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4"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3"/>
      <c r="R1724" s="363"/>
      <c r="S1724" s="325"/>
      <c r="T1724" s="325"/>
      <c r="U1724" s="317" t="str" cm="1">
        <f t="array" aca="1" ref="U1724" ca="1">IFERROR(IF(AA1724&lt;&gt;"ja",_xlfn.IFNA(_xlfn.IFS(AND(O1724&lt;&gt;"",F1724&lt;&gt;"",RIGHT($N1724,6)="tarief",F1724="Vergoeding"),SUM(O1724)*FLOOR(SUM(Q1724),0.0001),AND(O1724&lt;&gt;"",F1724&lt;&gt;"",RIGHT($N1724,6)="tarief"),SUM(O1724)*FLOOR(SUM(Q1724),0.01),S1724&gt;0,IF(F1724&lt;&gt;"",FLOOR(SUM(S1724),0.01),"")),""),""),"")</f>
        <v/>
      </c>
      <c r="V1724" s="317" t="str" cm="1">
        <f t="array" aca="1" ref="V1724" ca="1">IFERROR(IF(AA1724&lt;&gt;"ja",_xlfn.IFNA(_xlfn.IFS(AND(P1724&lt;&gt;"",R1724&lt;&gt;"",RIGHT($N1724,6)="tarief",F1724="Vergoeding"),SUM(P1724)*FLOOR(SUM(R1724),0.0001),AND(P1724&lt;&gt;"",R1724&lt;&gt;"",RIGHT($N1724,6)="tarief"),P1724*FLOOR(R1724,0.01),T1724&gt;0,FLOOR(SUM(T1724),0.01)),""),""),"")</f>
        <v/>
      </c>
      <c r="W1724" s="317" t="str" cm="1">
        <f t="array" aca="1" ref="W1724" ca="1">IFERROR(_xlfn.IFS(OR(F1724="",LEFT(Methode_Keuze,4)="Geen",Methode_Keuze=""),"",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17" t="str" cm="1">
        <f t="array" aca="1" ref="X1724" ca="1">IFERROR(_xlfn.IFS(OR(F1724="",LEFT(Methode_Keuze,4)="Geen",Methode_Keuze=""),"",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26"/>
      <c r="Z1724" s="319"/>
      <c r="AA1724" s="32" t="str" cm="1">
        <f t="array" ref="AA1724">IFERROR(IF(INDEX(SubsidieTabel!$AD$1:$AG$12,MATCH($F1724,SubsidieTabel!$AD$1:$AD$12,0),IFERROR(MATCH(Methode_Keuze,SubsidieTabel!$AD$1:$AG$1,0),2))&lt;&gt;1=TRUE,"ja",""),"")</f>
        <v/>
      </c>
    </row>
    <row r="1725" spans="1:27" x14ac:dyDescent="0.25">
      <c r="A1725" s="320"/>
      <c r="B1725" s="321" t="str">
        <f>IF(A1725&lt;&gt;"",_xlfn.MAXIFS($B$1:B1724,$A$1:A1724,A1725)+1,"")</f>
        <v/>
      </c>
      <c r="C1725" s="299"/>
      <c r="D1725" s="299"/>
      <c r="E1725" s="299"/>
      <c r="F1725" s="299"/>
      <c r="G1725" s="330"/>
      <c r="H1725" s="328"/>
      <c r="I1725" s="329"/>
      <c r="J1725" s="329"/>
      <c r="K1725" s="322"/>
      <c r="L1725" s="322"/>
      <c r="M1725" s="323" t="str">
        <f>IFERROR(VLOOKUP(H1725,Lijsten!$H$1:$I$100,2,0),"")</f>
        <v/>
      </c>
      <c r="N1725" s="323" t="str">
        <f ca="1">IFERROR(IF(VLOOKUP(F1725,Kostentypen!$A$3:$E$21,3,0)=0,"",IF(OR(F1725="Arbeidskosten",F1725="Vergoeding"),VLOOKUP(G1725,Tb_KostenTypen[],2,0),VLOOKUP(F1725,Kostentypen!$A$3:$E$20,3,0))),"")</f>
        <v/>
      </c>
      <c r="O1725" s="324"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4"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3"/>
      <c r="R1725" s="363"/>
      <c r="S1725" s="325"/>
      <c r="T1725" s="325"/>
      <c r="U1725" s="317" t="str" cm="1">
        <f t="array" aca="1" ref="U1725" ca="1">IFERROR(IF(AA1725&lt;&gt;"ja",_xlfn.IFNA(_xlfn.IFS(AND(O1725&lt;&gt;"",F1725&lt;&gt;"",RIGHT($N1725,6)="tarief",F1725="Vergoeding"),SUM(O1725)*FLOOR(SUM(Q1725),0.0001),AND(O1725&lt;&gt;"",F1725&lt;&gt;"",RIGHT($N1725,6)="tarief"),SUM(O1725)*FLOOR(SUM(Q1725),0.01),S1725&gt;0,IF(F1725&lt;&gt;"",FLOOR(SUM(S1725),0.01),"")),""),""),"")</f>
        <v/>
      </c>
      <c r="V1725" s="317" t="str" cm="1">
        <f t="array" aca="1" ref="V1725" ca="1">IFERROR(IF(AA1725&lt;&gt;"ja",_xlfn.IFNA(_xlfn.IFS(AND(P1725&lt;&gt;"",R1725&lt;&gt;"",RIGHT($N1725,6)="tarief",F1725="Vergoeding"),SUM(P1725)*FLOOR(SUM(R1725),0.0001),AND(P1725&lt;&gt;"",R1725&lt;&gt;"",RIGHT($N1725,6)="tarief"),P1725*FLOOR(R1725,0.01),T1725&gt;0,FLOOR(SUM(T1725),0.01)),""),""),"")</f>
        <v/>
      </c>
      <c r="W1725" s="317" t="str" cm="1">
        <f t="array" aca="1" ref="W1725" ca="1">IFERROR(_xlfn.IFS(OR(F1725="",LEFT(Methode_Keuze,4)="Geen",Methode_Keuze=""),"",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17" t="str" cm="1">
        <f t="array" aca="1" ref="X1725" ca="1">IFERROR(_xlfn.IFS(OR(F1725="",LEFT(Methode_Keuze,4)="Geen",Methode_Keuze=""),"",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26"/>
      <c r="Z1725" s="319"/>
      <c r="AA1725" s="32" t="str" cm="1">
        <f t="array" ref="AA1725">IFERROR(IF(INDEX(SubsidieTabel!$AD$1:$AG$12,MATCH($F1725,SubsidieTabel!$AD$1:$AD$12,0),IFERROR(MATCH(Methode_Keuze,SubsidieTabel!$AD$1:$AG$1,0),2))&lt;&gt;1=TRUE,"ja",""),"")</f>
        <v/>
      </c>
    </row>
    <row r="1726" spans="1:27" x14ac:dyDescent="0.25">
      <c r="A1726" s="320"/>
      <c r="B1726" s="321" t="str">
        <f>IF(A1726&lt;&gt;"",_xlfn.MAXIFS($B$1:B1725,$A$1:A1725,A1726)+1,"")</f>
        <v/>
      </c>
      <c r="C1726" s="299"/>
      <c r="D1726" s="299"/>
      <c r="E1726" s="299"/>
      <c r="F1726" s="299"/>
      <c r="G1726" s="330"/>
      <c r="H1726" s="328"/>
      <c r="I1726" s="329"/>
      <c r="J1726" s="329"/>
      <c r="K1726" s="322"/>
      <c r="L1726" s="322"/>
      <c r="M1726" s="323" t="str">
        <f>IFERROR(VLOOKUP(H1726,Lijsten!$H$1:$I$100,2,0),"")</f>
        <v/>
      </c>
      <c r="N1726" s="323" t="str">
        <f ca="1">IFERROR(IF(VLOOKUP(F1726,Kostentypen!$A$3:$E$21,3,0)=0,"",IF(OR(F1726="Arbeidskosten",F1726="Vergoeding"),VLOOKUP(G1726,Tb_KostenTypen[],2,0),VLOOKUP(F1726,Kostentypen!$A$3:$E$20,3,0))),"")</f>
        <v/>
      </c>
      <c r="O1726" s="324"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4"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3"/>
      <c r="R1726" s="363"/>
      <c r="S1726" s="325"/>
      <c r="T1726" s="325"/>
      <c r="U1726" s="317" t="str" cm="1">
        <f t="array" aca="1" ref="U1726" ca="1">IFERROR(IF(AA1726&lt;&gt;"ja",_xlfn.IFNA(_xlfn.IFS(AND(O1726&lt;&gt;"",F1726&lt;&gt;"",RIGHT($N1726,6)="tarief",F1726="Vergoeding"),SUM(O1726)*FLOOR(SUM(Q1726),0.0001),AND(O1726&lt;&gt;"",F1726&lt;&gt;"",RIGHT($N1726,6)="tarief"),SUM(O1726)*FLOOR(SUM(Q1726),0.01),S1726&gt;0,IF(F1726&lt;&gt;"",FLOOR(SUM(S1726),0.01),"")),""),""),"")</f>
        <v/>
      </c>
      <c r="V1726" s="317" t="str" cm="1">
        <f t="array" aca="1" ref="V1726" ca="1">IFERROR(IF(AA1726&lt;&gt;"ja",_xlfn.IFNA(_xlfn.IFS(AND(P1726&lt;&gt;"",R1726&lt;&gt;"",RIGHT($N1726,6)="tarief",F1726="Vergoeding"),SUM(P1726)*FLOOR(SUM(R1726),0.0001),AND(P1726&lt;&gt;"",R1726&lt;&gt;"",RIGHT($N1726,6)="tarief"),P1726*FLOOR(R1726,0.01),T1726&gt;0,FLOOR(SUM(T1726),0.01)),""),""),"")</f>
        <v/>
      </c>
      <c r="W1726" s="317" t="str" cm="1">
        <f t="array" aca="1" ref="W1726" ca="1">IFERROR(_xlfn.IFS(OR(F1726="",LEFT(Methode_Keuze,4)="Geen",Methode_Keuze=""),"",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17" t="str" cm="1">
        <f t="array" aca="1" ref="X1726" ca="1">IFERROR(_xlfn.IFS(OR(F1726="",LEFT(Methode_Keuze,4)="Geen",Methode_Keuze=""),"",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26"/>
      <c r="Z1726" s="319"/>
      <c r="AA1726" s="32" t="str" cm="1">
        <f t="array" ref="AA1726">IFERROR(IF(INDEX(SubsidieTabel!$AD$1:$AG$12,MATCH($F1726,SubsidieTabel!$AD$1:$AD$12,0),IFERROR(MATCH(Methode_Keuze,SubsidieTabel!$AD$1:$AG$1,0),2))&lt;&gt;1=TRUE,"ja",""),"")</f>
        <v/>
      </c>
    </row>
    <row r="1727" spans="1:27" x14ac:dyDescent="0.25">
      <c r="A1727" s="320"/>
      <c r="B1727" s="321" t="str">
        <f>IF(A1727&lt;&gt;"",_xlfn.MAXIFS($B$1:B1726,$A$1:A1726,A1727)+1,"")</f>
        <v/>
      </c>
      <c r="C1727" s="299"/>
      <c r="D1727" s="299"/>
      <c r="E1727" s="299"/>
      <c r="F1727" s="299"/>
      <c r="G1727" s="330"/>
      <c r="H1727" s="328"/>
      <c r="I1727" s="329"/>
      <c r="J1727" s="329"/>
      <c r="K1727" s="322"/>
      <c r="L1727" s="322"/>
      <c r="M1727" s="323" t="str">
        <f>IFERROR(VLOOKUP(H1727,Lijsten!$H$1:$I$100,2,0),"")</f>
        <v/>
      </c>
      <c r="N1727" s="323" t="str">
        <f ca="1">IFERROR(IF(VLOOKUP(F1727,Kostentypen!$A$3:$E$21,3,0)=0,"",IF(OR(F1727="Arbeidskosten",F1727="Vergoeding"),VLOOKUP(G1727,Tb_KostenTypen[],2,0),VLOOKUP(F1727,Kostentypen!$A$3:$E$20,3,0))),"")</f>
        <v/>
      </c>
      <c r="O1727" s="324"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4"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3"/>
      <c r="R1727" s="363"/>
      <c r="S1727" s="325"/>
      <c r="T1727" s="325"/>
      <c r="U1727" s="317" t="str" cm="1">
        <f t="array" aca="1" ref="U1727" ca="1">IFERROR(IF(AA1727&lt;&gt;"ja",_xlfn.IFNA(_xlfn.IFS(AND(O1727&lt;&gt;"",F1727&lt;&gt;"",RIGHT($N1727,6)="tarief",F1727="Vergoeding"),SUM(O1727)*FLOOR(SUM(Q1727),0.0001),AND(O1727&lt;&gt;"",F1727&lt;&gt;"",RIGHT($N1727,6)="tarief"),SUM(O1727)*FLOOR(SUM(Q1727),0.01),S1727&gt;0,IF(F1727&lt;&gt;"",FLOOR(SUM(S1727),0.01),"")),""),""),"")</f>
        <v/>
      </c>
      <c r="V1727" s="317" t="str" cm="1">
        <f t="array" aca="1" ref="V1727" ca="1">IFERROR(IF(AA1727&lt;&gt;"ja",_xlfn.IFNA(_xlfn.IFS(AND(P1727&lt;&gt;"",R1727&lt;&gt;"",RIGHT($N1727,6)="tarief",F1727="Vergoeding"),SUM(P1727)*FLOOR(SUM(R1727),0.0001),AND(P1727&lt;&gt;"",R1727&lt;&gt;"",RIGHT($N1727,6)="tarief"),P1727*FLOOR(R1727,0.01),T1727&gt;0,FLOOR(SUM(T1727),0.01)),""),""),"")</f>
        <v/>
      </c>
      <c r="W1727" s="317" t="str" cm="1">
        <f t="array" aca="1" ref="W1727" ca="1">IFERROR(_xlfn.IFS(OR(F1727="",LEFT(Methode_Keuze,4)="Geen",Methode_Keuze=""),"",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17" t="str" cm="1">
        <f t="array" aca="1" ref="X1727" ca="1">IFERROR(_xlfn.IFS(OR(F1727="",LEFT(Methode_Keuze,4)="Geen",Methode_Keuze=""),"",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26"/>
      <c r="Z1727" s="319"/>
      <c r="AA1727" s="32" t="str" cm="1">
        <f t="array" ref="AA1727">IFERROR(IF(INDEX(SubsidieTabel!$AD$1:$AG$12,MATCH($F1727,SubsidieTabel!$AD$1:$AD$12,0),IFERROR(MATCH(Methode_Keuze,SubsidieTabel!$AD$1:$AG$1,0),2))&lt;&gt;1=TRUE,"ja",""),"")</f>
        <v/>
      </c>
    </row>
    <row r="1728" spans="1:27" x14ac:dyDescent="0.25">
      <c r="A1728" s="320"/>
      <c r="B1728" s="321" t="str">
        <f>IF(A1728&lt;&gt;"",_xlfn.MAXIFS($B$1:B1727,$A$1:A1727,A1728)+1,"")</f>
        <v/>
      </c>
      <c r="C1728" s="299"/>
      <c r="D1728" s="299"/>
      <c r="E1728" s="299"/>
      <c r="F1728" s="299"/>
      <c r="G1728" s="330"/>
      <c r="H1728" s="328"/>
      <c r="I1728" s="329"/>
      <c r="J1728" s="329"/>
      <c r="K1728" s="322"/>
      <c r="L1728" s="322"/>
      <c r="M1728" s="323" t="str">
        <f>IFERROR(VLOOKUP(H1728,Lijsten!$H$1:$I$100,2,0),"")</f>
        <v/>
      </c>
      <c r="N1728" s="323" t="str">
        <f ca="1">IFERROR(IF(VLOOKUP(F1728,Kostentypen!$A$3:$E$21,3,0)=0,"",IF(OR(F1728="Arbeidskosten",F1728="Vergoeding"),VLOOKUP(G1728,Tb_KostenTypen[],2,0),VLOOKUP(F1728,Kostentypen!$A$3:$E$20,3,0))),"")</f>
        <v/>
      </c>
      <c r="O1728" s="324"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4"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3"/>
      <c r="R1728" s="363"/>
      <c r="S1728" s="325"/>
      <c r="T1728" s="325"/>
      <c r="U1728" s="317" t="str" cm="1">
        <f t="array" aca="1" ref="U1728" ca="1">IFERROR(IF(AA1728&lt;&gt;"ja",_xlfn.IFNA(_xlfn.IFS(AND(O1728&lt;&gt;"",F1728&lt;&gt;"",RIGHT($N1728,6)="tarief",F1728="Vergoeding"),SUM(O1728)*FLOOR(SUM(Q1728),0.0001),AND(O1728&lt;&gt;"",F1728&lt;&gt;"",RIGHT($N1728,6)="tarief"),SUM(O1728)*FLOOR(SUM(Q1728),0.01),S1728&gt;0,IF(F1728&lt;&gt;"",FLOOR(SUM(S1728),0.01),"")),""),""),"")</f>
        <v/>
      </c>
      <c r="V1728" s="317" t="str" cm="1">
        <f t="array" aca="1" ref="V1728" ca="1">IFERROR(IF(AA1728&lt;&gt;"ja",_xlfn.IFNA(_xlfn.IFS(AND(P1728&lt;&gt;"",R1728&lt;&gt;"",RIGHT($N1728,6)="tarief",F1728="Vergoeding"),SUM(P1728)*FLOOR(SUM(R1728),0.0001),AND(P1728&lt;&gt;"",R1728&lt;&gt;"",RIGHT($N1728,6)="tarief"),P1728*FLOOR(R1728,0.01),T1728&gt;0,FLOOR(SUM(T1728),0.01)),""),""),"")</f>
        <v/>
      </c>
      <c r="W1728" s="317" t="str" cm="1">
        <f t="array" aca="1" ref="W1728" ca="1">IFERROR(_xlfn.IFS(OR(F1728="",LEFT(Methode_Keuze,4)="Geen",Methode_Keuze=""),"",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17" t="str" cm="1">
        <f t="array" aca="1" ref="X1728" ca="1">IFERROR(_xlfn.IFS(OR(F1728="",LEFT(Methode_Keuze,4)="Geen",Methode_Keuze=""),"",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26"/>
      <c r="Z1728" s="319"/>
      <c r="AA1728" s="32" t="str" cm="1">
        <f t="array" ref="AA1728">IFERROR(IF(INDEX(SubsidieTabel!$AD$1:$AG$12,MATCH($F1728,SubsidieTabel!$AD$1:$AD$12,0),IFERROR(MATCH(Methode_Keuze,SubsidieTabel!$AD$1:$AG$1,0),2))&lt;&gt;1=TRUE,"ja",""),"")</f>
        <v/>
      </c>
    </row>
    <row r="1729" spans="1:27" x14ac:dyDescent="0.25">
      <c r="A1729" s="320"/>
      <c r="B1729" s="321" t="str">
        <f>IF(A1729&lt;&gt;"",_xlfn.MAXIFS($B$1:B1728,$A$1:A1728,A1729)+1,"")</f>
        <v/>
      </c>
      <c r="C1729" s="299"/>
      <c r="D1729" s="299"/>
      <c r="E1729" s="299"/>
      <c r="F1729" s="299"/>
      <c r="G1729" s="330"/>
      <c r="H1729" s="328"/>
      <c r="I1729" s="329"/>
      <c r="J1729" s="329"/>
      <c r="K1729" s="322"/>
      <c r="L1729" s="322"/>
      <c r="M1729" s="323" t="str">
        <f>IFERROR(VLOOKUP(H1729,Lijsten!$H$1:$I$100,2,0),"")</f>
        <v/>
      </c>
      <c r="N1729" s="323" t="str">
        <f ca="1">IFERROR(IF(VLOOKUP(F1729,Kostentypen!$A$3:$E$21,3,0)=0,"",IF(OR(F1729="Arbeidskosten",F1729="Vergoeding"),VLOOKUP(G1729,Tb_KostenTypen[],2,0),VLOOKUP(F1729,Kostentypen!$A$3:$E$20,3,0))),"")</f>
        <v/>
      </c>
      <c r="O1729" s="324"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4"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3"/>
      <c r="R1729" s="363"/>
      <c r="S1729" s="325"/>
      <c r="T1729" s="325"/>
      <c r="U1729" s="317" t="str" cm="1">
        <f t="array" aca="1" ref="U1729" ca="1">IFERROR(IF(AA1729&lt;&gt;"ja",_xlfn.IFNA(_xlfn.IFS(AND(O1729&lt;&gt;"",F1729&lt;&gt;"",RIGHT($N1729,6)="tarief",F1729="Vergoeding"),SUM(O1729)*FLOOR(SUM(Q1729),0.0001),AND(O1729&lt;&gt;"",F1729&lt;&gt;"",RIGHT($N1729,6)="tarief"),SUM(O1729)*FLOOR(SUM(Q1729),0.01),S1729&gt;0,IF(F1729&lt;&gt;"",FLOOR(SUM(S1729),0.01),"")),""),""),"")</f>
        <v/>
      </c>
      <c r="V1729" s="317" t="str" cm="1">
        <f t="array" aca="1" ref="V1729" ca="1">IFERROR(IF(AA1729&lt;&gt;"ja",_xlfn.IFNA(_xlfn.IFS(AND(P1729&lt;&gt;"",R1729&lt;&gt;"",RIGHT($N1729,6)="tarief",F1729="Vergoeding"),SUM(P1729)*FLOOR(SUM(R1729),0.0001),AND(P1729&lt;&gt;"",R1729&lt;&gt;"",RIGHT($N1729,6)="tarief"),P1729*FLOOR(R1729,0.01),T1729&gt;0,FLOOR(SUM(T1729),0.01)),""),""),"")</f>
        <v/>
      </c>
      <c r="W1729" s="317" t="str" cm="1">
        <f t="array" aca="1" ref="W1729" ca="1">IFERROR(_xlfn.IFS(OR(F1729="",LEFT(Methode_Keuze,4)="Geen",Methode_Keuze=""),"",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17" t="str" cm="1">
        <f t="array" aca="1" ref="X1729" ca="1">IFERROR(_xlfn.IFS(OR(F1729="",LEFT(Methode_Keuze,4)="Geen",Methode_Keuze=""),"",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26"/>
      <c r="Z1729" s="319"/>
      <c r="AA1729" s="32" t="str" cm="1">
        <f t="array" ref="AA1729">IFERROR(IF(INDEX(SubsidieTabel!$AD$1:$AG$12,MATCH($F1729,SubsidieTabel!$AD$1:$AD$12,0),IFERROR(MATCH(Methode_Keuze,SubsidieTabel!$AD$1:$AG$1,0),2))&lt;&gt;1=TRUE,"ja",""),"")</f>
        <v/>
      </c>
    </row>
    <row r="1730" spans="1:27" x14ac:dyDescent="0.25">
      <c r="A1730" s="320"/>
      <c r="B1730" s="321" t="str">
        <f>IF(A1730&lt;&gt;"",_xlfn.MAXIFS($B$1:B1729,$A$1:A1729,A1730)+1,"")</f>
        <v/>
      </c>
      <c r="C1730" s="299"/>
      <c r="D1730" s="299"/>
      <c r="E1730" s="299"/>
      <c r="F1730" s="299"/>
      <c r="G1730" s="330"/>
      <c r="H1730" s="328"/>
      <c r="I1730" s="329"/>
      <c r="J1730" s="329"/>
      <c r="K1730" s="322"/>
      <c r="L1730" s="322"/>
      <c r="M1730" s="323" t="str">
        <f>IFERROR(VLOOKUP(H1730,Lijsten!$H$1:$I$100,2,0),"")</f>
        <v/>
      </c>
      <c r="N1730" s="323" t="str">
        <f ca="1">IFERROR(IF(VLOOKUP(F1730,Kostentypen!$A$3:$E$21,3,0)=0,"",IF(OR(F1730="Arbeidskosten",F1730="Vergoeding"),VLOOKUP(G1730,Tb_KostenTypen[],2,0),VLOOKUP(F1730,Kostentypen!$A$3:$E$20,3,0))),"")</f>
        <v/>
      </c>
      <c r="O1730" s="324"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4"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3"/>
      <c r="R1730" s="363"/>
      <c r="S1730" s="325"/>
      <c r="T1730" s="325"/>
      <c r="U1730" s="317" t="str" cm="1">
        <f t="array" aca="1" ref="U1730" ca="1">IFERROR(IF(AA1730&lt;&gt;"ja",_xlfn.IFNA(_xlfn.IFS(AND(O1730&lt;&gt;"",F1730&lt;&gt;"",RIGHT($N1730,6)="tarief",F1730="Vergoeding"),SUM(O1730)*FLOOR(SUM(Q1730),0.0001),AND(O1730&lt;&gt;"",F1730&lt;&gt;"",RIGHT($N1730,6)="tarief"),SUM(O1730)*FLOOR(SUM(Q1730),0.01),S1730&gt;0,IF(F1730&lt;&gt;"",FLOOR(SUM(S1730),0.01),"")),""),""),"")</f>
        <v/>
      </c>
      <c r="V1730" s="317" t="str" cm="1">
        <f t="array" aca="1" ref="V1730" ca="1">IFERROR(IF(AA1730&lt;&gt;"ja",_xlfn.IFNA(_xlfn.IFS(AND(P1730&lt;&gt;"",R1730&lt;&gt;"",RIGHT($N1730,6)="tarief",F1730="Vergoeding"),SUM(P1730)*FLOOR(SUM(R1730),0.0001),AND(P1730&lt;&gt;"",R1730&lt;&gt;"",RIGHT($N1730,6)="tarief"),P1730*FLOOR(R1730,0.01),T1730&gt;0,FLOOR(SUM(T1730),0.01)),""),""),"")</f>
        <v/>
      </c>
      <c r="W1730" s="317" t="str" cm="1">
        <f t="array" aca="1" ref="W1730" ca="1">IFERROR(_xlfn.IFS(OR(F1730="",LEFT(Methode_Keuze,4)="Geen",Methode_Keuze=""),"",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17" t="str" cm="1">
        <f t="array" aca="1" ref="X1730" ca="1">IFERROR(_xlfn.IFS(OR(F1730="",LEFT(Methode_Keuze,4)="Geen",Methode_Keuze=""),"",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26"/>
      <c r="Z1730" s="319"/>
      <c r="AA1730" s="32" t="str" cm="1">
        <f t="array" ref="AA1730">IFERROR(IF(INDEX(SubsidieTabel!$AD$1:$AG$12,MATCH($F1730,SubsidieTabel!$AD$1:$AD$12,0),IFERROR(MATCH(Methode_Keuze,SubsidieTabel!$AD$1:$AG$1,0),2))&lt;&gt;1=TRUE,"ja",""),"")</f>
        <v/>
      </c>
    </row>
    <row r="1731" spans="1:27" x14ac:dyDescent="0.25">
      <c r="A1731" s="320"/>
      <c r="B1731" s="321" t="str">
        <f>IF(A1731&lt;&gt;"",_xlfn.MAXIFS($B$1:B1730,$A$1:A1730,A1731)+1,"")</f>
        <v/>
      </c>
      <c r="C1731" s="299"/>
      <c r="D1731" s="299"/>
      <c r="E1731" s="299"/>
      <c r="F1731" s="299"/>
      <c r="G1731" s="330"/>
      <c r="H1731" s="328"/>
      <c r="I1731" s="329"/>
      <c r="J1731" s="329"/>
      <c r="K1731" s="322"/>
      <c r="L1731" s="322"/>
      <c r="M1731" s="323" t="str">
        <f>IFERROR(VLOOKUP(H1731,Lijsten!$H$1:$I$100,2,0),"")</f>
        <v/>
      </c>
      <c r="N1731" s="323" t="str">
        <f ca="1">IFERROR(IF(VLOOKUP(F1731,Kostentypen!$A$3:$E$21,3,0)=0,"",IF(OR(F1731="Arbeidskosten",F1731="Vergoeding"),VLOOKUP(G1731,Tb_KostenTypen[],2,0),VLOOKUP(F1731,Kostentypen!$A$3:$E$20,3,0))),"")</f>
        <v/>
      </c>
      <c r="O1731" s="324"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4"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3"/>
      <c r="R1731" s="363"/>
      <c r="S1731" s="325"/>
      <c r="T1731" s="325"/>
      <c r="U1731" s="317" t="str" cm="1">
        <f t="array" aca="1" ref="U1731" ca="1">IFERROR(IF(AA1731&lt;&gt;"ja",_xlfn.IFNA(_xlfn.IFS(AND(O1731&lt;&gt;"",F1731&lt;&gt;"",RIGHT($N1731,6)="tarief",F1731="Vergoeding"),SUM(O1731)*FLOOR(SUM(Q1731),0.0001),AND(O1731&lt;&gt;"",F1731&lt;&gt;"",RIGHT($N1731,6)="tarief"),SUM(O1731)*FLOOR(SUM(Q1731),0.01),S1731&gt;0,IF(F1731&lt;&gt;"",FLOOR(SUM(S1731),0.01),"")),""),""),"")</f>
        <v/>
      </c>
      <c r="V1731" s="317" t="str" cm="1">
        <f t="array" aca="1" ref="V1731" ca="1">IFERROR(IF(AA1731&lt;&gt;"ja",_xlfn.IFNA(_xlfn.IFS(AND(P1731&lt;&gt;"",R1731&lt;&gt;"",RIGHT($N1731,6)="tarief",F1731="Vergoeding"),SUM(P1731)*FLOOR(SUM(R1731),0.0001),AND(P1731&lt;&gt;"",R1731&lt;&gt;"",RIGHT($N1731,6)="tarief"),P1731*FLOOR(R1731,0.01),T1731&gt;0,FLOOR(SUM(T1731),0.01)),""),""),"")</f>
        <v/>
      </c>
      <c r="W1731" s="317" t="str" cm="1">
        <f t="array" aca="1" ref="W1731" ca="1">IFERROR(_xlfn.IFS(OR(F1731="",LEFT(Methode_Keuze,4)="Geen",Methode_Keuze=""),"",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17" t="str" cm="1">
        <f t="array" aca="1" ref="X1731" ca="1">IFERROR(_xlfn.IFS(OR(F1731="",LEFT(Methode_Keuze,4)="Geen",Methode_Keuze=""),"",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26"/>
      <c r="Z1731" s="319"/>
      <c r="AA1731" s="32" t="str" cm="1">
        <f t="array" ref="AA1731">IFERROR(IF(INDEX(SubsidieTabel!$AD$1:$AG$12,MATCH($F1731,SubsidieTabel!$AD$1:$AD$12,0),IFERROR(MATCH(Methode_Keuze,SubsidieTabel!$AD$1:$AG$1,0),2))&lt;&gt;1=TRUE,"ja",""),"")</f>
        <v/>
      </c>
    </row>
    <row r="1732" spans="1:27" x14ac:dyDescent="0.25">
      <c r="A1732" s="320"/>
      <c r="B1732" s="321" t="str">
        <f>IF(A1732&lt;&gt;"",_xlfn.MAXIFS($B$1:B1731,$A$1:A1731,A1732)+1,"")</f>
        <v/>
      </c>
      <c r="C1732" s="299"/>
      <c r="D1732" s="299"/>
      <c r="E1732" s="299"/>
      <c r="F1732" s="299"/>
      <c r="G1732" s="330"/>
      <c r="H1732" s="328"/>
      <c r="I1732" s="329"/>
      <c r="J1732" s="329"/>
      <c r="K1732" s="322"/>
      <c r="L1732" s="322"/>
      <c r="M1732" s="323" t="str">
        <f>IFERROR(VLOOKUP(H1732,Lijsten!$H$1:$I$100,2,0),"")</f>
        <v/>
      </c>
      <c r="N1732" s="323" t="str">
        <f ca="1">IFERROR(IF(VLOOKUP(F1732,Kostentypen!$A$3:$E$21,3,0)=0,"",IF(OR(F1732="Arbeidskosten",F1732="Vergoeding"),VLOOKUP(G1732,Tb_KostenTypen[],2,0),VLOOKUP(F1732,Kostentypen!$A$3:$E$20,3,0))),"")</f>
        <v/>
      </c>
      <c r="O1732" s="324"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4"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3"/>
      <c r="R1732" s="363"/>
      <c r="S1732" s="325"/>
      <c r="T1732" s="325"/>
      <c r="U1732" s="317" t="str" cm="1">
        <f t="array" aca="1" ref="U1732" ca="1">IFERROR(IF(AA1732&lt;&gt;"ja",_xlfn.IFNA(_xlfn.IFS(AND(O1732&lt;&gt;"",F1732&lt;&gt;"",RIGHT($N1732,6)="tarief",F1732="Vergoeding"),SUM(O1732)*FLOOR(SUM(Q1732),0.0001),AND(O1732&lt;&gt;"",F1732&lt;&gt;"",RIGHT($N1732,6)="tarief"),SUM(O1732)*FLOOR(SUM(Q1732),0.01),S1732&gt;0,IF(F1732&lt;&gt;"",FLOOR(SUM(S1732),0.01),"")),""),""),"")</f>
        <v/>
      </c>
      <c r="V1732" s="317" t="str" cm="1">
        <f t="array" aca="1" ref="V1732" ca="1">IFERROR(IF(AA1732&lt;&gt;"ja",_xlfn.IFNA(_xlfn.IFS(AND(P1732&lt;&gt;"",R1732&lt;&gt;"",RIGHT($N1732,6)="tarief",F1732="Vergoeding"),SUM(P1732)*FLOOR(SUM(R1732),0.0001),AND(P1732&lt;&gt;"",R1732&lt;&gt;"",RIGHT($N1732,6)="tarief"),P1732*FLOOR(R1732,0.01),T1732&gt;0,FLOOR(SUM(T1732),0.01)),""),""),"")</f>
        <v/>
      </c>
      <c r="W1732" s="317" t="str" cm="1">
        <f t="array" aca="1" ref="W1732" ca="1">IFERROR(_xlfn.IFS(OR(F1732="",LEFT(Methode_Keuze,4)="Geen",Methode_Keuze=""),"",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17" t="str" cm="1">
        <f t="array" aca="1" ref="X1732" ca="1">IFERROR(_xlfn.IFS(OR(F1732="",LEFT(Methode_Keuze,4)="Geen",Methode_Keuze=""),"",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26"/>
      <c r="Z1732" s="319"/>
      <c r="AA1732" s="32" t="str" cm="1">
        <f t="array" ref="AA1732">IFERROR(IF(INDEX(SubsidieTabel!$AD$1:$AG$12,MATCH($F1732,SubsidieTabel!$AD$1:$AD$12,0),IFERROR(MATCH(Methode_Keuze,SubsidieTabel!$AD$1:$AG$1,0),2))&lt;&gt;1=TRUE,"ja",""),"")</f>
        <v/>
      </c>
    </row>
    <row r="1733" spans="1:27" x14ac:dyDescent="0.25">
      <c r="A1733" s="320"/>
      <c r="B1733" s="321" t="str">
        <f>IF(A1733&lt;&gt;"",_xlfn.MAXIFS($B$1:B1732,$A$1:A1732,A1733)+1,"")</f>
        <v/>
      </c>
      <c r="C1733" s="299"/>
      <c r="D1733" s="299"/>
      <c r="E1733" s="299"/>
      <c r="F1733" s="299"/>
      <c r="G1733" s="330"/>
      <c r="H1733" s="328"/>
      <c r="I1733" s="329"/>
      <c r="J1733" s="329"/>
      <c r="K1733" s="322"/>
      <c r="L1733" s="322"/>
      <c r="M1733" s="323" t="str">
        <f>IFERROR(VLOOKUP(H1733,Lijsten!$H$1:$I$100,2,0),"")</f>
        <v/>
      </c>
      <c r="N1733" s="323" t="str">
        <f ca="1">IFERROR(IF(VLOOKUP(F1733,Kostentypen!$A$3:$E$21,3,0)=0,"",IF(OR(F1733="Arbeidskosten",F1733="Vergoeding"),VLOOKUP(G1733,Tb_KostenTypen[],2,0),VLOOKUP(F1733,Kostentypen!$A$3:$E$20,3,0))),"")</f>
        <v/>
      </c>
      <c r="O1733" s="324"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4"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3"/>
      <c r="R1733" s="363"/>
      <c r="S1733" s="325"/>
      <c r="T1733" s="325"/>
      <c r="U1733" s="317" t="str" cm="1">
        <f t="array" aca="1" ref="U1733" ca="1">IFERROR(IF(AA1733&lt;&gt;"ja",_xlfn.IFNA(_xlfn.IFS(AND(O1733&lt;&gt;"",F1733&lt;&gt;"",RIGHT($N1733,6)="tarief",F1733="Vergoeding"),SUM(O1733)*FLOOR(SUM(Q1733),0.0001),AND(O1733&lt;&gt;"",F1733&lt;&gt;"",RIGHT($N1733,6)="tarief"),SUM(O1733)*FLOOR(SUM(Q1733),0.01),S1733&gt;0,IF(F1733&lt;&gt;"",FLOOR(SUM(S1733),0.01),"")),""),""),"")</f>
        <v/>
      </c>
      <c r="V1733" s="317" t="str" cm="1">
        <f t="array" aca="1" ref="V1733" ca="1">IFERROR(IF(AA1733&lt;&gt;"ja",_xlfn.IFNA(_xlfn.IFS(AND(P1733&lt;&gt;"",R1733&lt;&gt;"",RIGHT($N1733,6)="tarief",F1733="Vergoeding"),SUM(P1733)*FLOOR(SUM(R1733),0.0001),AND(P1733&lt;&gt;"",R1733&lt;&gt;"",RIGHT($N1733,6)="tarief"),P1733*FLOOR(R1733,0.01),T1733&gt;0,FLOOR(SUM(T1733),0.01)),""),""),"")</f>
        <v/>
      </c>
      <c r="W1733" s="317" t="str" cm="1">
        <f t="array" aca="1" ref="W1733" ca="1">IFERROR(_xlfn.IFS(OR(F1733="",LEFT(Methode_Keuze,4)="Geen",Methode_Keuze=""),"",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17" t="str" cm="1">
        <f t="array" aca="1" ref="X1733" ca="1">IFERROR(_xlfn.IFS(OR(F1733="",LEFT(Methode_Keuze,4)="Geen",Methode_Keuze=""),"",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26"/>
      <c r="Z1733" s="319"/>
      <c r="AA1733" s="32" t="str" cm="1">
        <f t="array" ref="AA1733">IFERROR(IF(INDEX(SubsidieTabel!$AD$1:$AG$12,MATCH($F1733,SubsidieTabel!$AD$1:$AD$12,0),IFERROR(MATCH(Methode_Keuze,SubsidieTabel!$AD$1:$AG$1,0),2))&lt;&gt;1=TRUE,"ja",""),"")</f>
        <v/>
      </c>
    </row>
    <row r="1734" spans="1:27" x14ac:dyDescent="0.25">
      <c r="A1734" s="320"/>
      <c r="B1734" s="321" t="str">
        <f>IF(A1734&lt;&gt;"",_xlfn.MAXIFS($B$1:B1733,$A$1:A1733,A1734)+1,"")</f>
        <v/>
      </c>
      <c r="C1734" s="299"/>
      <c r="D1734" s="299"/>
      <c r="E1734" s="299"/>
      <c r="F1734" s="299"/>
      <c r="G1734" s="330"/>
      <c r="H1734" s="328"/>
      <c r="I1734" s="329"/>
      <c r="J1734" s="329"/>
      <c r="K1734" s="322"/>
      <c r="L1734" s="322"/>
      <c r="M1734" s="323" t="str">
        <f>IFERROR(VLOOKUP(H1734,Lijsten!$H$1:$I$100,2,0),"")</f>
        <v/>
      </c>
      <c r="N1734" s="323" t="str">
        <f ca="1">IFERROR(IF(VLOOKUP(F1734,Kostentypen!$A$3:$E$21,3,0)=0,"",IF(OR(F1734="Arbeidskosten",F1734="Vergoeding"),VLOOKUP(G1734,Tb_KostenTypen[],2,0),VLOOKUP(F1734,Kostentypen!$A$3:$E$20,3,0))),"")</f>
        <v/>
      </c>
      <c r="O1734" s="324"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4"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3"/>
      <c r="R1734" s="363"/>
      <c r="S1734" s="325"/>
      <c r="T1734" s="325"/>
      <c r="U1734" s="317" t="str" cm="1">
        <f t="array" aca="1" ref="U1734" ca="1">IFERROR(IF(AA1734&lt;&gt;"ja",_xlfn.IFNA(_xlfn.IFS(AND(O1734&lt;&gt;"",F1734&lt;&gt;"",RIGHT($N1734,6)="tarief",F1734="Vergoeding"),SUM(O1734)*FLOOR(SUM(Q1734),0.0001),AND(O1734&lt;&gt;"",F1734&lt;&gt;"",RIGHT($N1734,6)="tarief"),SUM(O1734)*FLOOR(SUM(Q1734),0.01),S1734&gt;0,IF(F1734&lt;&gt;"",FLOOR(SUM(S1734),0.01),"")),""),""),"")</f>
        <v/>
      </c>
      <c r="V1734" s="317" t="str" cm="1">
        <f t="array" aca="1" ref="V1734" ca="1">IFERROR(IF(AA1734&lt;&gt;"ja",_xlfn.IFNA(_xlfn.IFS(AND(P1734&lt;&gt;"",R1734&lt;&gt;"",RIGHT($N1734,6)="tarief",F1734="Vergoeding"),SUM(P1734)*FLOOR(SUM(R1734),0.0001),AND(P1734&lt;&gt;"",R1734&lt;&gt;"",RIGHT($N1734,6)="tarief"),P1734*FLOOR(R1734,0.01),T1734&gt;0,FLOOR(SUM(T1734),0.01)),""),""),"")</f>
        <v/>
      </c>
      <c r="W1734" s="317" t="str" cm="1">
        <f t="array" aca="1" ref="W1734" ca="1">IFERROR(_xlfn.IFS(OR(F1734="",LEFT(Methode_Keuze,4)="Geen",Methode_Keuze=""),"",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17" t="str" cm="1">
        <f t="array" aca="1" ref="X1734" ca="1">IFERROR(_xlfn.IFS(OR(F1734="",LEFT(Methode_Keuze,4)="Geen",Methode_Keuze=""),"",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26"/>
      <c r="Z1734" s="319"/>
      <c r="AA1734" s="32" t="str" cm="1">
        <f t="array" ref="AA1734">IFERROR(IF(INDEX(SubsidieTabel!$AD$1:$AG$12,MATCH($F1734,SubsidieTabel!$AD$1:$AD$12,0),IFERROR(MATCH(Methode_Keuze,SubsidieTabel!$AD$1:$AG$1,0),2))&lt;&gt;1=TRUE,"ja",""),"")</f>
        <v/>
      </c>
    </row>
    <row r="1735" spans="1:27" x14ac:dyDescent="0.25">
      <c r="A1735" s="320"/>
      <c r="B1735" s="321" t="str">
        <f>IF(A1735&lt;&gt;"",_xlfn.MAXIFS($B$1:B1734,$A$1:A1734,A1735)+1,"")</f>
        <v/>
      </c>
      <c r="C1735" s="299"/>
      <c r="D1735" s="299"/>
      <c r="E1735" s="299"/>
      <c r="F1735" s="299"/>
      <c r="G1735" s="330"/>
      <c r="H1735" s="328"/>
      <c r="I1735" s="329"/>
      <c r="J1735" s="329"/>
      <c r="K1735" s="322"/>
      <c r="L1735" s="322"/>
      <c r="M1735" s="323" t="str">
        <f>IFERROR(VLOOKUP(H1735,Lijsten!$H$1:$I$100,2,0),"")</f>
        <v/>
      </c>
      <c r="N1735" s="323" t="str">
        <f ca="1">IFERROR(IF(VLOOKUP(F1735,Kostentypen!$A$3:$E$21,3,0)=0,"",IF(OR(F1735="Arbeidskosten",F1735="Vergoeding"),VLOOKUP(G1735,Tb_KostenTypen[],2,0),VLOOKUP(F1735,Kostentypen!$A$3:$E$20,3,0))),"")</f>
        <v/>
      </c>
      <c r="O1735" s="324"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4"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3"/>
      <c r="R1735" s="363"/>
      <c r="S1735" s="325"/>
      <c r="T1735" s="325"/>
      <c r="U1735" s="317" t="str" cm="1">
        <f t="array" aca="1" ref="U1735" ca="1">IFERROR(IF(AA1735&lt;&gt;"ja",_xlfn.IFNA(_xlfn.IFS(AND(O1735&lt;&gt;"",F1735&lt;&gt;"",RIGHT($N1735,6)="tarief",F1735="Vergoeding"),SUM(O1735)*FLOOR(SUM(Q1735),0.0001),AND(O1735&lt;&gt;"",F1735&lt;&gt;"",RIGHT($N1735,6)="tarief"),SUM(O1735)*FLOOR(SUM(Q1735),0.01),S1735&gt;0,IF(F1735&lt;&gt;"",FLOOR(SUM(S1735),0.01),"")),""),""),"")</f>
        <v/>
      </c>
      <c r="V1735" s="317" t="str" cm="1">
        <f t="array" aca="1" ref="V1735" ca="1">IFERROR(IF(AA1735&lt;&gt;"ja",_xlfn.IFNA(_xlfn.IFS(AND(P1735&lt;&gt;"",R1735&lt;&gt;"",RIGHT($N1735,6)="tarief",F1735="Vergoeding"),SUM(P1735)*FLOOR(SUM(R1735),0.0001),AND(P1735&lt;&gt;"",R1735&lt;&gt;"",RIGHT($N1735,6)="tarief"),P1735*FLOOR(R1735,0.01),T1735&gt;0,FLOOR(SUM(T1735),0.01)),""),""),"")</f>
        <v/>
      </c>
      <c r="W1735" s="317" t="str" cm="1">
        <f t="array" aca="1" ref="W1735" ca="1">IFERROR(_xlfn.IFS(OR(F1735="",LEFT(Methode_Keuze,4)="Geen",Methode_Keuze=""),"",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17" t="str" cm="1">
        <f t="array" aca="1" ref="X1735" ca="1">IFERROR(_xlfn.IFS(OR(F1735="",LEFT(Methode_Keuze,4)="Geen",Methode_Keuze=""),"",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26"/>
      <c r="Z1735" s="319"/>
      <c r="AA1735" s="32" t="str" cm="1">
        <f t="array" ref="AA1735">IFERROR(IF(INDEX(SubsidieTabel!$AD$1:$AG$12,MATCH($F1735,SubsidieTabel!$AD$1:$AD$12,0),IFERROR(MATCH(Methode_Keuze,SubsidieTabel!$AD$1:$AG$1,0),2))&lt;&gt;1=TRUE,"ja",""),"")</f>
        <v/>
      </c>
    </row>
    <row r="1736" spans="1:27" x14ac:dyDescent="0.25">
      <c r="A1736" s="320"/>
      <c r="B1736" s="321" t="str">
        <f>IF(A1736&lt;&gt;"",_xlfn.MAXIFS($B$1:B1735,$A$1:A1735,A1736)+1,"")</f>
        <v/>
      </c>
      <c r="C1736" s="299"/>
      <c r="D1736" s="299"/>
      <c r="E1736" s="299"/>
      <c r="F1736" s="299"/>
      <c r="G1736" s="330"/>
      <c r="H1736" s="328"/>
      <c r="I1736" s="329"/>
      <c r="J1736" s="329"/>
      <c r="K1736" s="322"/>
      <c r="L1736" s="322"/>
      <c r="M1736" s="323" t="str">
        <f>IFERROR(VLOOKUP(H1736,Lijsten!$H$1:$I$100,2,0),"")</f>
        <v/>
      </c>
      <c r="N1736" s="323" t="str">
        <f ca="1">IFERROR(IF(VLOOKUP(F1736,Kostentypen!$A$3:$E$21,3,0)=0,"",IF(OR(F1736="Arbeidskosten",F1736="Vergoeding"),VLOOKUP(G1736,Tb_KostenTypen[],2,0),VLOOKUP(F1736,Kostentypen!$A$3:$E$20,3,0))),"")</f>
        <v/>
      </c>
      <c r="O1736" s="324"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4"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3"/>
      <c r="R1736" s="363"/>
      <c r="S1736" s="325"/>
      <c r="T1736" s="325"/>
      <c r="U1736" s="317" t="str" cm="1">
        <f t="array" aca="1" ref="U1736" ca="1">IFERROR(IF(AA1736&lt;&gt;"ja",_xlfn.IFNA(_xlfn.IFS(AND(O1736&lt;&gt;"",F1736&lt;&gt;"",RIGHT($N1736,6)="tarief",F1736="Vergoeding"),SUM(O1736)*FLOOR(SUM(Q1736),0.0001),AND(O1736&lt;&gt;"",F1736&lt;&gt;"",RIGHT($N1736,6)="tarief"),SUM(O1736)*FLOOR(SUM(Q1736),0.01),S1736&gt;0,IF(F1736&lt;&gt;"",FLOOR(SUM(S1736),0.01),"")),""),""),"")</f>
        <v/>
      </c>
      <c r="V1736" s="317" t="str" cm="1">
        <f t="array" aca="1" ref="V1736" ca="1">IFERROR(IF(AA1736&lt;&gt;"ja",_xlfn.IFNA(_xlfn.IFS(AND(P1736&lt;&gt;"",R1736&lt;&gt;"",RIGHT($N1736,6)="tarief",F1736="Vergoeding"),SUM(P1736)*FLOOR(SUM(R1736),0.0001),AND(P1736&lt;&gt;"",R1736&lt;&gt;"",RIGHT($N1736,6)="tarief"),P1736*FLOOR(R1736,0.01),T1736&gt;0,FLOOR(SUM(T1736),0.01)),""),""),"")</f>
        <v/>
      </c>
      <c r="W1736" s="317" t="str" cm="1">
        <f t="array" aca="1" ref="W1736" ca="1">IFERROR(_xlfn.IFS(OR(F1736="",LEFT(Methode_Keuze,4)="Geen",Methode_Keuze=""),"",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17" t="str" cm="1">
        <f t="array" aca="1" ref="X1736" ca="1">IFERROR(_xlfn.IFS(OR(F1736="",LEFT(Methode_Keuze,4)="Geen",Methode_Keuze=""),"",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26"/>
      <c r="Z1736" s="319"/>
      <c r="AA1736" s="32" t="str" cm="1">
        <f t="array" ref="AA1736">IFERROR(IF(INDEX(SubsidieTabel!$AD$1:$AG$12,MATCH($F1736,SubsidieTabel!$AD$1:$AD$12,0),IFERROR(MATCH(Methode_Keuze,SubsidieTabel!$AD$1:$AG$1,0),2))&lt;&gt;1=TRUE,"ja",""),"")</f>
        <v/>
      </c>
    </row>
    <row r="1737" spans="1:27" x14ac:dyDescent="0.25">
      <c r="A1737" s="320"/>
      <c r="B1737" s="321" t="str">
        <f>IF(A1737&lt;&gt;"",_xlfn.MAXIFS($B$1:B1736,$A$1:A1736,A1737)+1,"")</f>
        <v/>
      </c>
      <c r="C1737" s="299"/>
      <c r="D1737" s="299"/>
      <c r="E1737" s="299"/>
      <c r="F1737" s="299"/>
      <c r="G1737" s="330"/>
      <c r="H1737" s="328"/>
      <c r="I1737" s="329"/>
      <c r="J1737" s="329"/>
      <c r="K1737" s="322"/>
      <c r="L1737" s="322"/>
      <c r="M1737" s="323" t="str">
        <f>IFERROR(VLOOKUP(H1737,Lijsten!$H$1:$I$100,2,0),"")</f>
        <v/>
      </c>
      <c r="N1737" s="323" t="str">
        <f ca="1">IFERROR(IF(VLOOKUP(F1737,Kostentypen!$A$3:$E$21,3,0)=0,"",IF(OR(F1737="Arbeidskosten",F1737="Vergoeding"),VLOOKUP(G1737,Tb_KostenTypen[],2,0),VLOOKUP(F1737,Kostentypen!$A$3:$E$20,3,0))),"")</f>
        <v/>
      </c>
      <c r="O1737" s="324"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4"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3"/>
      <c r="R1737" s="363"/>
      <c r="S1737" s="325"/>
      <c r="T1737" s="325"/>
      <c r="U1737" s="317" t="str" cm="1">
        <f t="array" aca="1" ref="U1737" ca="1">IFERROR(IF(AA1737&lt;&gt;"ja",_xlfn.IFNA(_xlfn.IFS(AND(O1737&lt;&gt;"",F1737&lt;&gt;"",RIGHT($N1737,6)="tarief",F1737="Vergoeding"),SUM(O1737)*FLOOR(SUM(Q1737),0.0001),AND(O1737&lt;&gt;"",F1737&lt;&gt;"",RIGHT($N1737,6)="tarief"),SUM(O1737)*FLOOR(SUM(Q1737),0.01),S1737&gt;0,IF(F1737&lt;&gt;"",FLOOR(SUM(S1737),0.01),"")),""),""),"")</f>
        <v/>
      </c>
      <c r="V1737" s="317" t="str" cm="1">
        <f t="array" aca="1" ref="V1737" ca="1">IFERROR(IF(AA1737&lt;&gt;"ja",_xlfn.IFNA(_xlfn.IFS(AND(P1737&lt;&gt;"",R1737&lt;&gt;"",RIGHT($N1737,6)="tarief",F1737="Vergoeding"),SUM(P1737)*FLOOR(SUM(R1737),0.0001),AND(P1737&lt;&gt;"",R1737&lt;&gt;"",RIGHT($N1737,6)="tarief"),P1737*FLOOR(R1737,0.01),T1737&gt;0,FLOOR(SUM(T1737),0.01)),""),""),"")</f>
        <v/>
      </c>
      <c r="W1737" s="317" t="str" cm="1">
        <f t="array" aca="1" ref="W1737" ca="1">IFERROR(_xlfn.IFS(OR(F1737="",LEFT(Methode_Keuze,4)="Geen",Methode_Keuze=""),"",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17" t="str" cm="1">
        <f t="array" aca="1" ref="X1737" ca="1">IFERROR(_xlfn.IFS(OR(F1737="",LEFT(Methode_Keuze,4)="Geen",Methode_Keuze=""),"",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26"/>
      <c r="Z1737" s="319"/>
      <c r="AA1737" s="32" t="str" cm="1">
        <f t="array" ref="AA1737">IFERROR(IF(INDEX(SubsidieTabel!$AD$1:$AG$12,MATCH($F1737,SubsidieTabel!$AD$1:$AD$12,0),IFERROR(MATCH(Methode_Keuze,SubsidieTabel!$AD$1:$AG$1,0),2))&lt;&gt;1=TRUE,"ja",""),"")</f>
        <v/>
      </c>
    </row>
    <row r="1738" spans="1:27" x14ac:dyDescent="0.25">
      <c r="A1738" s="320"/>
      <c r="B1738" s="321" t="str">
        <f>IF(A1738&lt;&gt;"",_xlfn.MAXIFS($B$1:B1737,$A$1:A1737,A1738)+1,"")</f>
        <v/>
      </c>
      <c r="C1738" s="299"/>
      <c r="D1738" s="299"/>
      <c r="E1738" s="299"/>
      <c r="F1738" s="299"/>
      <c r="G1738" s="330"/>
      <c r="H1738" s="328"/>
      <c r="I1738" s="329"/>
      <c r="J1738" s="329"/>
      <c r="K1738" s="322"/>
      <c r="L1738" s="322"/>
      <c r="M1738" s="323" t="str">
        <f>IFERROR(VLOOKUP(H1738,Lijsten!$H$1:$I$100,2,0),"")</f>
        <v/>
      </c>
      <c r="N1738" s="323" t="str">
        <f ca="1">IFERROR(IF(VLOOKUP(F1738,Kostentypen!$A$3:$E$21,3,0)=0,"",IF(OR(F1738="Arbeidskosten",F1738="Vergoeding"),VLOOKUP(G1738,Tb_KostenTypen[],2,0),VLOOKUP(F1738,Kostentypen!$A$3:$E$20,3,0))),"")</f>
        <v/>
      </c>
      <c r="O1738" s="324"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4"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3"/>
      <c r="R1738" s="363"/>
      <c r="S1738" s="325"/>
      <c r="T1738" s="325"/>
      <c r="U1738" s="317" t="str" cm="1">
        <f t="array" aca="1" ref="U1738" ca="1">IFERROR(IF(AA1738&lt;&gt;"ja",_xlfn.IFNA(_xlfn.IFS(AND(O1738&lt;&gt;"",F1738&lt;&gt;"",RIGHT($N1738,6)="tarief",F1738="Vergoeding"),SUM(O1738)*FLOOR(SUM(Q1738),0.0001),AND(O1738&lt;&gt;"",F1738&lt;&gt;"",RIGHT($N1738,6)="tarief"),SUM(O1738)*FLOOR(SUM(Q1738),0.01),S1738&gt;0,IF(F1738&lt;&gt;"",FLOOR(SUM(S1738),0.01),"")),""),""),"")</f>
        <v/>
      </c>
      <c r="V1738" s="317" t="str" cm="1">
        <f t="array" aca="1" ref="V1738" ca="1">IFERROR(IF(AA1738&lt;&gt;"ja",_xlfn.IFNA(_xlfn.IFS(AND(P1738&lt;&gt;"",R1738&lt;&gt;"",RIGHT($N1738,6)="tarief",F1738="Vergoeding"),SUM(P1738)*FLOOR(SUM(R1738),0.0001),AND(P1738&lt;&gt;"",R1738&lt;&gt;"",RIGHT($N1738,6)="tarief"),P1738*FLOOR(R1738,0.01),T1738&gt;0,FLOOR(SUM(T1738),0.01)),""),""),"")</f>
        <v/>
      </c>
      <c r="W1738" s="317" t="str" cm="1">
        <f t="array" aca="1" ref="W1738" ca="1">IFERROR(_xlfn.IFS(OR(F1738="",LEFT(Methode_Keuze,4)="Geen",Methode_Keuze=""),"",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17" t="str" cm="1">
        <f t="array" aca="1" ref="X1738" ca="1">IFERROR(_xlfn.IFS(OR(F1738="",LEFT(Methode_Keuze,4)="Geen",Methode_Keuze=""),"",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26"/>
      <c r="Z1738" s="319"/>
      <c r="AA1738" s="32" t="str" cm="1">
        <f t="array" ref="AA1738">IFERROR(IF(INDEX(SubsidieTabel!$AD$1:$AG$12,MATCH($F1738,SubsidieTabel!$AD$1:$AD$12,0),IFERROR(MATCH(Methode_Keuze,SubsidieTabel!$AD$1:$AG$1,0),2))&lt;&gt;1=TRUE,"ja",""),"")</f>
        <v/>
      </c>
    </row>
    <row r="1739" spans="1:27" x14ac:dyDescent="0.25">
      <c r="A1739" s="320"/>
      <c r="B1739" s="321" t="str">
        <f>IF(A1739&lt;&gt;"",_xlfn.MAXIFS($B$1:B1738,$A$1:A1738,A1739)+1,"")</f>
        <v/>
      </c>
      <c r="C1739" s="299"/>
      <c r="D1739" s="299"/>
      <c r="E1739" s="299"/>
      <c r="F1739" s="299"/>
      <c r="G1739" s="330"/>
      <c r="H1739" s="328"/>
      <c r="I1739" s="329"/>
      <c r="J1739" s="329"/>
      <c r="K1739" s="322"/>
      <c r="L1739" s="322"/>
      <c r="M1739" s="323" t="str">
        <f>IFERROR(VLOOKUP(H1739,Lijsten!$H$1:$I$100,2,0),"")</f>
        <v/>
      </c>
      <c r="N1739" s="323" t="str">
        <f ca="1">IFERROR(IF(VLOOKUP(F1739,Kostentypen!$A$3:$E$21,3,0)=0,"",IF(OR(F1739="Arbeidskosten",F1739="Vergoeding"),VLOOKUP(G1739,Tb_KostenTypen[],2,0),VLOOKUP(F1739,Kostentypen!$A$3:$E$20,3,0))),"")</f>
        <v/>
      </c>
      <c r="O1739" s="324"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4"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3"/>
      <c r="R1739" s="363"/>
      <c r="S1739" s="325"/>
      <c r="T1739" s="325"/>
      <c r="U1739" s="317" t="str" cm="1">
        <f t="array" aca="1" ref="U1739" ca="1">IFERROR(IF(AA1739&lt;&gt;"ja",_xlfn.IFNA(_xlfn.IFS(AND(O1739&lt;&gt;"",F1739&lt;&gt;"",RIGHT($N1739,6)="tarief",F1739="Vergoeding"),SUM(O1739)*FLOOR(SUM(Q1739),0.0001),AND(O1739&lt;&gt;"",F1739&lt;&gt;"",RIGHT($N1739,6)="tarief"),SUM(O1739)*FLOOR(SUM(Q1739),0.01),S1739&gt;0,IF(F1739&lt;&gt;"",FLOOR(SUM(S1739),0.01),"")),""),""),"")</f>
        <v/>
      </c>
      <c r="V1739" s="317" t="str" cm="1">
        <f t="array" aca="1" ref="V1739" ca="1">IFERROR(IF(AA1739&lt;&gt;"ja",_xlfn.IFNA(_xlfn.IFS(AND(P1739&lt;&gt;"",R1739&lt;&gt;"",RIGHT($N1739,6)="tarief",F1739="Vergoeding"),SUM(P1739)*FLOOR(SUM(R1739),0.0001),AND(P1739&lt;&gt;"",R1739&lt;&gt;"",RIGHT($N1739,6)="tarief"),P1739*FLOOR(R1739,0.01),T1739&gt;0,FLOOR(SUM(T1739),0.01)),""),""),"")</f>
        <v/>
      </c>
      <c r="W1739" s="317" t="str" cm="1">
        <f t="array" aca="1" ref="W1739" ca="1">IFERROR(_xlfn.IFS(OR(F1739="",LEFT(Methode_Keuze,4)="Geen",Methode_Keuze=""),"",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17" t="str" cm="1">
        <f t="array" aca="1" ref="X1739" ca="1">IFERROR(_xlfn.IFS(OR(F1739="",LEFT(Methode_Keuze,4)="Geen",Methode_Keuze=""),"",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26"/>
      <c r="Z1739" s="319"/>
      <c r="AA1739" s="32" t="str" cm="1">
        <f t="array" ref="AA1739">IFERROR(IF(INDEX(SubsidieTabel!$AD$1:$AG$12,MATCH($F1739,SubsidieTabel!$AD$1:$AD$12,0),IFERROR(MATCH(Methode_Keuze,SubsidieTabel!$AD$1:$AG$1,0),2))&lt;&gt;1=TRUE,"ja",""),"")</f>
        <v/>
      </c>
    </row>
    <row r="1740" spans="1:27" x14ac:dyDescent="0.25">
      <c r="A1740" s="320"/>
      <c r="B1740" s="321" t="str">
        <f>IF(A1740&lt;&gt;"",_xlfn.MAXIFS($B$1:B1739,$A$1:A1739,A1740)+1,"")</f>
        <v/>
      </c>
      <c r="C1740" s="299"/>
      <c r="D1740" s="299"/>
      <c r="E1740" s="299"/>
      <c r="F1740" s="299"/>
      <c r="G1740" s="330"/>
      <c r="H1740" s="328"/>
      <c r="I1740" s="329"/>
      <c r="J1740" s="329"/>
      <c r="K1740" s="322"/>
      <c r="L1740" s="322"/>
      <c r="M1740" s="323" t="str">
        <f>IFERROR(VLOOKUP(H1740,Lijsten!$H$1:$I$100,2,0),"")</f>
        <v/>
      </c>
      <c r="N1740" s="323" t="str">
        <f ca="1">IFERROR(IF(VLOOKUP(F1740,Kostentypen!$A$3:$E$21,3,0)=0,"",IF(OR(F1740="Arbeidskosten",F1740="Vergoeding"),VLOOKUP(G1740,Tb_KostenTypen[],2,0),VLOOKUP(F1740,Kostentypen!$A$3:$E$20,3,0))),"")</f>
        <v/>
      </c>
      <c r="O1740" s="324"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4"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3"/>
      <c r="R1740" s="363"/>
      <c r="S1740" s="325"/>
      <c r="T1740" s="325"/>
      <c r="U1740" s="317" t="str" cm="1">
        <f t="array" aca="1" ref="U1740" ca="1">IFERROR(IF(AA1740&lt;&gt;"ja",_xlfn.IFNA(_xlfn.IFS(AND(O1740&lt;&gt;"",F1740&lt;&gt;"",RIGHT($N1740,6)="tarief",F1740="Vergoeding"),SUM(O1740)*FLOOR(SUM(Q1740),0.0001),AND(O1740&lt;&gt;"",F1740&lt;&gt;"",RIGHT($N1740,6)="tarief"),SUM(O1740)*FLOOR(SUM(Q1740),0.01),S1740&gt;0,IF(F1740&lt;&gt;"",FLOOR(SUM(S1740),0.01),"")),""),""),"")</f>
        <v/>
      </c>
      <c r="V1740" s="317" t="str" cm="1">
        <f t="array" aca="1" ref="V1740" ca="1">IFERROR(IF(AA1740&lt;&gt;"ja",_xlfn.IFNA(_xlfn.IFS(AND(P1740&lt;&gt;"",R1740&lt;&gt;"",RIGHT($N1740,6)="tarief",F1740="Vergoeding"),SUM(P1740)*FLOOR(SUM(R1740),0.0001),AND(P1740&lt;&gt;"",R1740&lt;&gt;"",RIGHT($N1740,6)="tarief"),P1740*FLOOR(R1740,0.01),T1740&gt;0,FLOOR(SUM(T1740),0.01)),""),""),"")</f>
        <v/>
      </c>
      <c r="W1740" s="317" t="str" cm="1">
        <f t="array" aca="1" ref="W1740" ca="1">IFERROR(_xlfn.IFS(OR(F1740="",LEFT(Methode_Keuze,4)="Geen",Methode_Keuze=""),"",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17" t="str" cm="1">
        <f t="array" aca="1" ref="X1740" ca="1">IFERROR(_xlfn.IFS(OR(F1740="",LEFT(Methode_Keuze,4)="Geen",Methode_Keuze=""),"",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26"/>
      <c r="Z1740" s="319"/>
      <c r="AA1740" s="32" t="str" cm="1">
        <f t="array" ref="AA1740">IFERROR(IF(INDEX(SubsidieTabel!$AD$1:$AG$12,MATCH($F1740,SubsidieTabel!$AD$1:$AD$12,0),IFERROR(MATCH(Methode_Keuze,SubsidieTabel!$AD$1:$AG$1,0),2))&lt;&gt;1=TRUE,"ja",""),"")</f>
        <v/>
      </c>
    </row>
    <row r="1741" spans="1:27" x14ac:dyDescent="0.25">
      <c r="A1741" s="320"/>
      <c r="B1741" s="321" t="str">
        <f>IF(A1741&lt;&gt;"",_xlfn.MAXIFS($B$1:B1740,$A$1:A1740,A1741)+1,"")</f>
        <v/>
      </c>
      <c r="C1741" s="299"/>
      <c r="D1741" s="299"/>
      <c r="E1741" s="299"/>
      <c r="F1741" s="299"/>
      <c r="G1741" s="330"/>
      <c r="H1741" s="328"/>
      <c r="I1741" s="329"/>
      <c r="J1741" s="329"/>
      <c r="K1741" s="322"/>
      <c r="L1741" s="322"/>
      <c r="M1741" s="323" t="str">
        <f>IFERROR(VLOOKUP(H1741,Lijsten!$H$1:$I$100,2,0),"")</f>
        <v/>
      </c>
      <c r="N1741" s="323" t="str">
        <f ca="1">IFERROR(IF(VLOOKUP(F1741,Kostentypen!$A$3:$E$21,3,0)=0,"",IF(OR(F1741="Arbeidskosten",F1741="Vergoeding"),VLOOKUP(G1741,Tb_KostenTypen[],2,0),VLOOKUP(F1741,Kostentypen!$A$3:$E$20,3,0))),"")</f>
        <v/>
      </c>
      <c r="O1741" s="324"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4"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3"/>
      <c r="R1741" s="363"/>
      <c r="S1741" s="325"/>
      <c r="T1741" s="325"/>
      <c r="U1741" s="317" t="str" cm="1">
        <f t="array" aca="1" ref="U1741" ca="1">IFERROR(IF(AA1741&lt;&gt;"ja",_xlfn.IFNA(_xlfn.IFS(AND(O1741&lt;&gt;"",F1741&lt;&gt;"",RIGHT($N1741,6)="tarief",F1741="Vergoeding"),SUM(O1741)*FLOOR(SUM(Q1741),0.0001),AND(O1741&lt;&gt;"",F1741&lt;&gt;"",RIGHT($N1741,6)="tarief"),SUM(O1741)*FLOOR(SUM(Q1741),0.01),S1741&gt;0,IF(F1741&lt;&gt;"",FLOOR(SUM(S1741),0.01),"")),""),""),"")</f>
        <v/>
      </c>
      <c r="V1741" s="317" t="str" cm="1">
        <f t="array" aca="1" ref="V1741" ca="1">IFERROR(IF(AA1741&lt;&gt;"ja",_xlfn.IFNA(_xlfn.IFS(AND(P1741&lt;&gt;"",R1741&lt;&gt;"",RIGHT($N1741,6)="tarief",F1741="Vergoeding"),SUM(P1741)*FLOOR(SUM(R1741),0.0001),AND(P1741&lt;&gt;"",R1741&lt;&gt;"",RIGHT($N1741,6)="tarief"),P1741*FLOOR(R1741,0.01),T1741&gt;0,FLOOR(SUM(T1741),0.01)),""),""),"")</f>
        <v/>
      </c>
      <c r="W1741" s="317" t="str" cm="1">
        <f t="array" aca="1" ref="W1741" ca="1">IFERROR(_xlfn.IFS(OR(F1741="",LEFT(Methode_Keuze,4)="Geen",Methode_Keuze=""),"",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17" t="str" cm="1">
        <f t="array" aca="1" ref="X1741" ca="1">IFERROR(_xlfn.IFS(OR(F1741="",LEFT(Methode_Keuze,4)="Geen",Methode_Keuze=""),"",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26"/>
      <c r="Z1741" s="319"/>
      <c r="AA1741" s="32" t="str" cm="1">
        <f t="array" ref="AA1741">IFERROR(IF(INDEX(SubsidieTabel!$AD$1:$AG$12,MATCH($F1741,SubsidieTabel!$AD$1:$AD$12,0),IFERROR(MATCH(Methode_Keuze,SubsidieTabel!$AD$1:$AG$1,0),2))&lt;&gt;1=TRUE,"ja",""),"")</f>
        <v/>
      </c>
    </row>
    <row r="1742" spans="1:27" x14ac:dyDescent="0.25">
      <c r="A1742" s="320"/>
      <c r="B1742" s="321" t="str">
        <f>IF(A1742&lt;&gt;"",_xlfn.MAXIFS($B$1:B1741,$A$1:A1741,A1742)+1,"")</f>
        <v/>
      </c>
      <c r="C1742" s="299"/>
      <c r="D1742" s="299"/>
      <c r="E1742" s="299"/>
      <c r="F1742" s="299"/>
      <c r="G1742" s="330"/>
      <c r="H1742" s="328"/>
      <c r="I1742" s="329"/>
      <c r="J1742" s="329"/>
      <c r="K1742" s="322"/>
      <c r="L1742" s="322"/>
      <c r="M1742" s="323" t="str">
        <f>IFERROR(VLOOKUP(H1742,Lijsten!$H$1:$I$100,2,0),"")</f>
        <v/>
      </c>
      <c r="N1742" s="323" t="str">
        <f ca="1">IFERROR(IF(VLOOKUP(F1742,Kostentypen!$A$3:$E$21,3,0)=0,"",IF(OR(F1742="Arbeidskosten",F1742="Vergoeding"),VLOOKUP(G1742,Tb_KostenTypen[],2,0),VLOOKUP(F1742,Kostentypen!$A$3:$E$20,3,0))),"")</f>
        <v/>
      </c>
      <c r="O1742" s="324"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4"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3"/>
      <c r="R1742" s="363"/>
      <c r="S1742" s="325"/>
      <c r="T1742" s="325"/>
      <c r="U1742" s="317" t="str" cm="1">
        <f t="array" aca="1" ref="U1742" ca="1">IFERROR(IF(AA1742&lt;&gt;"ja",_xlfn.IFNA(_xlfn.IFS(AND(O1742&lt;&gt;"",F1742&lt;&gt;"",RIGHT($N1742,6)="tarief",F1742="Vergoeding"),SUM(O1742)*FLOOR(SUM(Q1742),0.0001),AND(O1742&lt;&gt;"",F1742&lt;&gt;"",RIGHT($N1742,6)="tarief"),SUM(O1742)*FLOOR(SUM(Q1742),0.01),S1742&gt;0,IF(F1742&lt;&gt;"",FLOOR(SUM(S1742),0.01),"")),""),""),"")</f>
        <v/>
      </c>
      <c r="V1742" s="317" t="str" cm="1">
        <f t="array" aca="1" ref="V1742" ca="1">IFERROR(IF(AA1742&lt;&gt;"ja",_xlfn.IFNA(_xlfn.IFS(AND(P1742&lt;&gt;"",R1742&lt;&gt;"",RIGHT($N1742,6)="tarief",F1742="Vergoeding"),SUM(P1742)*FLOOR(SUM(R1742),0.0001),AND(P1742&lt;&gt;"",R1742&lt;&gt;"",RIGHT($N1742,6)="tarief"),P1742*FLOOR(R1742,0.01),T1742&gt;0,FLOOR(SUM(T1742),0.01)),""),""),"")</f>
        <v/>
      </c>
      <c r="W1742" s="317" t="str" cm="1">
        <f t="array" aca="1" ref="W1742" ca="1">IFERROR(_xlfn.IFS(OR(F1742="",LEFT(Methode_Keuze,4)="Geen",Methode_Keuze=""),"",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17" t="str" cm="1">
        <f t="array" aca="1" ref="X1742" ca="1">IFERROR(_xlfn.IFS(OR(F1742="",LEFT(Methode_Keuze,4)="Geen",Methode_Keuze=""),"",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26"/>
      <c r="Z1742" s="319"/>
      <c r="AA1742" s="32" t="str" cm="1">
        <f t="array" ref="AA1742">IFERROR(IF(INDEX(SubsidieTabel!$AD$1:$AG$12,MATCH($F1742,SubsidieTabel!$AD$1:$AD$12,0),IFERROR(MATCH(Methode_Keuze,SubsidieTabel!$AD$1:$AG$1,0),2))&lt;&gt;1=TRUE,"ja",""),"")</f>
        <v/>
      </c>
    </row>
    <row r="1743" spans="1:27" x14ac:dyDescent="0.25">
      <c r="A1743" s="320"/>
      <c r="B1743" s="321" t="str">
        <f>IF(A1743&lt;&gt;"",_xlfn.MAXIFS($B$1:B1742,$A$1:A1742,A1743)+1,"")</f>
        <v/>
      </c>
      <c r="C1743" s="299"/>
      <c r="D1743" s="299"/>
      <c r="E1743" s="299"/>
      <c r="F1743" s="299"/>
      <c r="G1743" s="330"/>
      <c r="H1743" s="328"/>
      <c r="I1743" s="329"/>
      <c r="J1743" s="329"/>
      <c r="K1743" s="322"/>
      <c r="L1743" s="322"/>
      <c r="M1743" s="323" t="str">
        <f>IFERROR(VLOOKUP(H1743,Lijsten!$H$1:$I$100,2,0),"")</f>
        <v/>
      </c>
      <c r="N1743" s="323" t="str">
        <f ca="1">IFERROR(IF(VLOOKUP(F1743,Kostentypen!$A$3:$E$21,3,0)=0,"",IF(OR(F1743="Arbeidskosten",F1743="Vergoeding"),VLOOKUP(G1743,Tb_KostenTypen[],2,0),VLOOKUP(F1743,Kostentypen!$A$3:$E$20,3,0))),"")</f>
        <v/>
      </c>
      <c r="O1743" s="324"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4"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3"/>
      <c r="R1743" s="363"/>
      <c r="S1743" s="325"/>
      <c r="T1743" s="325"/>
      <c r="U1743" s="317" t="str" cm="1">
        <f t="array" aca="1" ref="U1743" ca="1">IFERROR(IF(AA1743&lt;&gt;"ja",_xlfn.IFNA(_xlfn.IFS(AND(O1743&lt;&gt;"",F1743&lt;&gt;"",RIGHT($N1743,6)="tarief",F1743="Vergoeding"),SUM(O1743)*FLOOR(SUM(Q1743),0.0001),AND(O1743&lt;&gt;"",F1743&lt;&gt;"",RIGHT($N1743,6)="tarief"),SUM(O1743)*FLOOR(SUM(Q1743),0.01),S1743&gt;0,IF(F1743&lt;&gt;"",FLOOR(SUM(S1743),0.01),"")),""),""),"")</f>
        <v/>
      </c>
      <c r="V1743" s="317" t="str" cm="1">
        <f t="array" aca="1" ref="V1743" ca="1">IFERROR(IF(AA1743&lt;&gt;"ja",_xlfn.IFNA(_xlfn.IFS(AND(P1743&lt;&gt;"",R1743&lt;&gt;"",RIGHT($N1743,6)="tarief",F1743="Vergoeding"),SUM(P1743)*FLOOR(SUM(R1743),0.0001),AND(P1743&lt;&gt;"",R1743&lt;&gt;"",RIGHT($N1743,6)="tarief"),P1743*FLOOR(R1743,0.01),T1743&gt;0,FLOOR(SUM(T1743),0.01)),""),""),"")</f>
        <v/>
      </c>
      <c r="W1743" s="317" t="str" cm="1">
        <f t="array" aca="1" ref="W1743" ca="1">IFERROR(_xlfn.IFS(OR(F1743="",LEFT(Methode_Keuze,4)="Geen",Methode_Keuze=""),"",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17" t="str" cm="1">
        <f t="array" aca="1" ref="X1743" ca="1">IFERROR(_xlfn.IFS(OR(F1743="",LEFT(Methode_Keuze,4)="Geen",Methode_Keuze=""),"",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26"/>
      <c r="Z1743" s="319"/>
      <c r="AA1743" s="32" t="str" cm="1">
        <f t="array" ref="AA1743">IFERROR(IF(INDEX(SubsidieTabel!$AD$1:$AG$12,MATCH($F1743,SubsidieTabel!$AD$1:$AD$12,0),IFERROR(MATCH(Methode_Keuze,SubsidieTabel!$AD$1:$AG$1,0),2))&lt;&gt;1=TRUE,"ja",""),"")</f>
        <v/>
      </c>
    </row>
    <row r="1744" spans="1:27" x14ac:dyDescent="0.25">
      <c r="A1744" s="320"/>
      <c r="B1744" s="321" t="str">
        <f>IF(A1744&lt;&gt;"",_xlfn.MAXIFS($B$1:B1743,$A$1:A1743,A1744)+1,"")</f>
        <v/>
      </c>
      <c r="C1744" s="299"/>
      <c r="D1744" s="299"/>
      <c r="E1744" s="299"/>
      <c r="F1744" s="299"/>
      <c r="G1744" s="330"/>
      <c r="H1744" s="328"/>
      <c r="I1744" s="329"/>
      <c r="J1744" s="329"/>
      <c r="K1744" s="322"/>
      <c r="L1744" s="322"/>
      <c r="M1744" s="323" t="str">
        <f>IFERROR(VLOOKUP(H1744,Lijsten!$H$1:$I$100,2,0),"")</f>
        <v/>
      </c>
      <c r="N1744" s="323" t="str">
        <f ca="1">IFERROR(IF(VLOOKUP(F1744,Kostentypen!$A$3:$E$21,3,0)=0,"",IF(OR(F1744="Arbeidskosten",F1744="Vergoeding"),VLOOKUP(G1744,Tb_KostenTypen[],2,0),VLOOKUP(F1744,Kostentypen!$A$3:$E$20,3,0))),"")</f>
        <v/>
      </c>
      <c r="O1744" s="324"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4"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3"/>
      <c r="R1744" s="363"/>
      <c r="S1744" s="325"/>
      <c r="T1744" s="325"/>
      <c r="U1744" s="317" t="str" cm="1">
        <f t="array" aca="1" ref="U1744" ca="1">IFERROR(IF(AA1744&lt;&gt;"ja",_xlfn.IFNA(_xlfn.IFS(AND(O1744&lt;&gt;"",F1744&lt;&gt;"",RIGHT($N1744,6)="tarief",F1744="Vergoeding"),SUM(O1744)*FLOOR(SUM(Q1744),0.0001),AND(O1744&lt;&gt;"",F1744&lt;&gt;"",RIGHT($N1744,6)="tarief"),SUM(O1744)*FLOOR(SUM(Q1744),0.01),S1744&gt;0,IF(F1744&lt;&gt;"",FLOOR(SUM(S1744),0.01),"")),""),""),"")</f>
        <v/>
      </c>
      <c r="V1744" s="317" t="str" cm="1">
        <f t="array" aca="1" ref="V1744" ca="1">IFERROR(IF(AA1744&lt;&gt;"ja",_xlfn.IFNA(_xlfn.IFS(AND(P1744&lt;&gt;"",R1744&lt;&gt;"",RIGHT($N1744,6)="tarief",F1744="Vergoeding"),SUM(P1744)*FLOOR(SUM(R1744),0.0001),AND(P1744&lt;&gt;"",R1744&lt;&gt;"",RIGHT($N1744,6)="tarief"),P1744*FLOOR(R1744,0.01),T1744&gt;0,FLOOR(SUM(T1744),0.01)),""),""),"")</f>
        <v/>
      </c>
      <c r="W1744" s="317" t="str" cm="1">
        <f t="array" aca="1" ref="W1744" ca="1">IFERROR(_xlfn.IFS(OR(F1744="",LEFT(Methode_Keuze,4)="Geen",Methode_Keuze=""),"",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17" t="str" cm="1">
        <f t="array" aca="1" ref="X1744" ca="1">IFERROR(_xlfn.IFS(OR(F1744="",LEFT(Methode_Keuze,4)="Geen",Methode_Keuze=""),"",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26"/>
      <c r="Z1744" s="319"/>
      <c r="AA1744" s="32" t="str" cm="1">
        <f t="array" ref="AA1744">IFERROR(IF(INDEX(SubsidieTabel!$AD$1:$AG$12,MATCH($F1744,SubsidieTabel!$AD$1:$AD$12,0),IFERROR(MATCH(Methode_Keuze,SubsidieTabel!$AD$1:$AG$1,0),2))&lt;&gt;1=TRUE,"ja",""),"")</f>
        <v/>
      </c>
    </row>
    <row r="1745" spans="1:27" x14ac:dyDescent="0.25">
      <c r="A1745" s="320"/>
      <c r="B1745" s="321" t="str">
        <f>IF(A1745&lt;&gt;"",_xlfn.MAXIFS($B$1:B1744,$A$1:A1744,A1745)+1,"")</f>
        <v/>
      </c>
      <c r="C1745" s="299"/>
      <c r="D1745" s="299"/>
      <c r="E1745" s="299"/>
      <c r="F1745" s="299"/>
      <c r="G1745" s="330"/>
      <c r="H1745" s="328"/>
      <c r="I1745" s="329"/>
      <c r="J1745" s="329"/>
      <c r="K1745" s="322"/>
      <c r="L1745" s="322"/>
      <c r="M1745" s="323" t="str">
        <f>IFERROR(VLOOKUP(H1745,Lijsten!$H$1:$I$100,2,0),"")</f>
        <v/>
      </c>
      <c r="N1745" s="323" t="str">
        <f ca="1">IFERROR(IF(VLOOKUP(F1745,Kostentypen!$A$3:$E$21,3,0)=0,"",IF(OR(F1745="Arbeidskosten",F1745="Vergoeding"),VLOOKUP(G1745,Tb_KostenTypen[],2,0),VLOOKUP(F1745,Kostentypen!$A$3:$E$20,3,0))),"")</f>
        <v/>
      </c>
      <c r="O1745" s="324"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4"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3"/>
      <c r="R1745" s="363"/>
      <c r="S1745" s="325"/>
      <c r="T1745" s="325"/>
      <c r="U1745" s="317" t="str" cm="1">
        <f t="array" aca="1" ref="U1745" ca="1">IFERROR(IF(AA1745&lt;&gt;"ja",_xlfn.IFNA(_xlfn.IFS(AND(O1745&lt;&gt;"",F1745&lt;&gt;"",RIGHT($N1745,6)="tarief",F1745="Vergoeding"),SUM(O1745)*FLOOR(SUM(Q1745),0.0001),AND(O1745&lt;&gt;"",F1745&lt;&gt;"",RIGHT($N1745,6)="tarief"),SUM(O1745)*FLOOR(SUM(Q1745),0.01),S1745&gt;0,IF(F1745&lt;&gt;"",FLOOR(SUM(S1745),0.01),"")),""),""),"")</f>
        <v/>
      </c>
      <c r="V1745" s="317" t="str" cm="1">
        <f t="array" aca="1" ref="V1745" ca="1">IFERROR(IF(AA1745&lt;&gt;"ja",_xlfn.IFNA(_xlfn.IFS(AND(P1745&lt;&gt;"",R1745&lt;&gt;"",RIGHT($N1745,6)="tarief",F1745="Vergoeding"),SUM(P1745)*FLOOR(SUM(R1745),0.0001),AND(P1745&lt;&gt;"",R1745&lt;&gt;"",RIGHT($N1745,6)="tarief"),P1745*FLOOR(R1745,0.01),T1745&gt;0,FLOOR(SUM(T1745),0.01)),""),""),"")</f>
        <v/>
      </c>
      <c r="W1745" s="317" t="str" cm="1">
        <f t="array" aca="1" ref="W1745" ca="1">IFERROR(_xlfn.IFS(OR(F1745="",LEFT(Methode_Keuze,4)="Geen",Methode_Keuze=""),"",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17" t="str" cm="1">
        <f t="array" aca="1" ref="X1745" ca="1">IFERROR(_xlfn.IFS(OR(F1745="",LEFT(Methode_Keuze,4)="Geen",Methode_Keuze=""),"",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26"/>
      <c r="Z1745" s="319"/>
      <c r="AA1745" s="32" t="str" cm="1">
        <f t="array" ref="AA1745">IFERROR(IF(INDEX(SubsidieTabel!$AD$1:$AG$12,MATCH($F1745,SubsidieTabel!$AD$1:$AD$12,0),IFERROR(MATCH(Methode_Keuze,SubsidieTabel!$AD$1:$AG$1,0),2))&lt;&gt;1=TRUE,"ja",""),"")</f>
        <v/>
      </c>
    </row>
    <row r="1746" spans="1:27" x14ac:dyDescent="0.25">
      <c r="A1746" s="320"/>
      <c r="B1746" s="321" t="str">
        <f>IF(A1746&lt;&gt;"",_xlfn.MAXIFS($B$1:B1745,$A$1:A1745,A1746)+1,"")</f>
        <v/>
      </c>
      <c r="C1746" s="299"/>
      <c r="D1746" s="299"/>
      <c r="E1746" s="299"/>
      <c r="F1746" s="299"/>
      <c r="G1746" s="330"/>
      <c r="H1746" s="328"/>
      <c r="I1746" s="329"/>
      <c r="J1746" s="329"/>
      <c r="K1746" s="322"/>
      <c r="L1746" s="322"/>
      <c r="M1746" s="323" t="str">
        <f>IFERROR(VLOOKUP(H1746,Lijsten!$H$1:$I$100,2,0),"")</f>
        <v/>
      </c>
      <c r="N1746" s="323" t="str">
        <f ca="1">IFERROR(IF(VLOOKUP(F1746,Kostentypen!$A$3:$E$21,3,0)=0,"",IF(OR(F1746="Arbeidskosten",F1746="Vergoeding"),VLOOKUP(G1746,Tb_KostenTypen[],2,0),VLOOKUP(F1746,Kostentypen!$A$3:$E$20,3,0))),"")</f>
        <v/>
      </c>
      <c r="O1746" s="324"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4"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3"/>
      <c r="R1746" s="363"/>
      <c r="S1746" s="325"/>
      <c r="T1746" s="325"/>
      <c r="U1746" s="317" t="str" cm="1">
        <f t="array" aca="1" ref="U1746" ca="1">IFERROR(IF(AA1746&lt;&gt;"ja",_xlfn.IFNA(_xlfn.IFS(AND(O1746&lt;&gt;"",F1746&lt;&gt;"",RIGHT($N1746,6)="tarief",F1746="Vergoeding"),SUM(O1746)*FLOOR(SUM(Q1746),0.0001),AND(O1746&lt;&gt;"",F1746&lt;&gt;"",RIGHT($N1746,6)="tarief"),SUM(O1746)*FLOOR(SUM(Q1746),0.01),S1746&gt;0,IF(F1746&lt;&gt;"",FLOOR(SUM(S1746),0.01),"")),""),""),"")</f>
        <v/>
      </c>
      <c r="V1746" s="317" t="str" cm="1">
        <f t="array" aca="1" ref="V1746" ca="1">IFERROR(IF(AA1746&lt;&gt;"ja",_xlfn.IFNA(_xlfn.IFS(AND(P1746&lt;&gt;"",R1746&lt;&gt;"",RIGHT($N1746,6)="tarief",F1746="Vergoeding"),SUM(P1746)*FLOOR(SUM(R1746),0.0001),AND(P1746&lt;&gt;"",R1746&lt;&gt;"",RIGHT($N1746,6)="tarief"),P1746*FLOOR(R1746,0.01),T1746&gt;0,FLOOR(SUM(T1746),0.01)),""),""),"")</f>
        <v/>
      </c>
      <c r="W1746" s="317" t="str" cm="1">
        <f t="array" aca="1" ref="W1746" ca="1">IFERROR(_xlfn.IFS(OR(F1746="",LEFT(Methode_Keuze,4)="Geen",Methode_Keuze=""),"",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17" t="str" cm="1">
        <f t="array" aca="1" ref="X1746" ca="1">IFERROR(_xlfn.IFS(OR(F1746="",LEFT(Methode_Keuze,4)="Geen",Methode_Keuze=""),"",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26"/>
      <c r="Z1746" s="319"/>
      <c r="AA1746" s="32" t="str" cm="1">
        <f t="array" ref="AA1746">IFERROR(IF(INDEX(SubsidieTabel!$AD$1:$AG$12,MATCH($F1746,SubsidieTabel!$AD$1:$AD$12,0),IFERROR(MATCH(Methode_Keuze,SubsidieTabel!$AD$1:$AG$1,0),2))&lt;&gt;1=TRUE,"ja",""),"")</f>
        <v/>
      </c>
    </row>
    <row r="1747" spans="1:27" x14ac:dyDescent="0.25">
      <c r="A1747" s="320"/>
      <c r="B1747" s="321" t="str">
        <f>IF(A1747&lt;&gt;"",_xlfn.MAXIFS($B$1:B1746,$A$1:A1746,A1747)+1,"")</f>
        <v/>
      </c>
      <c r="C1747" s="299"/>
      <c r="D1747" s="299"/>
      <c r="E1747" s="299"/>
      <c r="F1747" s="299"/>
      <c r="G1747" s="330"/>
      <c r="H1747" s="328"/>
      <c r="I1747" s="329"/>
      <c r="J1747" s="329"/>
      <c r="K1747" s="322"/>
      <c r="L1747" s="322"/>
      <c r="M1747" s="323" t="str">
        <f>IFERROR(VLOOKUP(H1747,Lijsten!$H$1:$I$100,2,0),"")</f>
        <v/>
      </c>
      <c r="N1747" s="323" t="str">
        <f ca="1">IFERROR(IF(VLOOKUP(F1747,Kostentypen!$A$3:$E$21,3,0)=0,"",IF(OR(F1747="Arbeidskosten",F1747="Vergoeding"),VLOOKUP(G1747,Tb_KostenTypen[],2,0),VLOOKUP(F1747,Kostentypen!$A$3:$E$20,3,0))),"")</f>
        <v/>
      </c>
      <c r="O1747" s="324"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4"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3"/>
      <c r="R1747" s="363"/>
      <c r="S1747" s="325"/>
      <c r="T1747" s="325"/>
      <c r="U1747" s="317" t="str" cm="1">
        <f t="array" aca="1" ref="U1747" ca="1">IFERROR(IF(AA1747&lt;&gt;"ja",_xlfn.IFNA(_xlfn.IFS(AND(O1747&lt;&gt;"",F1747&lt;&gt;"",RIGHT($N1747,6)="tarief",F1747="Vergoeding"),SUM(O1747)*FLOOR(SUM(Q1747),0.0001),AND(O1747&lt;&gt;"",F1747&lt;&gt;"",RIGHT($N1747,6)="tarief"),SUM(O1747)*FLOOR(SUM(Q1747),0.01),S1747&gt;0,IF(F1747&lt;&gt;"",FLOOR(SUM(S1747),0.01),"")),""),""),"")</f>
        <v/>
      </c>
      <c r="V1747" s="317" t="str" cm="1">
        <f t="array" aca="1" ref="V1747" ca="1">IFERROR(IF(AA1747&lt;&gt;"ja",_xlfn.IFNA(_xlfn.IFS(AND(P1747&lt;&gt;"",R1747&lt;&gt;"",RIGHT($N1747,6)="tarief",F1747="Vergoeding"),SUM(P1747)*FLOOR(SUM(R1747),0.0001),AND(P1747&lt;&gt;"",R1747&lt;&gt;"",RIGHT($N1747,6)="tarief"),P1747*FLOOR(R1747,0.01),T1747&gt;0,FLOOR(SUM(T1747),0.01)),""),""),"")</f>
        <v/>
      </c>
      <c r="W1747" s="317" t="str" cm="1">
        <f t="array" aca="1" ref="W1747" ca="1">IFERROR(_xlfn.IFS(OR(F1747="",LEFT(Methode_Keuze,4)="Geen",Methode_Keuze=""),"",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17" t="str" cm="1">
        <f t="array" aca="1" ref="X1747" ca="1">IFERROR(_xlfn.IFS(OR(F1747="",LEFT(Methode_Keuze,4)="Geen",Methode_Keuze=""),"",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26"/>
      <c r="Z1747" s="319"/>
      <c r="AA1747" s="32" t="str" cm="1">
        <f t="array" ref="AA1747">IFERROR(IF(INDEX(SubsidieTabel!$AD$1:$AG$12,MATCH($F1747,SubsidieTabel!$AD$1:$AD$12,0),IFERROR(MATCH(Methode_Keuze,SubsidieTabel!$AD$1:$AG$1,0),2))&lt;&gt;1=TRUE,"ja",""),"")</f>
        <v/>
      </c>
    </row>
    <row r="1748" spans="1:27" x14ac:dyDescent="0.25">
      <c r="A1748" s="320"/>
      <c r="B1748" s="321" t="str">
        <f>IF(A1748&lt;&gt;"",_xlfn.MAXIFS($B$1:B1747,$A$1:A1747,A1748)+1,"")</f>
        <v/>
      </c>
      <c r="C1748" s="299"/>
      <c r="D1748" s="299"/>
      <c r="E1748" s="299"/>
      <c r="F1748" s="299"/>
      <c r="G1748" s="330"/>
      <c r="H1748" s="328"/>
      <c r="I1748" s="329"/>
      <c r="J1748" s="329"/>
      <c r="K1748" s="322"/>
      <c r="L1748" s="322"/>
      <c r="M1748" s="323" t="str">
        <f>IFERROR(VLOOKUP(H1748,Lijsten!$H$1:$I$100,2,0),"")</f>
        <v/>
      </c>
      <c r="N1748" s="323" t="str">
        <f ca="1">IFERROR(IF(VLOOKUP(F1748,Kostentypen!$A$3:$E$21,3,0)=0,"",IF(OR(F1748="Arbeidskosten",F1748="Vergoeding"),VLOOKUP(G1748,Tb_KostenTypen[],2,0),VLOOKUP(F1748,Kostentypen!$A$3:$E$20,3,0))),"")</f>
        <v/>
      </c>
      <c r="O1748" s="324"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4"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3"/>
      <c r="R1748" s="363"/>
      <c r="S1748" s="325"/>
      <c r="T1748" s="325"/>
      <c r="U1748" s="317" t="str" cm="1">
        <f t="array" aca="1" ref="U1748" ca="1">IFERROR(IF(AA1748&lt;&gt;"ja",_xlfn.IFNA(_xlfn.IFS(AND(O1748&lt;&gt;"",F1748&lt;&gt;"",RIGHT($N1748,6)="tarief",F1748="Vergoeding"),SUM(O1748)*FLOOR(SUM(Q1748),0.0001),AND(O1748&lt;&gt;"",F1748&lt;&gt;"",RIGHT($N1748,6)="tarief"),SUM(O1748)*FLOOR(SUM(Q1748),0.01),S1748&gt;0,IF(F1748&lt;&gt;"",FLOOR(SUM(S1748),0.01),"")),""),""),"")</f>
        <v/>
      </c>
      <c r="V1748" s="317" t="str" cm="1">
        <f t="array" aca="1" ref="V1748" ca="1">IFERROR(IF(AA1748&lt;&gt;"ja",_xlfn.IFNA(_xlfn.IFS(AND(P1748&lt;&gt;"",R1748&lt;&gt;"",RIGHT($N1748,6)="tarief",F1748="Vergoeding"),SUM(P1748)*FLOOR(SUM(R1748),0.0001),AND(P1748&lt;&gt;"",R1748&lt;&gt;"",RIGHT($N1748,6)="tarief"),P1748*FLOOR(R1748,0.01),T1748&gt;0,FLOOR(SUM(T1748),0.01)),""),""),"")</f>
        <v/>
      </c>
      <c r="W1748" s="317" t="str" cm="1">
        <f t="array" aca="1" ref="W1748" ca="1">IFERROR(_xlfn.IFS(OR(F1748="",LEFT(Methode_Keuze,4)="Geen",Methode_Keuze=""),"",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17" t="str" cm="1">
        <f t="array" aca="1" ref="X1748" ca="1">IFERROR(_xlfn.IFS(OR(F1748="",LEFT(Methode_Keuze,4)="Geen",Methode_Keuze=""),"",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26"/>
      <c r="Z1748" s="319"/>
      <c r="AA1748" s="32" t="str" cm="1">
        <f t="array" ref="AA1748">IFERROR(IF(INDEX(SubsidieTabel!$AD$1:$AG$12,MATCH($F1748,SubsidieTabel!$AD$1:$AD$12,0),IFERROR(MATCH(Methode_Keuze,SubsidieTabel!$AD$1:$AG$1,0),2))&lt;&gt;1=TRUE,"ja",""),"")</f>
        <v/>
      </c>
    </row>
    <row r="1749" spans="1:27" x14ac:dyDescent="0.25">
      <c r="A1749" s="320"/>
      <c r="B1749" s="321" t="str">
        <f>IF(A1749&lt;&gt;"",_xlfn.MAXIFS($B$1:B1748,$A$1:A1748,A1749)+1,"")</f>
        <v/>
      </c>
      <c r="C1749" s="299"/>
      <c r="D1749" s="299"/>
      <c r="E1749" s="299"/>
      <c r="F1749" s="299"/>
      <c r="G1749" s="330"/>
      <c r="H1749" s="328"/>
      <c r="I1749" s="329"/>
      <c r="J1749" s="329"/>
      <c r="K1749" s="322"/>
      <c r="L1749" s="322"/>
      <c r="M1749" s="323" t="str">
        <f>IFERROR(VLOOKUP(H1749,Lijsten!$H$1:$I$100,2,0),"")</f>
        <v/>
      </c>
      <c r="N1749" s="323" t="str">
        <f ca="1">IFERROR(IF(VLOOKUP(F1749,Kostentypen!$A$3:$E$21,3,0)=0,"",IF(OR(F1749="Arbeidskosten",F1749="Vergoeding"),VLOOKUP(G1749,Tb_KostenTypen[],2,0),VLOOKUP(F1749,Kostentypen!$A$3:$E$20,3,0))),"")</f>
        <v/>
      </c>
      <c r="O1749" s="324"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4"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3"/>
      <c r="R1749" s="363"/>
      <c r="S1749" s="325"/>
      <c r="T1749" s="325"/>
      <c r="U1749" s="317" t="str" cm="1">
        <f t="array" aca="1" ref="U1749" ca="1">IFERROR(IF(AA1749&lt;&gt;"ja",_xlfn.IFNA(_xlfn.IFS(AND(O1749&lt;&gt;"",F1749&lt;&gt;"",RIGHT($N1749,6)="tarief",F1749="Vergoeding"),SUM(O1749)*FLOOR(SUM(Q1749),0.0001),AND(O1749&lt;&gt;"",F1749&lt;&gt;"",RIGHT($N1749,6)="tarief"),SUM(O1749)*FLOOR(SUM(Q1749),0.01),S1749&gt;0,IF(F1749&lt;&gt;"",FLOOR(SUM(S1749),0.01),"")),""),""),"")</f>
        <v/>
      </c>
      <c r="V1749" s="317" t="str" cm="1">
        <f t="array" aca="1" ref="V1749" ca="1">IFERROR(IF(AA1749&lt;&gt;"ja",_xlfn.IFNA(_xlfn.IFS(AND(P1749&lt;&gt;"",R1749&lt;&gt;"",RIGHT($N1749,6)="tarief",F1749="Vergoeding"),SUM(P1749)*FLOOR(SUM(R1749),0.0001),AND(P1749&lt;&gt;"",R1749&lt;&gt;"",RIGHT($N1749,6)="tarief"),P1749*FLOOR(R1749,0.01),T1749&gt;0,FLOOR(SUM(T1749),0.01)),""),""),"")</f>
        <v/>
      </c>
      <c r="W1749" s="317" t="str" cm="1">
        <f t="array" aca="1" ref="W1749" ca="1">IFERROR(_xlfn.IFS(OR(F1749="",LEFT(Methode_Keuze,4)="Geen",Methode_Keuze=""),"",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17" t="str" cm="1">
        <f t="array" aca="1" ref="X1749" ca="1">IFERROR(_xlfn.IFS(OR(F1749="",LEFT(Methode_Keuze,4)="Geen",Methode_Keuze=""),"",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26"/>
      <c r="Z1749" s="319"/>
      <c r="AA1749" s="32" t="str" cm="1">
        <f t="array" ref="AA1749">IFERROR(IF(INDEX(SubsidieTabel!$AD$1:$AG$12,MATCH($F1749,SubsidieTabel!$AD$1:$AD$12,0),IFERROR(MATCH(Methode_Keuze,SubsidieTabel!$AD$1:$AG$1,0),2))&lt;&gt;1=TRUE,"ja",""),"")</f>
        <v/>
      </c>
    </row>
    <row r="1750" spans="1:27" x14ac:dyDescent="0.25">
      <c r="A1750" s="320"/>
      <c r="B1750" s="321" t="str">
        <f>IF(A1750&lt;&gt;"",_xlfn.MAXIFS($B$1:B1749,$A$1:A1749,A1750)+1,"")</f>
        <v/>
      </c>
      <c r="C1750" s="299"/>
      <c r="D1750" s="299"/>
      <c r="E1750" s="299"/>
      <c r="F1750" s="299"/>
      <c r="G1750" s="330"/>
      <c r="H1750" s="328"/>
      <c r="I1750" s="329"/>
      <c r="J1750" s="329"/>
      <c r="K1750" s="322"/>
      <c r="L1750" s="322"/>
      <c r="M1750" s="323" t="str">
        <f>IFERROR(VLOOKUP(H1750,Lijsten!$H$1:$I$100,2,0),"")</f>
        <v/>
      </c>
      <c r="N1750" s="323" t="str">
        <f ca="1">IFERROR(IF(VLOOKUP(F1750,Kostentypen!$A$3:$E$21,3,0)=0,"",IF(OR(F1750="Arbeidskosten",F1750="Vergoeding"),VLOOKUP(G1750,Tb_KostenTypen[],2,0),VLOOKUP(F1750,Kostentypen!$A$3:$E$20,3,0))),"")</f>
        <v/>
      </c>
      <c r="O1750" s="324"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4"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3"/>
      <c r="R1750" s="363"/>
      <c r="S1750" s="325"/>
      <c r="T1750" s="325"/>
      <c r="U1750" s="317" t="str" cm="1">
        <f t="array" aca="1" ref="U1750" ca="1">IFERROR(IF(AA1750&lt;&gt;"ja",_xlfn.IFNA(_xlfn.IFS(AND(O1750&lt;&gt;"",F1750&lt;&gt;"",RIGHT($N1750,6)="tarief",F1750="Vergoeding"),SUM(O1750)*FLOOR(SUM(Q1750),0.0001),AND(O1750&lt;&gt;"",F1750&lt;&gt;"",RIGHT($N1750,6)="tarief"),SUM(O1750)*FLOOR(SUM(Q1750),0.01),S1750&gt;0,IF(F1750&lt;&gt;"",FLOOR(SUM(S1750),0.01),"")),""),""),"")</f>
        <v/>
      </c>
      <c r="V1750" s="317" t="str" cm="1">
        <f t="array" aca="1" ref="V1750" ca="1">IFERROR(IF(AA1750&lt;&gt;"ja",_xlfn.IFNA(_xlfn.IFS(AND(P1750&lt;&gt;"",R1750&lt;&gt;"",RIGHT($N1750,6)="tarief",F1750="Vergoeding"),SUM(P1750)*FLOOR(SUM(R1750),0.0001),AND(P1750&lt;&gt;"",R1750&lt;&gt;"",RIGHT($N1750,6)="tarief"),P1750*FLOOR(R1750,0.01),T1750&gt;0,FLOOR(SUM(T1750),0.01)),""),""),"")</f>
        <v/>
      </c>
      <c r="W1750" s="317" t="str" cm="1">
        <f t="array" aca="1" ref="W1750" ca="1">IFERROR(_xlfn.IFS(OR(F1750="",LEFT(Methode_Keuze,4)="Geen",Methode_Keuze=""),"",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17" t="str" cm="1">
        <f t="array" aca="1" ref="X1750" ca="1">IFERROR(_xlfn.IFS(OR(F1750="",LEFT(Methode_Keuze,4)="Geen",Methode_Keuze=""),"",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26"/>
      <c r="Z1750" s="319"/>
      <c r="AA1750" s="32" t="str" cm="1">
        <f t="array" ref="AA1750">IFERROR(IF(INDEX(SubsidieTabel!$AD$1:$AG$12,MATCH($F1750,SubsidieTabel!$AD$1:$AD$12,0),IFERROR(MATCH(Methode_Keuze,SubsidieTabel!$AD$1:$AG$1,0),2))&lt;&gt;1=TRUE,"ja",""),"")</f>
        <v/>
      </c>
    </row>
    <row r="1751" spans="1:27" x14ac:dyDescent="0.25">
      <c r="A1751" s="320"/>
      <c r="B1751" s="321" t="str">
        <f>IF(A1751&lt;&gt;"",_xlfn.MAXIFS($B$1:B1750,$A$1:A1750,A1751)+1,"")</f>
        <v/>
      </c>
      <c r="C1751" s="299"/>
      <c r="D1751" s="299"/>
      <c r="E1751" s="299"/>
      <c r="F1751" s="299"/>
      <c r="G1751" s="330"/>
      <c r="H1751" s="328"/>
      <c r="I1751" s="329"/>
      <c r="J1751" s="329"/>
      <c r="K1751" s="322"/>
      <c r="L1751" s="322"/>
      <c r="M1751" s="323" t="str">
        <f>IFERROR(VLOOKUP(H1751,Lijsten!$H$1:$I$100,2,0),"")</f>
        <v/>
      </c>
      <c r="N1751" s="323" t="str">
        <f ca="1">IFERROR(IF(VLOOKUP(F1751,Kostentypen!$A$3:$E$21,3,0)=0,"",IF(OR(F1751="Arbeidskosten",F1751="Vergoeding"),VLOOKUP(G1751,Tb_KostenTypen[],2,0),VLOOKUP(F1751,Kostentypen!$A$3:$E$20,3,0))),"")</f>
        <v/>
      </c>
      <c r="O1751" s="324"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4"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3"/>
      <c r="R1751" s="363"/>
      <c r="S1751" s="325"/>
      <c r="T1751" s="325"/>
      <c r="U1751" s="317" t="str" cm="1">
        <f t="array" aca="1" ref="U1751" ca="1">IFERROR(IF(AA1751&lt;&gt;"ja",_xlfn.IFNA(_xlfn.IFS(AND(O1751&lt;&gt;"",F1751&lt;&gt;"",RIGHT($N1751,6)="tarief",F1751="Vergoeding"),SUM(O1751)*FLOOR(SUM(Q1751),0.0001),AND(O1751&lt;&gt;"",F1751&lt;&gt;"",RIGHT($N1751,6)="tarief"),SUM(O1751)*FLOOR(SUM(Q1751),0.01),S1751&gt;0,IF(F1751&lt;&gt;"",FLOOR(SUM(S1751),0.01),"")),""),""),"")</f>
        <v/>
      </c>
      <c r="V1751" s="317" t="str" cm="1">
        <f t="array" aca="1" ref="V1751" ca="1">IFERROR(IF(AA1751&lt;&gt;"ja",_xlfn.IFNA(_xlfn.IFS(AND(P1751&lt;&gt;"",R1751&lt;&gt;"",RIGHT($N1751,6)="tarief",F1751="Vergoeding"),SUM(P1751)*FLOOR(SUM(R1751),0.0001),AND(P1751&lt;&gt;"",R1751&lt;&gt;"",RIGHT($N1751,6)="tarief"),P1751*FLOOR(R1751,0.01),T1751&gt;0,FLOOR(SUM(T1751),0.01)),""),""),"")</f>
        <v/>
      </c>
      <c r="W1751" s="317" t="str" cm="1">
        <f t="array" aca="1" ref="W1751" ca="1">IFERROR(_xlfn.IFS(OR(F1751="",LEFT(Methode_Keuze,4)="Geen",Methode_Keuze=""),"",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17" t="str" cm="1">
        <f t="array" aca="1" ref="X1751" ca="1">IFERROR(_xlfn.IFS(OR(F1751="",LEFT(Methode_Keuze,4)="Geen",Methode_Keuze=""),"",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26"/>
      <c r="Z1751" s="319"/>
      <c r="AA1751" s="32" t="str" cm="1">
        <f t="array" ref="AA1751">IFERROR(IF(INDEX(SubsidieTabel!$AD$1:$AG$12,MATCH($F1751,SubsidieTabel!$AD$1:$AD$12,0),IFERROR(MATCH(Methode_Keuze,SubsidieTabel!$AD$1:$AG$1,0),2))&lt;&gt;1=TRUE,"ja",""),"")</f>
        <v/>
      </c>
    </row>
    <row r="1752" spans="1:27" x14ac:dyDescent="0.25">
      <c r="A1752" s="320"/>
      <c r="B1752" s="321" t="str">
        <f>IF(A1752&lt;&gt;"",_xlfn.MAXIFS($B$1:B1751,$A$1:A1751,A1752)+1,"")</f>
        <v/>
      </c>
      <c r="C1752" s="299"/>
      <c r="D1752" s="299"/>
      <c r="E1752" s="299"/>
      <c r="F1752" s="299"/>
      <c r="G1752" s="330"/>
      <c r="H1752" s="328"/>
      <c r="I1752" s="329"/>
      <c r="J1752" s="329"/>
      <c r="K1752" s="322"/>
      <c r="L1752" s="322"/>
      <c r="M1752" s="323" t="str">
        <f>IFERROR(VLOOKUP(H1752,Lijsten!$H$1:$I$100,2,0),"")</f>
        <v/>
      </c>
      <c r="N1752" s="323" t="str">
        <f ca="1">IFERROR(IF(VLOOKUP(F1752,Kostentypen!$A$3:$E$21,3,0)=0,"",IF(OR(F1752="Arbeidskosten",F1752="Vergoeding"),VLOOKUP(G1752,Tb_KostenTypen[],2,0),VLOOKUP(F1752,Kostentypen!$A$3:$E$20,3,0))),"")</f>
        <v/>
      </c>
      <c r="O1752" s="324"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4"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3"/>
      <c r="R1752" s="363"/>
      <c r="S1752" s="325"/>
      <c r="T1752" s="325"/>
      <c r="U1752" s="317" t="str" cm="1">
        <f t="array" aca="1" ref="U1752" ca="1">IFERROR(IF(AA1752&lt;&gt;"ja",_xlfn.IFNA(_xlfn.IFS(AND(O1752&lt;&gt;"",F1752&lt;&gt;"",RIGHT($N1752,6)="tarief",F1752="Vergoeding"),SUM(O1752)*FLOOR(SUM(Q1752),0.0001),AND(O1752&lt;&gt;"",F1752&lt;&gt;"",RIGHT($N1752,6)="tarief"),SUM(O1752)*FLOOR(SUM(Q1752),0.01),S1752&gt;0,IF(F1752&lt;&gt;"",FLOOR(SUM(S1752),0.01),"")),""),""),"")</f>
        <v/>
      </c>
      <c r="V1752" s="317" t="str" cm="1">
        <f t="array" aca="1" ref="V1752" ca="1">IFERROR(IF(AA1752&lt;&gt;"ja",_xlfn.IFNA(_xlfn.IFS(AND(P1752&lt;&gt;"",R1752&lt;&gt;"",RIGHT($N1752,6)="tarief",F1752="Vergoeding"),SUM(P1752)*FLOOR(SUM(R1752),0.0001),AND(P1752&lt;&gt;"",R1752&lt;&gt;"",RIGHT($N1752,6)="tarief"),P1752*FLOOR(R1752,0.01),T1752&gt;0,FLOOR(SUM(T1752),0.01)),""),""),"")</f>
        <v/>
      </c>
      <c r="W1752" s="317" t="str" cm="1">
        <f t="array" aca="1" ref="W1752" ca="1">IFERROR(_xlfn.IFS(OR(F1752="",LEFT(Methode_Keuze,4)="Geen",Methode_Keuze=""),"",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17" t="str" cm="1">
        <f t="array" aca="1" ref="X1752" ca="1">IFERROR(_xlfn.IFS(OR(F1752="",LEFT(Methode_Keuze,4)="Geen",Methode_Keuze=""),"",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26"/>
      <c r="Z1752" s="319"/>
      <c r="AA1752" s="32" t="str" cm="1">
        <f t="array" ref="AA1752">IFERROR(IF(INDEX(SubsidieTabel!$AD$1:$AG$12,MATCH($F1752,SubsidieTabel!$AD$1:$AD$12,0),IFERROR(MATCH(Methode_Keuze,SubsidieTabel!$AD$1:$AG$1,0),2))&lt;&gt;1=TRUE,"ja",""),"")</f>
        <v/>
      </c>
    </row>
    <row r="1753" spans="1:27" x14ac:dyDescent="0.25">
      <c r="A1753" s="320"/>
      <c r="B1753" s="321" t="str">
        <f>IF(A1753&lt;&gt;"",_xlfn.MAXIFS($B$1:B1752,$A$1:A1752,A1753)+1,"")</f>
        <v/>
      </c>
      <c r="C1753" s="299"/>
      <c r="D1753" s="299"/>
      <c r="E1753" s="299"/>
      <c r="F1753" s="299"/>
      <c r="G1753" s="330"/>
      <c r="H1753" s="328"/>
      <c r="I1753" s="329"/>
      <c r="J1753" s="329"/>
      <c r="K1753" s="322"/>
      <c r="L1753" s="322"/>
      <c r="M1753" s="323" t="str">
        <f>IFERROR(VLOOKUP(H1753,Lijsten!$H$1:$I$100,2,0),"")</f>
        <v/>
      </c>
      <c r="N1753" s="323" t="str">
        <f ca="1">IFERROR(IF(VLOOKUP(F1753,Kostentypen!$A$3:$E$21,3,0)=0,"",IF(OR(F1753="Arbeidskosten",F1753="Vergoeding"),VLOOKUP(G1753,Tb_KostenTypen[],2,0),VLOOKUP(F1753,Kostentypen!$A$3:$E$20,3,0))),"")</f>
        <v/>
      </c>
      <c r="O1753" s="324"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4"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3"/>
      <c r="R1753" s="363"/>
      <c r="S1753" s="325"/>
      <c r="T1753" s="325"/>
      <c r="U1753" s="317" t="str" cm="1">
        <f t="array" aca="1" ref="U1753" ca="1">IFERROR(IF(AA1753&lt;&gt;"ja",_xlfn.IFNA(_xlfn.IFS(AND(O1753&lt;&gt;"",F1753&lt;&gt;"",RIGHT($N1753,6)="tarief",F1753="Vergoeding"),SUM(O1753)*FLOOR(SUM(Q1753),0.0001),AND(O1753&lt;&gt;"",F1753&lt;&gt;"",RIGHT($N1753,6)="tarief"),SUM(O1753)*FLOOR(SUM(Q1753),0.01),S1753&gt;0,IF(F1753&lt;&gt;"",FLOOR(SUM(S1753),0.01),"")),""),""),"")</f>
        <v/>
      </c>
      <c r="V1753" s="317" t="str" cm="1">
        <f t="array" aca="1" ref="V1753" ca="1">IFERROR(IF(AA1753&lt;&gt;"ja",_xlfn.IFNA(_xlfn.IFS(AND(P1753&lt;&gt;"",R1753&lt;&gt;"",RIGHT($N1753,6)="tarief",F1753="Vergoeding"),SUM(P1753)*FLOOR(SUM(R1753),0.0001),AND(P1753&lt;&gt;"",R1753&lt;&gt;"",RIGHT($N1753,6)="tarief"),P1753*FLOOR(R1753,0.01),T1753&gt;0,FLOOR(SUM(T1753),0.01)),""),""),"")</f>
        <v/>
      </c>
      <c r="W1753" s="317" t="str" cm="1">
        <f t="array" aca="1" ref="W1753" ca="1">IFERROR(_xlfn.IFS(OR(F1753="",LEFT(Methode_Keuze,4)="Geen",Methode_Keuze=""),"",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17" t="str" cm="1">
        <f t="array" aca="1" ref="X1753" ca="1">IFERROR(_xlfn.IFS(OR(F1753="",LEFT(Methode_Keuze,4)="Geen",Methode_Keuze=""),"",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26"/>
      <c r="Z1753" s="319"/>
      <c r="AA1753" s="32" t="str" cm="1">
        <f t="array" ref="AA1753">IFERROR(IF(INDEX(SubsidieTabel!$AD$1:$AG$12,MATCH($F1753,SubsidieTabel!$AD$1:$AD$12,0),IFERROR(MATCH(Methode_Keuze,SubsidieTabel!$AD$1:$AG$1,0),2))&lt;&gt;1=TRUE,"ja",""),"")</f>
        <v/>
      </c>
    </row>
    <row r="1754" spans="1:27" x14ac:dyDescent="0.25">
      <c r="A1754" s="320"/>
      <c r="B1754" s="321" t="str">
        <f>IF(A1754&lt;&gt;"",_xlfn.MAXIFS($B$1:B1753,$A$1:A1753,A1754)+1,"")</f>
        <v/>
      </c>
      <c r="C1754" s="299"/>
      <c r="D1754" s="299"/>
      <c r="E1754" s="299"/>
      <c r="F1754" s="299"/>
      <c r="G1754" s="330"/>
      <c r="H1754" s="328"/>
      <c r="I1754" s="329"/>
      <c r="J1754" s="329"/>
      <c r="K1754" s="322"/>
      <c r="L1754" s="322"/>
      <c r="M1754" s="323" t="str">
        <f>IFERROR(VLOOKUP(H1754,Lijsten!$H$1:$I$100,2,0),"")</f>
        <v/>
      </c>
      <c r="N1754" s="323" t="str">
        <f ca="1">IFERROR(IF(VLOOKUP(F1754,Kostentypen!$A$3:$E$21,3,0)=0,"",IF(OR(F1754="Arbeidskosten",F1754="Vergoeding"),VLOOKUP(G1754,Tb_KostenTypen[],2,0),VLOOKUP(F1754,Kostentypen!$A$3:$E$20,3,0))),"")</f>
        <v/>
      </c>
      <c r="O1754" s="324"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4"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3"/>
      <c r="R1754" s="363"/>
      <c r="S1754" s="325"/>
      <c r="T1754" s="325"/>
      <c r="U1754" s="317" t="str" cm="1">
        <f t="array" aca="1" ref="U1754" ca="1">IFERROR(IF(AA1754&lt;&gt;"ja",_xlfn.IFNA(_xlfn.IFS(AND(O1754&lt;&gt;"",F1754&lt;&gt;"",RIGHT($N1754,6)="tarief",F1754="Vergoeding"),SUM(O1754)*FLOOR(SUM(Q1754),0.0001),AND(O1754&lt;&gt;"",F1754&lt;&gt;"",RIGHT($N1754,6)="tarief"),SUM(O1754)*FLOOR(SUM(Q1754),0.01),S1754&gt;0,IF(F1754&lt;&gt;"",FLOOR(SUM(S1754),0.01),"")),""),""),"")</f>
        <v/>
      </c>
      <c r="V1754" s="317" t="str" cm="1">
        <f t="array" aca="1" ref="V1754" ca="1">IFERROR(IF(AA1754&lt;&gt;"ja",_xlfn.IFNA(_xlfn.IFS(AND(P1754&lt;&gt;"",R1754&lt;&gt;"",RIGHT($N1754,6)="tarief",F1754="Vergoeding"),SUM(P1754)*FLOOR(SUM(R1754),0.0001),AND(P1754&lt;&gt;"",R1754&lt;&gt;"",RIGHT($N1754,6)="tarief"),P1754*FLOOR(R1754,0.01),T1754&gt;0,FLOOR(SUM(T1754),0.01)),""),""),"")</f>
        <v/>
      </c>
      <c r="W1754" s="317" t="str" cm="1">
        <f t="array" aca="1" ref="W1754" ca="1">IFERROR(_xlfn.IFS(OR(F1754="",LEFT(Methode_Keuze,4)="Geen",Methode_Keuze=""),"",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17" t="str" cm="1">
        <f t="array" aca="1" ref="X1754" ca="1">IFERROR(_xlfn.IFS(OR(F1754="",LEFT(Methode_Keuze,4)="Geen",Methode_Keuze=""),"",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26"/>
      <c r="Z1754" s="319"/>
      <c r="AA1754" s="32" t="str" cm="1">
        <f t="array" ref="AA1754">IFERROR(IF(INDEX(SubsidieTabel!$AD$1:$AG$12,MATCH($F1754,SubsidieTabel!$AD$1:$AD$12,0),IFERROR(MATCH(Methode_Keuze,SubsidieTabel!$AD$1:$AG$1,0),2))&lt;&gt;1=TRUE,"ja",""),"")</f>
        <v/>
      </c>
    </row>
    <row r="1755" spans="1:27" x14ac:dyDescent="0.25">
      <c r="A1755" s="320"/>
      <c r="B1755" s="321" t="str">
        <f>IF(A1755&lt;&gt;"",_xlfn.MAXIFS($B$1:B1754,$A$1:A1754,A1755)+1,"")</f>
        <v/>
      </c>
      <c r="C1755" s="299"/>
      <c r="D1755" s="299"/>
      <c r="E1755" s="299"/>
      <c r="F1755" s="299"/>
      <c r="G1755" s="330"/>
      <c r="H1755" s="328"/>
      <c r="I1755" s="329"/>
      <c r="J1755" s="329"/>
      <c r="K1755" s="322"/>
      <c r="L1755" s="322"/>
      <c r="M1755" s="323" t="str">
        <f>IFERROR(VLOOKUP(H1755,Lijsten!$H$1:$I$100,2,0),"")</f>
        <v/>
      </c>
      <c r="N1755" s="323" t="str">
        <f ca="1">IFERROR(IF(VLOOKUP(F1755,Kostentypen!$A$3:$E$21,3,0)=0,"",IF(OR(F1755="Arbeidskosten",F1755="Vergoeding"),VLOOKUP(G1755,Tb_KostenTypen[],2,0),VLOOKUP(F1755,Kostentypen!$A$3:$E$20,3,0))),"")</f>
        <v/>
      </c>
      <c r="O1755" s="324"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4"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3"/>
      <c r="R1755" s="363"/>
      <c r="S1755" s="325"/>
      <c r="T1755" s="325"/>
      <c r="U1755" s="317" t="str" cm="1">
        <f t="array" aca="1" ref="U1755" ca="1">IFERROR(IF(AA1755&lt;&gt;"ja",_xlfn.IFNA(_xlfn.IFS(AND(O1755&lt;&gt;"",F1755&lt;&gt;"",RIGHT($N1755,6)="tarief",F1755="Vergoeding"),SUM(O1755)*FLOOR(SUM(Q1755),0.0001),AND(O1755&lt;&gt;"",F1755&lt;&gt;"",RIGHT($N1755,6)="tarief"),SUM(O1755)*FLOOR(SUM(Q1755),0.01),S1755&gt;0,IF(F1755&lt;&gt;"",FLOOR(SUM(S1755),0.01),"")),""),""),"")</f>
        <v/>
      </c>
      <c r="V1755" s="317" t="str" cm="1">
        <f t="array" aca="1" ref="V1755" ca="1">IFERROR(IF(AA1755&lt;&gt;"ja",_xlfn.IFNA(_xlfn.IFS(AND(P1755&lt;&gt;"",R1755&lt;&gt;"",RIGHT($N1755,6)="tarief",F1755="Vergoeding"),SUM(P1755)*FLOOR(SUM(R1755),0.0001),AND(P1755&lt;&gt;"",R1755&lt;&gt;"",RIGHT($N1755,6)="tarief"),P1755*FLOOR(R1755,0.01),T1755&gt;0,FLOOR(SUM(T1755),0.01)),""),""),"")</f>
        <v/>
      </c>
      <c r="W1755" s="317" t="str" cm="1">
        <f t="array" aca="1" ref="W1755" ca="1">IFERROR(_xlfn.IFS(OR(F1755="",LEFT(Methode_Keuze,4)="Geen",Methode_Keuze=""),"",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17" t="str" cm="1">
        <f t="array" aca="1" ref="X1755" ca="1">IFERROR(_xlfn.IFS(OR(F1755="",LEFT(Methode_Keuze,4)="Geen",Methode_Keuze=""),"",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26"/>
      <c r="Z1755" s="319"/>
      <c r="AA1755" s="32" t="str" cm="1">
        <f t="array" ref="AA1755">IFERROR(IF(INDEX(SubsidieTabel!$AD$1:$AG$12,MATCH($F1755,SubsidieTabel!$AD$1:$AD$12,0),IFERROR(MATCH(Methode_Keuze,SubsidieTabel!$AD$1:$AG$1,0),2))&lt;&gt;1=TRUE,"ja",""),"")</f>
        <v/>
      </c>
    </row>
    <row r="1756" spans="1:27" x14ac:dyDescent="0.25">
      <c r="A1756" s="320"/>
      <c r="B1756" s="321" t="str">
        <f>IF(A1756&lt;&gt;"",_xlfn.MAXIFS($B$1:B1755,$A$1:A1755,A1756)+1,"")</f>
        <v/>
      </c>
      <c r="C1756" s="299"/>
      <c r="D1756" s="299"/>
      <c r="E1756" s="299"/>
      <c r="F1756" s="299"/>
      <c r="G1756" s="330"/>
      <c r="H1756" s="328"/>
      <c r="I1756" s="329"/>
      <c r="J1756" s="329"/>
      <c r="K1756" s="322"/>
      <c r="L1756" s="322"/>
      <c r="M1756" s="323" t="str">
        <f>IFERROR(VLOOKUP(H1756,Lijsten!$H$1:$I$100,2,0),"")</f>
        <v/>
      </c>
      <c r="N1756" s="323" t="str">
        <f ca="1">IFERROR(IF(VLOOKUP(F1756,Kostentypen!$A$3:$E$21,3,0)=0,"",IF(OR(F1756="Arbeidskosten",F1756="Vergoeding"),VLOOKUP(G1756,Tb_KostenTypen[],2,0),VLOOKUP(F1756,Kostentypen!$A$3:$E$20,3,0))),"")</f>
        <v/>
      </c>
      <c r="O1756" s="324"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4"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3"/>
      <c r="R1756" s="363"/>
      <c r="S1756" s="325"/>
      <c r="T1756" s="325"/>
      <c r="U1756" s="317" t="str" cm="1">
        <f t="array" aca="1" ref="U1756" ca="1">IFERROR(IF(AA1756&lt;&gt;"ja",_xlfn.IFNA(_xlfn.IFS(AND(O1756&lt;&gt;"",F1756&lt;&gt;"",RIGHT($N1756,6)="tarief",F1756="Vergoeding"),SUM(O1756)*FLOOR(SUM(Q1756),0.0001),AND(O1756&lt;&gt;"",F1756&lt;&gt;"",RIGHT($N1756,6)="tarief"),SUM(O1756)*FLOOR(SUM(Q1756),0.01),S1756&gt;0,IF(F1756&lt;&gt;"",FLOOR(SUM(S1756),0.01),"")),""),""),"")</f>
        <v/>
      </c>
      <c r="V1756" s="317" t="str" cm="1">
        <f t="array" aca="1" ref="V1756" ca="1">IFERROR(IF(AA1756&lt;&gt;"ja",_xlfn.IFNA(_xlfn.IFS(AND(P1756&lt;&gt;"",R1756&lt;&gt;"",RIGHT($N1756,6)="tarief",F1756="Vergoeding"),SUM(P1756)*FLOOR(SUM(R1756),0.0001),AND(P1756&lt;&gt;"",R1756&lt;&gt;"",RIGHT($N1756,6)="tarief"),P1756*FLOOR(R1756,0.01),T1756&gt;0,FLOOR(SUM(T1756),0.01)),""),""),"")</f>
        <v/>
      </c>
      <c r="W1756" s="317" t="str" cm="1">
        <f t="array" aca="1" ref="W1756" ca="1">IFERROR(_xlfn.IFS(OR(F1756="",LEFT(Methode_Keuze,4)="Geen",Methode_Keuze=""),"",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17" t="str" cm="1">
        <f t="array" aca="1" ref="X1756" ca="1">IFERROR(_xlfn.IFS(OR(F1756="",LEFT(Methode_Keuze,4)="Geen",Methode_Keuze=""),"",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26"/>
      <c r="Z1756" s="319"/>
      <c r="AA1756" s="32" t="str" cm="1">
        <f t="array" ref="AA1756">IFERROR(IF(INDEX(SubsidieTabel!$AD$1:$AG$12,MATCH($F1756,SubsidieTabel!$AD$1:$AD$12,0),IFERROR(MATCH(Methode_Keuze,SubsidieTabel!$AD$1:$AG$1,0),2))&lt;&gt;1=TRUE,"ja",""),"")</f>
        <v/>
      </c>
    </row>
    <row r="1757" spans="1:27" x14ac:dyDescent="0.25">
      <c r="A1757" s="320"/>
      <c r="B1757" s="321" t="str">
        <f>IF(A1757&lt;&gt;"",_xlfn.MAXIFS($B$1:B1756,$A$1:A1756,A1757)+1,"")</f>
        <v/>
      </c>
      <c r="C1757" s="299"/>
      <c r="D1757" s="299"/>
      <c r="E1757" s="299"/>
      <c r="F1757" s="299"/>
      <c r="G1757" s="330"/>
      <c r="H1757" s="328"/>
      <c r="I1757" s="329"/>
      <c r="J1757" s="329"/>
      <c r="K1757" s="322"/>
      <c r="L1757" s="322"/>
      <c r="M1757" s="323" t="str">
        <f>IFERROR(VLOOKUP(H1757,Lijsten!$H$1:$I$100,2,0),"")</f>
        <v/>
      </c>
      <c r="N1757" s="323" t="str">
        <f ca="1">IFERROR(IF(VLOOKUP(F1757,Kostentypen!$A$3:$E$21,3,0)=0,"",IF(OR(F1757="Arbeidskosten",F1757="Vergoeding"),VLOOKUP(G1757,Tb_KostenTypen[],2,0),VLOOKUP(F1757,Kostentypen!$A$3:$E$20,3,0))),"")</f>
        <v/>
      </c>
      <c r="O1757" s="324"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4"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3"/>
      <c r="R1757" s="363"/>
      <c r="S1757" s="325"/>
      <c r="T1757" s="325"/>
      <c r="U1757" s="317" t="str" cm="1">
        <f t="array" aca="1" ref="U1757" ca="1">IFERROR(IF(AA1757&lt;&gt;"ja",_xlfn.IFNA(_xlfn.IFS(AND(O1757&lt;&gt;"",F1757&lt;&gt;"",RIGHT($N1757,6)="tarief",F1757="Vergoeding"),SUM(O1757)*FLOOR(SUM(Q1757),0.0001),AND(O1757&lt;&gt;"",F1757&lt;&gt;"",RIGHT($N1757,6)="tarief"),SUM(O1757)*FLOOR(SUM(Q1757),0.01),S1757&gt;0,IF(F1757&lt;&gt;"",FLOOR(SUM(S1757),0.01),"")),""),""),"")</f>
        <v/>
      </c>
      <c r="V1757" s="317" t="str" cm="1">
        <f t="array" aca="1" ref="V1757" ca="1">IFERROR(IF(AA1757&lt;&gt;"ja",_xlfn.IFNA(_xlfn.IFS(AND(P1757&lt;&gt;"",R1757&lt;&gt;"",RIGHT($N1757,6)="tarief",F1757="Vergoeding"),SUM(P1757)*FLOOR(SUM(R1757),0.0001),AND(P1757&lt;&gt;"",R1757&lt;&gt;"",RIGHT($N1757,6)="tarief"),P1757*FLOOR(R1757,0.01),T1757&gt;0,FLOOR(SUM(T1757),0.01)),""),""),"")</f>
        <v/>
      </c>
      <c r="W1757" s="317" t="str" cm="1">
        <f t="array" aca="1" ref="W1757" ca="1">IFERROR(_xlfn.IFS(OR(F1757="",LEFT(Methode_Keuze,4)="Geen",Methode_Keuze=""),"",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17" t="str" cm="1">
        <f t="array" aca="1" ref="X1757" ca="1">IFERROR(_xlfn.IFS(OR(F1757="",LEFT(Methode_Keuze,4)="Geen",Methode_Keuze=""),"",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26"/>
      <c r="Z1757" s="319"/>
      <c r="AA1757" s="32" t="str" cm="1">
        <f t="array" ref="AA1757">IFERROR(IF(INDEX(SubsidieTabel!$AD$1:$AG$12,MATCH($F1757,SubsidieTabel!$AD$1:$AD$12,0),IFERROR(MATCH(Methode_Keuze,SubsidieTabel!$AD$1:$AG$1,0),2))&lt;&gt;1=TRUE,"ja",""),"")</f>
        <v/>
      </c>
    </row>
    <row r="1758" spans="1:27" x14ac:dyDescent="0.25">
      <c r="A1758" s="320"/>
      <c r="B1758" s="321" t="str">
        <f>IF(A1758&lt;&gt;"",_xlfn.MAXIFS($B$1:B1757,$A$1:A1757,A1758)+1,"")</f>
        <v/>
      </c>
      <c r="C1758" s="299"/>
      <c r="D1758" s="299"/>
      <c r="E1758" s="299"/>
      <c r="F1758" s="299"/>
      <c r="G1758" s="330"/>
      <c r="H1758" s="328"/>
      <c r="I1758" s="329"/>
      <c r="J1758" s="329"/>
      <c r="K1758" s="322"/>
      <c r="L1758" s="322"/>
      <c r="M1758" s="323" t="str">
        <f>IFERROR(VLOOKUP(H1758,Lijsten!$H$1:$I$100,2,0),"")</f>
        <v/>
      </c>
      <c r="N1758" s="323" t="str">
        <f ca="1">IFERROR(IF(VLOOKUP(F1758,Kostentypen!$A$3:$E$21,3,0)=0,"",IF(OR(F1758="Arbeidskosten",F1758="Vergoeding"),VLOOKUP(G1758,Tb_KostenTypen[],2,0),VLOOKUP(F1758,Kostentypen!$A$3:$E$20,3,0))),"")</f>
        <v/>
      </c>
      <c r="O1758" s="324"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4"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3"/>
      <c r="R1758" s="363"/>
      <c r="S1758" s="325"/>
      <c r="T1758" s="325"/>
      <c r="U1758" s="317" t="str" cm="1">
        <f t="array" aca="1" ref="U1758" ca="1">IFERROR(IF(AA1758&lt;&gt;"ja",_xlfn.IFNA(_xlfn.IFS(AND(O1758&lt;&gt;"",F1758&lt;&gt;"",RIGHT($N1758,6)="tarief",F1758="Vergoeding"),SUM(O1758)*FLOOR(SUM(Q1758),0.0001),AND(O1758&lt;&gt;"",F1758&lt;&gt;"",RIGHT($N1758,6)="tarief"),SUM(O1758)*FLOOR(SUM(Q1758),0.01),S1758&gt;0,IF(F1758&lt;&gt;"",FLOOR(SUM(S1758),0.01),"")),""),""),"")</f>
        <v/>
      </c>
      <c r="V1758" s="317" t="str" cm="1">
        <f t="array" aca="1" ref="V1758" ca="1">IFERROR(IF(AA1758&lt;&gt;"ja",_xlfn.IFNA(_xlfn.IFS(AND(P1758&lt;&gt;"",R1758&lt;&gt;"",RIGHT($N1758,6)="tarief",F1758="Vergoeding"),SUM(P1758)*FLOOR(SUM(R1758),0.0001),AND(P1758&lt;&gt;"",R1758&lt;&gt;"",RIGHT($N1758,6)="tarief"),P1758*FLOOR(R1758,0.01),T1758&gt;0,FLOOR(SUM(T1758),0.01)),""),""),"")</f>
        <v/>
      </c>
      <c r="W1758" s="317" t="str" cm="1">
        <f t="array" aca="1" ref="W1758" ca="1">IFERROR(_xlfn.IFS(OR(F1758="",LEFT(Methode_Keuze,4)="Geen",Methode_Keuze=""),"",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17" t="str" cm="1">
        <f t="array" aca="1" ref="X1758" ca="1">IFERROR(_xlfn.IFS(OR(F1758="",LEFT(Methode_Keuze,4)="Geen",Methode_Keuze=""),"",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26"/>
      <c r="Z1758" s="319"/>
      <c r="AA1758" s="32" t="str" cm="1">
        <f t="array" ref="AA1758">IFERROR(IF(INDEX(SubsidieTabel!$AD$1:$AG$12,MATCH($F1758,SubsidieTabel!$AD$1:$AD$12,0),IFERROR(MATCH(Methode_Keuze,SubsidieTabel!$AD$1:$AG$1,0),2))&lt;&gt;1=TRUE,"ja",""),"")</f>
        <v/>
      </c>
    </row>
    <row r="1759" spans="1:27" x14ac:dyDescent="0.25">
      <c r="A1759" s="320"/>
      <c r="B1759" s="321" t="str">
        <f>IF(A1759&lt;&gt;"",_xlfn.MAXIFS($B$1:B1758,$A$1:A1758,A1759)+1,"")</f>
        <v/>
      </c>
      <c r="C1759" s="299"/>
      <c r="D1759" s="299"/>
      <c r="E1759" s="299"/>
      <c r="F1759" s="299"/>
      <c r="G1759" s="330"/>
      <c r="H1759" s="328"/>
      <c r="I1759" s="329"/>
      <c r="J1759" s="329"/>
      <c r="K1759" s="322"/>
      <c r="L1759" s="322"/>
      <c r="M1759" s="323" t="str">
        <f>IFERROR(VLOOKUP(H1759,Lijsten!$H$1:$I$100,2,0),"")</f>
        <v/>
      </c>
      <c r="N1759" s="323" t="str">
        <f ca="1">IFERROR(IF(VLOOKUP(F1759,Kostentypen!$A$3:$E$21,3,0)=0,"",IF(OR(F1759="Arbeidskosten",F1759="Vergoeding"),VLOOKUP(G1759,Tb_KostenTypen[],2,0),VLOOKUP(F1759,Kostentypen!$A$3:$E$20,3,0))),"")</f>
        <v/>
      </c>
      <c r="O1759" s="324"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4"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3"/>
      <c r="R1759" s="363"/>
      <c r="S1759" s="325"/>
      <c r="T1759" s="325"/>
      <c r="U1759" s="317" t="str" cm="1">
        <f t="array" aca="1" ref="U1759" ca="1">IFERROR(IF(AA1759&lt;&gt;"ja",_xlfn.IFNA(_xlfn.IFS(AND(O1759&lt;&gt;"",F1759&lt;&gt;"",RIGHT($N1759,6)="tarief",F1759="Vergoeding"),SUM(O1759)*FLOOR(SUM(Q1759),0.0001),AND(O1759&lt;&gt;"",F1759&lt;&gt;"",RIGHT($N1759,6)="tarief"),SUM(O1759)*FLOOR(SUM(Q1759),0.01),S1759&gt;0,IF(F1759&lt;&gt;"",FLOOR(SUM(S1759),0.01),"")),""),""),"")</f>
        <v/>
      </c>
      <c r="V1759" s="317" t="str" cm="1">
        <f t="array" aca="1" ref="V1759" ca="1">IFERROR(IF(AA1759&lt;&gt;"ja",_xlfn.IFNA(_xlfn.IFS(AND(P1759&lt;&gt;"",R1759&lt;&gt;"",RIGHT($N1759,6)="tarief",F1759="Vergoeding"),SUM(P1759)*FLOOR(SUM(R1759),0.0001),AND(P1759&lt;&gt;"",R1759&lt;&gt;"",RIGHT($N1759,6)="tarief"),P1759*FLOOR(R1759,0.01),T1759&gt;0,FLOOR(SUM(T1759),0.01)),""),""),"")</f>
        <v/>
      </c>
      <c r="W1759" s="317" t="str" cm="1">
        <f t="array" aca="1" ref="W1759" ca="1">IFERROR(_xlfn.IFS(OR(F1759="",LEFT(Methode_Keuze,4)="Geen",Methode_Keuze=""),"",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17" t="str" cm="1">
        <f t="array" aca="1" ref="X1759" ca="1">IFERROR(_xlfn.IFS(OR(F1759="",LEFT(Methode_Keuze,4)="Geen",Methode_Keuze=""),"",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26"/>
      <c r="Z1759" s="319"/>
      <c r="AA1759" s="32" t="str" cm="1">
        <f t="array" ref="AA1759">IFERROR(IF(INDEX(SubsidieTabel!$AD$1:$AG$12,MATCH($F1759,SubsidieTabel!$AD$1:$AD$12,0),IFERROR(MATCH(Methode_Keuze,SubsidieTabel!$AD$1:$AG$1,0),2))&lt;&gt;1=TRUE,"ja",""),"")</f>
        <v/>
      </c>
    </row>
    <row r="1760" spans="1:27" x14ac:dyDescent="0.25">
      <c r="A1760" s="320"/>
      <c r="B1760" s="321" t="str">
        <f>IF(A1760&lt;&gt;"",_xlfn.MAXIFS($B$1:B1759,$A$1:A1759,A1760)+1,"")</f>
        <v/>
      </c>
      <c r="C1760" s="299"/>
      <c r="D1760" s="299"/>
      <c r="E1760" s="299"/>
      <c r="F1760" s="299"/>
      <c r="G1760" s="330"/>
      <c r="H1760" s="328"/>
      <c r="I1760" s="329"/>
      <c r="J1760" s="329"/>
      <c r="K1760" s="322"/>
      <c r="L1760" s="322"/>
      <c r="M1760" s="323" t="str">
        <f>IFERROR(VLOOKUP(H1760,Lijsten!$H$1:$I$100,2,0),"")</f>
        <v/>
      </c>
      <c r="N1760" s="323" t="str">
        <f ca="1">IFERROR(IF(VLOOKUP(F1760,Kostentypen!$A$3:$E$21,3,0)=0,"",IF(OR(F1760="Arbeidskosten",F1760="Vergoeding"),VLOOKUP(G1760,Tb_KostenTypen[],2,0),VLOOKUP(F1760,Kostentypen!$A$3:$E$20,3,0))),"")</f>
        <v/>
      </c>
      <c r="O1760" s="324"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4"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3"/>
      <c r="R1760" s="363"/>
      <c r="S1760" s="325"/>
      <c r="T1760" s="325"/>
      <c r="U1760" s="317" t="str" cm="1">
        <f t="array" aca="1" ref="U1760" ca="1">IFERROR(IF(AA1760&lt;&gt;"ja",_xlfn.IFNA(_xlfn.IFS(AND(O1760&lt;&gt;"",F1760&lt;&gt;"",RIGHT($N1760,6)="tarief",F1760="Vergoeding"),SUM(O1760)*FLOOR(SUM(Q1760),0.0001),AND(O1760&lt;&gt;"",F1760&lt;&gt;"",RIGHT($N1760,6)="tarief"),SUM(O1760)*FLOOR(SUM(Q1760),0.01),S1760&gt;0,IF(F1760&lt;&gt;"",FLOOR(SUM(S1760),0.01),"")),""),""),"")</f>
        <v/>
      </c>
      <c r="V1760" s="317" t="str" cm="1">
        <f t="array" aca="1" ref="V1760" ca="1">IFERROR(IF(AA1760&lt;&gt;"ja",_xlfn.IFNA(_xlfn.IFS(AND(P1760&lt;&gt;"",R1760&lt;&gt;"",RIGHT($N1760,6)="tarief",F1760="Vergoeding"),SUM(P1760)*FLOOR(SUM(R1760),0.0001),AND(P1760&lt;&gt;"",R1760&lt;&gt;"",RIGHT($N1760,6)="tarief"),P1760*FLOOR(R1760,0.01),T1760&gt;0,FLOOR(SUM(T1760),0.01)),""),""),"")</f>
        <v/>
      </c>
      <c r="W1760" s="317" t="str" cm="1">
        <f t="array" aca="1" ref="W1760" ca="1">IFERROR(_xlfn.IFS(OR(F1760="",LEFT(Methode_Keuze,4)="Geen",Methode_Keuze=""),"",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17" t="str" cm="1">
        <f t="array" aca="1" ref="X1760" ca="1">IFERROR(_xlfn.IFS(OR(F1760="",LEFT(Methode_Keuze,4)="Geen",Methode_Keuze=""),"",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26"/>
      <c r="Z1760" s="319"/>
      <c r="AA1760" s="32" t="str" cm="1">
        <f t="array" ref="AA1760">IFERROR(IF(INDEX(SubsidieTabel!$AD$1:$AG$12,MATCH($F1760,SubsidieTabel!$AD$1:$AD$12,0),IFERROR(MATCH(Methode_Keuze,SubsidieTabel!$AD$1:$AG$1,0),2))&lt;&gt;1=TRUE,"ja",""),"")</f>
        <v/>
      </c>
    </row>
    <row r="1761" spans="1:27" x14ac:dyDescent="0.25">
      <c r="A1761" s="320"/>
      <c r="B1761" s="321" t="str">
        <f>IF(A1761&lt;&gt;"",_xlfn.MAXIFS($B$1:B1760,$A$1:A1760,A1761)+1,"")</f>
        <v/>
      </c>
      <c r="C1761" s="299"/>
      <c r="D1761" s="299"/>
      <c r="E1761" s="299"/>
      <c r="F1761" s="299"/>
      <c r="G1761" s="330"/>
      <c r="H1761" s="328"/>
      <c r="I1761" s="329"/>
      <c r="J1761" s="329"/>
      <c r="K1761" s="322"/>
      <c r="L1761" s="322"/>
      <c r="M1761" s="323" t="str">
        <f>IFERROR(VLOOKUP(H1761,Lijsten!$H$1:$I$100,2,0),"")</f>
        <v/>
      </c>
      <c r="N1761" s="323" t="str">
        <f ca="1">IFERROR(IF(VLOOKUP(F1761,Kostentypen!$A$3:$E$21,3,0)=0,"",IF(OR(F1761="Arbeidskosten",F1761="Vergoeding"),VLOOKUP(G1761,Tb_KostenTypen[],2,0),VLOOKUP(F1761,Kostentypen!$A$3:$E$20,3,0))),"")</f>
        <v/>
      </c>
      <c r="O1761" s="324"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4"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3"/>
      <c r="R1761" s="363"/>
      <c r="S1761" s="325"/>
      <c r="T1761" s="325"/>
      <c r="U1761" s="317" t="str" cm="1">
        <f t="array" aca="1" ref="U1761" ca="1">IFERROR(IF(AA1761&lt;&gt;"ja",_xlfn.IFNA(_xlfn.IFS(AND(O1761&lt;&gt;"",F1761&lt;&gt;"",RIGHT($N1761,6)="tarief",F1761="Vergoeding"),SUM(O1761)*FLOOR(SUM(Q1761),0.0001),AND(O1761&lt;&gt;"",F1761&lt;&gt;"",RIGHT($N1761,6)="tarief"),SUM(O1761)*FLOOR(SUM(Q1761),0.01),S1761&gt;0,IF(F1761&lt;&gt;"",FLOOR(SUM(S1761),0.01),"")),""),""),"")</f>
        <v/>
      </c>
      <c r="V1761" s="317" t="str" cm="1">
        <f t="array" aca="1" ref="V1761" ca="1">IFERROR(IF(AA1761&lt;&gt;"ja",_xlfn.IFNA(_xlfn.IFS(AND(P1761&lt;&gt;"",R1761&lt;&gt;"",RIGHT($N1761,6)="tarief",F1761="Vergoeding"),SUM(P1761)*FLOOR(SUM(R1761),0.0001),AND(P1761&lt;&gt;"",R1761&lt;&gt;"",RIGHT($N1761,6)="tarief"),P1761*FLOOR(R1761,0.01),T1761&gt;0,FLOOR(SUM(T1761),0.01)),""),""),"")</f>
        <v/>
      </c>
      <c r="W1761" s="317" t="str" cm="1">
        <f t="array" aca="1" ref="W1761" ca="1">IFERROR(_xlfn.IFS(OR(F1761="",LEFT(Methode_Keuze,4)="Geen",Methode_Keuze=""),"",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17" t="str" cm="1">
        <f t="array" aca="1" ref="X1761" ca="1">IFERROR(_xlfn.IFS(OR(F1761="",LEFT(Methode_Keuze,4)="Geen",Methode_Keuze=""),"",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26"/>
      <c r="Z1761" s="319"/>
      <c r="AA1761" s="32" t="str" cm="1">
        <f t="array" ref="AA1761">IFERROR(IF(INDEX(SubsidieTabel!$AD$1:$AG$12,MATCH($F1761,SubsidieTabel!$AD$1:$AD$12,0),IFERROR(MATCH(Methode_Keuze,SubsidieTabel!$AD$1:$AG$1,0),2))&lt;&gt;1=TRUE,"ja",""),"")</f>
        <v/>
      </c>
    </row>
    <row r="1762" spans="1:27" x14ac:dyDescent="0.25">
      <c r="A1762" s="320"/>
      <c r="B1762" s="321" t="str">
        <f>IF(A1762&lt;&gt;"",_xlfn.MAXIFS($B$1:B1761,$A$1:A1761,A1762)+1,"")</f>
        <v/>
      </c>
      <c r="C1762" s="299"/>
      <c r="D1762" s="299"/>
      <c r="E1762" s="299"/>
      <c r="F1762" s="299"/>
      <c r="G1762" s="330"/>
      <c r="H1762" s="328"/>
      <c r="I1762" s="329"/>
      <c r="J1762" s="329"/>
      <c r="K1762" s="322"/>
      <c r="L1762" s="322"/>
      <c r="M1762" s="323" t="str">
        <f>IFERROR(VLOOKUP(H1762,Lijsten!$H$1:$I$100,2,0),"")</f>
        <v/>
      </c>
      <c r="N1762" s="323" t="str">
        <f ca="1">IFERROR(IF(VLOOKUP(F1762,Kostentypen!$A$3:$E$21,3,0)=0,"",IF(OR(F1762="Arbeidskosten",F1762="Vergoeding"),VLOOKUP(G1762,Tb_KostenTypen[],2,0),VLOOKUP(F1762,Kostentypen!$A$3:$E$20,3,0))),"")</f>
        <v/>
      </c>
      <c r="O1762" s="324"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4"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3"/>
      <c r="R1762" s="363"/>
      <c r="S1762" s="325"/>
      <c r="T1762" s="325"/>
      <c r="U1762" s="317" t="str" cm="1">
        <f t="array" aca="1" ref="U1762" ca="1">IFERROR(IF(AA1762&lt;&gt;"ja",_xlfn.IFNA(_xlfn.IFS(AND(O1762&lt;&gt;"",F1762&lt;&gt;"",RIGHT($N1762,6)="tarief",F1762="Vergoeding"),SUM(O1762)*FLOOR(SUM(Q1762),0.0001),AND(O1762&lt;&gt;"",F1762&lt;&gt;"",RIGHT($N1762,6)="tarief"),SUM(O1762)*FLOOR(SUM(Q1762),0.01),S1762&gt;0,IF(F1762&lt;&gt;"",FLOOR(SUM(S1762),0.01),"")),""),""),"")</f>
        <v/>
      </c>
      <c r="V1762" s="317" t="str" cm="1">
        <f t="array" aca="1" ref="V1762" ca="1">IFERROR(IF(AA1762&lt;&gt;"ja",_xlfn.IFNA(_xlfn.IFS(AND(P1762&lt;&gt;"",R1762&lt;&gt;"",RIGHT($N1762,6)="tarief",F1762="Vergoeding"),SUM(P1762)*FLOOR(SUM(R1762),0.0001),AND(P1762&lt;&gt;"",R1762&lt;&gt;"",RIGHT($N1762,6)="tarief"),P1762*FLOOR(R1762,0.01),T1762&gt;0,FLOOR(SUM(T1762),0.01)),""),""),"")</f>
        <v/>
      </c>
      <c r="W1762" s="317" t="str" cm="1">
        <f t="array" aca="1" ref="W1762" ca="1">IFERROR(_xlfn.IFS(OR(F1762="",LEFT(Methode_Keuze,4)="Geen",Methode_Keuze=""),"",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17" t="str" cm="1">
        <f t="array" aca="1" ref="X1762" ca="1">IFERROR(_xlfn.IFS(OR(F1762="",LEFT(Methode_Keuze,4)="Geen",Methode_Keuze=""),"",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26"/>
      <c r="Z1762" s="319"/>
      <c r="AA1762" s="32" t="str" cm="1">
        <f t="array" ref="AA1762">IFERROR(IF(INDEX(SubsidieTabel!$AD$1:$AG$12,MATCH($F1762,SubsidieTabel!$AD$1:$AD$12,0),IFERROR(MATCH(Methode_Keuze,SubsidieTabel!$AD$1:$AG$1,0),2))&lt;&gt;1=TRUE,"ja",""),"")</f>
        <v/>
      </c>
    </row>
    <row r="1763" spans="1:27" x14ac:dyDescent="0.25">
      <c r="A1763" s="320"/>
      <c r="B1763" s="321" t="str">
        <f>IF(A1763&lt;&gt;"",_xlfn.MAXIFS($B$1:B1762,$A$1:A1762,A1763)+1,"")</f>
        <v/>
      </c>
      <c r="C1763" s="299"/>
      <c r="D1763" s="299"/>
      <c r="E1763" s="299"/>
      <c r="F1763" s="299"/>
      <c r="G1763" s="330"/>
      <c r="H1763" s="328"/>
      <c r="I1763" s="329"/>
      <c r="J1763" s="329"/>
      <c r="K1763" s="322"/>
      <c r="L1763" s="322"/>
      <c r="M1763" s="323" t="str">
        <f>IFERROR(VLOOKUP(H1763,Lijsten!$H$1:$I$100,2,0),"")</f>
        <v/>
      </c>
      <c r="N1763" s="323" t="str">
        <f ca="1">IFERROR(IF(VLOOKUP(F1763,Kostentypen!$A$3:$E$21,3,0)=0,"",IF(OR(F1763="Arbeidskosten",F1763="Vergoeding"),VLOOKUP(G1763,Tb_KostenTypen[],2,0),VLOOKUP(F1763,Kostentypen!$A$3:$E$20,3,0))),"")</f>
        <v/>
      </c>
      <c r="O1763" s="324"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4"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3"/>
      <c r="R1763" s="363"/>
      <c r="S1763" s="325"/>
      <c r="T1763" s="325"/>
      <c r="U1763" s="317" t="str" cm="1">
        <f t="array" aca="1" ref="U1763" ca="1">IFERROR(IF(AA1763&lt;&gt;"ja",_xlfn.IFNA(_xlfn.IFS(AND(O1763&lt;&gt;"",F1763&lt;&gt;"",RIGHT($N1763,6)="tarief",F1763="Vergoeding"),SUM(O1763)*FLOOR(SUM(Q1763),0.0001),AND(O1763&lt;&gt;"",F1763&lt;&gt;"",RIGHT($N1763,6)="tarief"),SUM(O1763)*FLOOR(SUM(Q1763),0.01),S1763&gt;0,IF(F1763&lt;&gt;"",FLOOR(SUM(S1763),0.01),"")),""),""),"")</f>
        <v/>
      </c>
      <c r="V1763" s="317" t="str" cm="1">
        <f t="array" aca="1" ref="V1763" ca="1">IFERROR(IF(AA1763&lt;&gt;"ja",_xlfn.IFNA(_xlfn.IFS(AND(P1763&lt;&gt;"",R1763&lt;&gt;"",RIGHT($N1763,6)="tarief",F1763="Vergoeding"),SUM(P1763)*FLOOR(SUM(R1763),0.0001),AND(P1763&lt;&gt;"",R1763&lt;&gt;"",RIGHT($N1763,6)="tarief"),P1763*FLOOR(R1763,0.01),T1763&gt;0,FLOOR(SUM(T1763),0.01)),""),""),"")</f>
        <v/>
      </c>
      <c r="W1763" s="317" t="str" cm="1">
        <f t="array" aca="1" ref="W1763" ca="1">IFERROR(_xlfn.IFS(OR(F1763="",LEFT(Methode_Keuze,4)="Geen",Methode_Keuze=""),"",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17" t="str" cm="1">
        <f t="array" aca="1" ref="X1763" ca="1">IFERROR(_xlfn.IFS(OR(F1763="",LEFT(Methode_Keuze,4)="Geen",Methode_Keuze=""),"",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26"/>
      <c r="Z1763" s="319"/>
      <c r="AA1763" s="32" t="str" cm="1">
        <f t="array" ref="AA1763">IFERROR(IF(INDEX(SubsidieTabel!$AD$1:$AG$12,MATCH($F1763,SubsidieTabel!$AD$1:$AD$12,0),IFERROR(MATCH(Methode_Keuze,SubsidieTabel!$AD$1:$AG$1,0),2))&lt;&gt;1=TRUE,"ja",""),"")</f>
        <v/>
      </c>
    </row>
    <row r="1764" spans="1:27" x14ac:dyDescent="0.25">
      <c r="A1764" s="320"/>
      <c r="B1764" s="321" t="str">
        <f>IF(A1764&lt;&gt;"",_xlfn.MAXIFS($B$1:B1763,$A$1:A1763,A1764)+1,"")</f>
        <v/>
      </c>
      <c r="C1764" s="299"/>
      <c r="D1764" s="299"/>
      <c r="E1764" s="299"/>
      <c r="F1764" s="299"/>
      <c r="G1764" s="330"/>
      <c r="H1764" s="328"/>
      <c r="I1764" s="329"/>
      <c r="J1764" s="329"/>
      <c r="K1764" s="322"/>
      <c r="L1764" s="322"/>
      <c r="M1764" s="323" t="str">
        <f>IFERROR(VLOOKUP(H1764,Lijsten!$H$1:$I$100,2,0),"")</f>
        <v/>
      </c>
      <c r="N1764" s="323" t="str">
        <f ca="1">IFERROR(IF(VLOOKUP(F1764,Kostentypen!$A$3:$E$21,3,0)=0,"",IF(OR(F1764="Arbeidskosten",F1764="Vergoeding"),VLOOKUP(G1764,Tb_KostenTypen[],2,0),VLOOKUP(F1764,Kostentypen!$A$3:$E$20,3,0))),"")</f>
        <v/>
      </c>
      <c r="O1764" s="324"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4"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3"/>
      <c r="R1764" s="363"/>
      <c r="S1764" s="325"/>
      <c r="T1764" s="325"/>
      <c r="U1764" s="317" t="str" cm="1">
        <f t="array" aca="1" ref="U1764" ca="1">IFERROR(IF(AA1764&lt;&gt;"ja",_xlfn.IFNA(_xlfn.IFS(AND(O1764&lt;&gt;"",F1764&lt;&gt;"",RIGHT($N1764,6)="tarief",F1764="Vergoeding"),SUM(O1764)*FLOOR(SUM(Q1764),0.0001),AND(O1764&lt;&gt;"",F1764&lt;&gt;"",RIGHT($N1764,6)="tarief"),SUM(O1764)*FLOOR(SUM(Q1764),0.01),S1764&gt;0,IF(F1764&lt;&gt;"",FLOOR(SUM(S1764),0.01),"")),""),""),"")</f>
        <v/>
      </c>
      <c r="V1764" s="317" t="str" cm="1">
        <f t="array" aca="1" ref="V1764" ca="1">IFERROR(IF(AA1764&lt;&gt;"ja",_xlfn.IFNA(_xlfn.IFS(AND(P1764&lt;&gt;"",R1764&lt;&gt;"",RIGHT($N1764,6)="tarief",F1764="Vergoeding"),SUM(P1764)*FLOOR(SUM(R1764),0.0001),AND(P1764&lt;&gt;"",R1764&lt;&gt;"",RIGHT($N1764,6)="tarief"),P1764*FLOOR(R1764,0.01),T1764&gt;0,FLOOR(SUM(T1764),0.01)),""),""),"")</f>
        <v/>
      </c>
      <c r="W1764" s="317" t="str" cm="1">
        <f t="array" aca="1" ref="W1764" ca="1">IFERROR(_xlfn.IFS(OR(F1764="",LEFT(Methode_Keuze,4)="Geen",Methode_Keuze=""),"",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17" t="str" cm="1">
        <f t="array" aca="1" ref="X1764" ca="1">IFERROR(_xlfn.IFS(OR(F1764="",LEFT(Methode_Keuze,4)="Geen",Methode_Keuze=""),"",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26"/>
      <c r="Z1764" s="319"/>
      <c r="AA1764" s="32" t="str" cm="1">
        <f t="array" ref="AA1764">IFERROR(IF(INDEX(SubsidieTabel!$AD$1:$AG$12,MATCH($F1764,SubsidieTabel!$AD$1:$AD$12,0),IFERROR(MATCH(Methode_Keuze,SubsidieTabel!$AD$1:$AG$1,0),2))&lt;&gt;1=TRUE,"ja",""),"")</f>
        <v/>
      </c>
    </row>
    <row r="1765" spans="1:27" x14ac:dyDescent="0.25">
      <c r="A1765" s="320"/>
      <c r="B1765" s="321" t="str">
        <f>IF(A1765&lt;&gt;"",_xlfn.MAXIFS($B$1:B1764,$A$1:A1764,A1765)+1,"")</f>
        <v/>
      </c>
      <c r="C1765" s="299"/>
      <c r="D1765" s="299"/>
      <c r="E1765" s="299"/>
      <c r="F1765" s="299"/>
      <c r="G1765" s="330"/>
      <c r="H1765" s="328"/>
      <c r="I1765" s="329"/>
      <c r="J1765" s="329"/>
      <c r="K1765" s="322"/>
      <c r="L1765" s="322"/>
      <c r="M1765" s="323" t="str">
        <f>IFERROR(VLOOKUP(H1765,Lijsten!$H$1:$I$100,2,0),"")</f>
        <v/>
      </c>
      <c r="N1765" s="323" t="str">
        <f ca="1">IFERROR(IF(VLOOKUP(F1765,Kostentypen!$A$3:$E$21,3,0)=0,"",IF(OR(F1765="Arbeidskosten",F1765="Vergoeding"),VLOOKUP(G1765,Tb_KostenTypen[],2,0),VLOOKUP(F1765,Kostentypen!$A$3:$E$20,3,0))),"")</f>
        <v/>
      </c>
      <c r="O1765" s="324"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4"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3"/>
      <c r="R1765" s="363"/>
      <c r="S1765" s="325"/>
      <c r="T1765" s="325"/>
      <c r="U1765" s="317" t="str" cm="1">
        <f t="array" aca="1" ref="U1765" ca="1">IFERROR(IF(AA1765&lt;&gt;"ja",_xlfn.IFNA(_xlfn.IFS(AND(O1765&lt;&gt;"",F1765&lt;&gt;"",RIGHT($N1765,6)="tarief",F1765="Vergoeding"),SUM(O1765)*FLOOR(SUM(Q1765),0.0001),AND(O1765&lt;&gt;"",F1765&lt;&gt;"",RIGHT($N1765,6)="tarief"),SUM(O1765)*FLOOR(SUM(Q1765),0.01),S1765&gt;0,IF(F1765&lt;&gt;"",FLOOR(SUM(S1765),0.01),"")),""),""),"")</f>
        <v/>
      </c>
      <c r="V1765" s="317" t="str" cm="1">
        <f t="array" aca="1" ref="V1765" ca="1">IFERROR(IF(AA1765&lt;&gt;"ja",_xlfn.IFNA(_xlfn.IFS(AND(P1765&lt;&gt;"",R1765&lt;&gt;"",RIGHT($N1765,6)="tarief",F1765="Vergoeding"),SUM(P1765)*FLOOR(SUM(R1765),0.0001),AND(P1765&lt;&gt;"",R1765&lt;&gt;"",RIGHT($N1765,6)="tarief"),P1765*FLOOR(R1765,0.01),T1765&gt;0,FLOOR(SUM(T1765),0.01)),""),""),"")</f>
        <v/>
      </c>
      <c r="W1765" s="317" t="str" cm="1">
        <f t="array" aca="1" ref="W1765" ca="1">IFERROR(_xlfn.IFS(OR(F1765="",LEFT(Methode_Keuze,4)="Geen",Methode_Keuze=""),"",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17" t="str" cm="1">
        <f t="array" aca="1" ref="X1765" ca="1">IFERROR(_xlfn.IFS(OR(F1765="",LEFT(Methode_Keuze,4)="Geen",Methode_Keuze=""),"",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26"/>
      <c r="Z1765" s="319"/>
      <c r="AA1765" s="32" t="str" cm="1">
        <f t="array" ref="AA1765">IFERROR(IF(INDEX(SubsidieTabel!$AD$1:$AG$12,MATCH($F1765,SubsidieTabel!$AD$1:$AD$12,0),IFERROR(MATCH(Methode_Keuze,SubsidieTabel!$AD$1:$AG$1,0),2))&lt;&gt;1=TRUE,"ja",""),"")</f>
        <v/>
      </c>
    </row>
    <row r="1766" spans="1:27" x14ac:dyDescent="0.25">
      <c r="A1766" s="320"/>
      <c r="B1766" s="321" t="str">
        <f>IF(A1766&lt;&gt;"",_xlfn.MAXIFS($B$1:B1765,$A$1:A1765,A1766)+1,"")</f>
        <v/>
      </c>
      <c r="C1766" s="299"/>
      <c r="D1766" s="299"/>
      <c r="E1766" s="299"/>
      <c r="F1766" s="299"/>
      <c r="G1766" s="330"/>
      <c r="H1766" s="328"/>
      <c r="I1766" s="329"/>
      <c r="J1766" s="329"/>
      <c r="K1766" s="322"/>
      <c r="L1766" s="322"/>
      <c r="M1766" s="323" t="str">
        <f>IFERROR(VLOOKUP(H1766,Lijsten!$H$1:$I$100,2,0),"")</f>
        <v/>
      </c>
      <c r="N1766" s="323" t="str">
        <f ca="1">IFERROR(IF(VLOOKUP(F1766,Kostentypen!$A$3:$E$21,3,0)=0,"",IF(OR(F1766="Arbeidskosten",F1766="Vergoeding"),VLOOKUP(G1766,Tb_KostenTypen[],2,0),VLOOKUP(F1766,Kostentypen!$A$3:$E$20,3,0))),"")</f>
        <v/>
      </c>
      <c r="O1766" s="324"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4"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3"/>
      <c r="R1766" s="363"/>
      <c r="S1766" s="325"/>
      <c r="T1766" s="325"/>
      <c r="U1766" s="317" t="str" cm="1">
        <f t="array" aca="1" ref="U1766" ca="1">IFERROR(IF(AA1766&lt;&gt;"ja",_xlfn.IFNA(_xlfn.IFS(AND(O1766&lt;&gt;"",F1766&lt;&gt;"",RIGHT($N1766,6)="tarief",F1766="Vergoeding"),SUM(O1766)*FLOOR(SUM(Q1766),0.0001),AND(O1766&lt;&gt;"",F1766&lt;&gt;"",RIGHT($N1766,6)="tarief"),SUM(O1766)*FLOOR(SUM(Q1766),0.01),S1766&gt;0,IF(F1766&lt;&gt;"",FLOOR(SUM(S1766),0.01),"")),""),""),"")</f>
        <v/>
      </c>
      <c r="V1766" s="317" t="str" cm="1">
        <f t="array" aca="1" ref="V1766" ca="1">IFERROR(IF(AA1766&lt;&gt;"ja",_xlfn.IFNA(_xlfn.IFS(AND(P1766&lt;&gt;"",R1766&lt;&gt;"",RIGHT($N1766,6)="tarief",F1766="Vergoeding"),SUM(P1766)*FLOOR(SUM(R1766),0.0001),AND(P1766&lt;&gt;"",R1766&lt;&gt;"",RIGHT($N1766,6)="tarief"),P1766*FLOOR(R1766,0.01),T1766&gt;0,FLOOR(SUM(T1766),0.01)),""),""),"")</f>
        <v/>
      </c>
      <c r="W1766" s="317" t="str" cm="1">
        <f t="array" aca="1" ref="W1766" ca="1">IFERROR(_xlfn.IFS(OR(F1766="",LEFT(Methode_Keuze,4)="Geen",Methode_Keuze=""),"",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17" t="str" cm="1">
        <f t="array" aca="1" ref="X1766" ca="1">IFERROR(_xlfn.IFS(OR(F1766="",LEFT(Methode_Keuze,4)="Geen",Methode_Keuze=""),"",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26"/>
      <c r="Z1766" s="319"/>
      <c r="AA1766" s="32" t="str" cm="1">
        <f t="array" ref="AA1766">IFERROR(IF(INDEX(SubsidieTabel!$AD$1:$AG$12,MATCH($F1766,SubsidieTabel!$AD$1:$AD$12,0),IFERROR(MATCH(Methode_Keuze,SubsidieTabel!$AD$1:$AG$1,0),2))&lt;&gt;1=TRUE,"ja",""),"")</f>
        <v/>
      </c>
    </row>
    <row r="1767" spans="1:27" x14ac:dyDescent="0.25">
      <c r="A1767" s="320"/>
      <c r="B1767" s="321" t="str">
        <f>IF(A1767&lt;&gt;"",_xlfn.MAXIFS($B$1:B1766,$A$1:A1766,A1767)+1,"")</f>
        <v/>
      </c>
      <c r="C1767" s="299"/>
      <c r="D1767" s="299"/>
      <c r="E1767" s="299"/>
      <c r="F1767" s="299"/>
      <c r="G1767" s="330"/>
      <c r="H1767" s="328"/>
      <c r="I1767" s="329"/>
      <c r="J1767" s="329"/>
      <c r="K1767" s="322"/>
      <c r="L1767" s="322"/>
      <c r="M1767" s="323" t="str">
        <f>IFERROR(VLOOKUP(H1767,Lijsten!$H$1:$I$100,2,0),"")</f>
        <v/>
      </c>
      <c r="N1767" s="323" t="str">
        <f ca="1">IFERROR(IF(VLOOKUP(F1767,Kostentypen!$A$3:$E$21,3,0)=0,"",IF(OR(F1767="Arbeidskosten",F1767="Vergoeding"),VLOOKUP(G1767,Tb_KostenTypen[],2,0),VLOOKUP(F1767,Kostentypen!$A$3:$E$20,3,0))),"")</f>
        <v/>
      </c>
      <c r="O1767" s="324"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4"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3"/>
      <c r="R1767" s="363"/>
      <c r="S1767" s="325"/>
      <c r="T1767" s="325"/>
      <c r="U1767" s="317" t="str" cm="1">
        <f t="array" aca="1" ref="U1767" ca="1">IFERROR(IF(AA1767&lt;&gt;"ja",_xlfn.IFNA(_xlfn.IFS(AND(O1767&lt;&gt;"",F1767&lt;&gt;"",RIGHT($N1767,6)="tarief",F1767="Vergoeding"),SUM(O1767)*FLOOR(SUM(Q1767),0.0001),AND(O1767&lt;&gt;"",F1767&lt;&gt;"",RIGHT($N1767,6)="tarief"),SUM(O1767)*FLOOR(SUM(Q1767),0.01),S1767&gt;0,IF(F1767&lt;&gt;"",FLOOR(SUM(S1767),0.01),"")),""),""),"")</f>
        <v/>
      </c>
      <c r="V1767" s="317" t="str" cm="1">
        <f t="array" aca="1" ref="V1767" ca="1">IFERROR(IF(AA1767&lt;&gt;"ja",_xlfn.IFNA(_xlfn.IFS(AND(P1767&lt;&gt;"",R1767&lt;&gt;"",RIGHT($N1767,6)="tarief",F1767="Vergoeding"),SUM(P1767)*FLOOR(SUM(R1767),0.0001),AND(P1767&lt;&gt;"",R1767&lt;&gt;"",RIGHT($N1767,6)="tarief"),P1767*FLOOR(R1767,0.01),T1767&gt;0,FLOOR(SUM(T1767),0.01)),""),""),"")</f>
        <v/>
      </c>
      <c r="W1767" s="317" t="str" cm="1">
        <f t="array" aca="1" ref="W1767" ca="1">IFERROR(_xlfn.IFS(OR(F1767="",LEFT(Methode_Keuze,4)="Geen",Methode_Keuze=""),"",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17" t="str" cm="1">
        <f t="array" aca="1" ref="X1767" ca="1">IFERROR(_xlfn.IFS(OR(F1767="",LEFT(Methode_Keuze,4)="Geen",Methode_Keuze=""),"",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26"/>
      <c r="Z1767" s="319"/>
      <c r="AA1767" s="32" t="str" cm="1">
        <f t="array" ref="AA1767">IFERROR(IF(INDEX(SubsidieTabel!$AD$1:$AG$12,MATCH($F1767,SubsidieTabel!$AD$1:$AD$12,0),IFERROR(MATCH(Methode_Keuze,SubsidieTabel!$AD$1:$AG$1,0),2))&lt;&gt;1=TRUE,"ja",""),"")</f>
        <v/>
      </c>
    </row>
    <row r="1768" spans="1:27" x14ac:dyDescent="0.25">
      <c r="A1768" s="320"/>
      <c r="B1768" s="321" t="str">
        <f>IF(A1768&lt;&gt;"",_xlfn.MAXIFS($B$1:B1767,$A$1:A1767,A1768)+1,"")</f>
        <v/>
      </c>
      <c r="C1768" s="299"/>
      <c r="D1768" s="299"/>
      <c r="E1768" s="299"/>
      <c r="F1768" s="299"/>
      <c r="G1768" s="330"/>
      <c r="H1768" s="328"/>
      <c r="I1768" s="329"/>
      <c r="J1768" s="329"/>
      <c r="K1768" s="322"/>
      <c r="L1768" s="322"/>
      <c r="M1768" s="323" t="str">
        <f>IFERROR(VLOOKUP(H1768,Lijsten!$H$1:$I$100,2,0),"")</f>
        <v/>
      </c>
      <c r="N1768" s="323" t="str">
        <f ca="1">IFERROR(IF(VLOOKUP(F1768,Kostentypen!$A$3:$E$21,3,0)=0,"",IF(OR(F1768="Arbeidskosten",F1768="Vergoeding"),VLOOKUP(G1768,Tb_KostenTypen[],2,0),VLOOKUP(F1768,Kostentypen!$A$3:$E$20,3,0))),"")</f>
        <v/>
      </c>
      <c r="O1768" s="324"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4"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3"/>
      <c r="R1768" s="363"/>
      <c r="S1768" s="325"/>
      <c r="T1768" s="325"/>
      <c r="U1768" s="317" t="str" cm="1">
        <f t="array" aca="1" ref="U1768" ca="1">IFERROR(IF(AA1768&lt;&gt;"ja",_xlfn.IFNA(_xlfn.IFS(AND(O1768&lt;&gt;"",F1768&lt;&gt;"",RIGHT($N1768,6)="tarief",F1768="Vergoeding"),SUM(O1768)*FLOOR(SUM(Q1768),0.0001),AND(O1768&lt;&gt;"",F1768&lt;&gt;"",RIGHT($N1768,6)="tarief"),SUM(O1768)*FLOOR(SUM(Q1768),0.01),S1768&gt;0,IF(F1768&lt;&gt;"",FLOOR(SUM(S1768),0.01),"")),""),""),"")</f>
        <v/>
      </c>
      <c r="V1768" s="317" t="str" cm="1">
        <f t="array" aca="1" ref="V1768" ca="1">IFERROR(IF(AA1768&lt;&gt;"ja",_xlfn.IFNA(_xlfn.IFS(AND(P1768&lt;&gt;"",R1768&lt;&gt;"",RIGHT($N1768,6)="tarief",F1768="Vergoeding"),SUM(P1768)*FLOOR(SUM(R1768),0.0001),AND(P1768&lt;&gt;"",R1768&lt;&gt;"",RIGHT($N1768,6)="tarief"),P1768*FLOOR(R1768,0.01),T1768&gt;0,FLOOR(SUM(T1768),0.01)),""),""),"")</f>
        <v/>
      </c>
      <c r="W1768" s="317" t="str" cm="1">
        <f t="array" aca="1" ref="W1768" ca="1">IFERROR(_xlfn.IFS(OR(F1768="",LEFT(Methode_Keuze,4)="Geen",Methode_Keuze=""),"",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17" t="str" cm="1">
        <f t="array" aca="1" ref="X1768" ca="1">IFERROR(_xlfn.IFS(OR(F1768="",LEFT(Methode_Keuze,4)="Geen",Methode_Keuze=""),"",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26"/>
      <c r="Z1768" s="319"/>
      <c r="AA1768" s="32" t="str" cm="1">
        <f t="array" ref="AA1768">IFERROR(IF(INDEX(SubsidieTabel!$AD$1:$AG$12,MATCH($F1768,SubsidieTabel!$AD$1:$AD$12,0),IFERROR(MATCH(Methode_Keuze,SubsidieTabel!$AD$1:$AG$1,0),2))&lt;&gt;1=TRUE,"ja",""),"")</f>
        <v/>
      </c>
    </row>
    <row r="1769" spans="1:27" x14ac:dyDescent="0.25">
      <c r="A1769" s="320"/>
      <c r="B1769" s="321" t="str">
        <f>IF(A1769&lt;&gt;"",_xlfn.MAXIFS($B$1:B1768,$A$1:A1768,A1769)+1,"")</f>
        <v/>
      </c>
      <c r="C1769" s="299"/>
      <c r="D1769" s="299"/>
      <c r="E1769" s="299"/>
      <c r="F1769" s="299"/>
      <c r="G1769" s="330"/>
      <c r="H1769" s="328"/>
      <c r="I1769" s="329"/>
      <c r="J1769" s="329"/>
      <c r="K1769" s="322"/>
      <c r="L1769" s="322"/>
      <c r="M1769" s="323" t="str">
        <f>IFERROR(VLOOKUP(H1769,Lijsten!$H$1:$I$100,2,0),"")</f>
        <v/>
      </c>
      <c r="N1769" s="323" t="str">
        <f ca="1">IFERROR(IF(VLOOKUP(F1769,Kostentypen!$A$3:$E$21,3,0)=0,"",IF(OR(F1769="Arbeidskosten",F1769="Vergoeding"),VLOOKUP(G1769,Tb_KostenTypen[],2,0),VLOOKUP(F1769,Kostentypen!$A$3:$E$20,3,0))),"")</f>
        <v/>
      </c>
      <c r="O1769" s="324"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4"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3"/>
      <c r="R1769" s="363"/>
      <c r="S1769" s="325"/>
      <c r="T1769" s="325"/>
      <c r="U1769" s="317" t="str" cm="1">
        <f t="array" aca="1" ref="U1769" ca="1">IFERROR(IF(AA1769&lt;&gt;"ja",_xlfn.IFNA(_xlfn.IFS(AND(O1769&lt;&gt;"",F1769&lt;&gt;"",RIGHT($N1769,6)="tarief",F1769="Vergoeding"),SUM(O1769)*FLOOR(SUM(Q1769),0.0001),AND(O1769&lt;&gt;"",F1769&lt;&gt;"",RIGHT($N1769,6)="tarief"),SUM(O1769)*FLOOR(SUM(Q1769),0.01),S1769&gt;0,IF(F1769&lt;&gt;"",FLOOR(SUM(S1769),0.01),"")),""),""),"")</f>
        <v/>
      </c>
      <c r="V1769" s="317" t="str" cm="1">
        <f t="array" aca="1" ref="V1769" ca="1">IFERROR(IF(AA1769&lt;&gt;"ja",_xlfn.IFNA(_xlfn.IFS(AND(P1769&lt;&gt;"",R1769&lt;&gt;"",RIGHT($N1769,6)="tarief",F1769="Vergoeding"),SUM(P1769)*FLOOR(SUM(R1769),0.0001),AND(P1769&lt;&gt;"",R1769&lt;&gt;"",RIGHT($N1769,6)="tarief"),P1769*FLOOR(R1769,0.01),T1769&gt;0,FLOOR(SUM(T1769),0.01)),""),""),"")</f>
        <v/>
      </c>
      <c r="W1769" s="317" t="str" cm="1">
        <f t="array" aca="1" ref="W1769" ca="1">IFERROR(_xlfn.IFS(OR(F1769="",LEFT(Methode_Keuze,4)="Geen",Methode_Keuze=""),"",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17" t="str" cm="1">
        <f t="array" aca="1" ref="X1769" ca="1">IFERROR(_xlfn.IFS(OR(F1769="",LEFT(Methode_Keuze,4)="Geen",Methode_Keuze=""),"",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26"/>
      <c r="Z1769" s="319"/>
      <c r="AA1769" s="32" t="str" cm="1">
        <f t="array" ref="AA1769">IFERROR(IF(INDEX(SubsidieTabel!$AD$1:$AG$12,MATCH($F1769,SubsidieTabel!$AD$1:$AD$12,0),IFERROR(MATCH(Methode_Keuze,SubsidieTabel!$AD$1:$AG$1,0),2))&lt;&gt;1=TRUE,"ja",""),"")</f>
        <v/>
      </c>
    </row>
    <row r="1770" spans="1:27" x14ac:dyDescent="0.25">
      <c r="A1770" s="320"/>
      <c r="B1770" s="321" t="str">
        <f>IF(A1770&lt;&gt;"",_xlfn.MAXIFS($B$1:B1769,$A$1:A1769,A1770)+1,"")</f>
        <v/>
      </c>
      <c r="C1770" s="299"/>
      <c r="D1770" s="299"/>
      <c r="E1770" s="299"/>
      <c r="F1770" s="299"/>
      <c r="G1770" s="330"/>
      <c r="H1770" s="328"/>
      <c r="I1770" s="329"/>
      <c r="J1770" s="329"/>
      <c r="K1770" s="322"/>
      <c r="L1770" s="322"/>
      <c r="M1770" s="323" t="str">
        <f>IFERROR(VLOOKUP(H1770,Lijsten!$H$1:$I$100,2,0),"")</f>
        <v/>
      </c>
      <c r="N1770" s="323" t="str">
        <f ca="1">IFERROR(IF(VLOOKUP(F1770,Kostentypen!$A$3:$E$21,3,0)=0,"",IF(OR(F1770="Arbeidskosten",F1770="Vergoeding"),VLOOKUP(G1770,Tb_KostenTypen[],2,0),VLOOKUP(F1770,Kostentypen!$A$3:$E$20,3,0))),"")</f>
        <v/>
      </c>
      <c r="O1770" s="324"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4"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3"/>
      <c r="R1770" s="363"/>
      <c r="S1770" s="325"/>
      <c r="T1770" s="325"/>
      <c r="U1770" s="317" t="str" cm="1">
        <f t="array" aca="1" ref="U1770" ca="1">IFERROR(IF(AA1770&lt;&gt;"ja",_xlfn.IFNA(_xlfn.IFS(AND(O1770&lt;&gt;"",F1770&lt;&gt;"",RIGHT($N1770,6)="tarief",F1770="Vergoeding"),SUM(O1770)*FLOOR(SUM(Q1770),0.0001),AND(O1770&lt;&gt;"",F1770&lt;&gt;"",RIGHT($N1770,6)="tarief"),SUM(O1770)*FLOOR(SUM(Q1770),0.01),S1770&gt;0,IF(F1770&lt;&gt;"",FLOOR(SUM(S1770),0.01),"")),""),""),"")</f>
        <v/>
      </c>
      <c r="V1770" s="317" t="str" cm="1">
        <f t="array" aca="1" ref="V1770" ca="1">IFERROR(IF(AA1770&lt;&gt;"ja",_xlfn.IFNA(_xlfn.IFS(AND(P1770&lt;&gt;"",R1770&lt;&gt;"",RIGHT($N1770,6)="tarief",F1770="Vergoeding"),SUM(P1770)*FLOOR(SUM(R1770),0.0001),AND(P1770&lt;&gt;"",R1770&lt;&gt;"",RIGHT($N1770,6)="tarief"),P1770*FLOOR(R1770,0.01),T1770&gt;0,FLOOR(SUM(T1770),0.01)),""),""),"")</f>
        <v/>
      </c>
      <c r="W1770" s="317" t="str" cm="1">
        <f t="array" aca="1" ref="W1770" ca="1">IFERROR(_xlfn.IFS(OR(F1770="",LEFT(Methode_Keuze,4)="Geen",Methode_Keuze=""),"",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17" t="str" cm="1">
        <f t="array" aca="1" ref="X1770" ca="1">IFERROR(_xlfn.IFS(OR(F1770="",LEFT(Methode_Keuze,4)="Geen",Methode_Keuze=""),"",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26"/>
      <c r="Z1770" s="319"/>
      <c r="AA1770" s="32" t="str" cm="1">
        <f t="array" ref="AA1770">IFERROR(IF(INDEX(SubsidieTabel!$AD$1:$AG$12,MATCH($F1770,SubsidieTabel!$AD$1:$AD$12,0),IFERROR(MATCH(Methode_Keuze,SubsidieTabel!$AD$1:$AG$1,0),2))&lt;&gt;1=TRUE,"ja",""),"")</f>
        <v/>
      </c>
    </row>
    <row r="1771" spans="1:27" x14ac:dyDescent="0.25">
      <c r="A1771" s="320"/>
      <c r="B1771" s="321" t="str">
        <f>IF(A1771&lt;&gt;"",_xlfn.MAXIFS($B$1:B1770,$A$1:A1770,A1771)+1,"")</f>
        <v/>
      </c>
      <c r="C1771" s="299"/>
      <c r="D1771" s="299"/>
      <c r="E1771" s="299"/>
      <c r="F1771" s="299"/>
      <c r="G1771" s="330"/>
      <c r="H1771" s="328"/>
      <c r="I1771" s="329"/>
      <c r="J1771" s="329"/>
      <c r="K1771" s="322"/>
      <c r="L1771" s="322"/>
      <c r="M1771" s="323" t="str">
        <f>IFERROR(VLOOKUP(H1771,Lijsten!$H$1:$I$100,2,0),"")</f>
        <v/>
      </c>
      <c r="N1771" s="323" t="str">
        <f ca="1">IFERROR(IF(VLOOKUP(F1771,Kostentypen!$A$3:$E$21,3,0)=0,"",IF(OR(F1771="Arbeidskosten",F1771="Vergoeding"),VLOOKUP(G1771,Tb_KostenTypen[],2,0),VLOOKUP(F1771,Kostentypen!$A$3:$E$20,3,0))),"")</f>
        <v/>
      </c>
      <c r="O1771" s="324"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4"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3"/>
      <c r="R1771" s="363"/>
      <c r="S1771" s="325"/>
      <c r="T1771" s="325"/>
      <c r="U1771" s="317" t="str" cm="1">
        <f t="array" aca="1" ref="U1771" ca="1">IFERROR(IF(AA1771&lt;&gt;"ja",_xlfn.IFNA(_xlfn.IFS(AND(O1771&lt;&gt;"",F1771&lt;&gt;"",RIGHT($N1771,6)="tarief",F1771="Vergoeding"),SUM(O1771)*FLOOR(SUM(Q1771),0.0001),AND(O1771&lt;&gt;"",F1771&lt;&gt;"",RIGHT($N1771,6)="tarief"),SUM(O1771)*FLOOR(SUM(Q1771),0.01),S1771&gt;0,IF(F1771&lt;&gt;"",FLOOR(SUM(S1771),0.01),"")),""),""),"")</f>
        <v/>
      </c>
      <c r="V1771" s="317" t="str" cm="1">
        <f t="array" aca="1" ref="V1771" ca="1">IFERROR(IF(AA1771&lt;&gt;"ja",_xlfn.IFNA(_xlfn.IFS(AND(P1771&lt;&gt;"",R1771&lt;&gt;"",RIGHT($N1771,6)="tarief",F1771="Vergoeding"),SUM(P1771)*FLOOR(SUM(R1771),0.0001),AND(P1771&lt;&gt;"",R1771&lt;&gt;"",RIGHT($N1771,6)="tarief"),P1771*FLOOR(R1771,0.01),T1771&gt;0,FLOOR(SUM(T1771),0.01)),""),""),"")</f>
        <v/>
      </c>
      <c r="W1771" s="317" t="str" cm="1">
        <f t="array" aca="1" ref="W1771" ca="1">IFERROR(_xlfn.IFS(OR(F1771="",LEFT(Methode_Keuze,4)="Geen",Methode_Keuze=""),"",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17" t="str" cm="1">
        <f t="array" aca="1" ref="X1771" ca="1">IFERROR(_xlfn.IFS(OR(F1771="",LEFT(Methode_Keuze,4)="Geen",Methode_Keuze=""),"",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26"/>
      <c r="Z1771" s="319"/>
      <c r="AA1771" s="32" t="str" cm="1">
        <f t="array" ref="AA1771">IFERROR(IF(INDEX(SubsidieTabel!$AD$1:$AG$12,MATCH($F1771,SubsidieTabel!$AD$1:$AD$12,0),IFERROR(MATCH(Methode_Keuze,SubsidieTabel!$AD$1:$AG$1,0),2))&lt;&gt;1=TRUE,"ja",""),"")</f>
        <v/>
      </c>
    </row>
    <row r="1772" spans="1:27" x14ac:dyDescent="0.25">
      <c r="A1772" s="320"/>
      <c r="B1772" s="321" t="str">
        <f>IF(A1772&lt;&gt;"",_xlfn.MAXIFS($B$1:B1771,$A$1:A1771,A1772)+1,"")</f>
        <v/>
      </c>
      <c r="C1772" s="299"/>
      <c r="D1772" s="299"/>
      <c r="E1772" s="299"/>
      <c r="F1772" s="299"/>
      <c r="G1772" s="330"/>
      <c r="H1772" s="328"/>
      <c r="I1772" s="329"/>
      <c r="J1772" s="329"/>
      <c r="K1772" s="322"/>
      <c r="L1772" s="322"/>
      <c r="M1772" s="323" t="str">
        <f>IFERROR(VLOOKUP(H1772,Lijsten!$H$1:$I$100,2,0),"")</f>
        <v/>
      </c>
      <c r="N1772" s="323" t="str">
        <f ca="1">IFERROR(IF(VLOOKUP(F1772,Kostentypen!$A$3:$E$21,3,0)=0,"",IF(OR(F1772="Arbeidskosten",F1772="Vergoeding"),VLOOKUP(G1772,Tb_KostenTypen[],2,0),VLOOKUP(F1772,Kostentypen!$A$3:$E$20,3,0))),"")</f>
        <v/>
      </c>
      <c r="O1772" s="324"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4"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3"/>
      <c r="R1772" s="363"/>
      <c r="S1772" s="325"/>
      <c r="T1772" s="325"/>
      <c r="U1772" s="317" t="str" cm="1">
        <f t="array" aca="1" ref="U1772" ca="1">IFERROR(IF(AA1772&lt;&gt;"ja",_xlfn.IFNA(_xlfn.IFS(AND(O1772&lt;&gt;"",F1772&lt;&gt;"",RIGHT($N1772,6)="tarief",F1772="Vergoeding"),SUM(O1772)*FLOOR(SUM(Q1772),0.0001),AND(O1772&lt;&gt;"",F1772&lt;&gt;"",RIGHT($N1772,6)="tarief"),SUM(O1772)*FLOOR(SUM(Q1772),0.01),S1772&gt;0,IF(F1772&lt;&gt;"",FLOOR(SUM(S1772),0.01),"")),""),""),"")</f>
        <v/>
      </c>
      <c r="V1772" s="317" t="str" cm="1">
        <f t="array" aca="1" ref="V1772" ca="1">IFERROR(IF(AA1772&lt;&gt;"ja",_xlfn.IFNA(_xlfn.IFS(AND(P1772&lt;&gt;"",R1772&lt;&gt;"",RIGHT($N1772,6)="tarief",F1772="Vergoeding"),SUM(P1772)*FLOOR(SUM(R1772),0.0001),AND(P1772&lt;&gt;"",R1772&lt;&gt;"",RIGHT($N1772,6)="tarief"),P1772*FLOOR(R1772,0.01),T1772&gt;0,FLOOR(SUM(T1772),0.01)),""),""),"")</f>
        <v/>
      </c>
      <c r="W1772" s="317" t="str" cm="1">
        <f t="array" aca="1" ref="W1772" ca="1">IFERROR(_xlfn.IFS(OR(F1772="",LEFT(Methode_Keuze,4)="Geen",Methode_Keuze=""),"",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17" t="str" cm="1">
        <f t="array" aca="1" ref="X1772" ca="1">IFERROR(_xlfn.IFS(OR(F1772="",LEFT(Methode_Keuze,4)="Geen",Methode_Keuze=""),"",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26"/>
      <c r="Z1772" s="319"/>
      <c r="AA1772" s="32" t="str" cm="1">
        <f t="array" ref="AA1772">IFERROR(IF(INDEX(SubsidieTabel!$AD$1:$AG$12,MATCH($F1772,SubsidieTabel!$AD$1:$AD$12,0),IFERROR(MATCH(Methode_Keuze,SubsidieTabel!$AD$1:$AG$1,0),2))&lt;&gt;1=TRUE,"ja",""),"")</f>
        <v/>
      </c>
    </row>
    <row r="1773" spans="1:27" x14ac:dyDescent="0.25">
      <c r="A1773" s="320"/>
      <c r="B1773" s="321" t="str">
        <f>IF(A1773&lt;&gt;"",_xlfn.MAXIFS($B$1:B1772,$A$1:A1772,A1773)+1,"")</f>
        <v/>
      </c>
      <c r="C1773" s="299"/>
      <c r="D1773" s="299"/>
      <c r="E1773" s="299"/>
      <c r="F1773" s="299"/>
      <c r="G1773" s="330"/>
      <c r="H1773" s="328"/>
      <c r="I1773" s="329"/>
      <c r="J1773" s="329"/>
      <c r="K1773" s="322"/>
      <c r="L1773" s="322"/>
      <c r="M1773" s="323" t="str">
        <f>IFERROR(VLOOKUP(H1773,Lijsten!$H$1:$I$100,2,0),"")</f>
        <v/>
      </c>
      <c r="N1773" s="323" t="str">
        <f ca="1">IFERROR(IF(VLOOKUP(F1773,Kostentypen!$A$3:$E$21,3,0)=0,"",IF(OR(F1773="Arbeidskosten",F1773="Vergoeding"),VLOOKUP(G1773,Tb_KostenTypen[],2,0),VLOOKUP(F1773,Kostentypen!$A$3:$E$20,3,0))),"")</f>
        <v/>
      </c>
      <c r="O1773" s="324"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4"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3"/>
      <c r="R1773" s="363"/>
      <c r="S1773" s="325"/>
      <c r="T1773" s="325"/>
      <c r="U1773" s="317" t="str" cm="1">
        <f t="array" aca="1" ref="U1773" ca="1">IFERROR(IF(AA1773&lt;&gt;"ja",_xlfn.IFNA(_xlfn.IFS(AND(O1773&lt;&gt;"",F1773&lt;&gt;"",RIGHT($N1773,6)="tarief",F1773="Vergoeding"),SUM(O1773)*FLOOR(SUM(Q1773),0.0001),AND(O1773&lt;&gt;"",F1773&lt;&gt;"",RIGHT($N1773,6)="tarief"),SUM(O1773)*FLOOR(SUM(Q1773),0.01),S1773&gt;0,IF(F1773&lt;&gt;"",FLOOR(SUM(S1773),0.01),"")),""),""),"")</f>
        <v/>
      </c>
      <c r="V1773" s="317" t="str" cm="1">
        <f t="array" aca="1" ref="V1773" ca="1">IFERROR(IF(AA1773&lt;&gt;"ja",_xlfn.IFNA(_xlfn.IFS(AND(P1773&lt;&gt;"",R1773&lt;&gt;"",RIGHT($N1773,6)="tarief",F1773="Vergoeding"),SUM(P1773)*FLOOR(SUM(R1773),0.0001),AND(P1773&lt;&gt;"",R1773&lt;&gt;"",RIGHT($N1773,6)="tarief"),P1773*FLOOR(R1773,0.01),T1773&gt;0,FLOOR(SUM(T1773),0.01)),""),""),"")</f>
        <v/>
      </c>
      <c r="W1773" s="317" t="str" cm="1">
        <f t="array" aca="1" ref="W1773" ca="1">IFERROR(_xlfn.IFS(OR(F1773="",LEFT(Methode_Keuze,4)="Geen",Methode_Keuze=""),"",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17" t="str" cm="1">
        <f t="array" aca="1" ref="X1773" ca="1">IFERROR(_xlfn.IFS(OR(F1773="",LEFT(Methode_Keuze,4)="Geen",Methode_Keuze=""),"",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26"/>
      <c r="Z1773" s="319"/>
      <c r="AA1773" s="32" t="str" cm="1">
        <f t="array" ref="AA1773">IFERROR(IF(INDEX(SubsidieTabel!$AD$1:$AG$12,MATCH($F1773,SubsidieTabel!$AD$1:$AD$12,0),IFERROR(MATCH(Methode_Keuze,SubsidieTabel!$AD$1:$AG$1,0),2))&lt;&gt;1=TRUE,"ja",""),"")</f>
        <v/>
      </c>
    </row>
    <row r="1774" spans="1:27" x14ac:dyDescent="0.25">
      <c r="A1774" s="320"/>
      <c r="B1774" s="321" t="str">
        <f>IF(A1774&lt;&gt;"",_xlfn.MAXIFS($B$1:B1773,$A$1:A1773,A1774)+1,"")</f>
        <v/>
      </c>
      <c r="C1774" s="299"/>
      <c r="D1774" s="299"/>
      <c r="E1774" s="299"/>
      <c r="F1774" s="299"/>
      <c r="G1774" s="330"/>
      <c r="H1774" s="328"/>
      <c r="I1774" s="329"/>
      <c r="J1774" s="329"/>
      <c r="K1774" s="322"/>
      <c r="L1774" s="322"/>
      <c r="M1774" s="323" t="str">
        <f>IFERROR(VLOOKUP(H1774,Lijsten!$H$1:$I$100,2,0),"")</f>
        <v/>
      </c>
      <c r="N1774" s="323" t="str">
        <f ca="1">IFERROR(IF(VLOOKUP(F1774,Kostentypen!$A$3:$E$21,3,0)=0,"",IF(OR(F1774="Arbeidskosten",F1774="Vergoeding"),VLOOKUP(G1774,Tb_KostenTypen[],2,0),VLOOKUP(F1774,Kostentypen!$A$3:$E$20,3,0))),"")</f>
        <v/>
      </c>
      <c r="O1774" s="324"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4"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3"/>
      <c r="R1774" s="363"/>
      <c r="S1774" s="325"/>
      <c r="T1774" s="325"/>
      <c r="U1774" s="317" t="str" cm="1">
        <f t="array" aca="1" ref="U1774" ca="1">IFERROR(IF(AA1774&lt;&gt;"ja",_xlfn.IFNA(_xlfn.IFS(AND(O1774&lt;&gt;"",F1774&lt;&gt;"",RIGHT($N1774,6)="tarief",F1774="Vergoeding"),SUM(O1774)*FLOOR(SUM(Q1774),0.0001),AND(O1774&lt;&gt;"",F1774&lt;&gt;"",RIGHT($N1774,6)="tarief"),SUM(O1774)*FLOOR(SUM(Q1774),0.01),S1774&gt;0,IF(F1774&lt;&gt;"",FLOOR(SUM(S1774),0.01),"")),""),""),"")</f>
        <v/>
      </c>
      <c r="V1774" s="317" t="str" cm="1">
        <f t="array" aca="1" ref="V1774" ca="1">IFERROR(IF(AA1774&lt;&gt;"ja",_xlfn.IFNA(_xlfn.IFS(AND(P1774&lt;&gt;"",R1774&lt;&gt;"",RIGHT($N1774,6)="tarief",F1774="Vergoeding"),SUM(P1774)*FLOOR(SUM(R1774),0.0001),AND(P1774&lt;&gt;"",R1774&lt;&gt;"",RIGHT($N1774,6)="tarief"),P1774*FLOOR(R1774,0.01),T1774&gt;0,FLOOR(SUM(T1774),0.01)),""),""),"")</f>
        <v/>
      </c>
      <c r="W1774" s="317" t="str" cm="1">
        <f t="array" aca="1" ref="W1774" ca="1">IFERROR(_xlfn.IFS(OR(F1774="",LEFT(Methode_Keuze,4)="Geen",Methode_Keuze=""),"",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17" t="str" cm="1">
        <f t="array" aca="1" ref="X1774" ca="1">IFERROR(_xlfn.IFS(OR(F1774="",LEFT(Methode_Keuze,4)="Geen",Methode_Keuze=""),"",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26"/>
      <c r="Z1774" s="319"/>
      <c r="AA1774" s="32" t="str" cm="1">
        <f t="array" ref="AA1774">IFERROR(IF(INDEX(SubsidieTabel!$AD$1:$AG$12,MATCH($F1774,SubsidieTabel!$AD$1:$AD$12,0),IFERROR(MATCH(Methode_Keuze,SubsidieTabel!$AD$1:$AG$1,0),2))&lt;&gt;1=TRUE,"ja",""),"")</f>
        <v/>
      </c>
    </row>
    <row r="1775" spans="1:27" x14ac:dyDescent="0.25">
      <c r="A1775" s="320"/>
      <c r="B1775" s="321" t="str">
        <f>IF(A1775&lt;&gt;"",_xlfn.MAXIFS($B$1:B1774,$A$1:A1774,A1775)+1,"")</f>
        <v/>
      </c>
      <c r="C1775" s="299"/>
      <c r="D1775" s="299"/>
      <c r="E1775" s="299"/>
      <c r="F1775" s="299"/>
      <c r="G1775" s="330"/>
      <c r="H1775" s="328"/>
      <c r="I1775" s="329"/>
      <c r="J1775" s="329"/>
      <c r="K1775" s="322"/>
      <c r="L1775" s="322"/>
      <c r="M1775" s="323" t="str">
        <f>IFERROR(VLOOKUP(H1775,Lijsten!$H$1:$I$100,2,0),"")</f>
        <v/>
      </c>
      <c r="N1775" s="323" t="str">
        <f ca="1">IFERROR(IF(VLOOKUP(F1775,Kostentypen!$A$3:$E$21,3,0)=0,"",IF(OR(F1775="Arbeidskosten",F1775="Vergoeding"),VLOOKUP(G1775,Tb_KostenTypen[],2,0),VLOOKUP(F1775,Kostentypen!$A$3:$E$20,3,0))),"")</f>
        <v/>
      </c>
      <c r="O1775" s="324"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4"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3"/>
      <c r="R1775" s="363"/>
      <c r="S1775" s="325"/>
      <c r="T1775" s="325"/>
      <c r="U1775" s="317" t="str" cm="1">
        <f t="array" aca="1" ref="U1775" ca="1">IFERROR(IF(AA1775&lt;&gt;"ja",_xlfn.IFNA(_xlfn.IFS(AND(O1775&lt;&gt;"",F1775&lt;&gt;"",RIGHT($N1775,6)="tarief",F1775="Vergoeding"),SUM(O1775)*FLOOR(SUM(Q1775),0.0001),AND(O1775&lt;&gt;"",F1775&lt;&gt;"",RIGHT($N1775,6)="tarief"),SUM(O1775)*FLOOR(SUM(Q1775),0.01),S1775&gt;0,IF(F1775&lt;&gt;"",FLOOR(SUM(S1775),0.01),"")),""),""),"")</f>
        <v/>
      </c>
      <c r="V1775" s="317" t="str" cm="1">
        <f t="array" aca="1" ref="V1775" ca="1">IFERROR(IF(AA1775&lt;&gt;"ja",_xlfn.IFNA(_xlfn.IFS(AND(P1775&lt;&gt;"",R1775&lt;&gt;"",RIGHT($N1775,6)="tarief",F1775="Vergoeding"),SUM(P1775)*FLOOR(SUM(R1775),0.0001),AND(P1775&lt;&gt;"",R1775&lt;&gt;"",RIGHT($N1775,6)="tarief"),P1775*FLOOR(R1775,0.01),T1775&gt;0,FLOOR(SUM(T1775),0.01)),""),""),"")</f>
        <v/>
      </c>
      <c r="W1775" s="317" t="str" cm="1">
        <f t="array" aca="1" ref="W1775" ca="1">IFERROR(_xlfn.IFS(OR(F1775="",LEFT(Methode_Keuze,4)="Geen",Methode_Keuze=""),"",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17" t="str" cm="1">
        <f t="array" aca="1" ref="X1775" ca="1">IFERROR(_xlfn.IFS(OR(F1775="",LEFT(Methode_Keuze,4)="Geen",Methode_Keuze=""),"",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26"/>
      <c r="Z1775" s="319"/>
      <c r="AA1775" s="32" t="str" cm="1">
        <f t="array" ref="AA1775">IFERROR(IF(INDEX(SubsidieTabel!$AD$1:$AG$12,MATCH($F1775,SubsidieTabel!$AD$1:$AD$12,0),IFERROR(MATCH(Methode_Keuze,SubsidieTabel!$AD$1:$AG$1,0),2))&lt;&gt;1=TRUE,"ja",""),"")</f>
        <v/>
      </c>
    </row>
    <row r="1776" spans="1:27" x14ac:dyDescent="0.25">
      <c r="A1776" s="320"/>
      <c r="B1776" s="321" t="str">
        <f>IF(A1776&lt;&gt;"",_xlfn.MAXIFS($B$1:B1775,$A$1:A1775,A1776)+1,"")</f>
        <v/>
      </c>
      <c r="C1776" s="299"/>
      <c r="D1776" s="299"/>
      <c r="E1776" s="299"/>
      <c r="F1776" s="299"/>
      <c r="G1776" s="330"/>
      <c r="H1776" s="328"/>
      <c r="I1776" s="329"/>
      <c r="J1776" s="329"/>
      <c r="K1776" s="322"/>
      <c r="L1776" s="322"/>
      <c r="M1776" s="323" t="str">
        <f>IFERROR(VLOOKUP(H1776,Lijsten!$H$1:$I$100,2,0),"")</f>
        <v/>
      </c>
      <c r="N1776" s="323" t="str">
        <f ca="1">IFERROR(IF(VLOOKUP(F1776,Kostentypen!$A$3:$E$21,3,0)=0,"",IF(OR(F1776="Arbeidskosten",F1776="Vergoeding"),VLOOKUP(G1776,Tb_KostenTypen[],2,0),VLOOKUP(F1776,Kostentypen!$A$3:$E$20,3,0))),"")</f>
        <v/>
      </c>
      <c r="O1776" s="324"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4"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3"/>
      <c r="R1776" s="363"/>
      <c r="S1776" s="325"/>
      <c r="T1776" s="325"/>
      <c r="U1776" s="317" t="str" cm="1">
        <f t="array" aca="1" ref="U1776" ca="1">IFERROR(IF(AA1776&lt;&gt;"ja",_xlfn.IFNA(_xlfn.IFS(AND(O1776&lt;&gt;"",F1776&lt;&gt;"",RIGHT($N1776,6)="tarief",F1776="Vergoeding"),SUM(O1776)*FLOOR(SUM(Q1776),0.0001),AND(O1776&lt;&gt;"",F1776&lt;&gt;"",RIGHT($N1776,6)="tarief"),SUM(O1776)*FLOOR(SUM(Q1776),0.01),S1776&gt;0,IF(F1776&lt;&gt;"",FLOOR(SUM(S1776),0.01),"")),""),""),"")</f>
        <v/>
      </c>
      <c r="V1776" s="317" t="str" cm="1">
        <f t="array" aca="1" ref="V1776" ca="1">IFERROR(IF(AA1776&lt;&gt;"ja",_xlfn.IFNA(_xlfn.IFS(AND(P1776&lt;&gt;"",R1776&lt;&gt;"",RIGHT($N1776,6)="tarief",F1776="Vergoeding"),SUM(P1776)*FLOOR(SUM(R1776),0.0001),AND(P1776&lt;&gt;"",R1776&lt;&gt;"",RIGHT($N1776,6)="tarief"),P1776*FLOOR(R1776,0.01),T1776&gt;0,FLOOR(SUM(T1776),0.01)),""),""),"")</f>
        <v/>
      </c>
      <c r="W1776" s="317" t="str" cm="1">
        <f t="array" aca="1" ref="W1776" ca="1">IFERROR(_xlfn.IFS(OR(F1776="",LEFT(Methode_Keuze,4)="Geen",Methode_Keuze=""),"",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17" t="str" cm="1">
        <f t="array" aca="1" ref="X1776" ca="1">IFERROR(_xlfn.IFS(OR(F1776="",LEFT(Methode_Keuze,4)="Geen",Methode_Keuze=""),"",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26"/>
      <c r="Z1776" s="319"/>
      <c r="AA1776" s="32" t="str" cm="1">
        <f t="array" ref="AA1776">IFERROR(IF(INDEX(SubsidieTabel!$AD$1:$AG$12,MATCH($F1776,SubsidieTabel!$AD$1:$AD$12,0),IFERROR(MATCH(Methode_Keuze,SubsidieTabel!$AD$1:$AG$1,0),2))&lt;&gt;1=TRUE,"ja",""),"")</f>
        <v/>
      </c>
    </row>
    <row r="1777" spans="1:27" x14ac:dyDescent="0.25">
      <c r="A1777" s="320"/>
      <c r="B1777" s="321" t="str">
        <f>IF(A1777&lt;&gt;"",_xlfn.MAXIFS($B$1:B1776,$A$1:A1776,A1777)+1,"")</f>
        <v/>
      </c>
      <c r="C1777" s="299"/>
      <c r="D1777" s="299"/>
      <c r="E1777" s="299"/>
      <c r="F1777" s="299"/>
      <c r="G1777" s="330"/>
      <c r="H1777" s="328"/>
      <c r="I1777" s="329"/>
      <c r="J1777" s="329"/>
      <c r="K1777" s="322"/>
      <c r="L1777" s="322"/>
      <c r="M1777" s="323" t="str">
        <f>IFERROR(VLOOKUP(H1777,Lijsten!$H$1:$I$100,2,0),"")</f>
        <v/>
      </c>
      <c r="N1777" s="323" t="str">
        <f ca="1">IFERROR(IF(VLOOKUP(F1777,Kostentypen!$A$3:$E$21,3,0)=0,"",IF(OR(F1777="Arbeidskosten",F1777="Vergoeding"),VLOOKUP(G1777,Tb_KostenTypen[],2,0),VLOOKUP(F1777,Kostentypen!$A$3:$E$20,3,0))),"")</f>
        <v/>
      </c>
      <c r="O1777" s="324"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4"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3"/>
      <c r="R1777" s="363"/>
      <c r="S1777" s="325"/>
      <c r="T1777" s="325"/>
      <c r="U1777" s="317" t="str" cm="1">
        <f t="array" aca="1" ref="U1777" ca="1">IFERROR(IF(AA1777&lt;&gt;"ja",_xlfn.IFNA(_xlfn.IFS(AND(O1777&lt;&gt;"",F1777&lt;&gt;"",RIGHT($N1777,6)="tarief",F1777="Vergoeding"),SUM(O1777)*FLOOR(SUM(Q1777),0.0001),AND(O1777&lt;&gt;"",F1777&lt;&gt;"",RIGHT($N1777,6)="tarief"),SUM(O1777)*FLOOR(SUM(Q1777),0.01),S1777&gt;0,IF(F1777&lt;&gt;"",FLOOR(SUM(S1777),0.01),"")),""),""),"")</f>
        <v/>
      </c>
      <c r="V1777" s="317" t="str" cm="1">
        <f t="array" aca="1" ref="V1777" ca="1">IFERROR(IF(AA1777&lt;&gt;"ja",_xlfn.IFNA(_xlfn.IFS(AND(P1777&lt;&gt;"",R1777&lt;&gt;"",RIGHT($N1777,6)="tarief",F1777="Vergoeding"),SUM(P1777)*FLOOR(SUM(R1777),0.0001),AND(P1777&lt;&gt;"",R1777&lt;&gt;"",RIGHT($N1777,6)="tarief"),P1777*FLOOR(R1777,0.01),T1777&gt;0,FLOOR(SUM(T1777),0.01)),""),""),"")</f>
        <v/>
      </c>
      <c r="W1777" s="317" t="str" cm="1">
        <f t="array" aca="1" ref="W1777" ca="1">IFERROR(_xlfn.IFS(OR(F1777="",LEFT(Methode_Keuze,4)="Geen",Methode_Keuze=""),"",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17" t="str" cm="1">
        <f t="array" aca="1" ref="X1777" ca="1">IFERROR(_xlfn.IFS(OR(F1777="",LEFT(Methode_Keuze,4)="Geen",Methode_Keuze=""),"",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26"/>
      <c r="Z1777" s="319"/>
      <c r="AA1777" s="32" t="str" cm="1">
        <f t="array" ref="AA1777">IFERROR(IF(INDEX(SubsidieTabel!$AD$1:$AG$12,MATCH($F1777,SubsidieTabel!$AD$1:$AD$12,0),IFERROR(MATCH(Methode_Keuze,SubsidieTabel!$AD$1:$AG$1,0),2))&lt;&gt;1=TRUE,"ja",""),"")</f>
        <v/>
      </c>
    </row>
    <row r="1778" spans="1:27" x14ac:dyDescent="0.25">
      <c r="A1778" s="320"/>
      <c r="B1778" s="321" t="str">
        <f>IF(A1778&lt;&gt;"",_xlfn.MAXIFS($B$1:B1777,$A$1:A1777,A1778)+1,"")</f>
        <v/>
      </c>
      <c r="C1778" s="299"/>
      <c r="D1778" s="299"/>
      <c r="E1778" s="299"/>
      <c r="F1778" s="299"/>
      <c r="G1778" s="330"/>
      <c r="H1778" s="328"/>
      <c r="I1778" s="329"/>
      <c r="J1778" s="329"/>
      <c r="K1778" s="322"/>
      <c r="L1778" s="322"/>
      <c r="M1778" s="323" t="str">
        <f>IFERROR(VLOOKUP(H1778,Lijsten!$H$1:$I$100,2,0),"")</f>
        <v/>
      </c>
      <c r="N1778" s="323" t="str">
        <f ca="1">IFERROR(IF(VLOOKUP(F1778,Kostentypen!$A$3:$E$21,3,0)=0,"",IF(OR(F1778="Arbeidskosten",F1778="Vergoeding"),VLOOKUP(G1778,Tb_KostenTypen[],2,0),VLOOKUP(F1778,Kostentypen!$A$3:$E$20,3,0))),"")</f>
        <v/>
      </c>
      <c r="O1778" s="324"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4"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3"/>
      <c r="R1778" s="363"/>
      <c r="S1778" s="325"/>
      <c r="T1778" s="325"/>
      <c r="U1778" s="317" t="str" cm="1">
        <f t="array" aca="1" ref="U1778" ca="1">IFERROR(IF(AA1778&lt;&gt;"ja",_xlfn.IFNA(_xlfn.IFS(AND(O1778&lt;&gt;"",F1778&lt;&gt;"",RIGHT($N1778,6)="tarief",F1778="Vergoeding"),SUM(O1778)*FLOOR(SUM(Q1778),0.0001),AND(O1778&lt;&gt;"",F1778&lt;&gt;"",RIGHT($N1778,6)="tarief"),SUM(O1778)*FLOOR(SUM(Q1778),0.01),S1778&gt;0,IF(F1778&lt;&gt;"",FLOOR(SUM(S1778),0.01),"")),""),""),"")</f>
        <v/>
      </c>
      <c r="V1778" s="317" t="str" cm="1">
        <f t="array" aca="1" ref="V1778" ca="1">IFERROR(IF(AA1778&lt;&gt;"ja",_xlfn.IFNA(_xlfn.IFS(AND(P1778&lt;&gt;"",R1778&lt;&gt;"",RIGHT($N1778,6)="tarief",F1778="Vergoeding"),SUM(P1778)*FLOOR(SUM(R1778),0.0001),AND(P1778&lt;&gt;"",R1778&lt;&gt;"",RIGHT($N1778,6)="tarief"),P1778*FLOOR(R1778,0.01),T1778&gt;0,FLOOR(SUM(T1778),0.01)),""),""),"")</f>
        <v/>
      </c>
      <c r="W1778" s="317" t="str" cm="1">
        <f t="array" aca="1" ref="W1778" ca="1">IFERROR(_xlfn.IFS(OR(F1778="",LEFT(Methode_Keuze,4)="Geen",Methode_Keuze=""),"",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17" t="str" cm="1">
        <f t="array" aca="1" ref="X1778" ca="1">IFERROR(_xlfn.IFS(OR(F1778="",LEFT(Methode_Keuze,4)="Geen",Methode_Keuze=""),"",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26"/>
      <c r="Z1778" s="319"/>
      <c r="AA1778" s="32" t="str" cm="1">
        <f t="array" ref="AA1778">IFERROR(IF(INDEX(SubsidieTabel!$AD$1:$AG$12,MATCH($F1778,SubsidieTabel!$AD$1:$AD$12,0),IFERROR(MATCH(Methode_Keuze,SubsidieTabel!$AD$1:$AG$1,0),2))&lt;&gt;1=TRUE,"ja",""),"")</f>
        <v/>
      </c>
    </row>
    <row r="1779" spans="1:27" x14ac:dyDescent="0.25">
      <c r="A1779" s="320"/>
      <c r="B1779" s="321" t="str">
        <f>IF(A1779&lt;&gt;"",_xlfn.MAXIFS($B$1:B1778,$A$1:A1778,A1779)+1,"")</f>
        <v/>
      </c>
      <c r="C1779" s="299"/>
      <c r="D1779" s="299"/>
      <c r="E1779" s="299"/>
      <c r="F1779" s="299"/>
      <c r="G1779" s="330"/>
      <c r="H1779" s="328"/>
      <c r="I1779" s="329"/>
      <c r="J1779" s="329"/>
      <c r="K1779" s="322"/>
      <c r="L1779" s="322"/>
      <c r="M1779" s="323" t="str">
        <f>IFERROR(VLOOKUP(H1779,Lijsten!$H$1:$I$100,2,0),"")</f>
        <v/>
      </c>
      <c r="N1779" s="323" t="str">
        <f ca="1">IFERROR(IF(VLOOKUP(F1779,Kostentypen!$A$3:$E$21,3,0)=0,"",IF(OR(F1779="Arbeidskosten",F1779="Vergoeding"),VLOOKUP(G1779,Tb_KostenTypen[],2,0),VLOOKUP(F1779,Kostentypen!$A$3:$E$20,3,0))),"")</f>
        <v/>
      </c>
      <c r="O1779" s="324"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4"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3"/>
      <c r="R1779" s="363"/>
      <c r="S1779" s="325"/>
      <c r="T1779" s="325"/>
      <c r="U1779" s="317" t="str" cm="1">
        <f t="array" aca="1" ref="U1779" ca="1">IFERROR(IF(AA1779&lt;&gt;"ja",_xlfn.IFNA(_xlfn.IFS(AND(O1779&lt;&gt;"",F1779&lt;&gt;"",RIGHT($N1779,6)="tarief",F1779="Vergoeding"),SUM(O1779)*FLOOR(SUM(Q1779),0.0001),AND(O1779&lt;&gt;"",F1779&lt;&gt;"",RIGHT($N1779,6)="tarief"),SUM(O1779)*FLOOR(SUM(Q1779),0.01),S1779&gt;0,IF(F1779&lt;&gt;"",FLOOR(SUM(S1779),0.01),"")),""),""),"")</f>
        <v/>
      </c>
      <c r="V1779" s="317" t="str" cm="1">
        <f t="array" aca="1" ref="V1779" ca="1">IFERROR(IF(AA1779&lt;&gt;"ja",_xlfn.IFNA(_xlfn.IFS(AND(P1779&lt;&gt;"",R1779&lt;&gt;"",RIGHT($N1779,6)="tarief",F1779="Vergoeding"),SUM(P1779)*FLOOR(SUM(R1779),0.0001),AND(P1779&lt;&gt;"",R1779&lt;&gt;"",RIGHT($N1779,6)="tarief"),P1779*FLOOR(R1779,0.01),T1779&gt;0,FLOOR(SUM(T1779),0.01)),""),""),"")</f>
        <v/>
      </c>
      <c r="W1779" s="317" t="str" cm="1">
        <f t="array" aca="1" ref="W1779" ca="1">IFERROR(_xlfn.IFS(OR(F1779="",LEFT(Methode_Keuze,4)="Geen",Methode_Keuze=""),"",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17" t="str" cm="1">
        <f t="array" aca="1" ref="X1779" ca="1">IFERROR(_xlfn.IFS(OR(F1779="",LEFT(Methode_Keuze,4)="Geen",Methode_Keuze=""),"",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26"/>
      <c r="Z1779" s="319"/>
      <c r="AA1779" s="32" t="str" cm="1">
        <f t="array" ref="AA1779">IFERROR(IF(INDEX(SubsidieTabel!$AD$1:$AG$12,MATCH($F1779,SubsidieTabel!$AD$1:$AD$12,0),IFERROR(MATCH(Methode_Keuze,SubsidieTabel!$AD$1:$AG$1,0),2))&lt;&gt;1=TRUE,"ja",""),"")</f>
        <v/>
      </c>
    </row>
    <row r="1780" spans="1:27" x14ac:dyDescent="0.25">
      <c r="A1780" s="320"/>
      <c r="B1780" s="321" t="str">
        <f>IF(A1780&lt;&gt;"",_xlfn.MAXIFS($B$1:B1779,$A$1:A1779,A1780)+1,"")</f>
        <v/>
      </c>
      <c r="C1780" s="299"/>
      <c r="D1780" s="299"/>
      <c r="E1780" s="299"/>
      <c r="F1780" s="299"/>
      <c r="G1780" s="330"/>
      <c r="H1780" s="328"/>
      <c r="I1780" s="329"/>
      <c r="J1780" s="329"/>
      <c r="K1780" s="322"/>
      <c r="L1780" s="322"/>
      <c r="M1780" s="323" t="str">
        <f>IFERROR(VLOOKUP(H1780,Lijsten!$H$1:$I$100,2,0),"")</f>
        <v/>
      </c>
      <c r="N1780" s="323" t="str">
        <f ca="1">IFERROR(IF(VLOOKUP(F1780,Kostentypen!$A$3:$E$21,3,0)=0,"",IF(OR(F1780="Arbeidskosten",F1780="Vergoeding"),VLOOKUP(G1780,Tb_KostenTypen[],2,0),VLOOKUP(F1780,Kostentypen!$A$3:$E$20,3,0))),"")</f>
        <v/>
      </c>
      <c r="O1780" s="324"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4"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3"/>
      <c r="R1780" s="363"/>
      <c r="S1780" s="325"/>
      <c r="T1780" s="325"/>
      <c r="U1780" s="317" t="str" cm="1">
        <f t="array" aca="1" ref="U1780" ca="1">IFERROR(IF(AA1780&lt;&gt;"ja",_xlfn.IFNA(_xlfn.IFS(AND(O1780&lt;&gt;"",F1780&lt;&gt;"",RIGHT($N1780,6)="tarief",F1780="Vergoeding"),SUM(O1780)*FLOOR(SUM(Q1780),0.0001),AND(O1780&lt;&gt;"",F1780&lt;&gt;"",RIGHT($N1780,6)="tarief"),SUM(O1780)*FLOOR(SUM(Q1780),0.01),S1780&gt;0,IF(F1780&lt;&gt;"",FLOOR(SUM(S1780),0.01),"")),""),""),"")</f>
        <v/>
      </c>
      <c r="V1780" s="317" t="str" cm="1">
        <f t="array" aca="1" ref="V1780" ca="1">IFERROR(IF(AA1780&lt;&gt;"ja",_xlfn.IFNA(_xlfn.IFS(AND(P1780&lt;&gt;"",R1780&lt;&gt;"",RIGHT($N1780,6)="tarief",F1780="Vergoeding"),SUM(P1780)*FLOOR(SUM(R1780),0.0001),AND(P1780&lt;&gt;"",R1780&lt;&gt;"",RIGHT($N1780,6)="tarief"),P1780*FLOOR(R1780,0.01),T1780&gt;0,FLOOR(SUM(T1780),0.01)),""),""),"")</f>
        <v/>
      </c>
      <c r="W1780" s="317" t="str" cm="1">
        <f t="array" aca="1" ref="W1780" ca="1">IFERROR(_xlfn.IFS(OR(F1780="",LEFT(Methode_Keuze,4)="Geen",Methode_Keuze=""),"",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17" t="str" cm="1">
        <f t="array" aca="1" ref="X1780" ca="1">IFERROR(_xlfn.IFS(OR(F1780="",LEFT(Methode_Keuze,4)="Geen",Methode_Keuze=""),"",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26"/>
      <c r="Z1780" s="319"/>
      <c r="AA1780" s="32" t="str" cm="1">
        <f t="array" ref="AA1780">IFERROR(IF(INDEX(SubsidieTabel!$AD$1:$AG$12,MATCH($F1780,SubsidieTabel!$AD$1:$AD$12,0),IFERROR(MATCH(Methode_Keuze,SubsidieTabel!$AD$1:$AG$1,0),2))&lt;&gt;1=TRUE,"ja",""),"")</f>
        <v/>
      </c>
    </row>
    <row r="1781" spans="1:27" x14ac:dyDescent="0.25">
      <c r="A1781" s="320"/>
      <c r="B1781" s="321" t="str">
        <f>IF(A1781&lt;&gt;"",_xlfn.MAXIFS($B$1:B1780,$A$1:A1780,A1781)+1,"")</f>
        <v/>
      </c>
      <c r="C1781" s="299"/>
      <c r="D1781" s="299"/>
      <c r="E1781" s="299"/>
      <c r="F1781" s="299"/>
      <c r="G1781" s="330"/>
      <c r="H1781" s="328"/>
      <c r="I1781" s="329"/>
      <c r="J1781" s="329"/>
      <c r="K1781" s="322"/>
      <c r="L1781" s="322"/>
      <c r="M1781" s="323" t="str">
        <f>IFERROR(VLOOKUP(H1781,Lijsten!$H$1:$I$100,2,0),"")</f>
        <v/>
      </c>
      <c r="N1781" s="323" t="str">
        <f ca="1">IFERROR(IF(VLOOKUP(F1781,Kostentypen!$A$3:$E$21,3,0)=0,"",IF(OR(F1781="Arbeidskosten",F1781="Vergoeding"),VLOOKUP(G1781,Tb_KostenTypen[],2,0),VLOOKUP(F1781,Kostentypen!$A$3:$E$20,3,0))),"")</f>
        <v/>
      </c>
      <c r="O1781" s="324"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4"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3"/>
      <c r="R1781" s="363"/>
      <c r="S1781" s="325"/>
      <c r="T1781" s="325"/>
      <c r="U1781" s="317" t="str" cm="1">
        <f t="array" aca="1" ref="U1781" ca="1">IFERROR(IF(AA1781&lt;&gt;"ja",_xlfn.IFNA(_xlfn.IFS(AND(O1781&lt;&gt;"",F1781&lt;&gt;"",RIGHT($N1781,6)="tarief",F1781="Vergoeding"),SUM(O1781)*FLOOR(SUM(Q1781),0.0001),AND(O1781&lt;&gt;"",F1781&lt;&gt;"",RIGHT($N1781,6)="tarief"),SUM(O1781)*FLOOR(SUM(Q1781),0.01),S1781&gt;0,IF(F1781&lt;&gt;"",FLOOR(SUM(S1781),0.01),"")),""),""),"")</f>
        <v/>
      </c>
      <c r="V1781" s="317" t="str" cm="1">
        <f t="array" aca="1" ref="V1781" ca="1">IFERROR(IF(AA1781&lt;&gt;"ja",_xlfn.IFNA(_xlfn.IFS(AND(P1781&lt;&gt;"",R1781&lt;&gt;"",RIGHT($N1781,6)="tarief",F1781="Vergoeding"),SUM(P1781)*FLOOR(SUM(R1781),0.0001),AND(P1781&lt;&gt;"",R1781&lt;&gt;"",RIGHT($N1781,6)="tarief"),P1781*FLOOR(R1781,0.01),T1781&gt;0,FLOOR(SUM(T1781),0.01)),""),""),"")</f>
        <v/>
      </c>
      <c r="W1781" s="317" t="str" cm="1">
        <f t="array" aca="1" ref="W1781" ca="1">IFERROR(_xlfn.IFS(OR(F1781="",LEFT(Methode_Keuze,4)="Geen",Methode_Keuze=""),"",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17" t="str" cm="1">
        <f t="array" aca="1" ref="X1781" ca="1">IFERROR(_xlfn.IFS(OR(F1781="",LEFT(Methode_Keuze,4)="Geen",Methode_Keuze=""),"",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26"/>
      <c r="Z1781" s="319"/>
      <c r="AA1781" s="32" t="str" cm="1">
        <f t="array" ref="AA1781">IFERROR(IF(INDEX(SubsidieTabel!$AD$1:$AG$12,MATCH($F1781,SubsidieTabel!$AD$1:$AD$12,0),IFERROR(MATCH(Methode_Keuze,SubsidieTabel!$AD$1:$AG$1,0),2))&lt;&gt;1=TRUE,"ja",""),"")</f>
        <v/>
      </c>
    </row>
    <row r="1782" spans="1:27" x14ac:dyDescent="0.25">
      <c r="A1782" s="320"/>
      <c r="B1782" s="321" t="str">
        <f>IF(A1782&lt;&gt;"",_xlfn.MAXIFS($B$1:B1781,$A$1:A1781,A1782)+1,"")</f>
        <v/>
      </c>
      <c r="C1782" s="299"/>
      <c r="D1782" s="299"/>
      <c r="E1782" s="299"/>
      <c r="F1782" s="299"/>
      <c r="G1782" s="330"/>
      <c r="H1782" s="328"/>
      <c r="I1782" s="329"/>
      <c r="J1782" s="329"/>
      <c r="K1782" s="322"/>
      <c r="L1782" s="322"/>
      <c r="M1782" s="323" t="str">
        <f>IFERROR(VLOOKUP(H1782,Lijsten!$H$1:$I$100,2,0),"")</f>
        <v/>
      </c>
      <c r="N1782" s="323" t="str">
        <f ca="1">IFERROR(IF(VLOOKUP(F1782,Kostentypen!$A$3:$E$21,3,0)=0,"",IF(OR(F1782="Arbeidskosten",F1782="Vergoeding"),VLOOKUP(G1782,Tb_KostenTypen[],2,0),VLOOKUP(F1782,Kostentypen!$A$3:$E$20,3,0))),"")</f>
        <v/>
      </c>
      <c r="O1782" s="324"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4"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3"/>
      <c r="R1782" s="363"/>
      <c r="S1782" s="325"/>
      <c r="T1782" s="325"/>
      <c r="U1782" s="317" t="str" cm="1">
        <f t="array" aca="1" ref="U1782" ca="1">IFERROR(IF(AA1782&lt;&gt;"ja",_xlfn.IFNA(_xlfn.IFS(AND(O1782&lt;&gt;"",F1782&lt;&gt;"",RIGHT($N1782,6)="tarief",F1782="Vergoeding"),SUM(O1782)*FLOOR(SUM(Q1782),0.0001),AND(O1782&lt;&gt;"",F1782&lt;&gt;"",RIGHT($N1782,6)="tarief"),SUM(O1782)*FLOOR(SUM(Q1782),0.01),S1782&gt;0,IF(F1782&lt;&gt;"",FLOOR(SUM(S1782),0.01),"")),""),""),"")</f>
        <v/>
      </c>
      <c r="V1782" s="317" t="str" cm="1">
        <f t="array" aca="1" ref="V1782" ca="1">IFERROR(IF(AA1782&lt;&gt;"ja",_xlfn.IFNA(_xlfn.IFS(AND(P1782&lt;&gt;"",R1782&lt;&gt;"",RIGHT($N1782,6)="tarief",F1782="Vergoeding"),SUM(P1782)*FLOOR(SUM(R1782),0.0001),AND(P1782&lt;&gt;"",R1782&lt;&gt;"",RIGHT($N1782,6)="tarief"),P1782*FLOOR(R1782,0.01),T1782&gt;0,FLOOR(SUM(T1782),0.01)),""),""),"")</f>
        <v/>
      </c>
      <c r="W1782" s="317" t="str" cm="1">
        <f t="array" aca="1" ref="W1782" ca="1">IFERROR(_xlfn.IFS(OR(F1782="",LEFT(Methode_Keuze,4)="Geen",Methode_Keuze=""),"",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17" t="str" cm="1">
        <f t="array" aca="1" ref="X1782" ca="1">IFERROR(_xlfn.IFS(OR(F1782="",LEFT(Methode_Keuze,4)="Geen",Methode_Keuze=""),"",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26"/>
      <c r="Z1782" s="319"/>
      <c r="AA1782" s="32" t="str" cm="1">
        <f t="array" ref="AA1782">IFERROR(IF(INDEX(SubsidieTabel!$AD$1:$AG$12,MATCH($F1782,SubsidieTabel!$AD$1:$AD$12,0),IFERROR(MATCH(Methode_Keuze,SubsidieTabel!$AD$1:$AG$1,0),2))&lt;&gt;1=TRUE,"ja",""),"")</f>
        <v/>
      </c>
    </row>
    <row r="1783" spans="1:27" x14ac:dyDescent="0.25">
      <c r="A1783" s="320"/>
      <c r="B1783" s="321" t="str">
        <f>IF(A1783&lt;&gt;"",_xlfn.MAXIFS($B$1:B1782,$A$1:A1782,A1783)+1,"")</f>
        <v/>
      </c>
      <c r="C1783" s="299"/>
      <c r="D1783" s="299"/>
      <c r="E1783" s="299"/>
      <c r="F1783" s="299"/>
      <c r="G1783" s="330"/>
      <c r="H1783" s="328"/>
      <c r="I1783" s="329"/>
      <c r="J1783" s="329"/>
      <c r="K1783" s="322"/>
      <c r="L1783" s="322"/>
      <c r="M1783" s="323" t="str">
        <f>IFERROR(VLOOKUP(H1783,Lijsten!$H$1:$I$100,2,0),"")</f>
        <v/>
      </c>
      <c r="N1783" s="323" t="str">
        <f ca="1">IFERROR(IF(VLOOKUP(F1783,Kostentypen!$A$3:$E$21,3,0)=0,"",IF(OR(F1783="Arbeidskosten",F1783="Vergoeding"),VLOOKUP(G1783,Tb_KostenTypen[],2,0),VLOOKUP(F1783,Kostentypen!$A$3:$E$20,3,0))),"")</f>
        <v/>
      </c>
      <c r="O1783" s="324"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4"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3"/>
      <c r="R1783" s="363"/>
      <c r="S1783" s="325"/>
      <c r="T1783" s="325"/>
      <c r="U1783" s="317" t="str" cm="1">
        <f t="array" aca="1" ref="U1783" ca="1">IFERROR(IF(AA1783&lt;&gt;"ja",_xlfn.IFNA(_xlfn.IFS(AND(O1783&lt;&gt;"",F1783&lt;&gt;"",RIGHT($N1783,6)="tarief",F1783="Vergoeding"),SUM(O1783)*FLOOR(SUM(Q1783),0.0001),AND(O1783&lt;&gt;"",F1783&lt;&gt;"",RIGHT($N1783,6)="tarief"),SUM(O1783)*FLOOR(SUM(Q1783),0.01),S1783&gt;0,IF(F1783&lt;&gt;"",FLOOR(SUM(S1783),0.01),"")),""),""),"")</f>
        <v/>
      </c>
      <c r="V1783" s="317" t="str" cm="1">
        <f t="array" aca="1" ref="V1783" ca="1">IFERROR(IF(AA1783&lt;&gt;"ja",_xlfn.IFNA(_xlfn.IFS(AND(P1783&lt;&gt;"",R1783&lt;&gt;"",RIGHT($N1783,6)="tarief",F1783="Vergoeding"),SUM(P1783)*FLOOR(SUM(R1783),0.0001),AND(P1783&lt;&gt;"",R1783&lt;&gt;"",RIGHT($N1783,6)="tarief"),P1783*FLOOR(R1783,0.01),T1783&gt;0,FLOOR(SUM(T1783),0.01)),""),""),"")</f>
        <v/>
      </c>
      <c r="W1783" s="317" t="str" cm="1">
        <f t="array" aca="1" ref="W1783" ca="1">IFERROR(_xlfn.IFS(OR(F1783="",LEFT(Methode_Keuze,4)="Geen",Methode_Keuze=""),"",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17" t="str" cm="1">
        <f t="array" aca="1" ref="X1783" ca="1">IFERROR(_xlfn.IFS(OR(F1783="",LEFT(Methode_Keuze,4)="Geen",Methode_Keuze=""),"",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26"/>
      <c r="Z1783" s="319"/>
      <c r="AA1783" s="32" t="str" cm="1">
        <f t="array" ref="AA1783">IFERROR(IF(INDEX(SubsidieTabel!$AD$1:$AG$12,MATCH($F1783,SubsidieTabel!$AD$1:$AD$12,0),IFERROR(MATCH(Methode_Keuze,SubsidieTabel!$AD$1:$AG$1,0),2))&lt;&gt;1=TRUE,"ja",""),"")</f>
        <v/>
      </c>
    </row>
    <row r="1784" spans="1:27" x14ac:dyDescent="0.25">
      <c r="A1784" s="320"/>
      <c r="B1784" s="321" t="str">
        <f>IF(A1784&lt;&gt;"",_xlfn.MAXIFS($B$1:B1783,$A$1:A1783,A1784)+1,"")</f>
        <v/>
      </c>
      <c r="C1784" s="299"/>
      <c r="D1784" s="299"/>
      <c r="E1784" s="299"/>
      <c r="F1784" s="299"/>
      <c r="G1784" s="330"/>
      <c r="H1784" s="328"/>
      <c r="I1784" s="329"/>
      <c r="J1784" s="329"/>
      <c r="K1784" s="322"/>
      <c r="L1784" s="322"/>
      <c r="M1784" s="323" t="str">
        <f>IFERROR(VLOOKUP(H1784,Lijsten!$H$1:$I$100,2,0),"")</f>
        <v/>
      </c>
      <c r="N1784" s="323" t="str">
        <f ca="1">IFERROR(IF(VLOOKUP(F1784,Kostentypen!$A$3:$E$21,3,0)=0,"",IF(OR(F1784="Arbeidskosten",F1784="Vergoeding"),VLOOKUP(G1784,Tb_KostenTypen[],2,0),VLOOKUP(F1784,Kostentypen!$A$3:$E$20,3,0))),"")</f>
        <v/>
      </c>
      <c r="O1784" s="324"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4"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3"/>
      <c r="R1784" s="363"/>
      <c r="S1784" s="325"/>
      <c r="T1784" s="325"/>
      <c r="U1784" s="317" t="str" cm="1">
        <f t="array" aca="1" ref="U1784" ca="1">IFERROR(IF(AA1784&lt;&gt;"ja",_xlfn.IFNA(_xlfn.IFS(AND(O1784&lt;&gt;"",F1784&lt;&gt;"",RIGHT($N1784,6)="tarief",F1784="Vergoeding"),SUM(O1784)*FLOOR(SUM(Q1784),0.0001),AND(O1784&lt;&gt;"",F1784&lt;&gt;"",RIGHT($N1784,6)="tarief"),SUM(O1784)*FLOOR(SUM(Q1784),0.01),S1784&gt;0,IF(F1784&lt;&gt;"",FLOOR(SUM(S1784),0.01),"")),""),""),"")</f>
        <v/>
      </c>
      <c r="V1784" s="317" t="str" cm="1">
        <f t="array" aca="1" ref="V1784" ca="1">IFERROR(IF(AA1784&lt;&gt;"ja",_xlfn.IFNA(_xlfn.IFS(AND(P1784&lt;&gt;"",R1784&lt;&gt;"",RIGHT($N1784,6)="tarief",F1784="Vergoeding"),SUM(P1784)*FLOOR(SUM(R1784),0.0001),AND(P1784&lt;&gt;"",R1784&lt;&gt;"",RIGHT($N1784,6)="tarief"),P1784*FLOOR(R1784,0.01),T1784&gt;0,FLOOR(SUM(T1784),0.01)),""),""),"")</f>
        <v/>
      </c>
      <c r="W1784" s="317" t="str" cm="1">
        <f t="array" aca="1" ref="W1784" ca="1">IFERROR(_xlfn.IFS(OR(F1784="",LEFT(Methode_Keuze,4)="Geen",Methode_Keuze=""),"",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17" t="str" cm="1">
        <f t="array" aca="1" ref="X1784" ca="1">IFERROR(_xlfn.IFS(OR(F1784="",LEFT(Methode_Keuze,4)="Geen",Methode_Keuze=""),"",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26"/>
      <c r="Z1784" s="319"/>
      <c r="AA1784" s="32" t="str" cm="1">
        <f t="array" ref="AA1784">IFERROR(IF(INDEX(SubsidieTabel!$AD$1:$AG$12,MATCH($F1784,SubsidieTabel!$AD$1:$AD$12,0),IFERROR(MATCH(Methode_Keuze,SubsidieTabel!$AD$1:$AG$1,0),2))&lt;&gt;1=TRUE,"ja",""),"")</f>
        <v/>
      </c>
    </row>
    <row r="1785" spans="1:27" x14ac:dyDescent="0.25">
      <c r="A1785" s="320"/>
      <c r="B1785" s="321" t="str">
        <f>IF(A1785&lt;&gt;"",_xlfn.MAXIFS($B$1:B1784,$A$1:A1784,A1785)+1,"")</f>
        <v/>
      </c>
      <c r="C1785" s="299"/>
      <c r="D1785" s="299"/>
      <c r="E1785" s="299"/>
      <c r="F1785" s="299"/>
      <c r="G1785" s="330"/>
      <c r="H1785" s="328"/>
      <c r="I1785" s="329"/>
      <c r="J1785" s="329"/>
      <c r="K1785" s="322"/>
      <c r="L1785" s="322"/>
      <c r="M1785" s="323" t="str">
        <f>IFERROR(VLOOKUP(H1785,Lijsten!$H$1:$I$100,2,0),"")</f>
        <v/>
      </c>
      <c r="N1785" s="323" t="str">
        <f ca="1">IFERROR(IF(VLOOKUP(F1785,Kostentypen!$A$3:$E$21,3,0)=0,"",IF(OR(F1785="Arbeidskosten",F1785="Vergoeding"),VLOOKUP(G1785,Tb_KostenTypen[],2,0),VLOOKUP(F1785,Kostentypen!$A$3:$E$20,3,0))),"")</f>
        <v/>
      </c>
      <c r="O1785" s="324"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4"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3"/>
      <c r="R1785" s="363"/>
      <c r="S1785" s="325"/>
      <c r="T1785" s="325"/>
      <c r="U1785" s="317" t="str" cm="1">
        <f t="array" aca="1" ref="U1785" ca="1">IFERROR(IF(AA1785&lt;&gt;"ja",_xlfn.IFNA(_xlfn.IFS(AND(O1785&lt;&gt;"",F1785&lt;&gt;"",RIGHT($N1785,6)="tarief",F1785="Vergoeding"),SUM(O1785)*FLOOR(SUM(Q1785),0.0001),AND(O1785&lt;&gt;"",F1785&lt;&gt;"",RIGHT($N1785,6)="tarief"),SUM(O1785)*FLOOR(SUM(Q1785),0.01),S1785&gt;0,IF(F1785&lt;&gt;"",FLOOR(SUM(S1785),0.01),"")),""),""),"")</f>
        <v/>
      </c>
      <c r="V1785" s="317" t="str" cm="1">
        <f t="array" aca="1" ref="V1785" ca="1">IFERROR(IF(AA1785&lt;&gt;"ja",_xlfn.IFNA(_xlfn.IFS(AND(P1785&lt;&gt;"",R1785&lt;&gt;"",RIGHT($N1785,6)="tarief",F1785="Vergoeding"),SUM(P1785)*FLOOR(SUM(R1785),0.0001),AND(P1785&lt;&gt;"",R1785&lt;&gt;"",RIGHT($N1785,6)="tarief"),P1785*FLOOR(R1785,0.01),T1785&gt;0,FLOOR(SUM(T1785),0.01)),""),""),"")</f>
        <v/>
      </c>
      <c r="W1785" s="317" t="str" cm="1">
        <f t="array" aca="1" ref="W1785" ca="1">IFERROR(_xlfn.IFS(OR(F1785="",LEFT(Methode_Keuze,4)="Geen",Methode_Keuze=""),"",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17" t="str" cm="1">
        <f t="array" aca="1" ref="X1785" ca="1">IFERROR(_xlfn.IFS(OR(F1785="",LEFT(Methode_Keuze,4)="Geen",Methode_Keuze=""),"",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26"/>
      <c r="Z1785" s="319"/>
      <c r="AA1785" s="32" t="str" cm="1">
        <f t="array" ref="AA1785">IFERROR(IF(INDEX(SubsidieTabel!$AD$1:$AG$12,MATCH($F1785,SubsidieTabel!$AD$1:$AD$12,0),IFERROR(MATCH(Methode_Keuze,SubsidieTabel!$AD$1:$AG$1,0),2))&lt;&gt;1=TRUE,"ja",""),"")</f>
        <v/>
      </c>
    </row>
    <row r="1786" spans="1:27" x14ac:dyDescent="0.25">
      <c r="A1786" s="320"/>
      <c r="B1786" s="321" t="str">
        <f>IF(A1786&lt;&gt;"",_xlfn.MAXIFS($B$1:B1785,$A$1:A1785,A1786)+1,"")</f>
        <v/>
      </c>
      <c r="C1786" s="299"/>
      <c r="D1786" s="299"/>
      <c r="E1786" s="299"/>
      <c r="F1786" s="299"/>
      <c r="G1786" s="330"/>
      <c r="H1786" s="328"/>
      <c r="I1786" s="329"/>
      <c r="J1786" s="329"/>
      <c r="K1786" s="322"/>
      <c r="L1786" s="322"/>
      <c r="M1786" s="323" t="str">
        <f>IFERROR(VLOOKUP(H1786,Lijsten!$H$1:$I$100,2,0),"")</f>
        <v/>
      </c>
      <c r="N1786" s="323" t="str">
        <f ca="1">IFERROR(IF(VLOOKUP(F1786,Kostentypen!$A$3:$E$21,3,0)=0,"",IF(OR(F1786="Arbeidskosten",F1786="Vergoeding"),VLOOKUP(G1786,Tb_KostenTypen[],2,0),VLOOKUP(F1786,Kostentypen!$A$3:$E$20,3,0))),"")</f>
        <v/>
      </c>
      <c r="O1786" s="324"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4"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3"/>
      <c r="R1786" s="363"/>
      <c r="S1786" s="325"/>
      <c r="T1786" s="325"/>
      <c r="U1786" s="317" t="str" cm="1">
        <f t="array" aca="1" ref="U1786" ca="1">IFERROR(IF(AA1786&lt;&gt;"ja",_xlfn.IFNA(_xlfn.IFS(AND(O1786&lt;&gt;"",F1786&lt;&gt;"",RIGHT($N1786,6)="tarief",F1786="Vergoeding"),SUM(O1786)*FLOOR(SUM(Q1786),0.0001),AND(O1786&lt;&gt;"",F1786&lt;&gt;"",RIGHT($N1786,6)="tarief"),SUM(O1786)*FLOOR(SUM(Q1786),0.01),S1786&gt;0,IF(F1786&lt;&gt;"",FLOOR(SUM(S1786),0.01),"")),""),""),"")</f>
        <v/>
      </c>
      <c r="V1786" s="317" t="str" cm="1">
        <f t="array" aca="1" ref="V1786" ca="1">IFERROR(IF(AA1786&lt;&gt;"ja",_xlfn.IFNA(_xlfn.IFS(AND(P1786&lt;&gt;"",R1786&lt;&gt;"",RIGHT($N1786,6)="tarief",F1786="Vergoeding"),SUM(P1786)*FLOOR(SUM(R1786),0.0001),AND(P1786&lt;&gt;"",R1786&lt;&gt;"",RIGHT($N1786,6)="tarief"),P1786*FLOOR(R1786,0.01),T1786&gt;0,FLOOR(SUM(T1786),0.01)),""),""),"")</f>
        <v/>
      </c>
      <c r="W1786" s="317" t="str" cm="1">
        <f t="array" aca="1" ref="W1786" ca="1">IFERROR(_xlfn.IFS(OR(F1786="",LEFT(Methode_Keuze,4)="Geen",Methode_Keuze=""),"",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17" t="str" cm="1">
        <f t="array" aca="1" ref="X1786" ca="1">IFERROR(_xlfn.IFS(OR(F1786="",LEFT(Methode_Keuze,4)="Geen",Methode_Keuze=""),"",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26"/>
      <c r="Z1786" s="319"/>
      <c r="AA1786" s="32" t="str" cm="1">
        <f t="array" ref="AA1786">IFERROR(IF(INDEX(SubsidieTabel!$AD$1:$AG$12,MATCH($F1786,SubsidieTabel!$AD$1:$AD$12,0),IFERROR(MATCH(Methode_Keuze,SubsidieTabel!$AD$1:$AG$1,0),2))&lt;&gt;1=TRUE,"ja",""),"")</f>
        <v/>
      </c>
    </row>
    <row r="1787" spans="1:27" x14ac:dyDescent="0.25">
      <c r="A1787" s="320"/>
      <c r="B1787" s="321" t="str">
        <f>IF(A1787&lt;&gt;"",_xlfn.MAXIFS($B$1:B1786,$A$1:A1786,A1787)+1,"")</f>
        <v/>
      </c>
      <c r="C1787" s="299"/>
      <c r="D1787" s="299"/>
      <c r="E1787" s="299"/>
      <c r="F1787" s="299"/>
      <c r="G1787" s="330"/>
      <c r="H1787" s="328"/>
      <c r="I1787" s="329"/>
      <c r="J1787" s="329"/>
      <c r="K1787" s="322"/>
      <c r="L1787" s="322"/>
      <c r="M1787" s="323" t="str">
        <f>IFERROR(VLOOKUP(H1787,Lijsten!$H$1:$I$100,2,0),"")</f>
        <v/>
      </c>
      <c r="N1787" s="323" t="str">
        <f ca="1">IFERROR(IF(VLOOKUP(F1787,Kostentypen!$A$3:$E$21,3,0)=0,"",IF(OR(F1787="Arbeidskosten",F1787="Vergoeding"),VLOOKUP(G1787,Tb_KostenTypen[],2,0),VLOOKUP(F1787,Kostentypen!$A$3:$E$20,3,0))),"")</f>
        <v/>
      </c>
      <c r="O1787" s="324"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4"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3"/>
      <c r="R1787" s="363"/>
      <c r="S1787" s="325"/>
      <c r="T1787" s="325"/>
      <c r="U1787" s="317" t="str" cm="1">
        <f t="array" aca="1" ref="U1787" ca="1">IFERROR(IF(AA1787&lt;&gt;"ja",_xlfn.IFNA(_xlfn.IFS(AND(O1787&lt;&gt;"",F1787&lt;&gt;"",RIGHT($N1787,6)="tarief",F1787="Vergoeding"),SUM(O1787)*FLOOR(SUM(Q1787),0.0001),AND(O1787&lt;&gt;"",F1787&lt;&gt;"",RIGHT($N1787,6)="tarief"),SUM(O1787)*FLOOR(SUM(Q1787),0.01),S1787&gt;0,IF(F1787&lt;&gt;"",FLOOR(SUM(S1787),0.01),"")),""),""),"")</f>
        <v/>
      </c>
      <c r="V1787" s="317" t="str" cm="1">
        <f t="array" aca="1" ref="V1787" ca="1">IFERROR(IF(AA1787&lt;&gt;"ja",_xlfn.IFNA(_xlfn.IFS(AND(P1787&lt;&gt;"",R1787&lt;&gt;"",RIGHT($N1787,6)="tarief",F1787="Vergoeding"),SUM(P1787)*FLOOR(SUM(R1787),0.0001),AND(P1787&lt;&gt;"",R1787&lt;&gt;"",RIGHT($N1787,6)="tarief"),P1787*FLOOR(R1787,0.01),T1787&gt;0,FLOOR(SUM(T1787),0.01)),""),""),"")</f>
        <v/>
      </c>
      <c r="W1787" s="317" t="str" cm="1">
        <f t="array" aca="1" ref="W1787" ca="1">IFERROR(_xlfn.IFS(OR(F1787="",LEFT(Methode_Keuze,4)="Geen",Methode_Keuze=""),"",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17" t="str" cm="1">
        <f t="array" aca="1" ref="X1787" ca="1">IFERROR(_xlfn.IFS(OR(F1787="",LEFT(Methode_Keuze,4)="Geen",Methode_Keuze=""),"",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26"/>
      <c r="Z1787" s="319"/>
      <c r="AA1787" s="32" t="str" cm="1">
        <f t="array" ref="AA1787">IFERROR(IF(INDEX(SubsidieTabel!$AD$1:$AG$12,MATCH($F1787,SubsidieTabel!$AD$1:$AD$12,0),IFERROR(MATCH(Methode_Keuze,SubsidieTabel!$AD$1:$AG$1,0),2))&lt;&gt;1=TRUE,"ja",""),"")</f>
        <v/>
      </c>
    </row>
    <row r="1788" spans="1:27" x14ac:dyDescent="0.25">
      <c r="A1788" s="320"/>
      <c r="B1788" s="321" t="str">
        <f>IF(A1788&lt;&gt;"",_xlfn.MAXIFS($B$1:B1787,$A$1:A1787,A1788)+1,"")</f>
        <v/>
      </c>
      <c r="C1788" s="299"/>
      <c r="D1788" s="299"/>
      <c r="E1788" s="299"/>
      <c r="F1788" s="299"/>
      <c r="G1788" s="330"/>
      <c r="H1788" s="328"/>
      <c r="I1788" s="329"/>
      <c r="J1788" s="329"/>
      <c r="K1788" s="322"/>
      <c r="L1788" s="322"/>
      <c r="M1788" s="323" t="str">
        <f>IFERROR(VLOOKUP(H1788,Lijsten!$H$1:$I$100,2,0),"")</f>
        <v/>
      </c>
      <c r="N1788" s="323" t="str">
        <f ca="1">IFERROR(IF(VLOOKUP(F1788,Kostentypen!$A$3:$E$21,3,0)=0,"",IF(OR(F1788="Arbeidskosten",F1788="Vergoeding"),VLOOKUP(G1788,Tb_KostenTypen[],2,0),VLOOKUP(F1788,Kostentypen!$A$3:$E$20,3,0))),"")</f>
        <v/>
      </c>
      <c r="O1788" s="324"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4"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3"/>
      <c r="R1788" s="363"/>
      <c r="S1788" s="325"/>
      <c r="T1788" s="325"/>
      <c r="U1788" s="317" t="str" cm="1">
        <f t="array" aca="1" ref="U1788" ca="1">IFERROR(IF(AA1788&lt;&gt;"ja",_xlfn.IFNA(_xlfn.IFS(AND(O1788&lt;&gt;"",F1788&lt;&gt;"",RIGHT($N1788,6)="tarief",F1788="Vergoeding"),SUM(O1788)*FLOOR(SUM(Q1788),0.0001),AND(O1788&lt;&gt;"",F1788&lt;&gt;"",RIGHT($N1788,6)="tarief"),SUM(O1788)*FLOOR(SUM(Q1788),0.01),S1788&gt;0,IF(F1788&lt;&gt;"",FLOOR(SUM(S1788),0.01),"")),""),""),"")</f>
        <v/>
      </c>
      <c r="V1788" s="317" t="str" cm="1">
        <f t="array" aca="1" ref="V1788" ca="1">IFERROR(IF(AA1788&lt;&gt;"ja",_xlfn.IFNA(_xlfn.IFS(AND(P1788&lt;&gt;"",R1788&lt;&gt;"",RIGHT($N1788,6)="tarief",F1788="Vergoeding"),SUM(P1788)*FLOOR(SUM(R1788),0.0001),AND(P1788&lt;&gt;"",R1788&lt;&gt;"",RIGHT($N1788,6)="tarief"),P1788*FLOOR(R1788,0.01),T1788&gt;0,FLOOR(SUM(T1788),0.01)),""),""),"")</f>
        <v/>
      </c>
      <c r="W1788" s="317" t="str" cm="1">
        <f t="array" aca="1" ref="W1788" ca="1">IFERROR(_xlfn.IFS(OR(F1788="",LEFT(Methode_Keuze,4)="Geen",Methode_Keuze=""),"",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17" t="str" cm="1">
        <f t="array" aca="1" ref="X1788" ca="1">IFERROR(_xlfn.IFS(OR(F1788="",LEFT(Methode_Keuze,4)="Geen",Methode_Keuze=""),"",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26"/>
      <c r="Z1788" s="319"/>
      <c r="AA1788" s="32" t="str" cm="1">
        <f t="array" ref="AA1788">IFERROR(IF(INDEX(SubsidieTabel!$AD$1:$AG$12,MATCH($F1788,SubsidieTabel!$AD$1:$AD$12,0),IFERROR(MATCH(Methode_Keuze,SubsidieTabel!$AD$1:$AG$1,0),2))&lt;&gt;1=TRUE,"ja",""),"")</f>
        <v/>
      </c>
    </row>
    <row r="1789" spans="1:27" x14ac:dyDescent="0.25">
      <c r="A1789" s="320"/>
      <c r="B1789" s="321" t="str">
        <f>IF(A1789&lt;&gt;"",_xlfn.MAXIFS($B$1:B1788,$A$1:A1788,A1789)+1,"")</f>
        <v/>
      </c>
      <c r="C1789" s="299"/>
      <c r="D1789" s="299"/>
      <c r="E1789" s="299"/>
      <c r="F1789" s="299"/>
      <c r="G1789" s="330"/>
      <c r="H1789" s="328"/>
      <c r="I1789" s="329"/>
      <c r="J1789" s="329"/>
      <c r="K1789" s="322"/>
      <c r="L1789" s="322"/>
      <c r="M1789" s="323" t="str">
        <f>IFERROR(VLOOKUP(H1789,Lijsten!$H$1:$I$100,2,0),"")</f>
        <v/>
      </c>
      <c r="N1789" s="323" t="str">
        <f ca="1">IFERROR(IF(VLOOKUP(F1789,Kostentypen!$A$3:$E$21,3,0)=0,"",IF(OR(F1789="Arbeidskosten",F1789="Vergoeding"),VLOOKUP(G1789,Tb_KostenTypen[],2,0),VLOOKUP(F1789,Kostentypen!$A$3:$E$20,3,0))),"")</f>
        <v/>
      </c>
      <c r="O1789" s="324"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4"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3"/>
      <c r="R1789" s="363"/>
      <c r="S1789" s="325"/>
      <c r="T1789" s="325"/>
      <c r="U1789" s="317" t="str" cm="1">
        <f t="array" aca="1" ref="U1789" ca="1">IFERROR(IF(AA1789&lt;&gt;"ja",_xlfn.IFNA(_xlfn.IFS(AND(O1789&lt;&gt;"",F1789&lt;&gt;"",RIGHT($N1789,6)="tarief",F1789="Vergoeding"),SUM(O1789)*FLOOR(SUM(Q1789),0.0001),AND(O1789&lt;&gt;"",F1789&lt;&gt;"",RIGHT($N1789,6)="tarief"),SUM(O1789)*FLOOR(SUM(Q1789),0.01),S1789&gt;0,IF(F1789&lt;&gt;"",FLOOR(SUM(S1789),0.01),"")),""),""),"")</f>
        <v/>
      </c>
      <c r="V1789" s="317" t="str" cm="1">
        <f t="array" aca="1" ref="V1789" ca="1">IFERROR(IF(AA1789&lt;&gt;"ja",_xlfn.IFNA(_xlfn.IFS(AND(P1789&lt;&gt;"",R1789&lt;&gt;"",RIGHT($N1789,6)="tarief",F1789="Vergoeding"),SUM(P1789)*FLOOR(SUM(R1789),0.0001),AND(P1789&lt;&gt;"",R1789&lt;&gt;"",RIGHT($N1789,6)="tarief"),P1789*FLOOR(R1789,0.01),T1789&gt;0,FLOOR(SUM(T1789),0.01)),""),""),"")</f>
        <v/>
      </c>
      <c r="W1789" s="317" t="str" cm="1">
        <f t="array" aca="1" ref="W1789" ca="1">IFERROR(_xlfn.IFS(OR(F1789="",LEFT(Methode_Keuze,4)="Geen",Methode_Keuze=""),"",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17" t="str" cm="1">
        <f t="array" aca="1" ref="X1789" ca="1">IFERROR(_xlfn.IFS(OR(F1789="",LEFT(Methode_Keuze,4)="Geen",Methode_Keuze=""),"",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26"/>
      <c r="Z1789" s="319"/>
      <c r="AA1789" s="32" t="str" cm="1">
        <f t="array" ref="AA1789">IFERROR(IF(INDEX(SubsidieTabel!$AD$1:$AG$12,MATCH($F1789,SubsidieTabel!$AD$1:$AD$12,0),IFERROR(MATCH(Methode_Keuze,SubsidieTabel!$AD$1:$AG$1,0),2))&lt;&gt;1=TRUE,"ja",""),"")</f>
        <v/>
      </c>
    </row>
    <row r="1790" spans="1:27" x14ac:dyDescent="0.25">
      <c r="A1790" s="320"/>
      <c r="B1790" s="321" t="str">
        <f>IF(A1790&lt;&gt;"",_xlfn.MAXIFS($B$1:B1789,$A$1:A1789,A1790)+1,"")</f>
        <v/>
      </c>
      <c r="C1790" s="299"/>
      <c r="D1790" s="299"/>
      <c r="E1790" s="299"/>
      <c r="F1790" s="299"/>
      <c r="G1790" s="330"/>
      <c r="H1790" s="328"/>
      <c r="I1790" s="329"/>
      <c r="J1790" s="329"/>
      <c r="K1790" s="322"/>
      <c r="L1790" s="322"/>
      <c r="M1790" s="323" t="str">
        <f>IFERROR(VLOOKUP(H1790,Lijsten!$H$1:$I$100,2,0),"")</f>
        <v/>
      </c>
      <c r="N1790" s="323" t="str">
        <f ca="1">IFERROR(IF(VLOOKUP(F1790,Kostentypen!$A$3:$E$21,3,0)=0,"",IF(OR(F1790="Arbeidskosten",F1790="Vergoeding"),VLOOKUP(G1790,Tb_KostenTypen[],2,0),VLOOKUP(F1790,Kostentypen!$A$3:$E$20,3,0))),"")</f>
        <v/>
      </c>
      <c r="O1790" s="324"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4"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3"/>
      <c r="R1790" s="363"/>
      <c r="S1790" s="325"/>
      <c r="T1790" s="325"/>
      <c r="U1790" s="317" t="str" cm="1">
        <f t="array" aca="1" ref="U1790" ca="1">IFERROR(IF(AA1790&lt;&gt;"ja",_xlfn.IFNA(_xlfn.IFS(AND(O1790&lt;&gt;"",F1790&lt;&gt;"",RIGHT($N1790,6)="tarief",F1790="Vergoeding"),SUM(O1790)*FLOOR(SUM(Q1790),0.0001),AND(O1790&lt;&gt;"",F1790&lt;&gt;"",RIGHT($N1790,6)="tarief"),SUM(O1790)*FLOOR(SUM(Q1790),0.01),S1790&gt;0,IF(F1790&lt;&gt;"",FLOOR(SUM(S1790),0.01),"")),""),""),"")</f>
        <v/>
      </c>
      <c r="V1790" s="317" t="str" cm="1">
        <f t="array" aca="1" ref="V1790" ca="1">IFERROR(IF(AA1790&lt;&gt;"ja",_xlfn.IFNA(_xlfn.IFS(AND(P1790&lt;&gt;"",R1790&lt;&gt;"",RIGHT($N1790,6)="tarief",F1790="Vergoeding"),SUM(P1790)*FLOOR(SUM(R1790),0.0001),AND(P1790&lt;&gt;"",R1790&lt;&gt;"",RIGHT($N1790,6)="tarief"),P1790*FLOOR(R1790,0.01),T1790&gt;0,FLOOR(SUM(T1790),0.01)),""),""),"")</f>
        <v/>
      </c>
      <c r="W1790" s="317" t="str" cm="1">
        <f t="array" aca="1" ref="W1790" ca="1">IFERROR(_xlfn.IFS(OR(F1790="",LEFT(Methode_Keuze,4)="Geen",Methode_Keuze=""),"",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17" t="str" cm="1">
        <f t="array" aca="1" ref="X1790" ca="1">IFERROR(_xlfn.IFS(OR(F1790="",LEFT(Methode_Keuze,4)="Geen",Methode_Keuze=""),"",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26"/>
      <c r="Z1790" s="319"/>
      <c r="AA1790" s="32" t="str" cm="1">
        <f t="array" ref="AA1790">IFERROR(IF(INDEX(SubsidieTabel!$AD$1:$AG$12,MATCH($F1790,SubsidieTabel!$AD$1:$AD$12,0),IFERROR(MATCH(Methode_Keuze,SubsidieTabel!$AD$1:$AG$1,0),2))&lt;&gt;1=TRUE,"ja",""),"")</f>
        <v/>
      </c>
    </row>
    <row r="1791" spans="1:27" x14ac:dyDescent="0.25">
      <c r="A1791" s="320"/>
      <c r="B1791" s="321" t="str">
        <f>IF(A1791&lt;&gt;"",_xlfn.MAXIFS($B$1:B1790,$A$1:A1790,A1791)+1,"")</f>
        <v/>
      </c>
      <c r="C1791" s="299"/>
      <c r="D1791" s="299"/>
      <c r="E1791" s="299"/>
      <c r="F1791" s="299"/>
      <c r="G1791" s="330"/>
      <c r="H1791" s="328"/>
      <c r="I1791" s="329"/>
      <c r="J1791" s="329"/>
      <c r="K1791" s="322"/>
      <c r="L1791" s="322"/>
      <c r="M1791" s="323" t="str">
        <f>IFERROR(VLOOKUP(H1791,Lijsten!$H$1:$I$100,2,0),"")</f>
        <v/>
      </c>
      <c r="N1791" s="323" t="str">
        <f ca="1">IFERROR(IF(VLOOKUP(F1791,Kostentypen!$A$3:$E$21,3,0)=0,"",IF(OR(F1791="Arbeidskosten",F1791="Vergoeding"),VLOOKUP(G1791,Tb_KostenTypen[],2,0),VLOOKUP(F1791,Kostentypen!$A$3:$E$20,3,0))),"")</f>
        <v/>
      </c>
      <c r="O1791" s="324"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4"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3"/>
      <c r="R1791" s="363"/>
      <c r="S1791" s="325"/>
      <c r="T1791" s="325"/>
      <c r="U1791" s="317" t="str" cm="1">
        <f t="array" aca="1" ref="U1791" ca="1">IFERROR(IF(AA1791&lt;&gt;"ja",_xlfn.IFNA(_xlfn.IFS(AND(O1791&lt;&gt;"",F1791&lt;&gt;"",RIGHT($N1791,6)="tarief",F1791="Vergoeding"),SUM(O1791)*FLOOR(SUM(Q1791),0.0001),AND(O1791&lt;&gt;"",F1791&lt;&gt;"",RIGHT($N1791,6)="tarief"),SUM(O1791)*FLOOR(SUM(Q1791),0.01),S1791&gt;0,IF(F1791&lt;&gt;"",FLOOR(SUM(S1791),0.01),"")),""),""),"")</f>
        <v/>
      </c>
      <c r="V1791" s="317" t="str" cm="1">
        <f t="array" aca="1" ref="V1791" ca="1">IFERROR(IF(AA1791&lt;&gt;"ja",_xlfn.IFNA(_xlfn.IFS(AND(P1791&lt;&gt;"",R1791&lt;&gt;"",RIGHT($N1791,6)="tarief",F1791="Vergoeding"),SUM(P1791)*FLOOR(SUM(R1791),0.0001),AND(P1791&lt;&gt;"",R1791&lt;&gt;"",RIGHT($N1791,6)="tarief"),P1791*FLOOR(R1791,0.01),T1791&gt;0,FLOOR(SUM(T1791),0.01)),""),""),"")</f>
        <v/>
      </c>
      <c r="W1791" s="317" t="str" cm="1">
        <f t="array" aca="1" ref="W1791" ca="1">IFERROR(_xlfn.IFS(OR(F1791="",LEFT(Methode_Keuze,4)="Geen",Methode_Keuze=""),"",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17" t="str" cm="1">
        <f t="array" aca="1" ref="X1791" ca="1">IFERROR(_xlfn.IFS(OR(F1791="",LEFT(Methode_Keuze,4)="Geen",Methode_Keuze=""),"",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26"/>
      <c r="Z1791" s="319"/>
      <c r="AA1791" s="32" t="str" cm="1">
        <f t="array" ref="AA1791">IFERROR(IF(INDEX(SubsidieTabel!$AD$1:$AG$12,MATCH($F1791,SubsidieTabel!$AD$1:$AD$12,0),IFERROR(MATCH(Methode_Keuze,SubsidieTabel!$AD$1:$AG$1,0),2))&lt;&gt;1=TRUE,"ja",""),"")</f>
        <v/>
      </c>
    </row>
    <row r="1792" spans="1:27" x14ac:dyDescent="0.25">
      <c r="A1792" s="320"/>
      <c r="B1792" s="321" t="str">
        <f>IF(A1792&lt;&gt;"",_xlfn.MAXIFS($B$1:B1791,$A$1:A1791,A1792)+1,"")</f>
        <v/>
      </c>
      <c r="C1792" s="299"/>
      <c r="D1792" s="299"/>
      <c r="E1792" s="299"/>
      <c r="F1792" s="299"/>
      <c r="G1792" s="330"/>
      <c r="H1792" s="328"/>
      <c r="I1792" s="329"/>
      <c r="J1792" s="329"/>
      <c r="K1792" s="322"/>
      <c r="L1792" s="322"/>
      <c r="M1792" s="323" t="str">
        <f>IFERROR(VLOOKUP(H1792,Lijsten!$H$1:$I$100,2,0),"")</f>
        <v/>
      </c>
      <c r="N1792" s="323" t="str">
        <f ca="1">IFERROR(IF(VLOOKUP(F1792,Kostentypen!$A$3:$E$21,3,0)=0,"",IF(OR(F1792="Arbeidskosten",F1792="Vergoeding"),VLOOKUP(G1792,Tb_KostenTypen[],2,0),VLOOKUP(F1792,Kostentypen!$A$3:$E$20,3,0))),"")</f>
        <v/>
      </c>
      <c r="O1792" s="324"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4"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3"/>
      <c r="R1792" s="363"/>
      <c r="S1792" s="325"/>
      <c r="T1792" s="325"/>
      <c r="U1792" s="317" t="str" cm="1">
        <f t="array" aca="1" ref="U1792" ca="1">IFERROR(IF(AA1792&lt;&gt;"ja",_xlfn.IFNA(_xlfn.IFS(AND(O1792&lt;&gt;"",F1792&lt;&gt;"",RIGHT($N1792,6)="tarief",F1792="Vergoeding"),SUM(O1792)*FLOOR(SUM(Q1792),0.0001),AND(O1792&lt;&gt;"",F1792&lt;&gt;"",RIGHT($N1792,6)="tarief"),SUM(O1792)*FLOOR(SUM(Q1792),0.01),S1792&gt;0,IF(F1792&lt;&gt;"",FLOOR(SUM(S1792),0.01),"")),""),""),"")</f>
        <v/>
      </c>
      <c r="V1792" s="317" t="str" cm="1">
        <f t="array" aca="1" ref="V1792" ca="1">IFERROR(IF(AA1792&lt;&gt;"ja",_xlfn.IFNA(_xlfn.IFS(AND(P1792&lt;&gt;"",R1792&lt;&gt;"",RIGHT($N1792,6)="tarief",F1792="Vergoeding"),SUM(P1792)*FLOOR(SUM(R1792),0.0001),AND(P1792&lt;&gt;"",R1792&lt;&gt;"",RIGHT($N1792,6)="tarief"),P1792*FLOOR(R1792,0.01),T1792&gt;0,FLOOR(SUM(T1792),0.01)),""),""),"")</f>
        <v/>
      </c>
      <c r="W1792" s="317" t="str" cm="1">
        <f t="array" aca="1" ref="W1792" ca="1">IFERROR(_xlfn.IFS(OR(F1792="",LEFT(Methode_Keuze,4)="Geen",Methode_Keuze=""),"",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17" t="str" cm="1">
        <f t="array" aca="1" ref="X1792" ca="1">IFERROR(_xlfn.IFS(OR(F1792="",LEFT(Methode_Keuze,4)="Geen",Methode_Keuze=""),"",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26"/>
      <c r="Z1792" s="319"/>
      <c r="AA1792" s="32" t="str" cm="1">
        <f t="array" ref="AA1792">IFERROR(IF(INDEX(SubsidieTabel!$AD$1:$AG$12,MATCH($F1792,SubsidieTabel!$AD$1:$AD$12,0),IFERROR(MATCH(Methode_Keuze,SubsidieTabel!$AD$1:$AG$1,0),2))&lt;&gt;1=TRUE,"ja",""),"")</f>
        <v/>
      </c>
    </row>
    <row r="1793" spans="1:27" x14ac:dyDescent="0.25">
      <c r="A1793" s="320"/>
      <c r="B1793" s="321" t="str">
        <f>IF(A1793&lt;&gt;"",_xlfn.MAXIFS($B$1:B1792,$A$1:A1792,A1793)+1,"")</f>
        <v/>
      </c>
      <c r="C1793" s="299"/>
      <c r="D1793" s="299"/>
      <c r="E1793" s="299"/>
      <c r="F1793" s="299"/>
      <c r="G1793" s="330"/>
      <c r="H1793" s="328"/>
      <c r="I1793" s="329"/>
      <c r="J1793" s="329"/>
      <c r="K1793" s="322"/>
      <c r="L1793" s="322"/>
      <c r="M1793" s="323" t="str">
        <f>IFERROR(VLOOKUP(H1793,Lijsten!$H$1:$I$100,2,0),"")</f>
        <v/>
      </c>
      <c r="N1793" s="323" t="str">
        <f ca="1">IFERROR(IF(VLOOKUP(F1793,Kostentypen!$A$3:$E$21,3,0)=0,"",IF(OR(F1793="Arbeidskosten",F1793="Vergoeding"),VLOOKUP(G1793,Tb_KostenTypen[],2,0),VLOOKUP(F1793,Kostentypen!$A$3:$E$20,3,0))),"")</f>
        <v/>
      </c>
      <c r="O1793" s="324"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4"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3"/>
      <c r="R1793" s="363"/>
      <c r="S1793" s="325"/>
      <c r="T1793" s="325"/>
      <c r="U1793" s="317" t="str" cm="1">
        <f t="array" aca="1" ref="U1793" ca="1">IFERROR(IF(AA1793&lt;&gt;"ja",_xlfn.IFNA(_xlfn.IFS(AND(O1793&lt;&gt;"",F1793&lt;&gt;"",RIGHT($N1793,6)="tarief",F1793="Vergoeding"),SUM(O1793)*FLOOR(SUM(Q1793),0.0001),AND(O1793&lt;&gt;"",F1793&lt;&gt;"",RIGHT($N1793,6)="tarief"),SUM(O1793)*FLOOR(SUM(Q1793),0.01),S1793&gt;0,IF(F1793&lt;&gt;"",FLOOR(SUM(S1793),0.01),"")),""),""),"")</f>
        <v/>
      </c>
      <c r="V1793" s="317" t="str" cm="1">
        <f t="array" aca="1" ref="V1793" ca="1">IFERROR(IF(AA1793&lt;&gt;"ja",_xlfn.IFNA(_xlfn.IFS(AND(P1793&lt;&gt;"",R1793&lt;&gt;"",RIGHT($N1793,6)="tarief",F1793="Vergoeding"),SUM(P1793)*FLOOR(SUM(R1793),0.0001),AND(P1793&lt;&gt;"",R1793&lt;&gt;"",RIGHT($N1793,6)="tarief"),P1793*FLOOR(R1793,0.01),T1793&gt;0,FLOOR(SUM(T1793),0.01)),""),""),"")</f>
        <v/>
      </c>
      <c r="W1793" s="317" t="str" cm="1">
        <f t="array" aca="1" ref="W1793" ca="1">IFERROR(_xlfn.IFS(OR(F1793="",LEFT(Methode_Keuze,4)="Geen",Methode_Keuze=""),"",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17" t="str" cm="1">
        <f t="array" aca="1" ref="X1793" ca="1">IFERROR(_xlfn.IFS(OR(F1793="",LEFT(Methode_Keuze,4)="Geen",Methode_Keuze=""),"",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26"/>
      <c r="Z1793" s="319"/>
      <c r="AA1793" s="32" t="str" cm="1">
        <f t="array" ref="AA1793">IFERROR(IF(INDEX(SubsidieTabel!$AD$1:$AG$12,MATCH($F1793,SubsidieTabel!$AD$1:$AD$12,0),IFERROR(MATCH(Methode_Keuze,SubsidieTabel!$AD$1:$AG$1,0),2))&lt;&gt;1=TRUE,"ja",""),"")</f>
        <v/>
      </c>
    </row>
    <row r="1794" spans="1:27" x14ac:dyDescent="0.25">
      <c r="A1794" s="320"/>
      <c r="B1794" s="321" t="str">
        <f>IF(A1794&lt;&gt;"",_xlfn.MAXIFS($B$1:B1793,$A$1:A1793,A1794)+1,"")</f>
        <v/>
      </c>
      <c r="C1794" s="299"/>
      <c r="D1794" s="299"/>
      <c r="E1794" s="299"/>
      <c r="F1794" s="299"/>
      <c r="G1794" s="330"/>
      <c r="H1794" s="328"/>
      <c r="I1794" s="329"/>
      <c r="J1794" s="329"/>
      <c r="K1794" s="322"/>
      <c r="L1794" s="322"/>
      <c r="M1794" s="323" t="str">
        <f>IFERROR(VLOOKUP(H1794,Lijsten!$H$1:$I$100,2,0),"")</f>
        <v/>
      </c>
      <c r="N1794" s="323" t="str">
        <f ca="1">IFERROR(IF(VLOOKUP(F1794,Kostentypen!$A$3:$E$21,3,0)=0,"",IF(OR(F1794="Arbeidskosten",F1794="Vergoeding"),VLOOKUP(G1794,Tb_KostenTypen[],2,0),VLOOKUP(F1794,Kostentypen!$A$3:$E$20,3,0))),"")</f>
        <v/>
      </c>
      <c r="O1794" s="324"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4"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3"/>
      <c r="R1794" s="363"/>
      <c r="S1794" s="325"/>
      <c r="T1794" s="325"/>
      <c r="U1794" s="317" t="str" cm="1">
        <f t="array" aca="1" ref="U1794" ca="1">IFERROR(IF(AA1794&lt;&gt;"ja",_xlfn.IFNA(_xlfn.IFS(AND(O1794&lt;&gt;"",F1794&lt;&gt;"",RIGHT($N1794,6)="tarief",F1794="Vergoeding"),SUM(O1794)*FLOOR(SUM(Q1794),0.0001),AND(O1794&lt;&gt;"",F1794&lt;&gt;"",RIGHT($N1794,6)="tarief"),SUM(O1794)*FLOOR(SUM(Q1794),0.01),S1794&gt;0,IF(F1794&lt;&gt;"",FLOOR(SUM(S1794),0.01),"")),""),""),"")</f>
        <v/>
      </c>
      <c r="V1794" s="317" t="str" cm="1">
        <f t="array" aca="1" ref="V1794" ca="1">IFERROR(IF(AA1794&lt;&gt;"ja",_xlfn.IFNA(_xlfn.IFS(AND(P1794&lt;&gt;"",R1794&lt;&gt;"",RIGHT($N1794,6)="tarief",F1794="Vergoeding"),SUM(P1794)*FLOOR(SUM(R1794),0.0001),AND(P1794&lt;&gt;"",R1794&lt;&gt;"",RIGHT($N1794,6)="tarief"),P1794*FLOOR(R1794,0.01),T1794&gt;0,FLOOR(SUM(T1794),0.01)),""),""),"")</f>
        <v/>
      </c>
      <c r="W1794" s="317" t="str" cm="1">
        <f t="array" aca="1" ref="W1794" ca="1">IFERROR(_xlfn.IFS(OR(F1794="",LEFT(Methode_Keuze,4)="Geen",Methode_Keuze=""),"",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17" t="str" cm="1">
        <f t="array" aca="1" ref="X1794" ca="1">IFERROR(_xlfn.IFS(OR(F1794="",LEFT(Methode_Keuze,4)="Geen",Methode_Keuze=""),"",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26"/>
      <c r="Z1794" s="319"/>
      <c r="AA1794" s="32" t="str" cm="1">
        <f t="array" ref="AA1794">IFERROR(IF(INDEX(SubsidieTabel!$AD$1:$AG$12,MATCH($F1794,SubsidieTabel!$AD$1:$AD$12,0),IFERROR(MATCH(Methode_Keuze,SubsidieTabel!$AD$1:$AG$1,0),2))&lt;&gt;1=TRUE,"ja",""),"")</f>
        <v/>
      </c>
    </row>
    <row r="1795" spans="1:27" x14ac:dyDescent="0.25">
      <c r="A1795" s="320"/>
      <c r="B1795" s="321" t="str">
        <f>IF(A1795&lt;&gt;"",_xlfn.MAXIFS($B$1:B1794,$A$1:A1794,A1795)+1,"")</f>
        <v/>
      </c>
      <c r="C1795" s="299"/>
      <c r="D1795" s="299"/>
      <c r="E1795" s="299"/>
      <c r="F1795" s="299"/>
      <c r="G1795" s="330"/>
      <c r="H1795" s="328"/>
      <c r="I1795" s="329"/>
      <c r="J1795" s="329"/>
      <c r="K1795" s="322"/>
      <c r="L1795" s="322"/>
      <c r="M1795" s="323" t="str">
        <f>IFERROR(VLOOKUP(H1795,Lijsten!$H$1:$I$100,2,0),"")</f>
        <v/>
      </c>
      <c r="N1795" s="323" t="str">
        <f ca="1">IFERROR(IF(VLOOKUP(F1795,Kostentypen!$A$3:$E$21,3,0)=0,"",IF(OR(F1795="Arbeidskosten",F1795="Vergoeding"),VLOOKUP(G1795,Tb_KostenTypen[],2,0),VLOOKUP(F1795,Kostentypen!$A$3:$E$20,3,0))),"")</f>
        <v/>
      </c>
      <c r="O1795" s="324"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4"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3"/>
      <c r="R1795" s="363"/>
      <c r="S1795" s="325"/>
      <c r="T1795" s="325"/>
      <c r="U1795" s="317" t="str" cm="1">
        <f t="array" aca="1" ref="U1795" ca="1">IFERROR(IF(AA1795&lt;&gt;"ja",_xlfn.IFNA(_xlfn.IFS(AND(O1795&lt;&gt;"",F1795&lt;&gt;"",RIGHT($N1795,6)="tarief",F1795="Vergoeding"),SUM(O1795)*FLOOR(SUM(Q1795),0.0001),AND(O1795&lt;&gt;"",F1795&lt;&gt;"",RIGHT($N1795,6)="tarief"),SUM(O1795)*FLOOR(SUM(Q1795),0.01),S1795&gt;0,IF(F1795&lt;&gt;"",FLOOR(SUM(S1795),0.01),"")),""),""),"")</f>
        <v/>
      </c>
      <c r="V1795" s="317" t="str" cm="1">
        <f t="array" aca="1" ref="V1795" ca="1">IFERROR(IF(AA1795&lt;&gt;"ja",_xlfn.IFNA(_xlfn.IFS(AND(P1795&lt;&gt;"",R1795&lt;&gt;"",RIGHT($N1795,6)="tarief",F1795="Vergoeding"),SUM(P1795)*FLOOR(SUM(R1795),0.0001),AND(P1795&lt;&gt;"",R1795&lt;&gt;"",RIGHT($N1795,6)="tarief"),P1795*FLOOR(R1795,0.01),T1795&gt;0,FLOOR(SUM(T1795),0.01)),""),""),"")</f>
        <v/>
      </c>
      <c r="W1795" s="317" t="str" cm="1">
        <f t="array" aca="1" ref="W1795" ca="1">IFERROR(_xlfn.IFS(OR(F1795="",LEFT(Methode_Keuze,4)="Geen",Methode_Keuze=""),"",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17" t="str" cm="1">
        <f t="array" aca="1" ref="X1795" ca="1">IFERROR(_xlfn.IFS(OR(F1795="",LEFT(Methode_Keuze,4)="Geen",Methode_Keuze=""),"",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26"/>
      <c r="Z1795" s="319"/>
      <c r="AA1795" s="32" t="str" cm="1">
        <f t="array" ref="AA1795">IFERROR(IF(INDEX(SubsidieTabel!$AD$1:$AG$12,MATCH($F1795,SubsidieTabel!$AD$1:$AD$12,0),IFERROR(MATCH(Methode_Keuze,SubsidieTabel!$AD$1:$AG$1,0),2))&lt;&gt;1=TRUE,"ja",""),"")</f>
        <v/>
      </c>
    </row>
    <row r="1796" spans="1:27" x14ac:dyDescent="0.25">
      <c r="A1796" s="320"/>
      <c r="B1796" s="321" t="str">
        <f>IF(A1796&lt;&gt;"",_xlfn.MAXIFS($B$1:B1795,$A$1:A1795,A1796)+1,"")</f>
        <v/>
      </c>
      <c r="C1796" s="299"/>
      <c r="D1796" s="299"/>
      <c r="E1796" s="299"/>
      <c r="F1796" s="299"/>
      <c r="G1796" s="330"/>
      <c r="H1796" s="328"/>
      <c r="I1796" s="329"/>
      <c r="J1796" s="329"/>
      <c r="K1796" s="322"/>
      <c r="L1796" s="322"/>
      <c r="M1796" s="323" t="str">
        <f>IFERROR(VLOOKUP(H1796,Lijsten!$H$1:$I$100,2,0),"")</f>
        <v/>
      </c>
      <c r="N1796" s="323" t="str">
        <f ca="1">IFERROR(IF(VLOOKUP(F1796,Kostentypen!$A$3:$E$21,3,0)=0,"",IF(OR(F1796="Arbeidskosten",F1796="Vergoeding"),VLOOKUP(G1796,Tb_KostenTypen[],2,0),VLOOKUP(F1796,Kostentypen!$A$3:$E$20,3,0))),"")</f>
        <v/>
      </c>
      <c r="O1796" s="324"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4"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3"/>
      <c r="R1796" s="363"/>
      <c r="S1796" s="325"/>
      <c r="T1796" s="325"/>
      <c r="U1796" s="317" t="str" cm="1">
        <f t="array" aca="1" ref="U1796" ca="1">IFERROR(IF(AA1796&lt;&gt;"ja",_xlfn.IFNA(_xlfn.IFS(AND(O1796&lt;&gt;"",F1796&lt;&gt;"",RIGHT($N1796,6)="tarief",F1796="Vergoeding"),SUM(O1796)*FLOOR(SUM(Q1796),0.0001),AND(O1796&lt;&gt;"",F1796&lt;&gt;"",RIGHT($N1796,6)="tarief"),SUM(O1796)*FLOOR(SUM(Q1796),0.01),S1796&gt;0,IF(F1796&lt;&gt;"",FLOOR(SUM(S1796),0.01),"")),""),""),"")</f>
        <v/>
      </c>
      <c r="V1796" s="317" t="str" cm="1">
        <f t="array" aca="1" ref="V1796" ca="1">IFERROR(IF(AA1796&lt;&gt;"ja",_xlfn.IFNA(_xlfn.IFS(AND(P1796&lt;&gt;"",R1796&lt;&gt;"",RIGHT($N1796,6)="tarief",F1796="Vergoeding"),SUM(P1796)*FLOOR(SUM(R1796),0.0001),AND(P1796&lt;&gt;"",R1796&lt;&gt;"",RIGHT($N1796,6)="tarief"),P1796*FLOOR(R1796,0.01),T1796&gt;0,FLOOR(SUM(T1796),0.01)),""),""),"")</f>
        <v/>
      </c>
      <c r="W1796" s="317" t="str" cm="1">
        <f t="array" aca="1" ref="W1796" ca="1">IFERROR(_xlfn.IFS(OR(F1796="",LEFT(Methode_Keuze,4)="Geen",Methode_Keuze=""),"",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17" t="str" cm="1">
        <f t="array" aca="1" ref="X1796" ca="1">IFERROR(_xlfn.IFS(OR(F1796="",LEFT(Methode_Keuze,4)="Geen",Methode_Keuze=""),"",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26"/>
      <c r="Z1796" s="319"/>
      <c r="AA1796" s="32" t="str" cm="1">
        <f t="array" ref="AA1796">IFERROR(IF(INDEX(SubsidieTabel!$AD$1:$AG$12,MATCH($F1796,SubsidieTabel!$AD$1:$AD$12,0),IFERROR(MATCH(Methode_Keuze,SubsidieTabel!$AD$1:$AG$1,0),2))&lt;&gt;1=TRUE,"ja",""),"")</f>
        <v/>
      </c>
    </row>
    <row r="1797" spans="1:27" x14ac:dyDescent="0.25">
      <c r="A1797" s="320"/>
      <c r="B1797" s="321" t="str">
        <f>IF(A1797&lt;&gt;"",_xlfn.MAXIFS($B$1:B1796,$A$1:A1796,A1797)+1,"")</f>
        <v/>
      </c>
      <c r="C1797" s="299"/>
      <c r="D1797" s="299"/>
      <c r="E1797" s="299"/>
      <c r="F1797" s="299"/>
      <c r="G1797" s="330"/>
      <c r="H1797" s="328"/>
      <c r="I1797" s="329"/>
      <c r="J1797" s="329"/>
      <c r="K1797" s="322"/>
      <c r="L1797" s="322"/>
      <c r="M1797" s="323" t="str">
        <f>IFERROR(VLOOKUP(H1797,Lijsten!$H$1:$I$100,2,0),"")</f>
        <v/>
      </c>
      <c r="N1797" s="323" t="str">
        <f ca="1">IFERROR(IF(VLOOKUP(F1797,Kostentypen!$A$3:$E$21,3,0)=0,"",IF(OR(F1797="Arbeidskosten",F1797="Vergoeding"),VLOOKUP(G1797,Tb_KostenTypen[],2,0),VLOOKUP(F1797,Kostentypen!$A$3:$E$20,3,0))),"")</f>
        <v/>
      </c>
      <c r="O1797" s="324"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4"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3"/>
      <c r="R1797" s="363"/>
      <c r="S1797" s="325"/>
      <c r="T1797" s="325"/>
      <c r="U1797" s="317" t="str" cm="1">
        <f t="array" aca="1" ref="U1797" ca="1">IFERROR(IF(AA1797&lt;&gt;"ja",_xlfn.IFNA(_xlfn.IFS(AND(O1797&lt;&gt;"",F1797&lt;&gt;"",RIGHT($N1797,6)="tarief",F1797="Vergoeding"),SUM(O1797)*FLOOR(SUM(Q1797),0.0001),AND(O1797&lt;&gt;"",F1797&lt;&gt;"",RIGHT($N1797,6)="tarief"),SUM(O1797)*FLOOR(SUM(Q1797),0.01),S1797&gt;0,IF(F1797&lt;&gt;"",FLOOR(SUM(S1797),0.01),"")),""),""),"")</f>
        <v/>
      </c>
      <c r="V1797" s="317" t="str" cm="1">
        <f t="array" aca="1" ref="V1797" ca="1">IFERROR(IF(AA1797&lt;&gt;"ja",_xlfn.IFNA(_xlfn.IFS(AND(P1797&lt;&gt;"",R1797&lt;&gt;"",RIGHT($N1797,6)="tarief",F1797="Vergoeding"),SUM(P1797)*FLOOR(SUM(R1797),0.0001),AND(P1797&lt;&gt;"",R1797&lt;&gt;"",RIGHT($N1797,6)="tarief"),P1797*FLOOR(R1797,0.01),T1797&gt;0,FLOOR(SUM(T1797),0.01)),""),""),"")</f>
        <v/>
      </c>
      <c r="W1797" s="317" t="str" cm="1">
        <f t="array" aca="1" ref="W1797" ca="1">IFERROR(_xlfn.IFS(OR(F1797="",LEFT(Methode_Keuze,4)="Geen",Methode_Keuze=""),"",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17" t="str" cm="1">
        <f t="array" aca="1" ref="X1797" ca="1">IFERROR(_xlfn.IFS(OR(F1797="",LEFT(Methode_Keuze,4)="Geen",Methode_Keuze=""),"",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26"/>
      <c r="Z1797" s="319"/>
      <c r="AA1797" s="32" t="str" cm="1">
        <f t="array" ref="AA1797">IFERROR(IF(INDEX(SubsidieTabel!$AD$1:$AG$12,MATCH($F1797,SubsidieTabel!$AD$1:$AD$12,0),IFERROR(MATCH(Methode_Keuze,SubsidieTabel!$AD$1:$AG$1,0),2))&lt;&gt;1=TRUE,"ja",""),"")</f>
        <v/>
      </c>
    </row>
    <row r="1798" spans="1:27" x14ac:dyDescent="0.25">
      <c r="A1798" s="320"/>
      <c r="B1798" s="321" t="str">
        <f>IF(A1798&lt;&gt;"",_xlfn.MAXIFS($B$1:B1797,$A$1:A1797,A1798)+1,"")</f>
        <v/>
      </c>
      <c r="C1798" s="299"/>
      <c r="D1798" s="299"/>
      <c r="E1798" s="299"/>
      <c r="F1798" s="299"/>
      <c r="G1798" s="330"/>
      <c r="H1798" s="328"/>
      <c r="I1798" s="329"/>
      <c r="J1798" s="329"/>
      <c r="K1798" s="322"/>
      <c r="L1798" s="322"/>
      <c r="M1798" s="323" t="str">
        <f>IFERROR(VLOOKUP(H1798,Lijsten!$H$1:$I$100,2,0),"")</f>
        <v/>
      </c>
      <c r="N1798" s="323" t="str">
        <f ca="1">IFERROR(IF(VLOOKUP(F1798,Kostentypen!$A$3:$E$21,3,0)=0,"",IF(OR(F1798="Arbeidskosten",F1798="Vergoeding"),VLOOKUP(G1798,Tb_KostenTypen[],2,0),VLOOKUP(F1798,Kostentypen!$A$3:$E$20,3,0))),"")</f>
        <v/>
      </c>
      <c r="O1798" s="324"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4"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3"/>
      <c r="R1798" s="363"/>
      <c r="S1798" s="325"/>
      <c r="T1798" s="325"/>
      <c r="U1798" s="317" t="str" cm="1">
        <f t="array" aca="1" ref="U1798" ca="1">IFERROR(IF(AA1798&lt;&gt;"ja",_xlfn.IFNA(_xlfn.IFS(AND(O1798&lt;&gt;"",F1798&lt;&gt;"",RIGHT($N1798,6)="tarief",F1798="Vergoeding"),SUM(O1798)*FLOOR(SUM(Q1798),0.0001),AND(O1798&lt;&gt;"",F1798&lt;&gt;"",RIGHT($N1798,6)="tarief"),SUM(O1798)*FLOOR(SUM(Q1798),0.01),S1798&gt;0,IF(F1798&lt;&gt;"",FLOOR(SUM(S1798),0.01),"")),""),""),"")</f>
        <v/>
      </c>
      <c r="V1798" s="317" t="str" cm="1">
        <f t="array" aca="1" ref="V1798" ca="1">IFERROR(IF(AA1798&lt;&gt;"ja",_xlfn.IFNA(_xlfn.IFS(AND(P1798&lt;&gt;"",R1798&lt;&gt;"",RIGHT($N1798,6)="tarief",F1798="Vergoeding"),SUM(P1798)*FLOOR(SUM(R1798),0.0001),AND(P1798&lt;&gt;"",R1798&lt;&gt;"",RIGHT($N1798,6)="tarief"),P1798*FLOOR(R1798,0.01),T1798&gt;0,FLOOR(SUM(T1798),0.01)),""),""),"")</f>
        <v/>
      </c>
      <c r="W1798" s="317" t="str" cm="1">
        <f t="array" aca="1" ref="W1798" ca="1">IFERROR(_xlfn.IFS(OR(F1798="",LEFT(Methode_Keuze,4)="Geen",Methode_Keuze=""),"",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17" t="str" cm="1">
        <f t="array" aca="1" ref="X1798" ca="1">IFERROR(_xlfn.IFS(OR(F1798="",LEFT(Methode_Keuze,4)="Geen",Methode_Keuze=""),"",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26"/>
      <c r="Z1798" s="319"/>
      <c r="AA1798" s="32" t="str" cm="1">
        <f t="array" ref="AA1798">IFERROR(IF(INDEX(SubsidieTabel!$AD$1:$AG$12,MATCH($F1798,SubsidieTabel!$AD$1:$AD$12,0),IFERROR(MATCH(Methode_Keuze,SubsidieTabel!$AD$1:$AG$1,0),2))&lt;&gt;1=TRUE,"ja",""),"")</f>
        <v/>
      </c>
    </row>
    <row r="1799" spans="1:27" x14ac:dyDescent="0.25">
      <c r="A1799" s="320"/>
      <c r="B1799" s="321" t="str">
        <f>IF(A1799&lt;&gt;"",_xlfn.MAXIFS($B$1:B1798,$A$1:A1798,A1799)+1,"")</f>
        <v/>
      </c>
      <c r="C1799" s="299"/>
      <c r="D1799" s="299"/>
      <c r="E1799" s="299"/>
      <c r="F1799" s="299"/>
      <c r="G1799" s="330"/>
      <c r="H1799" s="328"/>
      <c r="I1799" s="329"/>
      <c r="J1799" s="329"/>
      <c r="K1799" s="322"/>
      <c r="L1799" s="322"/>
      <c r="M1799" s="323" t="str">
        <f>IFERROR(VLOOKUP(H1799,Lijsten!$H$1:$I$100,2,0),"")</f>
        <v/>
      </c>
      <c r="N1799" s="323" t="str">
        <f ca="1">IFERROR(IF(VLOOKUP(F1799,Kostentypen!$A$3:$E$21,3,0)=0,"",IF(OR(F1799="Arbeidskosten",F1799="Vergoeding"),VLOOKUP(G1799,Tb_KostenTypen[],2,0),VLOOKUP(F1799,Kostentypen!$A$3:$E$20,3,0))),"")</f>
        <v/>
      </c>
      <c r="O1799" s="324"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4"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3"/>
      <c r="R1799" s="363"/>
      <c r="S1799" s="325"/>
      <c r="T1799" s="325"/>
      <c r="U1799" s="317" t="str" cm="1">
        <f t="array" aca="1" ref="U1799" ca="1">IFERROR(IF(AA1799&lt;&gt;"ja",_xlfn.IFNA(_xlfn.IFS(AND(O1799&lt;&gt;"",F1799&lt;&gt;"",RIGHT($N1799,6)="tarief",F1799="Vergoeding"),SUM(O1799)*FLOOR(SUM(Q1799),0.0001),AND(O1799&lt;&gt;"",F1799&lt;&gt;"",RIGHT($N1799,6)="tarief"),SUM(O1799)*FLOOR(SUM(Q1799),0.01),S1799&gt;0,IF(F1799&lt;&gt;"",FLOOR(SUM(S1799),0.01),"")),""),""),"")</f>
        <v/>
      </c>
      <c r="V1799" s="317" t="str" cm="1">
        <f t="array" aca="1" ref="V1799" ca="1">IFERROR(IF(AA1799&lt;&gt;"ja",_xlfn.IFNA(_xlfn.IFS(AND(P1799&lt;&gt;"",R1799&lt;&gt;"",RIGHT($N1799,6)="tarief",F1799="Vergoeding"),SUM(P1799)*FLOOR(SUM(R1799),0.0001),AND(P1799&lt;&gt;"",R1799&lt;&gt;"",RIGHT($N1799,6)="tarief"),P1799*FLOOR(R1799,0.01),T1799&gt;0,FLOOR(SUM(T1799),0.01)),""),""),"")</f>
        <v/>
      </c>
      <c r="W1799" s="317" t="str" cm="1">
        <f t="array" aca="1" ref="W1799" ca="1">IFERROR(_xlfn.IFS(OR(F1799="",LEFT(Methode_Keuze,4)="Geen",Methode_Keuze=""),"",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17" t="str" cm="1">
        <f t="array" aca="1" ref="X1799" ca="1">IFERROR(_xlfn.IFS(OR(F1799="",LEFT(Methode_Keuze,4)="Geen",Methode_Keuze=""),"",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26"/>
      <c r="Z1799" s="319"/>
      <c r="AA1799" s="32" t="str" cm="1">
        <f t="array" ref="AA1799">IFERROR(IF(INDEX(SubsidieTabel!$AD$1:$AG$12,MATCH($F1799,SubsidieTabel!$AD$1:$AD$12,0),IFERROR(MATCH(Methode_Keuze,SubsidieTabel!$AD$1:$AG$1,0),2))&lt;&gt;1=TRUE,"ja",""),"")</f>
        <v/>
      </c>
    </row>
    <row r="1800" spans="1:27" x14ac:dyDescent="0.25">
      <c r="A1800" s="320"/>
      <c r="B1800" s="321" t="str">
        <f>IF(A1800&lt;&gt;"",_xlfn.MAXIFS($B$1:B1799,$A$1:A1799,A1800)+1,"")</f>
        <v/>
      </c>
      <c r="C1800" s="299"/>
      <c r="D1800" s="299"/>
      <c r="E1800" s="299"/>
      <c r="F1800" s="299"/>
      <c r="G1800" s="330"/>
      <c r="H1800" s="328"/>
      <c r="I1800" s="329"/>
      <c r="J1800" s="329"/>
      <c r="K1800" s="322"/>
      <c r="L1800" s="322"/>
      <c r="M1800" s="323" t="str">
        <f>IFERROR(VLOOKUP(H1800,Lijsten!$H$1:$I$100,2,0),"")</f>
        <v/>
      </c>
      <c r="N1800" s="323" t="str">
        <f ca="1">IFERROR(IF(VLOOKUP(F1800,Kostentypen!$A$3:$E$21,3,0)=0,"",IF(OR(F1800="Arbeidskosten",F1800="Vergoeding"),VLOOKUP(G1800,Tb_KostenTypen[],2,0),VLOOKUP(F1800,Kostentypen!$A$3:$E$20,3,0))),"")</f>
        <v/>
      </c>
      <c r="O1800" s="324"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4"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3"/>
      <c r="R1800" s="363"/>
      <c r="S1800" s="325"/>
      <c r="T1800" s="325"/>
      <c r="U1800" s="317" t="str" cm="1">
        <f t="array" aca="1" ref="U1800" ca="1">IFERROR(IF(AA1800&lt;&gt;"ja",_xlfn.IFNA(_xlfn.IFS(AND(O1800&lt;&gt;"",F1800&lt;&gt;"",RIGHT($N1800,6)="tarief",F1800="Vergoeding"),SUM(O1800)*FLOOR(SUM(Q1800),0.0001),AND(O1800&lt;&gt;"",F1800&lt;&gt;"",RIGHT($N1800,6)="tarief"),SUM(O1800)*FLOOR(SUM(Q1800),0.01),S1800&gt;0,IF(F1800&lt;&gt;"",FLOOR(SUM(S1800),0.01),"")),""),""),"")</f>
        <v/>
      </c>
      <c r="V1800" s="317" t="str" cm="1">
        <f t="array" aca="1" ref="V1800" ca="1">IFERROR(IF(AA1800&lt;&gt;"ja",_xlfn.IFNA(_xlfn.IFS(AND(P1800&lt;&gt;"",R1800&lt;&gt;"",RIGHT($N1800,6)="tarief",F1800="Vergoeding"),SUM(P1800)*FLOOR(SUM(R1800),0.0001),AND(P1800&lt;&gt;"",R1800&lt;&gt;"",RIGHT($N1800,6)="tarief"),P1800*FLOOR(R1800,0.01),T1800&gt;0,FLOOR(SUM(T1800),0.01)),""),""),"")</f>
        <v/>
      </c>
      <c r="W1800" s="317" t="str" cm="1">
        <f t="array" aca="1" ref="W1800" ca="1">IFERROR(_xlfn.IFS(OR(F1800="",LEFT(Methode_Keuze,4)="Geen",Methode_Keuze=""),"",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17" t="str" cm="1">
        <f t="array" aca="1" ref="X1800" ca="1">IFERROR(_xlfn.IFS(OR(F1800="",LEFT(Methode_Keuze,4)="Geen",Methode_Keuze=""),"",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26"/>
      <c r="Z1800" s="319"/>
      <c r="AA1800" s="32" t="str" cm="1">
        <f t="array" ref="AA1800">IFERROR(IF(INDEX(SubsidieTabel!$AD$1:$AG$12,MATCH($F1800,SubsidieTabel!$AD$1:$AD$12,0),IFERROR(MATCH(Methode_Keuze,SubsidieTabel!$AD$1:$AG$1,0),2))&lt;&gt;1=TRUE,"ja",""),"")</f>
        <v/>
      </c>
    </row>
    <row r="1801" spans="1:27" x14ac:dyDescent="0.25">
      <c r="A1801" s="320"/>
      <c r="B1801" s="321" t="str">
        <f>IF(A1801&lt;&gt;"",_xlfn.MAXIFS($B$1:B1800,$A$1:A1800,A1801)+1,"")</f>
        <v/>
      </c>
      <c r="C1801" s="299"/>
      <c r="D1801" s="299"/>
      <c r="E1801" s="299"/>
      <c r="F1801" s="299"/>
      <c r="G1801" s="330"/>
      <c r="H1801" s="328"/>
      <c r="I1801" s="329"/>
      <c r="J1801" s="329"/>
      <c r="K1801" s="322"/>
      <c r="L1801" s="322"/>
      <c r="M1801" s="323" t="str">
        <f>IFERROR(VLOOKUP(H1801,Lijsten!$H$1:$I$100,2,0),"")</f>
        <v/>
      </c>
      <c r="N1801" s="323" t="str">
        <f ca="1">IFERROR(IF(VLOOKUP(F1801,Kostentypen!$A$3:$E$21,3,0)=0,"",IF(OR(F1801="Arbeidskosten",F1801="Vergoeding"),VLOOKUP(G1801,Tb_KostenTypen[],2,0),VLOOKUP(F1801,Kostentypen!$A$3:$E$20,3,0))),"")</f>
        <v/>
      </c>
      <c r="O1801" s="324"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4"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3"/>
      <c r="R1801" s="363"/>
      <c r="S1801" s="325"/>
      <c r="T1801" s="325"/>
      <c r="U1801" s="317" t="str" cm="1">
        <f t="array" aca="1" ref="U1801" ca="1">IFERROR(IF(AA1801&lt;&gt;"ja",_xlfn.IFNA(_xlfn.IFS(AND(O1801&lt;&gt;"",F1801&lt;&gt;"",RIGHT($N1801,6)="tarief",F1801="Vergoeding"),SUM(O1801)*FLOOR(SUM(Q1801),0.0001),AND(O1801&lt;&gt;"",F1801&lt;&gt;"",RIGHT($N1801,6)="tarief"),SUM(O1801)*FLOOR(SUM(Q1801),0.01),S1801&gt;0,IF(F1801&lt;&gt;"",FLOOR(SUM(S1801),0.01),"")),""),""),"")</f>
        <v/>
      </c>
      <c r="V1801" s="317" t="str" cm="1">
        <f t="array" aca="1" ref="V1801" ca="1">IFERROR(IF(AA1801&lt;&gt;"ja",_xlfn.IFNA(_xlfn.IFS(AND(P1801&lt;&gt;"",R1801&lt;&gt;"",RIGHT($N1801,6)="tarief",F1801="Vergoeding"),SUM(P1801)*FLOOR(SUM(R1801),0.0001),AND(P1801&lt;&gt;"",R1801&lt;&gt;"",RIGHT($N1801,6)="tarief"),P1801*FLOOR(R1801,0.01),T1801&gt;0,FLOOR(SUM(T1801),0.01)),""),""),"")</f>
        <v/>
      </c>
      <c r="W1801" s="317" t="str" cm="1">
        <f t="array" aca="1" ref="W1801" ca="1">IFERROR(_xlfn.IFS(OR(F1801="",LEFT(Methode_Keuze,4)="Geen",Methode_Keuze=""),"",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17" t="str" cm="1">
        <f t="array" aca="1" ref="X1801" ca="1">IFERROR(_xlfn.IFS(OR(F1801="",LEFT(Methode_Keuze,4)="Geen",Methode_Keuze=""),"",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26"/>
      <c r="Z1801" s="319"/>
      <c r="AA1801" s="32" t="str" cm="1">
        <f t="array" ref="AA1801">IFERROR(IF(INDEX(SubsidieTabel!$AD$1:$AG$12,MATCH($F1801,SubsidieTabel!$AD$1:$AD$12,0),IFERROR(MATCH(Methode_Keuze,SubsidieTabel!$AD$1:$AG$1,0),2))&lt;&gt;1=TRUE,"ja",""),"")</f>
        <v/>
      </c>
    </row>
    <row r="1802" spans="1:27" x14ac:dyDescent="0.25">
      <c r="A1802" s="320"/>
      <c r="B1802" s="321" t="str">
        <f>IF(A1802&lt;&gt;"",_xlfn.MAXIFS($B$1:B1801,$A$1:A1801,A1802)+1,"")</f>
        <v/>
      </c>
      <c r="C1802" s="299"/>
      <c r="D1802" s="299"/>
      <c r="E1802" s="299"/>
      <c r="F1802" s="299"/>
      <c r="G1802" s="330"/>
      <c r="H1802" s="328"/>
      <c r="I1802" s="329"/>
      <c r="J1802" s="329"/>
      <c r="K1802" s="322"/>
      <c r="L1802" s="322"/>
      <c r="M1802" s="323" t="str">
        <f>IFERROR(VLOOKUP(H1802,Lijsten!$H$1:$I$100,2,0),"")</f>
        <v/>
      </c>
      <c r="N1802" s="323" t="str">
        <f ca="1">IFERROR(IF(VLOOKUP(F1802,Kostentypen!$A$3:$E$21,3,0)=0,"",IF(OR(F1802="Arbeidskosten",F1802="Vergoeding"),VLOOKUP(G1802,Tb_KostenTypen[],2,0),VLOOKUP(F1802,Kostentypen!$A$3:$E$20,3,0))),"")</f>
        <v/>
      </c>
      <c r="O1802" s="324"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4"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3"/>
      <c r="R1802" s="363"/>
      <c r="S1802" s="325"/>
      <c r="T1802" s="325"/>
      <c r="U1802" s="317" t="str" cm="1">
        <f t="array" aca="1" ref="U1802" ca="1">IFERROR(IF(AA1802&lt;&gt;"ja",_xlfn.IFNA(_xlfn.IFS(AND(O1802&lt;&gt;"",F1802&lt;&gt;"",RIGHT($N1802,6)="tarief",F1802="Vergoeding"),SUM(O1802)*FLOOR(SUM(Q1802),0.0001),AND(O1802&lt;&gt;"",F1802&lt;&gt;"",RIGHT($N1802,6)="tarief"),SUM(O1802)*FLOOR(SUM(Q1802),0.01),S1802&gt;0,IF(F1802&lt;&gt;"",FLOOR(SUM(S1802),0.01),"")),""),""),"")</f>
        <v/>
      </c>
      <c r="V1802" s="317" t="str" cm="1">
        <f t="array" aca="1" ref="V1802" ca="1">IFERROR(IF(AA1802&lt;&gt;"ja",_xlfn.IFNA(_xlfn.IFS(AND(P1802&lt;&gt;"",R1802&lt;&gt;"",RIGHT($N1802,6)="tarief",F1802="Vergoeding"),SUM(P1802)*FLOOR(SUM(R1802),0.0001),AND(P1802&lt;&gt;"",R1802&lt;&gt;"",RIGHT($N1802,6)="tarief"),P1802*FLOOR(R1802,0.01),T1802&gt;0,FLOOR(SUM(T1802),0.01)),""),""),"")</f>
        <v/>
      </c>
      <c r="W1802" s="317" t="str" cm="1">
        <f t="array" aca="1" ref="W1802" ca="1">IFERROR(_xlfn.IFS(OR(F1802="",LEFT(Methode_Keuze,4)="Geen",Methode_Keuze=""),"",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17" t="str" cm="1">
        <f t="array" aca="1" ref="X1802" ca="1">IFERROR(_xlfn.IFS(OR(F1802="",LEFT(Methode_Keuze,4)="Geen",Methode_Keuze=""),"",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26"/>
      <c r="Z1802" s="319"/>
      <c r="AA1802" s="32" t="str" cm="1">
        <f t="array" ref="AA1802">IFERROR(IF(INDEX(SubsidieTabel!$AD$1:$AG$12,MATCH($F1802,SubsidieTabel!$AD$1:$AD$12,0),IFERROR(MATCH(Methode_Keuze,SubsidieTabel!$AD$1:$AG$1,0),2))&lt;&gt;1=TRUE,"ja",""),"")</f>
        <v/>
      </c>
    </row>
    <row r="1803" spans="1:27" x14ac:dyDescent="0.25">
      <c r="A1803" s="320"/>
      <c r="B1803" s="321" t="str">
        <f>IF(A1803&lt;&gt;"",_xlfn.MAXIFS($B$1:B1802,$A$1:A1802,A1803)+1,"")</f>
        <v/>
      </c>
      <c r="C1803" s="299"/>
      <c r="D1803" s="299"/>
      <c r="E1803" s="299"/>
      <c r="F1803" s="299"/>
      <c r="G1803" s="330"/>
      <c r="H1803" s="328"/>
      <c r="I1803" s="329"/>
      <c r="J1803" s="329"/>
      <c r="K1803" s="322"/>
      <c r="L1803" s="322"/>
      <c r="M1803" s="323" t="str">
        <f>IFERROR(VLOOKUP(H1803,Lijsten!$H$1:$I$100,2,0),"")</f>
        <v/>
      </c>
      <c r="N1803" s="323" t="str">
        <f ca="1">IFERROR(IF(VLOOKUP(F1803,Kostentypen!$A$3:$E$21,3,0)=0,"",IF(OR(F1803="Arbeidskosten",F1803="Vergoeding"),VLOOKUP(G1803,Tb_KostenTypen[],2,0),VLOOKUP(F1803,Kostentypen!$A$3:$E$20,3,0))),"")</f>
        <v/>
      </c>
      <c r="O1803" s="324"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4"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3"/>
      <c r="R1803" s="363"/>
      <c r="S1803" s="325"/>
      <c r="T1803" s="325"/>
      <c r="U1803" s="317" t="str" cm="1">
        <f t="array" aca="1" ref="U1803" ca="1">IFERROR(IF(AA1803&lt;&gt;"ja",_xlfn.IFNA(_xlfn.IFS(AND(O1803&lt;&gt;"",F1803&lt;&gt;"",RIGHT($N1803,6)="tarief",F1803="Vergoeding"),SUM(O1803)*FLOOR(SUM(Q1803),0.0001),AND(O1803&lt;&gt;"",F1803&lt;&gt;"",RIGHT($N1803,6)="tarief"),SUM(O1803)*FLOOR(SUM(Q1803),0.01),S1803&gt;0,IF(F1803&lt;&gt;"",FLOOR(SUM(S1803),0.01),"")),""),""),"")</f>
        <v/>
      </c>
      <c r="V1803" s="317" t="str" cm="1">
        <f t="array" aca="1" ref="V1803" ca="1">IFERROR(IF(AA1803&lt;&gt;"ja",_xlfn.IFNA(_xlfn.IFS(AND(P1803&lt;&gt;"",R1803&lt;&gt;"",RIGHT($N1803,6)="tarief",F1803="Vergoeding"),SUM(P1803)*FLOOR(SUM(R1803),0.0001),AND(P1803&lt;&gt;"",R1803&lt;&gt;"",RIGHT($N1803,6)="tarief"),P1803*FLOOR(R1803,0.01),T1803&gt;0,FLOOR(SUM(T1803),0.01)),""),""),"")</f>
        <v/>
      </c>
      <c r="W1803" s="317" t="str" cm="1">
        <f t="array" aca="1" ref="W1803" ca="1">IFERROR(_xlfn.IFS(OR(F1803="",LEFT(Methode_Keuze,4)="Geen",Methode_Keuze=""),"",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17" t="str" cm="1">
        <f t="array" aca="1" ref="X1803" ca="1">IFERROR(_xlfn.IFS(OR(F1803="",LEFT(Methode_Keuze,4)="Geen",Methode_Keuze=""),"",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26"/>
      <c r="Z1803" s="319"/>
      <c r="AA1803" s="32" t="str" cm="1">
        <f t="array" ref="AA1803">IFERROR(IF(INDEX(SubsidieTabel!$AD$1:$AG$12,MATCH($F1803,SubsidieTabel!$AD$1:$AD$12,0),IFERROR(MATCH(Methode_Keuze,SubsidieTabel!$AD$1:$AG$1,0),2))&lt;&gt;1=TRUE,"ja",""),"")</f>
        <v/>
      </c>
    </row>
    <row r="1804" spans="1:27" x14ac:dyDescent="0.25">
      <c r="A1804" s="320"/>
      <c r="B1804" s="321" t="str">
        <f>IF(A1804&lt;&gt;"",_xlfn.MAXIFS($B$1:B1803,$A$1:A1803,A1804)+1,"")</f>
        <v/>
      </c>
      <c r="C1804" s="299"/>
      <c r="D1804" s="299"/>
      <c r="E1804" s="299"/>
      <c r="F1804" s="299"/>
      <c r="G1804" s="330"/>
      <c r="H1804" s="328"/>
      <c r="I1804" s="329"/>
      <c r="J1804" s="329"/>
      <c r="K1804" s="322"/>
      <c r="L1804" s="322"/>
      <c r="M1804" s="323" t="str">
        <f>IFERROR(VLOOKUP(H1804,Lijsten!$H$1:$I$100,2,0),"")</f>
        <v/>
      </c>
      <c r="N1804" s="323" t="str">
        <f ca="1">IFERROR(IF(VLOOKUP(F1804,Kostentypen!$A$3:$E$21,3,0)=0,"",IF(OR(F1804="Arbeidskosten",F1804="Vergoeding"),VLOOKUP(G1804,Tb_KostenTypen[],2,0),VLOOKUP(F1804,Kostentypen!$A$3:$E$20,3,0))),"")</f>
        <v/>
      </c>
      <c r="O1804" s="324"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4"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3"/>
      <c r="R1804" s="363"/>
      <c r="S1804" s="325"/>
      <c r="T1804" s="325"/>
      <c r="U1804" s="317" t="str" cm="1">
        <f t="array" aca="1" ref="U1804" ca="1">IFERROR(IF(AA1804&lt;&gt;"ja",_xlfn.IFNA(_xlfn.IFS(AND(O1804&lt;&gt;"",F1804&lt;&gt;"",RIGHT($N1804,6)="tarief",F1804="Vergoeding"),SUM(O1804)*FLOOR(SUM(Q1804),0.0001),AND(O1804&lt;&gt;"",F1804&lt;&gt;"",RIGHT($N1804,6)="tarief"),SUM(O1804)*FLOOR(SUM(Q1804),0.01),S1804&gt;0,IF(F1804&lt;&gt;"",FLOOR(SUM(S1804),0.01),"")),""),""),"")</f>
        <v/>
      </c>
      <c r="V1804" s="317" t="str" cm="1">
        <f t="array" aca="1" ref="V1804" ca="1">IFERROR(IF(AA1804&lt;&gt;"ja",_xlfn.IFNA(_xlfn.IFS(AND(P1804&lt;&gt;"",R1804&lt;&gt;"",RIGHT($N1804,6)="tarief",F1804="Vergoeding"),SUM(P1804)*FLOOR(SUM(R1804),0.0001),AND(P1804&lt;&gt;"",R1804&lt;&gt;"",RIGHT($N1804,6)="tarief"),P1804*FLOOR(R1804,0.01),T1804&gt;0,FLOOR(SUM(T1804),0.01)),""),""),"")</f>
        <v/>
      </c>
      <c r="W1804" s="317" t="str" cm="1">
        <f t="array" aca="1" ref="W1804" ca="1">IFERROR(_xlfn.IFS(OR(F1804="",LEFT(Methode_Keuze,4)="Geen",Methode_Keuze=""),"",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17" t="str" cm="1">
        <f t="array" aca="1" ref="X1804" ca="1">IFERROR(_xlfn.IFS(OR(F1804="",LEFT(Methode_Keuze,4)="Geen",Methode_Keuze=""),"",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26"/>
      <c r="Z1804" s="319"/>
      <c r="AA1804" s="32" t="str" cm="1">
        <f t="array" ref="AA1804">IFERROR(IF(INDEX(SubsidieTabel!$AD$1:$AG$12,MATCH($F1804,SubsidieTabel!$AD$1:$AD$12,0),IFERROR(MATCH(Methode_Keuze,SubsidieTabel!$AD$1:$AG$1,0),2))&lt;&gt;1=TRUE,"ja",""),"")</f>
        <v/>
      </c>
    </row>
    <row r="1805" spans="1:27" x14ac:dyDescent="0.25">
      <c r="A1805" s="320"/>
      <c r="B1805" s="321" t="str">
        <f>IF(A1805&lt;&gt;"",_xlfn.MAXIFS($B$1:B1804,$A$1:A1804,A1805)+1,"")</f>
        <v/>
      </c>
      <c r="C1805" s="299"/>
      <c r="D1805" s="299"/>
      <c r="E1805" s="299"/>
      <c r="F1805" s="299"/>
      <c r="G1805" s="330"/>
      <c r="H1805" s="328"/>
      <c r="I1805" s="329"/>
      <c r="J1805" s="329"/>
      <c r="K1805" s="322"/>
      <c r="L1805" s="322"/>
      <c r="M1805" s="323" t="str">
        <f>IFERROR(VLOOKUP(H1805,Lijsten!$H$1:$I$100,2,0),"")</f>
        <v/>
      </c>
      <c r="N1805" s="323" t="str">
        <f ca="1">IFERROR(IF(VLOOKUP(F1805,Kostentypen!$A$3:$E$21,3,0)=0,"",IF(OR(F1805="Arbeidskosten",F1805="Vergoeding"),VLOOKUP(G1805,Tb_KostenTypen[],2,0),VLOOKUP(F1805,Kostentypen!$A$3:$E$20,3,0))),"")</f>
        <v/>
      </c>
      <c r="O1805" s="324"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4"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3"/>
      <c r="R1805" s="363"/>
      <c r="S1805" s="325"/>
      <c r="T1805" s="325"/>
      <c r="U1805" s="317" t="str" cm="1">
        <f t="array" aca="1" ref="U1805" ca="1">IFERROR(IF(AA1805&lt;&gt;"ja",_xlfn.IFNA(_xlfn.IFS(AND(O1805&lt;&gt;"",F1805&lt;&gt;"",RIGHT($N1805,6)="tarief",F1805="Vergoeding"),SUM(O1805)*FLOOR(SUM(Q1805),0.0001),AND(O1805&lt;&gt;"",F1805&lt;&gt;"",RIGHT($N1805,6)="tarief"),SUM(O1805)*FLOOR(SUM(Q1805),0.01),S1805&gt;0,IF(F1805&lt;&gt;"",FLOOR(SUM(S1805),0.01),"")),""),""),"")</f>
        <v/>
      </c>
      <c r="V1805" s="317" t="str" cm="1">
        <f t="array" aca="1" ref="V1805" ca="1">IFERROR(IF(AA1805&lt;&gt;"ja",_xlfn.IFNA(_xlfn.IFS(AND(P1805&lt;&gt;"",R1805&lt;&gt;"",RIGHT($N1805,6)="tarief",F1805="Vergoeding"),SUM(P1805)*FLOOR(SUM(R1805),0.0001),AND(P1805&lt;&gt;"",R1805&lt;&gt;"",RIGHT($N1805,6)="tarief"),P1805*FLOOR(R1805,0.01),T1805&gt;0,FLOOR(SUM(T1805),0.01)),""),""),"")</f>
        <v/>
      </c>
      <c r="W1805" s="317" t="str" cm="1">
        <f t="array" aca="1" ref="W1805" ca="1">IFERROR(_xlfn.IFS(OR(F1805="",LEFT(Methode_Keuze,4)="Geen",Methode_Keuze=""),"",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17" t="str" cm="1">
        <f t="array" aca="1" ref="X1805" ca="1">IFERROR(_xlfn.IFS(OR(F1805="",LEFT(Methode_Keuze,4)="Geen",Methode_Keuze=""),"",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26"/>
      <c r="Z1805" s="319"/>
      <c r="AA1805" s="32" t="str" cm="1">
        <f t="array" ref="AA1805">IFERROR(IF(INDEX(SubsidieTabel!$AD$1:$AG$12,MATCH($F1805,SubsidieTabel!$AD$1:$AD$12,0),IFERROR(MATCH(Methode_Keuze,SubsidieTabel!$AD$1:$AG$1,0),2))&lt;&gt;1=TRUE,"ja",""),"")</f>
        <v/>
      </c>
    </row>
    <row r="1806" spans="1:27" x14ac:dyDescent="0.25">
      <c r="A1806" s="320"/>
      <c r="B1806" s="321" t="str">
        <f>IF(A1806&lt;&gt;"",_xlfn.MAXIFS($B$1:B1805,$A$1:A1805,A1806)+1,"")</f>
        <v/>
      </c>
      <c r="C1806" s="299"/>
      <c r="D1806" s="299"/>
      <c r="E1806" s="299"/>
      <c r="F1806" s="299"/>
      <c r="G1806" s="330"/>
      <c r="H1806" s="328"/>
      <c r="I1806" s="329"/>
      <c r="J1806" s="329"/>
      <c r="K1806" s="322"/>
      <c r="L1806" s="322"/>
      <c r="M1806" s="323" t="str">
        <f>IFERROR(VLOOKUP(H1806,Lijsten!$H$1:$I$100,2,0),"")</f>
        <v/>
      </c>
      <c r="N1806" s="323" t="str">
        <f ca="1">IFERROR(IF(VLOOKUP(F1806,Kostentypen!$A$3:$E$21,3,0)=0,"",IF(OR(F1806="Arbeidskosten",F1806="Vergoeding"),VLOOKUP(G1806,Tb_KostenTypen[],2,0),VLOOKUP(F1806,Kostentypen!$A$3:$E$20,3,0))),"")</f>
        <v/>
      </c>
      <c r="O1806" s="324"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4"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3"/>
      <c r="R1806" s="363"/>
      <c r="S1806" s="325"/>
      <c r="T1806" s="325"/>
      <c r="U1806" s="317" t="str" cm="1">
        <f t="array" aca="1" ref="U1806" ca="1">IFERROR(IF(AA1806&lt;&gt;"ja",_xlfn.IFNA(_xlfn.IFS(AND(O1806&lt;&gt;"",F1806&lt;&gt;"",RIGHT($N1806,6)="tarief",F1806="Vergoeding"),SUM(O1806)*FLOOR(SUM(Q1806),0.0001),AND(O1806&lt;&gt;"",F1806&lt;&gt;"",RIGHT($N1806,6)="tarief"),SUM(O1806)*FLOOR(SUM(Q1806),0.01),S1806&gt;0,IF(F1806&lt;&gt;"",FLOOR(SUM(S1806),0.01),"")),""),""),"")</f>
        <v/>
      </c>
      <c r="V1806" s="317" t="str" cm="1">
        <f t="array" aca="1" ref="V1806" ca="1">IFERROR(IF(AA1806&lt;&gt;"ja",_xlfn.IFNA(_xlfn.IFS(AND(P1806&lt;&gt;"",R1806&lt;&gt;"",RIGHT($N1806,6)="tarief",F1806="Vergoeding"),SUM(P1806)*FLOOR(SUM(R1806),0.0001),AND(P1806&lt;&gt;"",R1806&lt;&gt;"",RIGHT($N1806,6)="tarief"),P1806*FLOOR(R1806,0.01),T1806&gt;0,FLOOR(SUM(T1806),0.01)),""),""),"")</f>
        <v/>
      </c>
      <c r="W1806" s="317" t="str" cm="1">
        <f t="array" aca="1" ref="W1806" ca="1">IFERROR(_xlfn.IFS(OR(F1806="",LEFT(Methode_Keuze,4)="Geen",Methode_Keuze=""),"",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17" t="str" cm="1">
        <f t="array" aca="1" ref="X1806" ca="1">IFERROR(_xlfn.IFS(OR(F1806="",LEFT(Methode_Keuze,4)="Geen",Methode_Keuze=""),"",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26"/>
      <c r="Z1806" s="319"/>
      <c r="AA1806" s="32" t="str" cm="1">
        <f t="array" ref="AA1806">IFERROR(IF(INDEX(SubsidieTabel!$AD$1:$AG$12,MATCH($F1806,SubsidieTabel!$AD$1:$AD$12,0),IFERROR(MATCH(Methode_Keuze,SubsidieTabel!$AD$1:$AG$1,0),2))&lt;&gt;1=TRUE,"ja",""),"")</f>
        <v/>
      </c>
    </row>
    <row r="1807" spans="1:27" x14ac:dyDescent="0.25">
      <c r="A1807" s="320"/>
      <c r="B1807" s="321" t="str">
        <f>IF(A1807&lt;&gt;"",_xlfn.MAXIFS($B$1:B1806,$A$1:A1806,A1807)+1,"")</f>
        <v/>
      </c>
      <c r="C1807" s="299"/>
      <c r="D1807" s="299"/>
      <c r="E1807" s="299"/>
      <c r="F1807" s="299"/>
      <c r="G1807" s="330"/>
      <c r="H1807" s="328"/>
      <c r="I1807" s="329"/>
      <c r="J1807" s="329"/>
      <c r="K1807" s="322"/>
      <c r="L1807" s="322"/>
      <c r="M1807" s="323" t="str">
        <f>IFERROR(VLOOKUP(H1807,Lijsten!$H$1:$I$100,2,0),"")</f>
        <v/>
      </c>
      <c r="N1807" s="323" t="str">
        <f ca="1">IFERROR(IF(VLOOKUP(F1807,Kostentypen!$A$3:$E$21,3,0)=0,"",IF(OR(F1807="Arbeidskosten",F1807="Vergoeding"),VLOOKUP(G1807,Tb_KostenTypen[],2,0),VLOOKUP(F1807,Kostentypen!$A$3:$E$20,3,0))),"")</f>
        <v/>
      </c>
      <c r="O1807" s="324"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4"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3"/>
      <c r="R1807" s="363"/>
      <c r="S1807" s="325"/>
      <c r="T1807" s="325"/>
      <c r="U1807" s="317" t="str" cm="1">
        <f t="array" aca="1" ref="U1807" ca="1">IFERROR(IF(AA1807&lt;&gt;"ja",_xlfn.IFNA(_xlfn.IFS(AND(O1807&lt;&gt;"",F1807&lt;&gt;"",RIGHT($N1807,6)="tarief",F1807="Vergoeding"),SUM(O1807)*FLOOR(SUM(Q1807),0.0001),AND(O1807&lt;&gt;"",F1807&lt;&gt;"",RIGHT($N1807,6)="tarief"),SUM(O1807)*FLOOR(SUM(Q1807),0.01),S1807&gt;0,IF(F1807&lt;&gt;"",FLOOR(SUM(S1807),0.01),"")),""),""),"")</f>
        <v/>
      </c>
      <c r="V1807" s="317" t="str" cm="1">
        <f t="array" aca="1" ref="V1807" ca="1">IFERROR(IF(AA1807&lt;&gt;"ja",_xlfn.IFNA(_xlfn.IFS(AND(P1807&lt;&gt;"",R1807&lt;&gt;"",RIGHT($N1807,6)="tarief",F1807="Vergoeding"),SUM(P1807)*FLOOR(SUM(R1807),0.0001),AND(P1807&lt;&gt;"",R1807&lt;&gt;"",RIGHT($N1807,6)="tarief"),P1807*FLOOR(R1807,0.01),T1807&gt;0,FLOOR(SUM(T1807),0.01)),""),""),"")</f>
        <v/>
      </c>
      <c r="W1807" s="317" t="str" cm="1">
        <f t="array" aca="1" ref="W1807" ca="1">IFERROR(_xlfn.IFS(OR(F1807="",LEFT(Methode_Keuze,4)="Geen",Methode_Keuze=""),"",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17" t="str" cm="1">
        <f t="array" aca="1" ref="X1807" ca="1">IFERROR(_xlfn.IFS(OR(F1807="",LEFT(Methode_Keuze,4)="Geen",Methode_Keuze=""),"",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26"/>
      <c r="Z1807" s="319"/>
      <c r="AA1807" s="32" t="str" cm="1">
        <f t="array" ref="AA1807">IFERROR(IF(INDEX(SubsidieTabel!$AD$1:$AG$12,MATCH($F1807,SubsidieTabel!$AD$1:$AD$12,0),IFERROR(MATCH(Methode_Keuze,SubsidieTabel!$AD$1:$AG$1,0),2))&lt;&gt;1=TRUE,"ja",""),"")</f>
        <v/>
      </c>
    </row>
    <row r="1808" spans="1:27" x14ac:dyDescent="0.25">
      <c r="A1808" s="320"/>
      <c r="B1808" s="321" t="str">
        <f>IF(A1808&lt;&gt;"",_xlfn.MAXIFS($B$1:B1807,$A$1:A1807,A1808)+1,"")</f>
        <v/>
      </c>
      <c r="C1808" s="299"/>
      <c r="D1808" s="299"/>
      <c r="E1808" s="299"/>
      <c r="F1808" s="299"/>
      <c r="G1808" s="330"/>
      <c r="H1808" s="328"/>
      <c r="I1808" s="329"/>
      <c r="J1808" s="329"/>
      <c r="K1808" s="322"/>
      <c r="L1808" s="322"/>
      <c r="M1808" s="323" t="str">
        <f>IFERROR(VLOOKUP(H1808,Lijsten!$H$1:$I$100,2,0),"")</f>
        <v/>
      </c>
      <c r="N1808" s="323" t="str">
        <f ca="1">IFERROR(IF(VLOOKUP(F1808,Kostentypen!$A$3:$E$21,3,0)=0,"",IF(OR(F1808="Arbeidskosten",F1808="Vergoeding"),VLOOKUP(G1808,Tb_KostenTypen[],2,0),VLOOKUP(F1808,Kostentypen!$A$3:$E$20,3,0))),"")</f>
        <v/>
      </c>
      <c r="O1808" s="324"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4"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3"/>
      <c r="R1808" s="363"/>
      <c r="S1808" s="325"/>
      <c r="T1808" s="325"/>
      <c r="U1808" s="317" t="str" cm="1">
        <f t="array" aca="1" ref="U1808" ca="1">IFERROR(IF(AA1808&lt;&gt;"ja",_xlfn.IFNA(_xlfn.IFS(AND(O1808&lt;&gt;"",F1808&lt;&gt;"",RIGHT($N1808,6)="tarief",F1808="Vergoeding"),SUM(O1808)*FLOOR(SUM(Q1808),0.0001),AND(O1808&lt;&gt;"",F1808&lt;&gt;"",RIGHT($N1808,6)="tarief"),SUM(O1808)*FLOOR(SUM(Q1808),0.01),S1808&gt;0,IF(F1808&lt;&gt;"",FLOOR(SUM(S1808),0.01),"")),""),""),"")</f>
        <v/>
      </c>
      <c r="V1808" s="317" t="str" cm="1">
        <f t="array" aca="1" ref="V1808" ca="1">IFERROR(IF(AA1808&lt;&gt;"ja",_xlfn.IFNA(_xlfn.IFS(AND(P1808&lt;&gt;"",R1808&lt;&gt;"",RIGHT($N1808,6)="tarief",F1808="Vergoeding"),SUM(P1808)*FLOOR(SUM(R1808),0.0001),AND(P1808&lt;&gt;"",R1808&lt;&gt;"",RIGHT($N1808,6)="tarief"),P1808*FLOOR(R1808,0.01),T1808&gt;0,FLOOR(SUM(T1808),0.01)),""),""),"")</f>
        <v/>
      </c>
      <c r="W1808" s="317" t="str" cm="1">
        <f t="array" aca="1" ref="W1808" ca="1">IFERROR(_xlfn.IFS(OR(F1808="",LEFT(Methode_Keuze,4)="Geen",Methode_Keuze=""),"",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17" t="str" cm="1">
        <f t="array" aca="1" ref="X1808" ca="1">IFERROR(_xlfn.IFS(OR(F1808="",LEFT(Methode_Keuze,4)="Geen",Methode_Keuze=""),"",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26"/>
      <c r="Z1808" s="319"/>
      <c r="AA1808" s="32" t="str" cm="1">
        <f t="array" ref="AA1808">IFERROR(IF(INDEX(SubsidieTabel!$AD$1:$AG$12,MATCH($F1808,SubsidieTabel!$AD$1:$AD$12,0),IFERROR(MATCH(Methode_Keuze,SubsidieTabel!$AD$1:$AG$1,0),2))&lt;&gt;1=TRUE,"ja",""),"")</f>
        <v/>
      </c>
    </row>
    <row r="1809" spans="1:27" x14ac:dyDescent="0.25">
      <c r="A1809" s="320"/>
      <c r="B1809" s="321" t="str">
        <f>IF(A1809&lt;&gt;"",_xlfn.MAXIFS($B$1:B1808,$A$1:A1808,A1809)+1,"")</f>
        <v/>
      </c>
      <c r="C1809" s="299"/>
      <c r="D1809" s="299"/>
      <c r="E1809" s="299"/>
      <c r="F1809" s="299"/>
      <c r="G1809" s="330"/>
      <c r="H1809" s="328"/>
      <c r="I1809" s="329"/>
      <c r="J1809" s="329"/>
      <c r="K1809" s="322"/>
      <c r="L1809" s="322"/>
      <c r="M1809" s="323" t="str">
        <f>IFERROR(VLOOKUP(H1809,Lijsten!$H$1:$I$100,2,0),"")</f>
        <v/>
      </c>
      <c r="N1809" s="323" t="str">
        <f ca="1">IFERROR(IF(VLOOKUP(F1809,Kostentypen!$A$3:$E$21,3,0)=0,"",IF(OR(F1809="Arbeidskosten",F1809="Vergoeding"),VLOOKUP(G1809,Tb_KostenTypen[],2,0),VLOOKUP(F1809,Kostentypen!$A$3:$E$20,3,0))),"")</f>
        <v/>
      </c>
      <c r="O1809" s="324"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4"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3"/>
      <c r="R1809" s="363"/>
      <c r="S1809" s="325"/>
      <c r="T1809" s="325"/>
      <c r="U1809" s="317" t="str" cm="1">
        <f t="array" aca="1" ref="U1809" ca="1">IFERROR(IF(AA1809&lt;&gt;"ja",_xlfn.IFNA(_xlfn.IFS(AND(O1809&lt;&gt;"",F1809&lt;&gt;"",RIGHT($N1809,6)="tarief",F1809="Vergoeding"),SUM(O1809)*FLOOR(SUM(Q1809),0.0001),AND(O1809&lt;&gt;"",F1809&lt;&gt;"",RIGHT($N1809,6)="tarief"),SUM(O1809)*FLOOR(SUM(Q1809),0.01),S1809&gt;0,IF(F1809&lt;&gt;"",FLOOR(SUM(S1809),0.01),"")),""),""),"")</f>
        <v/>
      </c>
      <c r="V1809" s="317" t="str" cm="1">
        <f t="array" aca="1" ref="V1809" ca="1">IFERROR(IF(AA1809&lt;&gt;"ja",_xlfn.IFNA(_xlfn.IFS(AND(P1809&lt;&gt;"",R1809&lt;&gt;"",RIGHT($N1809,6)="tarief",F1809="Vergoeding"),SUM(P1809)*FLOOR(SUM(R1809),0.0001),AND(P1809&lt;&gt;"",R1809&lt;&gt;"",RIGHT($N1809,6)="tarief"),P1809*FLOOR(R1809,0.01),T1809&gt;0,FLOOR(SUM(T1809),0.01)),""),""),"")</f>
        <v/>
      </c>
      <c r="W1809" s="317" t="str" cm="1">
        <f t="array" aca="1" ref="W1809" ca="1">IFERROR(_xlfn.IFS(OR(F1809="",LEFT(Methode_Keuze,4)="Geen",Methode_Keuze=""),"",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17" t="str" cm="1">
        <f t="array" aca="1" ref="X1809" ca="1">IFERROR(_xlfn.IFS(OR(F1809="",LEFT(Methode_Keuze,4)="Geen",Methode_Keuze=""),"",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26"/>
      <c r="Z1809" s="319"/>
      <c r="AA1809" s="32" t="str" cm="1">
        <f t="array" ref="AA1809">IFERROR(IF(INDEX(SubsidieTabel!$AD$1:$AG$12,MATCH($F1809,SubsidieTabel!$AD$1:$AD$12,0),IFERROR(MATCH(Methode_Keuze,SubsidieTabel!$AD$1:$AG$1,0),2))&lt;&gt;1=TRUE,"ja",""),"")</f>
        <v/>
      </c>
    </row>
    <row r="1810" spans="1:27" x14ac:dyDescent="0.25">
      <c r="A1810" s="320"/>
      <c r="B1810" s="321" t="str">
        <f>IF(A1810&lt;&gt;"",_xlfn.MAXIFS($B$1:B1809,$A$1:A1809,A1810)+1,"")</f>
        <v/>
      </c>
      <c r="C1810" s="299"/>
      <c r="D1810" s="299"/>
      <c r="E1810" s="299"/>
      <c r="F1810" s="299"/>
      <c r="G1810" s="330"/>
      <c r="H1810" s="328"/>
      <c r="I1810" s="329"/>
      <c r="J1810" s="329"/>
      <c r="K1810" s="322"/>
      <c r="L1810" s="322"/>
      <c r="M1810" s="323" t="str">
        <f>IFERROR(VLOOKUP(H1810,Lijsten!$H$1:$I$100,2,0),"")</f>
        <v/>
      </c>
      <c r="N1810" s="323" t="str">
        <f ca="1">IFERROR(IF(VLOOKUP(F1810,Kostentypen!$A$3:$E$21,3,0)=0,"",IF(OR(F1810="Arbeidskosten",F1810="Vergoeding"),VLOOKUP(G1810,Tb_KostenTypen[],2,0),VLOOKUP(F1810,Kostentypen!$A$3:$E$20,3,0))),"")</f>
        <v/>
      </c>
      <c r="O1810" s="324"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4"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3"/>
      <c r="R1810" s="363"/>
      <c r="S1810" s="325"/>
      <c r="T1810" s="325"/>
      <c r="U1810" s="317" t="str" cm="1">
        <f t="array" aca="1" ref="U1810" ca="1">IFERROR(IF(AA1810&lt;&gt;"ja",_xlfn.IFNA(_xlfn.IFS(AND(O1810&lt;&gt;"",F1810&lt;&gt;"",RIGHT($N1810,6)="tarief",F1810="Vergoeding"),SUM(O1810)*FLOOR(SUM(Q1810),0.0001),AND(O1810&lt;&gt;"",F1810&lt;&gt;"",RIGHT($N1810,6)="tarief"),SUM(O1810)*FLOOR(SUM(Q1810),0.01),S1810&gt;0,IF(F1810&lt;&gt;"",FLOOR(SUM(S1810),0.01),"")),""),""),"")</f>
        <v/>
      </c>
      <c r="V1810" s="317" t="str" cm="1">
        <f t="array" aca="1" ref="V1810" ca="1">IFERROR(IF(AA1810&lt;&gt;"ja",_xlfn.IFNA(_xlfn.IFS(AND(P1810&lt;&gt;"",R1810&lt;&gt;"",RIGHT($N1810,6)="tarief",F1810="Vergoeding"),SUM(P1810)*FLOOR(SUM(R1810),0.0001),AND(P1810&lt;&gt;"",R1810&lt;&gt;"",RIGHT($N1810,6)="tarief"),P1810*FLOOR(R1810,0.01),T1810&gt;0,FLOOR(SUM(T1810),0.01)),""),""),"")</f>
        <v/>
      </c>
      <c r="W1810" s="317" t="str" cm="1">
        <f t="array" aca="1" ref="W1810" ca="1">IFERROR(_xlfn.IFS(OR(F1810="",LEFT(Methode_Keuze,4)="Geen",Methode_Keuze=""),"",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17" t="str" cm="1">
        <f t="array" aca="1" ref="X1810" ca="1">IFERROR(_xlfn.IFS(OR(F1810="",LEFT(Methode_Keuze,4)="Geen",Methode_Keuze=""),"",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26"/>
      <c r="Z1810" s="319"/>
      <c r="AA1810" s="32" t="str" cm="1">
        <f t="array" ref="AA1810">IFERROR(IF(INDEX(SubsidieTabel!$AD$1:$AG$12,MATCH($F1810,SubsidieTabel!$AD$1:$AD$12,0),IFERROR(MATCH(Methode_Keuze,SubsidieTabel!$AD$1:$AG$1,0),2))&lt;&gt;1=TRUE,"ja",""),"")</f>
        <v/>
      </c>
    </row>
    <row r="1811" spans="1:27" x14ac:dyDescent="0.25">
      <c r="A1811" s="320"/>
      <c r="B1811" s="321" t="str">
        <f>IF(A1811&lt;&gt;"",_xlfn.MAXIFS($B$1:B1810,$A$1:A1810,A1811)+1,"")</f>
        <v/>
      </c>
      <c r="C1811" s="299"/>
      <c r="D1811" s="299"/>
      <c r="E1811" s="299"/>
      <c r="F1811" s="299"/>
      <c r="G1811" s="330"/>
      <c r="H1811" s="328"/>
      <c r="I1811" s="329"/>
      <c r="J1811" s="329"/>
      <c r="K1811" s="322"/>
      <c r="L1811" s="322"/>
      <c r="M1811" s="323" t="str">
        <f>IFERROR(VLOOKUP(H1811,Lijsten!$H$1:$I$100,2,0),"")</f>
        <v/>
      </c>
      <c r="N1811" s="323" t="str">
        <f ca="1">IFERROR(IF(VLOOKUP(F1811,Kostentypen!$A$3:$E$21,3,0)=0,"",IF(OR(F1811="Arbeidskosten",F1811="Vergoeding"),VLOOKUP(G1811,Tb_KostenTypen[],2,0),VLOOKUP(F1811,Kostentypen!$A$3:$E$20,3,0))),"")</f>
        <v/>
      </c>
      <c r="O1811" s="324"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4"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3"/>
      <c r="R1811" s="363"/>
      <c r="S1811" s="325"/>
      <c r="T1811" s="325"/>
      <c r="U1811" s="317" t="str" cm="1">
        <f t="array" aca="1" ref="U1811" ca="1">IFERROR(IF(AA1811&lt;&gt;"ja",_xlfn.IFNA(_xlfn.IFS(AND(O1811&lt;&gt;"",F1811&lt;&gt;"",RIGHT($N1811,6)="tarief",F1811="Vergoeding"),SUM(O1811)*FLOOR(SUM(Q1811),0.0001),AND(O1811&lt;&gt;"",F1811&lt;&gt;"",RIGHT($N1811,6)="tarief"),SUM(O1811)*FLOOR(SUM(Q1811),0.01),S1811&gt;0,IF(F1811&lt;&gt;"",FLOOR(SUM(S1811),0.01),"")),""),""),"")</f>
        <v/>
      </c>
      <c r="V1811" s="317" t="str" cm="1">
        <f t="array" aca="1" ref="V1811" ca="1">IFERROR(IF(AA1811&lt;&gt;"ja",_xlfn.IFNA(_xlfn.IFS(AND(P1811&lt;&gt;"",R1811&lt;&gt;"",RIGHT($N1811,6)="tarief",F1811="Vergoeding"),SUM(P1811)*FLOOR(SUM(R1811),0.0001),AND(P1811&lt;&gt;"",R1811&lt;&gt;"",RIGHT($N1811,6)="tarief"),P1811*FLOOR(R1811,0.01),T1811&gt;0,FLOOR(SUM(T1811),0.01)),""),""),"")</f>
        <v/>
      </c>
      <c r="W1811" s="317" t="str" cm="1">
        <f t="array" aca="1" ref="W1811" ca="1">IFERROR(_xlfn.IFS(OR(F1811="",LEFT(Methode_Keuze,4)="Geen",Methode_Keuze=""),"",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17" t="str" cm="1">
        <f t="array" aca="1" ref="X1811" ca="1">IFERROR(_xlfn.IFS(OR(F1811="",LEFT(Methode_Keuze,4)="Geen",Methode_Keuze=""),"",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26"/>
      <c r="Z1811" s="319"/>
      <c r="AA1811" s="32" t="str" cm="1">
        <f t="array" ref="AA1811">IFERROR(IF(INDEX(SubsidieTabel!$AD$1:$AG$12,MATCH($F1811,SubsidieTabel!$AD$1:$AD$12,0),IFERROR(MATCH(Methode_Keuze,SubsidieTabel!$AD$1:$AG$1,0),2))&lt;&gt;1=TRUE,"ja",""),"")</f>
        <v/>
      </c>
    </row>
    <row r="1812" spans="1:27" x14ac:dyDescent="0.25">
      <c r="A1812" s="320"/>
      <c r="B1812" s="321" t="str">
        <f>IF(A1812&lt;&gt;"",_xlfn.MAXIFS($B$1:B1811,$A$1:A1811,A1812)+1,"")</f>
        <v/>
      </c>
      <c r="C1812" s="299"/>
      <c r="D1812" s="299"/>
      <c r="E1812" s="299"/>
      <c r="F1812" s="299"/>
      <c r="G1812" s="330"/>
      <c r="H1812" s="328"/>
      <c r="I1812" s="329"/>
      <c r="J1812" s="329"/>
      <c r="K1812" s="322"/>
      <c r="L1812" s="322"/>
      <c r="M1812" s="323" t="str">
        <f>IFERROR(VLOOKUP(H1812,Lijsten!$H$1:$I$100,2,0),"")</f>
        <v/>
      </c>
      <c r="N1812" s="323" t="str">
        <f ca="1">IFERROR(IF(VLOOKUP(F1812,Kostentypen!$A$3:$E$21,3,0)=0,"",IF(OR(F1812="Arbeidskosten",F1812="Vergoeding"),VLOOKUP(G1812,Tb_KostenTypen[],2,0),VLOOKUP(F1812,Kostentypen!$A$3:$E$20,3,0))),"")</f>
        <v/>
      </c>
      <c r="O1812" s="324"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4"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3"/>
      <c r="R1812" s="363"/>
      <c r="S1812" s="325"/>
      <c r="T1812" s="325"/>
      <c r="U1812" s="317" t="str" cm="1">
        <f t="array" aca="1" ref="U1812" ca="1">IFERROR(IF(AA1812&lt;&gt;"ja",_xlfn.IFNA(_xlfn.IFS(AND(O1812&lt;&gt;"",F1812&lt;&gt;"",RIGHT($N1812,6)="tarief",F1812="Vergoeding"),SUM(O1812)*FLOOR(SUM(Q1812),0.0001),AND(O1812&lt;&gt;"",F1812&lt;&gt;"",RIGHT($N1812,6)="tarief"),SUM(O1812)*FLOOR(SUM(Q1812),0.01),S1812&gt;0,IF(F1812&lt;&gt;"",FLOOR(SUM(S1812),0.01),"")),""),""),"")</f>
        <v/>
      </c>
      <c r="V1812" s="317" t="str" cm="1">
        <f t="array" aca="1" ref="V1812" ca="1">IFERROR(IF(AA1812&lt;&gt;"ja",_xlfn.IFNA(_xlfn.IFS(AND(P1812&lt;&gt;"",R1812&lt;&gt;"",RIGHT($N1812,6)="tarief",F1812="Vergoeding"),SUM(P1812)*FLOOR(SUM(R1812),0.0001),AND(P1812&lt;&gt;"",R1812&lt;&gt;"",RIGHT($N1812,6)="tarief"),P1812*FLOOR(R1812,0.01),T1812&gt;0,FLOOR(SUM(T1812),0.01)),""),""),"")</f>
        <v/>
      </c>
      <c r="W1812" s="317" t="str" cm="1">
        <f t="array" aca="1" ref="W1812" ca="1">IFERROR(_xlfn.IFS(OR(F1812="",LEFT(Methode_Keuze,4)="Geen",Methode_Keuze=""),"",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17" t="str" cm="1">
        <f t="array" aca="1" ref="X1812" ca="1">IFERROR(_xlfn.IFS(OR(F1812="",LEFT(Methode_Keuze,4)="Geen",Methode_Keuze=""),"",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26"/>
      <c r="Z1812" s="319"/>
      <c r="AA1812" s="32" t="str" cm="1">
        <f t="array" ref="AA1812">IFERROR(IF(INDEX(SubsidieTabel!$AD$1:$AG$12,MATCH($F1812,SubsidieTabel!$AD$1:$AD$12,0),IFERROR(MATCH(Methode_Keuze,SubsidieTabel!$AD$1:$AG$1,0),2))&lt;&gt;1=TRUE,"ja",""),"")</f>
        <v/>
      </c>
    </row>
    <row r="1813" spans="1:27" x14ac:dyDescent="0.25">
      <c r="A1813" s="320"/>
      <c r="B1813" s="321" t="str">
        <f>IF(A1813&lt;&gt;"",_xlfn.MAXIFS($B$1:B1812,$A$1:A1812,A1813)+1,"")</f>
        <v/>
      </c>
      <c r="C1813" s="299"/>
      <c r="D1813" s="299"/>
      <c r="E1813" s="299"/>
      <c r="F1813" s="299"/>
      <c r="G1813" s="330"/>
      <c r="H1813" s="328"/>
      <c r="I1813" s="329"/>
      <c r="J1813" s="329"/>
      <c r="K1813" s="322"/>
      <c r="L1813" s="322"/>
      <c r="M1813" s="323" t="str">
        <f>IFERROR(VLOOKUP(H1813,Lijsten!$H$1:$I$100,2,0),"")</f>
        <v/>
      </c>
      <c r="N1813" s="323" t="str">
        <f ca="1">IFERROR(IF(VLOOKUP(F1813,Kostentypen!$A$3:$E$21,3,0)=0,"",IF(OR(F1813="Arbeidskosten",F1813="Vergoeding"),VLOOKUP(G1813,Tb_KostenTypen[],2,0),VLOOKUP(F1813,Kostentypen!$A$3:$E$20,3,0))),"")</f>
        <v/>
      </c>
      <c r="O1813" s="324"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4"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3"/>
      <c r="R1813" s="363"/>
      <c r="S1813" s="325"/>
      <c r="T1813" s="325"/>
      <c r="U1813" s="317" t="str" cm="1">
        <f t="array" aca="1" ref="U1813" ca="1">IFERROR(IF(AA1813&lt;&gt;"ja",_xlfn.IFNA(_xlfn.IFS(AND(O1813&lt;&gt;"",F1813&lt;&gt;"",RIGHT($N1813,6)="tarief",F1813="Vergoeding"),SUM(O1813)*FLOOR(SUM(Q1813),0.0001),AND(O1813&lt;&gt;"",F1813&lt;&gt;"",RIGHT($N1813,6)="tarief"),SUM(O1813)*FLOOR(SUM(Q1813),0.01),S1813&gt;0,IF(F1813&lt;&gt;"",FLOOR(SUM(S1813),0.01),"")),""),""),"")</f>
        <v/>
      </c>
      <c r="V1813" s="317" t="str" cm="1">
        <f t="array" aca="1" ref="V1813" ca="1">IFERROR(IF(AA1813&lt;&gt;"ja",_xlfn.IFNA(_xlfn.IFS(AND(P1813&lt;&gt;"",R1813&lt;&gt;"",RIGHT($N1813,6)="tarief",F1813="Vergoeding"),SUM(P1813)*FLOOR(SUM(R1813),0.0001),AND(P1813&lt;&gt;"",R1813&lt;&gt;"",RIGHT($N1813,6)="tarief"),P1813*FLOOR(R1813,0.01),T1813&gt;0,FLOOR(SUM(T1813),0.01)),""),""),"")</f>
        <v/>
      </c>
      <c r="W1813" s="317" t="str" cm="1">
        <f t="array" aca="1" ref="W1813" ca="1">IFERROR(_xlfn.IFS(OR(F1813="",LEFT(Methode_Keuze,4)="Geen",Methode_Keuze=""),"",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17" t="str" cm="1">
        <f t="array" aca="1" ref="X1813" ca="1">IFERROR(_xlfn.IFS(OR(F1813="",LEFT(Methode_Keuze,4)="Geen",Methode_Keuze=""),"",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26"/>
      <c r="Z1813" s="319"/>
      <c r="AA1813" s="32" t="str" cm="1">
        <f t="array" ref="AA1813">IFERROR(IF(INDEX(SubsidieTabel!$AD$1:$AG$12,MATCH($F1813,SubsidieTabel!$AD$1:$AD$12,0),IFERROR(MATCH(Methode_Keuze,SubsidieTabel!$AD$1:$AG$1,0),2))&lt;&gt;1=TRUE,"ja",""),"")</f>
        <v/>
      </c>
    </row>
    <row r="1814" spans="1:27" x14ac:dyDescent="0.25">
      <c r="A1814" s="320"/>
      <c r="B1814" s="321" t="str">
        <f>IF(A1814&lt;&gt;"",_xlfn.MAXIFS($B$1:B1813,$A$1:A1813,A1814)+1,"")</f>
        <v/>
      </c>
      <c r="C1814" s="299"/>
      <c r="D1814" s="299"/>
      <c r="E1814" s="299"/>
      <c r="F1814" s="299"/>
      <c r="G1814" s="330"/>
      <c r="H1814" s="328"/>
      <c r="I1814" s="329"/>
      <c r="J1814" s="329"/>
      <c r="K1814" s="322"/>
      <c r="L1814" s="322"/>
      <c r="M1814" s="323" t="str">
        <f>IFERROR(VLOOKUP(H1814,Lijsten!$H$1:$I$100,2,0),"")</f>
        <v/>
      </c>
      <c r="N1814" s="323" t="str">
        <f ca="1">IFERROR(IF(VLOOKUP(F1814,Kostentypen!$A$3:$E$21,3,0)=0,"",IF(OR(F1814="Arbeidskosten",F1814="Vergoeding"),VLOOKUP(G1814,Tb_KostenTypen[],2,0),VLOOKUP(F1814,Kostentypen!$A$3:$E$20,3,0))),"")</f>
        <v/>
      </c>
      <c r="O1814" s="324"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4"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3"/>
      <c r="R1814" s="363"/>
      <c r="S1814" s="325"/>
      <c r="T1814" s="325"/>
      <c r="U1814" s="317" t="str" cm="1">
        <f t="array" aca="1" ref="U1814" ca="1">IFERROR(IF(AA1814&lt;&gt;"ja",_xlfn.IFNA(_xlfn.IFS(AND(O1814&lt;&gt;"",F1814&lt;&gt;"",RIGHT($N1814,6)="tarief",F1814="Vergoeding"),SUM(O1814)*FLOOR(SUM(Q1814),0.0001),AND(O1814&lt;&gt;"",F1814&lt;&gt;"",RIGHT($N1814,6)="tarief"),SUM(O1814)*FLOOR(SUM(Q1814),0.01),S1814&gt;0,IF(F1814&lt;&gt;"",FLOOR(SUM(S1814),0.01),"")),""),""),"")</f>
        <v/>
      </c>
      <c r="V1814" s="317" t="str" cm="1">
        <f t="array" aca="1" ref="V1814" ca="1">IFERROR(IF(AA1814&lt;&gt;"ja",_xlfn.IFNA(_xlfn.IFS(AND(P1814&lt;&gt;"",R1814&lt;&gt;"",RIGHT($N1814,6)="tarief",F1814="Vergoeding"),SUM(P1814)*FLOOR(SUM(R1814),0.0001),AND(P1814&lt;&gt;"",R1814&lt;&gt;"",RIGHT($N1814,6)="tarief"),P1814*FLOOR(R1814,0.01),T1814&gt;0,FLOOR(SUM(T1814),0.01)),""),""),"")</f>
        <v/>
      </c>
      <c r="W1814" s="317" t="str" cm="1">
        <f t="array" aca="1" ref="W1814" ca="1">IFERROR(_xlfn.IFS(OR(F1814="",LEFT(Methode_Keuze,4)="Geen",Methode_Keuze=""),"",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17" t="str" cm="1">
        <f t="array" aca="1" ref="X1814" ca="1">IFERROR(_xlfn.IFS(OR(F1814="",LEFT(Methode_Keuze,4)="Geen",Methode_Keuze=""),"",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26"/>
      <c r="Z1814" s="319"/>
      <c r="AA1814" s="32" t="str" cm="1">
        <f t="array" ref="AA1814">IFERROR(IF(INDEX(SubsidieTabel!$AD$1:$AG$12,MATCH($F1814,SubsidieTabel!$AD$1:$AD$12,0),IFERROR(MATCH(Methode_Keuze,SubsidieTabel!$AD$1:$AG$1,0),2))&lt;&gt;1=TRUE,"ja",""),"")</f>
        <v/>
      </c>
    </row>
    <row r="1815" spans="1:27" x14ac:dyDescent="0.25">
      <c r="A1815" s="320"/>
      <c r="B1815" s="321" t="str">
        <f>IF(A1815&lt;&gt;"",_xlfn.MAXIFS($B$1:B1814,$A$1:A1814,A1815)+1,"")</f>
        <v/>
      </c>
      <c r="C1815" s="299"/>
      <c r="D1815" s="299"/>
      <c r="E1815" s="299"/>
      <c r="F1815" s="299"/>
      <c r="G1815" s="330"/>
      <c r="H1815" s="328"/>
      <c r="I1815" s="329"/>
      <c r="J1815" s="329"/>
      <c r="K1815" s="322"/>
      <c r="L1815" s="322"/>
      <c r="M1815" s="323" t="str">
        <f>IFERROR(VLOOKUP(H1815,Lijsten!$H$1:$I$100,2,0),"")</f>
        <v/>
      </c>
      <c r="N1815" s="323" t="str">
        <f ca="1">IFERROR(IF(VLOOKUP(F1815,Kostentypen!$A$3:$E$21,3,0)=0,"",IF(OR(F1815="Arbeidskosten",F1815="Vergoeding"),VLOOKUP(G1815,Tb_KostenTypen[],2,0),VLOOKUP(F1815,Kostentypen!$A$3:$E$20,3,0))),"")</f>
        <v/>
      </c>
      <c r="O1815" s="324"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4"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3"/>
      <c r="R1815" s="363"/>
      <c r="S1815" s="325"/>
      <c r="T1815" s="325"/>
      <c r="U1815" s="317" t="str" cm="1">
        <f t="array" aca="1" ref="U1815" ca="1">IFERROR(IF(AA1815&lt;&gt;"ja",_xlfn.IFNA(_xlfn.IFS(AND(O1815&lt;&gt;"",F1815&lt;&gt;"",RIGHT($N1815,6)="tarief",F1815="Vergoeding"),SUM(O1815)*FLOOR(SUM(Q1815),0.0001),AND(O1815&lt;&gt;"",F1815&lt;&gt;"",RIGHT($N1815,6)="tarief"),SUM(O1815)*FLOOR(SUM(Q1815),0.01),S1815&gt;0,IF(F1815&lt;&gt;"",FLOOR(SUM(S1815),0.01),"")),""),""),"")</f>
        <v/>
      </c>
      <c r="V1815" s="317" t="str" cm="1">
        <f t="array" aca="1" ref="V1815" ca="1">IFERROR(IF(AA1815&lt;&gt;"ja",_xlfn.IFNA(_xlfn.IFS(AND(P1815&lt;&gt;"",R1815&lt;&gt;"",RIGHT($N1815,6)="tarief",F1815="Vergoeding"),SUM(P1815)*FLOOR(SUM(R1815),0.0001),AND(P1815&lt;&gt;"",R1815&lt;&gt;"",RIGHT($N1815,6)="tarief"),P1815*FLOOR(R1815,0.01),T1815&gt;0,FLOOR(SUM(T1815),0.01)),""),""),"")</f>
        <v/>
      </c>
      <c r="W1815" s="317" t="str" cm="1">
        <f t="array" aca="1" ref="W1815" ca="1">IFERROR(_xlfn.IFS(OR(F1815="",LEFT(Methode_Keuze,4)="Geen",Methode_Keuze=""),"",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17" t="str" cm="1">
        <f t="array" aca="1" ref="X1815" ca="1">IFERROR(_xlfn.IFS(OR(F1815="",LEFT(Methode_Keuze,4)="Geen",Methode_Keuze=""),"",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26"/>
      <c r="Z1815" s="319"/>
      <c r="AA1815" s="32" t="str" cm="1">
        <f t="array" ref="AA1815">IFERROR(IF(INDEX(SubsidieTabel!$AD$1:$AG$12,MATCH($F1815,SubsidieTabel!$AD$1:$AD$12,0),IFERROR(MATCH(Methode_Keuze,SubsidieTabel!$AD$1:$AG$1,0),2))&lt;&gt;1=TRUE,"ja",""),"")</f>
        <v/>
      </c>
    </row>
    <row r="1816" spans="1:27" x14ac:dyDescent="0.25">
      <c r="A1816" s="320"/>
      <c r="B1816" s="321" t="str">
        <f>IF(A1816&lt;&gt;"",_xlfn.MAXIFS($B$1:B1815,$A$1:A1815,A1816)+1,"")</f>
        <v/>
      </c>
      <c r="C1816" s="299"/>
      <c r="D1816" s="299"/>
      <c r="E1816" s="299"/>
      <c r="F1816" s="299"/>
      <c r="G1816" s="330"/>
      <c r="H1816" s="328"/>
      <c r="I1816" s="329"/>
      <c r="J1816" s="329"/>
      <c r="K1816" s="322"/>
      <c r="L1816" s="322"/>
      <c r="M1816" s="323" t="str">
        <f>IFERROR(VLOOKUP(H1816,Lijsten!$H$1:$I$100,2,0),"")</f>
        <v/>
      </c>
      <c r="N1816" s="323" t="str">
        <f ca="1">IFERROR(IF(VLOOKUP(F1816,Kostentypen!$A$3:$E$21,3,0)=0,"",IF(OR(F1816="Arbeidskosten",F1816="Vergoeding"),VLOOKUP(G1816,Tb_KostenTypen[],2,0),VLOOKUP(F1816,Kostentypen!$A$3:$E$20,3,0))),"")</f>
        <v/>
      </c>
      <c r="O1816" s="324"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4"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3"/>
      <c r="R1816" s="363"/>
      <c r="S1816" s="325"/>
      <c r="T1816" s="325"/>
      <c r="U1816" s="317" t="str" cm="1">
        <f t="array" aca="1" ref="U1816" ca="1">IFERROR(IF(AA1816&lt;&gt;"ja",_xlfn.IFNA(_xlfn.IFS(AND(O1816&lt;&gt;"",F1816&lt;&gt;"",RIGHT($N1816,6)="tarief",F1816="Vergoeding"),SUM(O1816)*FLOOR(SUM(Q1816),0.0001),AND(O1816&lt;&gt;"",F1816&lt;&gt;"",RIGHT($N1816,6)="tarief"),SUM(O1816)*FLOOR(SUM(Q1816),0.01),S1816&gt;0,IF(F1816&lt;&gt;"",FLOOR(SUM(S1816),0.01),"")),""),""),"")</f>
        <v/>
      </c>
      <c r="V1816" s="317" t="str" cm="1">
        <f t="array" aca="1" ref="V1816" ca="1">IFERROR(IF(AA1816&lt;&gt;"ja",_xlfn.IFNA(_xlfn.IFS(AND(P1816&lt;&gt;"",R1816&lt;&gt;"",RIGHT($N1816,6)="tarief",F1816="Vergoeding"),SUM(P1816)*FLOOR(SUM(R1816),0.0001),AND(P1816&lt;&gt;"",R1816&lt;&gt;"",RIGHT($N1816,6)="tarief"),P1816*FLOOR(R1816,0.01),T1816&gt;0,FLOOR(SUM(T1816),0.01)),""),""),"")</f>
        <v/>
      </c>
      <c r="W1816" s="317" t="str" cm="1">
        <f t="array" aca="1" ref="W1816" ca="1">IFERROR(_xlfn.IFS(OR(F1816="",LEFT(Methode_Keuze,4)="Geen",Methode_Keuze=""),"",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17" t="str" cm="1">
        <f t="array" aca="1" ref="X1816" ca="1">IFERROR(_xlfn.IFS(OR(F1816="",LEFT(Methode_Keuze,4)="Geen",Methode_Keuze=""),"",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26"/>
      <c r="Z1816" s="319"/>
      <c r="AA1816" s="32" t="str" cm="1">
        <f t="array" ref="AA1816">IFERROR(IF(INDEX(SubsidieTabel!$AD$1:$AG$12,MATCH($F1816,SubsidieTabel!$AD$1:$AD$12,0),IFERROR(MATCH(Methode_Keuze,SubsidieTabel!$AD$1:$AG$1,0),2))&lt;&gt;1=TRUE,"ja",""),"")</f>
        <v/>
      </c>
    </row>
    <row r="1817" spans="1:27" x14ac:dyDescent="0.25">
      <c r="A1817" s="320"/>
      <c r="B1817" s="321" t="str">
        <f>IF(A1817&lt;&gt;"",_xlfn.MAXIFS($B$1:B1816,$A$1:A1816,A1817)+1,"")</f>
        <v/>
      </c>
      <c r="C1817" s="299"/>
      <c r="D1817" s="299"/>
      <c r="E1817" s="299"/>
      <c r="F1817" s="299"/>
      <c r="G1817" s="330"/>
      <c r="H1817" s="328"/>
      <c r="I1817" s="329"/>
      <c r="J1817" s="329"/>
      <c r="K1817" s="322"/>
      <c r="L1817" s="322"/>
      <c r="M1817" s="323" t="str">
        <f>IFERROR(VLOOKUP(H1817,Lijsten!$H$1:$I$100,2,0),"")</f>
        <v/>
      </c>
      <c r="N1817" s="323" t="str">
        <f ca="1">IFERROR(IF(VLOOKUP(F1817,Kostentypen!$A$3:$E$21,3,0)=0,"",IF(OR(F1817="Arbeidskosten",F1817="Vergoeding"),VLOOKUP(G1817,Tb_KostenTypen[],2,0),VLOOKUP(F1817,Kostentypen!$A$3:$E$20,3,0))),"")</f>
        <v/>
      </c>
      <c r="O1817" s="324"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4"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3"/>
      <c r="R1817" s="363"/>
      <c r="S1817" s="325"/>
      <c r="T1817" s="325"/>
      <c r="U1817" s="317" t="str" cm="1">
        <f t="array" aca="1" ref="U1817" ca="1">IFERROR(IF(AA1817&lt;&gt;"ja",_xlfn.IFNA(_xlfn.IFS(AND(O1817&lt;&gt;"",F1817&lt;&gt;"",RIGHT($N1817,6)="tarief",F1817="Vergoeding"),SUM(O1817)*FLOOR(SUM(Q1817),0.0001),AND(O1817&lt;&gt;"",F1817&lt;&gt;"",RIGHT($N1817,6)="tarief"),SUM(O1817)*FLOOR(SUM(Q1817),0.01),S1817&gt;0,IF(F1817&lt;&gt;"",FLOOR(SUM(S1817),0.01),"")),""),""),"")</f>
        <v/>
      </c>
      <c r="V1817" s="317" t="str" cm="1">
        <f t="array" aca="1" ref="V1817" ca="1">IFERROR(IF(AA1817&lt;&gt;"ja",_xlfn.IFNA(_xlfn.IFS(AND(P1817&lt;&gt;"",R1817&lt;&gt;"",RIGHT($N1817,6)="tarief",F1817="Vergoeding"),SUM(P1817)*FLOOR(SUM(R1817),0.0001),AND(P1817&lt;&gt;"",R1817&lt;&gt;"",RIGHT($N1817,6)="tarief"),P1817*FLOOR(R1817,0.01),T1817&gt;0,FLOOR(SUM(T1817),0.01)),""),""),"")</f>
        <v/>
      </c>
      <c r="W1817" s="317" t="str" cm="1">
        <f t="array" aca="1" ref="W1817" ca="1">IFERROR(_xlfn.IFS(OR(F1817="",LEFT(Methode_Keuze,4)="Geen",Methode_Keuze=""),"",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17" t="str" cm="1">
        <f t="array" aca="1" ref="X1817" ca="1">IFERROR(_xlfn.IFS(OR(F1817="",LEFT(Methode_Keuze,4)="Geen",Methode_Keuze=""),"",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26"/>
      <c r="Z1817" s="319"/>
      <c r="AA1817" s="32" t="str" cm="1">
        <f t="array" ref="AA1817">IFERROR(IF(INDEX(SubsidieTabel!$AD$1:$AG$12,MATCH($F1817,SubsidieTabel!$AD$1:$AD$12,0),IFERROR(MATCH(Methode_Keuze,SubsidieTabel!$AD$1:$AG$1,0),2))&lt;&gt;1=TRUE,"ja",""),"")</f>
        <v/>
      </c>
    </row>
    <row r="1818" spans="1:27" x14ac:dyDescent="0.25">
      <c r="A1818" s="320"/>
      <c r="B1818" s="321" t="str">
        <f>IF(A1818&lt;&gt;"",_xlfn.MAXIFS($B$1:B1817,$A$1:A1817,A1818)+1,"")</f>
        <v/>
      </c>
      <c r="C1818" s="299"/>
      <c r="D1818" s="299"/>
      <c r="E1818" s="299"/>
      <c r="F1818" s="299"/>
      <c r="G1818" s="330"/>
      <c r="H1818" s="328"/>
      <c r="I1818" s="329"/>
      <c r="J1818" s="329"/>
      <c r="K1818" s="322"/>
      <c r="L1818" s="322"/>
      <c r="M1818" s="323" t="str">
        <f>IFERROR(VLOOKUP(H1818,Lijsten!$H$1:$I$100,2,0),"")</f>
        <v/>
      </c>
      <c r="N1818" s="323" t="str">
        <f ca="1">IFERROR(IF(VLOOKUP(F1818,Kostentypen!$A$3:$E$21,3,0)=0,"",IF(OR(F1818="Arbeidskosten",F1818="Vergoeding"),VLOOKUP(G1818,Tb_KostenTypen[],2,0),VLOOKUP(F1818,Kostentypen!$A$3:$E$20,3,0))),"")</f>
        <v/>
      </c>
      <c r="O1818" s="324"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4"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3"/>
      <c r="R1818" s="363"/>
      <c r="S1818" s="325"/>
      <c r="T1818" s="325"/>
      <c r="U1818" s="317" t="str" cm="1">
        <f t="array" aca="1" ref="U1818" ca="1">IFERROR(IF(AA1818&lt;&gt;"ja",_xlfn.IFNA(_xlfn.IFS(AND(O1818&lt;&gt;"",F1818&lt;&gt;"",RIGHT($N1818,6)="tarief",F1818="Vergoeding"),SUM(O1818)*FLOOR(SUM(Q1818),0.0001),AND(O1818&lt;&gt;"",F1818&lt;&gt;"",RIGHT($N1818,6)="tarief"),SUM(O1818)*FLOOR(SUM(Q1818),0.01),S1818&gt;0,IF(F1818&lt;&gt;"",FLOOR(SUM(S1818),0.01),"")),""),""),"")</f>
        <v/>
      </c>
      <c r="V1818" s="317" t="str" cm="1">
        <f t="array" aca="1" ref="V1818" ca="1">IFERROR(IF(AA1818&lt;&gt;"ja",_xlfn.IFNA(_xlfn.IFS(AND(P1818&lt;&gt;"",R1818&lt;&gt;"",RIGHT($N1818,6)="tarief",F1818="Vergoeding"),SUM(P1818)*FLOOR(SUM(R1818),0.0001),AND(P1818&lt;&gt;"",R1818&lt;&gt;"",RIGHT($N1818,6)="tarief"),P1818*FLOOR(R1818,0.01),T1818&gt;0,FLOOR(SUM(T1818),0.01)),""),""),"")</f>
        <v/>
      </c>
      <c r="W1818" s="317" t="str" cm="1">
        <f t="array" aca="1" ref="W1818" ca="1">IFERROR(_xlfn.IFS(OR(F1818="",LEFT(Methode_Keuze,4)="Geen",Methode_Keuze=""),"",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17" t="str" cm="1">
        <f t="array" aca="1" ref="X1818" ca="1">IFERROR(_xlfn.IFS(OR(F1818="",LEFT(Methode_Keuze,4)="Geen",Methode_Keuze=""),"",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26"/>
      <c r="Z1818" s="319"/>
      <c r="AA1818" s="32" t="str" cm="1">
        <f t="array" ref="AA1818">IFERROR(IF(INDEX(SubsidieTabel!$AD$1:$AG$12,MATCH($F1818,SubsidieTabel!$AD$1:$AD$12,0),IFERROR(MATCH(Methode_Keuze,SubsidieTabel!$AD$1:$AG$1,0),2))&lt;&gt;1=TRUE,"ja",""),"")</f>
        <v/>
      </c>
    </row>
    <row r="1819" spans="1:27" x14ac:dyDescent="0.25">
      <c r="A1819" s="320"/>
      <c r="B1819" s="321" t="str">
        <f>IF(A1819&lt;&gt;"",_xlfn.MAXIFS($B$1:B1818,$A$1:A1818,A1819)+1,"")</f>
        <v/>
      </c>
      <c r="C1819" s="299"/>
      <c r="D1819" s="299"/>
      <c r="E1819" s="299"/>
      <c r="F1819" s="299"/>
      <c r="G1819" s="330"/>
      <c r="H1819" s="328"/>
      <c r="I1819" s="329"/>
      <c r="J1819" s="329"/>
      <c r="K1819" s="322"/>
      <c r="L1819" s="322"/>
      <c r="M1819" s="323" t="str">
        <f>IFERROR(VLOOKUP(H1819,Lijsten!$H$1:$I$100,2,0),"")</f>
        <v/>
      </c>
      <c r="N1819" s="323" t="str">
        <f ca="1">IFERROR(IF(VLOOKUP(F1819,Kostentypen!$A$3:$E$21,3,0)=0,"",IF(OR(F1819="Arbeidskosten",F1819="Vergoeding"),VLOOKUP(G1819,Tb_KostenTypen[],2,0),VLOOKUP(F1819,Kostentypen!$A$3:$E$20,3,0))),"")</f>
        <v/>
      </c>
      <c r="O1819" s="324"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4"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3"/>
      <c r="R1819" s="363"/>
      <c r="S1819" s="325"/>
      <c r="T1819" s="325"/>
      <c r="U1819" s="317" t="str" cm="1">
        <f t="array" aca="1" ref="U1819" ca="1">IFERROR(IF(AA1819&lt;&gt;"ja",_xlfn.IFNA(_xlfn.IFS(AND(O1819&lt;&gt;"",F1819&lt;&gt;"",RIGHT($N1819,6)="tarief",F1819="Vergoeding"),SUM(O1819)*FLOOR(SUM(Q1819),0.0001),AND(O1819&lt;&gt;"",F1819&lt;&gt;"",RIGHT($N1819,6)="tarief"),SUM(O1819)*FLOOR(SUM(Q1819),0.01),S1819&gt;0,IF(F1819&lt;&gt;"",FLOOR(SUM(S1819),0.01),"")),""),""),"")</f>
        <v/>
      </c>
      <c r="V1819" s="317" t="str" cm="1">
        <f t="array" aca="1" ref="V1819" ca="1">IFERROR(IF(AA1819&lt;&gt;"ja",_xlfn.IFNA(_xlfn.IFS(AND(P1819&lt;&gt;"",R1819&lt;&gt;"",RIGHT($N1819,6)="tarief",F1819="Vergoeding"),SUM(P1819)*FLOOR(SUM(R1819),0.0001),AND(P1819&lt;&gt;"",R1819&lt;&gt;"",RIGHT($N1819,6)="tarief"),P1819*FLOOR(R1819,0.01),T1819&gt;0,FLOOR(SUM(T1819),0.01)),""),""),"")</f>
        <v/>
      </c>
      <c r="W1819" s="317" t="str" cm="1">
        <f t="array" aca="1" ref="W1819" ca="1">IFERROR(_xlfn.IFS(OR(F1819="",LEFT(Methode_Keuze,4)="Geen",Methode_Keuze=""),"",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17" t="str" cm="1">
        <f t="array" aca="1" ref="X1819" ca="1">IFERROR(_xlfn.IFS(OR(F1819="",LEFT(Methode_Keuze,4)="Geen",Methode_Keuze=""),"",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26"/>
      <c r="Z1819" s="319"/>
      <c r="AA1819" s="32" t="str" cm="1">
        <f t="array" ref="AA1819">IFERROR(IF(INDEX(SubsidieTabel!$AD$1:$AG$12,MATCH($F1819,SubsidieTabel!$AD$1:$AD$12,0),IFERROR(MATCH(Methode_Keuze,SubsidieTabel!$AD$1:$AG$1,0),2))&lt;&gt;1=TRUE,"ja",""),"")</f>
        <v/>
      </c>
    </row>
    <row r="1820" spans="1:27" x14ac:dyDescent="0.25">
      <c r="A1820" s="320"/>
      <c r="B1820" s="321" t="str">
        <f>IF(A1820&lt;&gt;"",_xlfn.MAXIFS($B$1:B1819,$A$1:A1819,A1820)+1,"")</f>
        <v/>
      </c>
      <c r="C1820" s="299"/>
      <c r="D1820" s="299"/>
      <c r="E1820" s="299"/>
      <c r="F1820" s="299"/>
      <c r="G1820" s="330"/>
      <c r="H1820" s="328"/>
      <c r="I1820" s="329"/>
      <c r="J1820" s="329"/>
      <c r="K1820" s="322"/>
      <c r="L1820" s="322"/>
      <c r="M1820" s="323" t="str">
        <f>IFERROR(VLOOKUP(H1820,Lijsten!$H$1:$I$100,2,0),"")</f>
        <v/>
      </c>
      <c r="N1820" s="323" t="str">
        <f ca="1">IFERROR(IF(VLOOKUP(F1820,Kostentypen!$A$3:$E$21,3,0)=0,"",IF(OR(F1820="Arbeidskosten",F1820="Vergoeding"),VLOOKUP(G1820,Tb_KostenTypen[],2,0),VLOOKUP(F1820,Kostentypen!$A$3:$E$20,3,0))),"")</f>
        <v/>
      </c>
      <c r="O1820" s="324"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4"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3"/>
      <c r="R1820" s="363"/>
      <c r="S1820" s="325"/>
      <c r="T1820" s="325"/>
      <c r="U1820" s="317" t="str" cm="1">
        <f t="array" aca="1" ref="U1820" ca="1">IFERROR(IF(AA1820&lt;&gt;"ja",_xlfn.IFNA(_xlfn.IFS(AND(O1820&lt;&gt;"",F1820&lt;&gt;"",RIGHT($N1820,6)="tarief",F1820="Vergoeding"),SUM(O1820)*FLOOR(SUM(Q1820),0.0001),AND(O1820&lt;&gt;"",F1820&lt;&gt;"",RIGHT($N1820,6)="tarief"),SUM(O1820)*FLOOR(SUM(Q1820),0.01),S1820&gt;0,IF(F1820&lt;&gt;"",FLOOR(SUM(S1820),0.01),"")),""),""),"")</f>
        <v/>
      </c>
      <c r="V1820" s="317" t="str" cm="1">
        <f t="array" aca="1" ref="V1820" ca="1">IFERROR(IF(AA1820&lt;&gt;"ja",_xlfn.IFNA(_xlfn.IFS(AND(P1820&lt;&gt;"",R1820&lt;&gt;"",RIGHT($N1820,6)="tarief",F1820="Vergoeding"),SUM(P1820)*FLOOR(SUM(R1820),0.0001),AND(P1820&lt;&gt;"",R1820&lt;&gt;"",RIGHT($N1820,6)="tarief"),P1820*FLOOR(R1820,0.01),T1820&gt;0,FLOOR(SUM(T1820),0.01)),""),""),"")</f>
        <v/>
      </c>
      <c r="W1820" s="317" t="str" cm="1">
        <f t="array" aca="1" ref="W1820" ca="1">IFERROR(_xlfn.IFS(OR(F1820="",LEFT(Methode_Keuze,4)="Geen",Methode_Keuze=""),"",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17" t="str" cm="1">
        <f t="array" aca="1" ref="X1820" ca="1">IFERROR(_xlfn.IFS(OR(F1820="",LEFT(Methode_Keuze,4)="Geen",Methode_Keuze=""),"",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26"/>
      <c r="Z1820" s="319"/>
      <c r="AA1820" s="32" t="str" cm="1">
        <f t="array" ref="AA1820">IFERROR(IF(INDEX(SubsidieTabel!$AD$1:$AG$12,MATCH($F1820,SubsidieTabel!$AD$1:$AD$12,0),IFERROR(MATCH(Methode_Keuze,SubsidieTabel!$AD$1:$AG$1,0),2))&lt;&gt;1=TRUE,"ja",""),"")</f>
        <v/>
      </c>
    </row>
    <row r="1821" spans="1:27" x14ac:dyDescent="0.25">
      <c r="A1821" s="320"/>
      <c r="B1821" s="321" t="str">
        <f>IF(A1821&lt;&gt;"",_xlfn.MAXIFS($B$1:B1820,$A$1:A1820,A1821)+1,"")</f>
        <v/>
      </c>
      <c r="C1821" s="299"/>
      <c r="D1821" s="299"/>
      <c r="E1821" s="299"/>
      <c r="F1821" s="299"/>
      <c r="G1821" s="330"/>
      <c r="H1821" s="328"/>
      <c r="I1821" s="329"/>
      <c r="J1821" s="329"/>
      <c r="K1821" s="322"/>
      <c r="L1821" s="322"/>
      <c r="M1821" s="323" t="str">
        <f>IFERROR(VLOOKUP(H1821,Lijsten!$H$1:$I$100,2,0),"")</f>
        <v/>
      </c>
      <c r="N1821" s="323" t="str">
        <f ca="1">IFERROR(IF(VLOOKUP(F1821,Kostentypen!$A$3:$E$21,3,0)=0,"",IF(OR(F1821="Arbeidskosten",F1821="Vergoeding"),VLOOKUP(G1821,Tb_KostenTypen[],2,0),VLOOKUP(F1821,Kostentypen!$A$3:$E$20,3,0))),"")</f>
        <v/>
      </c>
      <c r="O1821" s="324"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4"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3"/>
      <c r="R1821" s="363"/>
      <c r="S1821" s="325"/>
      <c r="T1821" s="325"/>
      <c r="U1821" s="317" t="str" cm="1">
        <f t="array" aca="1" ref="U1821" ca="1">IFERROR(IF(AA1821&lt;&gt;"ja",_xlfn.IFNA(_xlfn.IFS(AND(O1821&lt;&gt;"",F1821&lt;&gt;"",RIGHT($N1821,6)="tarief",F1821="Vergoeding"),SUM(O1821)*FLOOR(SUM(Q1821),0.0001),AND(O1821&lt;&gt;"",F1821&lt;&gt;"",RIGHT($N1821,6)="tarief"),SUM(O1821)*FLOOR(SUM(Q1821),0.01),S1821&gt;0,IF(F1821&lt;&gt;"",FLOOR(SUM(S1821),0.01),"")),""),""),"")</f>
        <v/>
      </c>
      <c r="V1821" s="317" t="str" cm="1">
        <f t="array" aca="1" ref="V1821" ca="1">IFERROR(IF(AA1821&lt;&gt;"ja",_xlfn.IFNA(_xlfn.IFS(AND(P1821&lt;&gt;"",R1821&lt;&gt;"",RIGHT($N1821,6)="tarief",F1821="Vergoeding"),SUM(P1821)*FLOOR(SUM(R1821),0.0001),AND(P1821&lt;&gt;"",R1821&lt;&gt;"",RIGHT($N1821,6)="tarief"),P1821*FLOOR(R1821,0.01),T1821&gt;0,FLOOR(SUM(T1821),0.01)),""),""),"")</f>
        <v/>
      </c>
      <c r="W1821" s="317" t="str" cm="1">
        <f t="array" aca="1" ref="W1821" ca="1">IFERROR(_xlfn.IFS(OR(F1821="",LEFT(Methode_Keuze,4)="Geen",Methode_Keuze=""),"",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17" t="str" cm="1">
        <f t="array" aca="1" ref="X1821" ca="1">IFERROR(_xlfn.IFS(OR(F1821="",LEFT(Methode_Keuze,4)="Geen",Methode_Keuze=""),"",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26"/>
      <c r="Z1821" s="319"/>
      <c r="AA1821" s="32" t="str" cm="1">
        <f t="array" ref="AA1821">IFERROR(IF(INDEX(SubsidieTabel!$AD$1:$AG$12,MATCH($F1821,SubsidieTabel!$AD$1:$AD$12,0),IFERROR(MATCH(Methode_Keuze,SubsidieTabel!$AD$1:$AG$1,0),2))&lt;&gt;1=TRUE,"ja",""),"")</f>
        <v/>
      </c>
    </row>
    <row r="1822" spans="1:27" x14ac:dyDescent="0.25">
      <c r="A1822" s="320"/>
      <c r="B1822" s="321" t="str">
        <f>IF(A1822&lt;&gt;"",_xlfn.MAXIFS($B$1:B1821,$A$1:A1821,A1822)+1,"")</f>
        <v/>
      </c>
      <c r="C1822" s="299"/>
      <c r="D1822" s="299"/>
      <c r="E1822" s="299"/>
      <c r="F1822" s="299"/>
      <c r="G1822" s="330"/>
      <c r="H1822" s="328"/>
      <c r="I1822" s="329"/>
      <c r="J1822" s="329"/>
      <c r="K1822" s="322"/>
      <c r="L1822" s="322"/>
      <c r="M1822" s="323" t="str">
        <f>IFERROR(VLOOKUP(H1822,Lijsten!$H$1:$I$100,2,0),"")</f>
        <v/>
      </c>
      <c r="N1822" s="323" t="str">
        <f ca="1">IFERROR(IF(VLOOKUP(F1822,Kostentypen!$A$3:$E$21,3,0)=0,"",IF(OR(F1822="Arbeidskosten",F1822="Vergoeding"),VLOOKUP(G1822,Tb_KostenTypen[],2,0),VLOOKUP(F1822,Kostentypen!$A$3:$E$20,3,0))),"")</f>
        <v/>
      </c>
      <c r="O1822" s="324"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4"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3"/>
      <c r="R1822" s="363"/>
      <c r="S1822" s="325"/>
      <c r="T1822" s="325"/>
      <c r="U1822" s="317" t="str" cm="1">
        <f t="array" aca="1" ref="U1822" ca="1">IFERROR(IF(AA1822&lt;&gt;"ja",_xlfn.IFNA(_xlfn.IFS(AND(O1822&lt;&gt;"",F1822&lt;&gt;"",RIGHT($N1822,6)="tarief",F1822="Vergoeding"),SUM(O1822)*FLOOR(SUM(Q1822),0.0001),AND(O1822&lt;&gt;"",F1822&lt;&gt;"",RIGHT($N1822,6)="tarief"),SUM(O1822)*FLOOR(SUM(Q1822),0.01),S1822&gt;0,IF(F1822&lt;&gt;"",FLOOR(SUM(S1822),0.01),"")),""),""),"")</f>
        <v/>
      </c>
      <c r="V1822" s="317" t="str" cm="1">
        <f t="array" aca="1" ref="V1822" ca="1">IFERROR(IF(AA1822&lt;&gt;"ja",_xlfn.IFNA(_xlfn.IFS(AND(P1822&lt;&gt;"",R1822&lt;&gt;"",RIGHT($N1822,6)="tarief",F1822="Vergoeding"),SUM(P1822)*FLOOR(SUM(R1822),0.0001),AND(P1822&lt;&gt;"",R1822&lt;&gt;"",RIGHT($N1822,6)="tarief"),P1822*FLOOR(R1822,0.01),T1822&gt;0,FLOOR(SUM(T1822),0.01)),""),""),"")</f>
        <v/>
      </c>
      <c r="W1822" s="317" t="str" cm="1">
        <f t="array" aca="1" ref="W1822" ca="1">IFERROR(_xlfn.IFS(OR(F1822="",LEFT(Methode_Keuze,4)="Geen",Methode_Keuze=""),"",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17" t="str" cm="1">
        <f t="array" aca="1" ref="X1822" ca="1">IFERROR(_xlfn.IFS(OR(F1822="",LEFT(Methode_Keuze,4)="Geen",Methode_Keuze=""),"",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26"/>
      <c r="Z1822" s="319"/>
      <c r="AA1822" s="32" t="str" cm="1">
        <f t="array" ref="AA1822">IFERROR(IF(INDEX(SubsidieTabel!$AD$1:$AG$12,MATCH($F1822,SubsidieTabel!$AD$1:$AD$12,0),IFERROR(MATCH(Methode_Keuze,SubsidieTabel!$AD$1:$AG$1,0),2))&lt;&gt;1=TRUE,"ja",""),"")</f>
        <v/>
      </c>
    </row>
    <row r="1823" spans="1:27" x14ac:dyDescent="0.25">
      <c r="A1823" s="320"/>
      <c r="B1823" s="321" t="str">
        <f>IF(A1823&lt;&gt;"",_xlfn.MAXIFS($B$1:B1822,$A$1:A1822,A1823)+1,"")</f>
        <v/>
      </c>
      <c r="C1823" s="299"/>
      <c r="D1823" s="299"/>
      <c r="E1823" s="299"/>
      <c r="F1823" s="299"/>
      <c r="G1823" s="330"/>
      <c r="H1823" s="328"/>
      <c r="I1823" s="329"/>
      <c r="J1823" s="329"/>
      <c r="K1823" s="322"/>
      <c r="L1823" s="322"/>
      <c r="M1823" s="323" t="str">
        <f>IFERROR(VLOOKUP(H1823,Lijsten!$H$1:$I$100,2,0),"")</f>
        <v/>
      </c>
      <c r="N1823" s="323" t="str">
        <f ca="1">IFERROR(IF(VLOOKUP(F1823,Kostentypen!$A$3:$E$21,3,0)=0,"",IF(OR(F1823="Arbeidskosten",F1823="Vergoeding"),VLOOKUP(G1823,Tb_KostenTypen[],2,0),VLOOKUP(F1823,Kostentypen!$A$3:$E$20,3,0))),"")</f>
        <v/>
      </c>
      <c r="O1823" s="324"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4"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3"/>
      <c r="R1823" s="363"/>
      <c r="S1823" s="325"/>
      <c r="T1823" s="325"/>
      <c r="U1823" s="317" t="str" cm="1">
        <f t="array" aca="1" ref="U1823" ca="1">IFERROR(IF(AA1823&lt;&gt;"ja",_xlfn.IFNA(_xlfn.IFS(AND(O1823&lt;&gt;"",F1823&lt;&gt;"",RIGHT($N1823,6)="tarief",F1823="Vergoeding"),SUM(O1823)*FLOOR(SUM(Q1823),0.0001),AND(O1823&lt;&gt;"",F1823&lt;&gt;"",RIGHT($N1823,6)="tarief"),SUM(O1823)*FLOOR(SUM(Q1823),0.01),S1823&gt;0,IF(F1823&lt;&gt;"",FLOOR(SUM(S1823),0.01),"")),""),""),"")</f>
        <v/>
      </c>
      <c r="V1823" s="317" t="str" cm="1">
        <f t="array" aca="1" ref="V1823" ca="1">IFERROR(IF(AA1823&lt;&gt;"ja",_xlfn.IFNA(_xlfn.IFS(AND(P1823&lt;&gt;"",R1823&lt;&gt;"",RIGHT($N1823,6)="tarief",F1823="Vergoeding"),SUM(P1823)*FLOOR(SUM(R1823),0.0001),AND(P1823&lt;&gt;"",R1823&lt;&gt;"",RIGHT($N1823,6)="tarief"),P1823*FLOOR(R1823,0.01),T1823&gt;0,FLOOR(SUM(T1823),0.01)),""),""),"")</f>
        <v/>
      </c>
      <c r="W1823" s="317" t="str" cm="1">
        <f t="array" aca="1" ref="W1823" ca="1">IFERROR(_xlfn.IFS(OR(F1823="",LEFT(Methode_Keuze,4)="Geen",Methode_Keuze=""),"",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17" t="str" cm="1">
        <f t="array" aca="1" ref="X1823" ca="1">IFERROR(_xlfn.IFS(OR(F1823="",LEFT(Methode_Keuze,4)="Geen",Methode_Keuze=""),"",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26"/>
      <c r="Z1823" s="319"/>
      <c r="AA1823" s="32" t="str" cm="1">
        <f t="array" ref="AA1823">IFERROR(IF(INDEX(SubsidieTabel!$AD$1:$AG$12,MATCH($F1823,SubsidieTabel!$AD$1:$AD$12,0),IFERROR(MATCH(Methode_Keuze,SubsidieTabel!$AD$1:$AG$1,0),2))&lt;&gt;1=TRUE,"ja",""),"")</f>
        <v/>
      </c>
    </row>
    <row r="1824" spans="1:27" x14ac:dyDescent="0.25">
      <c r="A1824" s="320"/>
      <c r="B1824" s="321" t="str">
        <f>IF(A1824&lt;&gt;"",_xlfn.MAXIFS($B$1:B1823,$A$1:A1823,A1824)+1,"")</f>
        <v/>
      </c>
      <c r="C1824" s="299"/>
      <c r="D1824" s="299"/>
      <c r="E1824" s="299"/>
      <c r="F1824" s="299"/>
      <c r="G1824" s="330"/>
      <c r="H1824" s="328"/>
      <c r="I1824" s="329"/>
      <c r="J1824" s="329"/>
      <c r="K1824" s="322"/>
      <c r="L1824" s="322"/>
      <c r="M1824" s="323" t="str">
        <f>IFERROR(VLOOKUP(H1824,Lijsten!$H$1:$I$100,2,0),"")</f>
        <v/>
      </c>
      <c r="N1824" s="323" t="str">
        <f ca="1">IFERROR(IF(VLOOKUP(F1824,Kostentypen!$A$3:$E$21,3,0)=0,"",IF(OR(F1824="Arbeidskosten",F1824="Vergoeding"),VLOOKUP(G1824,Tb_KostenTypen[],2,0),VLOOKUP(F1824,Kostentypen!$A$3:$E$20,3,0))),"")</f>
        <v/>
      </c>
      <c r="O1824" s="324"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4"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3"/>
      <c r="R1824" s="363"/>
      <c r="S1824" s="325"/>
      <c r="T1824" s="325"/>
      <c r="U1824" s="317" t="str" cm="1">
        <f t="array" aca="1" ref="U1824" ca="1">IFERROR(IF(AA1824&lt;&gt;"ja",_xlfn.IFNA(_xlfn.IFS(AND(O1824&lt;&gt;"",F1824&lt;&gt;"",RIGHT($N1824,6)="tarief",F1824="Vergoeding"),SUM(O1824)*FLOOR(SUM(Q1824),0.0001),AND(O1824&lt;&gt;"",F1824&lt;&gt;"",RIGHT($N1824,6)="tarief"),SUM(O1824)*FLOOR(SUM(Q1824),0.01),S1824&gt;0,IF(F1824&lt;&gt;"",FLOOR(SUM(S1824),0.01),"")),""),""),"")</f>
        <v/>
      </c>
      <c r="V1824" s="317" t="str" cm="1">
        <f t="array" aca="1" ref="V1824" ca="1">IFERROR(IF(AA1824&lt;&gt;"ja",_xlfn.IFNA(_xlfn.IFS(AND(P1824&lt;&gt;"",R1824&lt;&gt;"",RIGHT($N1824,6)="tarief",F1824="Vergoeding"),SUM(P1824)*FLOOR(SUM(R1824),0.0001),AND(P1824&lt;&gt;"",R1824&lt;&gt;"",RIGHT($N1824,6)="tarief"),P1824*FLOOR(R1824,0.01),T1824&gt;0,FLOOR(SUM(T1824),0.01)),""),""),"")</f>
        <v/>
      </c>
      <c r="W1824" s="317" t="str" cm="1">
        <f t="array" aca="1" ref="W1824" ca="1">IFERROR(_xlfn.IFS(OR(F1824="",LEFT(Methode_Keuze,4)="Geen",Methode_Keuze=""),"",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17" t="str" cm="1">
        <f t="array" aca="1" ref="X1824" ca="1">IFERROR(_xlfn.IFS(OR(F1824="",LEFT(Methode_Keuze,4)="Geen",Methode_Keuze=""),"",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26"/>
      <c r="Z1824" s="319"/>
      <c r="AA1824" s="32" t="str" cm="1">
        <f t="array" ref="AA1824">IFERROR(IF(INDEX(SubsidieTabel!$AD$1:$AG$12,MATCH($F1824,SubsidieTabel!$AD$1:$AD$12,0),IFERROR(MATCH(Methode_Keuze,SubsidieTabel!$AD$1:$AG$1,0),2))&lt;&gt;1=TRUE,"ja",""),"")</f>
        <v/>
      </c>
    </row>
    <row r="1825" spans="1:27" x14ac:dyDescent="0.25">
      <c r="A1825" s="320"/>
      <c r="B1825" s="321" t="str">
        <f>IF(A1825&lt;&gt;"",_xlfn.MAXIFS($B$1:B1824,$A$1:A1824,A1825)+1,"")</f>
        <v/>
      </c>
      <c r="C1825" s="299"/>
      <c r="D1825" s="299"/>
      <c r="E1825" s="299"/>
      <c r="F1825" s="299"/>
      <c r="G1825" s="330"/>
      <c r="H1825" s="328"/>
      <c r="I1825" s="329"/>
      <c r="J1825" s="329"/>
      <c r="K1825" s="322"/>
      <c r="L1825" s="322"/>
      <c r="M1825" s="323" t="str">
        <f>IFERROR(VLOOKUP(H1825,Lijsten!$H$1:$I$100,2,0),"")</f>
        <v/>
      </c>
      <c r="N1825" s="323" t="str">
        <f ca="1">IFERROR(IF(VLOOKUP(F1825,Kostentypen!$A$3:$E$21,3,0)=0,"",IF(OR(F1825="Arbeidskosten",F1825="Vergoeding"),VLOOKUP(G1825,Tb_KostenTypen[],2,0),VLOOKUP(F1825,Kostentypen!$A$3:$E$20,3,0))),"")</f>
        <v/>
      </c>
      <c r="O1825" s="324"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4"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3"/>
      <c r="R1825" s="363"/>
      <c r="S1825" s="325"/>
      <c r="T1825" s="325"/>
      <c r="U1825" s="317" t="str" cm="1">
        <f t="array" aca="1" ref="U1825" ca="1">IFERROR(IF(AA1825&lt;&gt;"ja",_xlfn.IFNA(_xlfn.IFS(AND(O1825&lt;&gt;"",F1825&lt;&gt;"",RIGHT($N1825,6)="tarief",F1825="Vergoeding"),SUM(O1825)*FLOOR(SUM(Q1825),0.0001),AND(O1825&lt;&gt;"",F1825&lt;&gt;"",RIGHT($N1825,6)="tarief"),SUM(O1825)*FLOOR(SUM(Q1825),0.01),S1825&gt;0,IF(F1825&lt;&gt;"",FLOOR(SUM(S1825),0.01),"")),""),""),"")</f>
        <v/>
      </c>
      <c r="V1825" s="317" t="str" cm="1">
        <f t="array" aca="1" ref="V1825" ca="1">IFERROR(IF(AA1825&lt;&gt;"ja",_xlfn.IFNA(_xlfn.IFS(AND(P1825&lt;&gt;"",R1825&lt;&gt;"",RIGHT($N1825,6)="tarief",F1825="Vergoeding"),SUM(P1825)*FLOOR(SUM(R1825),0.0001),AND(P1825&lt;&gt;"",R1825&lt;&gt;"",RIGHT($N1825,6)="tarief"),P1825*FLOOR(R1825,0.01),T1825&gt;0,FLOOR(SUM(T1825),0.01)),""),""),"")</f>
        <v/>
      </c>
      <c r="W1825" s="317" t="str" cm="1">
        <f t="array" aca="1" ref="W1825" ca="1">IFERROR(_xlfn.IFS(OR(F1825="",LEFT(Methode_Keuze,4)="Geen",Methode_Keuze=""),"",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17" t="str" cm="1">
        <f t="array" aca="1" ref="X1825" ca="1">IFERROR(_xlfn.IFS(OR(F1825="",LEFT(Methode_Keuze,4)="Geen",Methode_Keuze=""),"",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26"/>
      <c r="Z1825" s="319"/>
      <c r="AA1825" s="32" t="str" cm="1">
        <f t="array" ref="AA1825">IFERROR(IF(INDEX(SubsidieTabel!$AD$1:$AG$12,MATCH($F1825,SubsidieTabel!$AD$1:$AD$12,0),IFERROR(MATCH(Methode_Keuze,SubsidieTabel!$AD$1:$AG$1,0),2))&lt;&gt;1=TRUE,"ja",""),"")</f>
        <v/>
      </c>
    </row>
    <row r="1826" spans="1:27" x14ac:dyDescent="0.25">
      <c r="A1826" s="320"/>
      <c r="B1826" s="321" t="str">
        <f>IF(A1826&lt;&gt;"",_xlfn.MAXIFS($B$1:B1825,$A$1:A1825,A1826)+1,"")</f>
        <v/>
      </c>
      <c r="C1826" s="299"/>
      <c r="D1826" s="299"/>
      <c r="E1826" s="299"/>
      <c r="F1826" s="299"/>
      <c r="G1826" s="330"/>
      <c r="H1826" s="328"/>
      <c r="I1826" s="329"/>
      <c r="J1826" s="329"/>
      <c r="K1826" s="322"/>
      <c r="L1826" s="322"/>
      <c r="M1826" s="323" t="str">
        <f>IFERROR(VLOOKUP(H1826,Lijsten!$H$1:$I$100,2,0),"")</f>
        <v/>
      </c>
      <c r="N1826" s="323" t="str">
        <f ca="1">IFERROR(IF(VLOOKUP(F1826,Kostentypen!$A$3:$E$21,3,0)=0,"",IF(OR(F1826="Arbeidskosten",F1826="Vergoeding"),VLOOKUP(G1826,Tb_KostenTypen[],2,0),VLOOKUP(F1826,Kostentypen!$A$3:$E$20,3,0))),"")</f>
        <v/>
      </c>
      <c r="O1826" s="324"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4"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3"/>
      <c r="R1826" s="363"/>
      <c r="S1826" s="325"/>
      <c r="T1826" s="325"/>
      <c r="U1826" s="317" t="str" cm="1">
        <f t="array" aca="1" ref="U1826" ca="1">IFERROR(IF(AA1826&lt;&gt;"ja",_xlfn.IFNA(_xlfn.IFS(AND(O1826&lt;&gt;"",F1826&lt;&gt;"",RIGHT($N1826,6)="tarief",F1826="Vergoeding"),SUM(O1826)*FLOOR(SUM(Q1826),0.0001),AND(O1826&lt;&gt;"",F1826&lt;&gt;"",RIGHT($N1826,6)="tarief"),SUM(O1826)*FLOOR(SUM(Q1826),0.01),S1826&gt;0,IF(F1826&lt;&gt;"",FLOOR(SUM(S1826),0.01),"")),""),""),"")</f>
        <v/>
      </c>
      <c r="V1826" s="317" t="str" cm="1">
        <f t="array" aca="1" ref="V1826" ca="1">IFERROR(IF(AA1826&lt;&gt;"ja",_xlfn.IFNA(_xlfn.IFS(AND(P1826&lt;&gt;"",R1826&lt;&gt;"",RIGHT($N1826,6)="tarief",F1826="Vergoeding"),SUM(P1826)*FLOOR(SUM(R1826),0.0001),AND(P1826&lt;&gt;"",R1826&lt;&gt;"",RIGHT($N1826,6)="tarief"),P1826*FLOOR(R1826,0.01),T1826&gt;0,FLOOR(SUM(T1826),0.01)),""),""),"")</f>
        <v/>
      </c>
      <c r="W1826" s="317" t="str" cm="1">
        <f t="array" aca="1" ref="W1826" ca="1">IFERROR(_xlfn.IFS(OR(F1826="",LEFT(Methode_Keuze,4)="Geen",Methode_Keuze=""),"",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17" t="str" cm="1">
        <f t="array" aca="1" ref="X1826" ca="1">IFERROR(_xlfn.IFS(OR(F1826="",LEFT(Methode_Keuze,4)="Geen",Methode_Keuze=""),"",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26"/>
      <c r="Z1826" s="319"/>
      <c r="AA1826" s="32" t="str" cm="1">
        <f t="array" ref="AA1826">IFERROR(IF(INDEX(SubsidieTabel!$AD$1:$AG$12,MATCH($F1826,SubsidieTabel!$AD$1:$AD$12,0),IFERROR(MATCH(Methode_Keuze,SubsidieTabel!$AD$1:$AG$1,0),2))&lt;&gt;1=TRUE,"ja",""),"")</f>
        <v/>
      </c>
    </row>
    <row r="1827" spans="1:27" x14ac:dyDescent="0.25">
      <c r="A1827" s="320"/>
      <c r="B1827" s="321" t="str">
        <f>IF(A1827&lt;&gt;"",_xlfn.MAXIFS($B$1:B1826,$A$1:A1826,A1827)+1,"")</f>
        <v/>
      </c>
      <c r="C1827" s="299"/>
      <c r="D1827" s="299"/>
      <c r="E1827" s="299"/>
      <c r="F1827" s="299"/>
      <c r="G1827" s="330"/>
      <c r="H1827" s="328"/>
      <c r="I1827" s="329"/>
      <c r="J1827" s="329"/>
      <c r="K1827" s="322"/>
      <c r="L1827" s="322"/>
      <c r="M1827" s="323" t="str">
        <f>IFERROR(VLOOKUP(H1827,Lijsten!$H$1:$I$100,2,0),"")</f>
        <v/>
      </c>
      <c r="N1827" s="323" t="str">
        <f ca="1">IFERROR(IF(VLOOKUP(F1827,Kostentypen!$A$3:$E$21,3,0)=0,"",IF(OR(F1827="Arbeidskosten",F1827="Vergoeding"),VLOOKUP(G1827,Tb_KostenTypen[],2,0),VLOOKUP(F1827,Kostentypen!$A$3:$E$20,3,0))),"")</f>
        <v/>
      </c>
      <c r="O1827" s="324"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4"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3"/>
      <c r="R1827" s="363"/>
      <c r="S1827" s="325"/>
      <c r="T1827" s="325"/>
      <c r="U1827" s="317" t="str" cm="1">
        <f t="array" aca="1" ref="U1827" ca="1">IFERROR(IF(AA1827&lt;&gt;"ja",_xlfn.IFNA(_xlfn.IFS(AND(O1827&lt;&gt;"",F1827&lt;&gt;"",RIGHT($N1827,6)="tarief",F1827="Vergoeding"),SUM(O1827)*FLOOR(SUM(Q1827),0.0001),AND(O1827&lt;&gt;"",F1827&lt;&gt;"",RIGHT($N1827,6)="tarief"),SUM(O1827)*FLOOR(SUM(Q1827),0.01),S1827&gt;0,IF(F1827&lt;&gt;"",FLOOR(SUM(S1827),0.01),"")),""),""),"")</f>
        <v/>
      </c>
      <c r="V1827" s="317" t="str" cm="1">
        <f t="array" aca="1" ref="V1827" ca="1">IFERROR(IF(AA1827&lt;&gt;"ja",_xlfn.IFNA(_xlfn.IFS(AND(P1827&lt;&gt;"",R1827&lt;&gt;"",RIGHT($N1827,6)="tarief",F1827="Vergoeding"),SUM(P1827)*FLOOR(SUM(R1827),0.0001),AND(P1827&lt;&gt;"",R1827&lt;&gt;"",RIGHT($N1827,6)="tarief"),P1827*FLOOR(R1827,0.01),T1827&gt;0,FLOOR(SUM(T1827),0.01)),""),""),"")</f>
        <v/>
      </c>
      <c r="W1827" s="317" t="str" cm="1">
        <f t="array" aca="1" ref="W1827" ca="1">IFERROR(_xlfn.IFS(OR(F1827="",LEFT(Methode_Keuze,4)="Geen",Methode_Keuze=""),"",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17" t="str" cm="1">
        <f t="array" aca="1" ref="X1827" ca="1">IFERROR(_xlfn.IFS(OR(F1827="",LEFT(Methode_Keuze,4)="Geen",Methode_Keuze=""),"",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26"/>
      <c r="Z1827" s="319"/>
      <c r="AA1827" s="32" t="str" cm="1">
        <f t="array" ref="AA1827">IFERROR(IF(INDEX(SubsidieTabel!$AD$1:$AG$12,MATCH($F1827,SubsidieTabel!$AD$1:$AD$12,0),IFERROR(MATCH(Methode_Keuze,SubsidieTabel!$AD$1:$AG$1,0),2))&lt;&gt;1=TRUE,"ja",""),"")</f>
        <v/>
      </c>
    </row>
    <row r="1828" spans="1:27" x14ac:dyDescent="0.25">
      <c r="A1828" s="320"/>
      <c r="B1828" s="321" t="str">
        <f>IF(A1828&lt;&gt;"",_xlfn.MAXIFS($B$1:B1827,$A$1:A1827,A1828)+1,"")</f>
        <v/>
      </c>
      <c r="C1828" s="299"/>
      <c r="D1828" s="299"/>
      <c r="E1828" s="299"/>
      <c r="F1828" s="299"/>
      <c r="G1828" s="330"/>
      <c r="H1828" s="328"/>
      <c r="I1828" s="329"/>
      <c r="J1828" s="329"/>
      <c r="K1828" s="322"/>
      <c r="L1828" s="322"/>
      <c r="M1828" s="323" t="str">
        <f>IFERROR(VLOOKUP(H1828,Lijsten!$H$1:$I$100,2,0),"")</f>
        <v/>
      </c>
      <c r="N1828" s="323" t="str">
        <f ca="1">IFERROR(IF(VLOOKUP(F1828,Kostentypen!$A$3:$E$21,3,0)=0,"",IF(OR(F1828="Arbeidskosten",F1828="Vergoeding"),VLOOKUP(G1828,Tb_KostenTypen[],2,0),VLOOKUP(F1828,Kostentypen!$A$3:$E$20,3,0))),"")</f>
        <v/>
      </c>
      <c r="O1828" s="324"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4"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3"/>
      <c r="R1828" s="363"/>
      <c r="S1828" s="325"/>
      <c r="T1828" s="325"/>
      <c r="U1828" s="317" t="str" cm="1">
        <f t="array" aca="1" ref="U1828" ca="1">IFERROR(IF(AA1828&lt;&gt;"ja",_xlfn.IFNA(_xlfn.IFS(AND(O1828&lt;&gt;"",F1828&lt;&gt;"",RIGHT($N1828,6)="tarief",F1828="Vergoeding"),SUM(O1828)*FLOOR(SUM(Q1828),0.0001),AND(O1828&lt;&gt;"",F1828&lt;&gt;"",RIGHT($N1828,6)="tarief"),SUM(O1828)*FLOOR(SUM(Q1828),0.01),S1828&gt;0,IF(F1828&lt;&gt;"",FLOOR(SUM(S1828),0.01),"")),""),""),"")</f>
        <v/>
      </c>
      <c r="V1828" s="317" t="str" cm="1">
        <f t="array" aca="1" ref="V1828" ca="1">IFERROR(IF(AA1828&lt;&gt;"ja",_xlfn.IFNA(_xlfn.IFS(AND(P1828&lt;&gt;"",R1828&lt;&gt;"",RIGHT($N1828,6)="tarief",F1828="Vergoeding"),SUM(P1828)*FLOOR(SUM(R1828),0.0001),AND(P1828&lt;&gt;"",R1828&lt;&gt;"",RIGHT($N1828,6)="tarief"),P1828*FLOOR(R1828,0.01),T1828&gt;0,FLOOR(SUM(T1828),0.01)),""),""),"")</f>
        <v/>
      </c>
      <c r="W1828" s="317" t="str" cm="1">
        <f t="array" aca="1" ref="W1828" ca="1">IFERROR(_xlfn.IFS(OR(F1828="",LEFT(Methode_Keuze,4)="Geen",Methode_Keuze=""),"",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17" t="str" cm="1">
        <f t="array" aca="1" ref="X1828" ca="1">IFERROR(_xlfn.IFS(OR(F1828="",LEFT(Methode_Keuze,4)="Geen",Methode_Keuze=""),"",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26"/>
      <c r="Z1828" s="319"/>
      <c r="AA1828" s="32" t="str" cm="1">
        <f t="array" ref="AA1828">IFERROR(IF(INDEX(SubsidieTabel!$AD$1:$AG$12,MATCH($F1828,SubsidieTabel!$AD$1:$AD$12,0),IFERROR(MATCH(Methode_Keuze,SubsidieTabel!$AD$1:$AG$1,0),2))&lt;&gt;1=TRUE,"ja",""),"")</f>
        <v/>
      </c>
    </row>
    <row r="1829" spans="1:27" x14ac:dyDescent="0.25">
      <c r="A1829" s="320"/>
      <c r="B1829" s="321" t="str">
        <f>IF(A1829&lt;&gt;"",_xlfn.MAXIFS($B$1:B1828,$A$1:A1828,A1829)+1,"")</f>
        <v/>
      </c>
      <c r="C1829" s="299"/>
      <c r="D1829" s="299"/>
      <c r="E1829" s="299"/>
      <c r="F1829" s="299"/>
      <c r="G1829" s="330"/>
      <c r="H1829" s="328"/>
      <c r="I1829" s="329"/>
      <c r="J1829" s="329"/>
      <c r="K1829" s="322"/>
      <c r="L1829" s="322"/>
      <c r="M1829" s="323" t="str">
        <f>IFERROR(VLOOKUP(H1829,Lijsten!$H$1:$I$100,2,0),"")</f>
        <v/>
      </c>
      <c r="N1829" s="323" t="str">
        <f ca="1">IFERROR(IF(VLOOKUP(F1829,Kostentypen!$A$3:$E$21,3,0)=0,"",IF(OR(F1829="Arbeidskosten",F1829="Vergoeding"),VLOOKUP(G1829,Tb_KostenTypen[],2,0),VLOOKUP(F1829,Kostentypen!$A$3:$E$20,3,0))),"")</f>
        <v/>
      </c>
      <c r="O1829" s="324"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4"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3"/>
      <c r="R1829" s="363"/>
      <c r="S1829" s="325"/>
      <c r="T1829" s="325"/>
      <c r="U1829" s="317" t="str" cm="1">
        <f t="array" aca="1" ref="U1829" ca="1">IFERROR(IF(AA1829&lt;&gt;"ja",_xlfn.IFNA(_xlfn.IFS(AND(O1829&lt;&gt;"",F1829&lt;&gt;"",RIGHT($N1829,6)="tarief",F1829="Vergoeding"),SUM(O1829)*FLOOR(SUM(Q1829),0.0001),AND(O1829&lt;&gt;"",F1829&lt;&gt;"",RIGHT($N1829,6)="tarief"),SUM(O1829)*FLOOR(SUM(Q1829),0.01),S1829&gt;0,IF(F1829&lt;&gt;"",FLOOR(SUM(S1829),0.01),"")),""),""),"")</f>
        <v/>
      </c>
      <c r="V1829" s="317" t="str" cm="1">
        <f t="array" aca="1" ref="V1829" ca="1">IFERROR(IF(AA1829&lt;&gt;"ja",_xlfn.IFNA(_xlfn.IFS(AND(P1829&lt;&gt;"",R1829&lt;&gt;"",RIGHT($N1829,6)="tarief",F1829="Vergoeding"),SUM(P1829)*FLOOR(SUM(R1829),0.0001),AND(P1829&lt;&gt;"",R1829&lt;&gt;"",RIGHT($N1829,6)="tarief"),P1829*FLOOR(R1829,0.01),T1829&gt;0,FLOOR(SUM(T1829),0.01)),""),""),"")</f>
        <v/>
      </c>
      <c r="W1829" s="317" t="str" cm="1">
        <f t="array" aca="1" ref="W1829" ca="1">IFERROR(_xlfn.IFS(OR(F1829="",LEFT(Methode_Keuze,4)="Geen",Methode_Keuze=""),"",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17" t="str" cm="1">
        <f t="array" aca="1" ref="X1829" ca="1">IFERROR(_xlfn.IFS(OR(F1829="",LEFT(Methode_Keuze,4)="Geen",Methode_Keuze=""),"",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26"/>
      <c r="Z1829" s="319"/>
      <c r="AA1829" s="32" t="str" cm="1">
        <f t="array" ref="AA1829">IFERROR(IF(INDEX(SubsidieTabel!$AD$1:$AG$12,MATCH($F1829,SubsidieTabel!$AD$1:$AD$12,0),IFERROR(MATCH(Methode_Keuze,SubsidieTabel!$AD$1:$AG$1,0),2))&lt;&gt;1=TRUE,"ja",""),"")</f>
        <v/>
      </c>
    </row>
    <row r="1830" spans="1:27" x14ac:dyDescent="0.25">
      <c r="A1830" s="320"/>
      <c r="B1830" s="321" t="str">
        <f>IF(A1830&lt;&gt;"",_xlfn.MAXIFS($B$1:B1829,$A$1:A1829,A1830)+1,"")</f>
        <v/>
      </c>
      <c r="C1830" s="299"/>
      <c r="D1830" s="299"/>
      <c r="E1830" s="299"/>
      <c r="F1830" s="299"/>
      <c r="G1830" s="330"/>
      <c r="H1830" s="328"/>
      <c r="I1830" s="329"/>
      <c r="J1830" s="329"/>
      <c r="K1830" s="322"/>
      <c r="L1830" s="322"/>
      <c r="M1830" s="323" t="str">
        <f>IFERROR(VLOOKUP(H1830,Lijsten!$H$1:$I$100,2,0),"")</f>
        <v/>
      </c>
      <c r="N1830" s="323" t="str">
        <f ca="1">IFERROR(IF(VLOOKUP(F1830,Kostentypen!$A$3:$E$21,3,0)=0,"",IF(OR(F1830="Arbeidskosten",F1830="Vergoeding"),VLOOKUP(G1830,Tb_KostenTypen[],2,0),VLOOKUP(F1830,Kostentypen!$A$3:$E$20,3,0))),"")</f>
        <v/>
      </c>
      <c r="O1830" s="324"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4"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3"/>
      <c r="R1830" s="363"/>
      <c r="S1830" s="325"/>
      <c r="T1830" s="325"/>
      <c r="U1830" s="317" t="str" cm="1">
        <f t="array" aca="1" ref="U1830" ca="1">IFERROR(IF(AA1830&lt;&gt;"ja",_xlfn.IFNA(_xlfn.IFS(AND(O1830&lt;&gt;"",F1830&lt;&gt;"",RIGHT($N1830,6)="tarief",F1830="Vergoeding"),SUM(O1830)*FLOOR(SUM(Q1830),0.0001),AND(O1830&lt;&gt;"",F1830&lt;&gt;"",RIGHT($N1830,6)="tarief"),SUM(O1830)*FLOOR(SUM(Q1830),0.01),S1830&gt;0,IF(F1830&lt;&gt;"",FLOOR(SUM(S1830),0.01),"")),""),""),"")</f>
        <v/>
      </c>
      <c r="V1830" s="317" t="str" cm="1">
        <f t="array" aca="1" ref="V1830" ca="1">IFERROR(IF(AA1830&lt;&gt;"ja",_xlfn.IFNA(_xlfn.IFS(AND(P1830&lt;&gt;"",R1830&lt;&gt;"",RIGHT($N1830,6)="tarief",F1830="Vergoeding"),SUM(P1830)*FLOOR(SUM(R1830),0.0001),AND(P1830&lt;&gt;"",R1830&lt;&gt;"",RIGHT($N1830,6)="tarief"),P1830*FLOOR(R1830,0.01),T1830&gt;0,FLOOR(SUM(T1830),0.01)),""),""),"")</f>
        <v/>
      </c>
      <c r="W1830" s="317" t="str" cm="1">
        <f t="array" aca="1" ref="W1830" ca="1">IFERROR(_xlfn.IFS(OR(F1830="",LEFT(Methode_Keuze,4)="Geen",Methode_Keuze=""),"",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17" t="str" cm="1">
        <f t="array" aca="1" ref="X1830" ca="1">IFERROR(_xlfn.IFS(OR(F1830="",LEFT(Methode_Keuze,4)="Geen",Methode_Keuze=""),"",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26"/>
      <c r="Z1830" s="319"/>
      <c r="AA1830" s="32" t="str" cm="1">
        <f t="array" ref="AA1830">IFERROR(IF(INDEX(SubsidieTabel!$AD$1:$AG$12,MATCH($F1830,SubsidieTabel!$AD$1:$AD$12,0),IFERROR(MATCH(Methode_Keuze,SubsidieTabel!$AD$1:$AG$1,0),2))&lt;&gt;1=TRUE,"ja",""),"")</f>
        <v/>
      </c>
    </row>
    <row r="1831" spans="1:27" x14ac:dyDescent="0.25">
      <c r="A1831" s="320"/>
      <c r="B1831" s="321" t="str">
        <f>IF(A1831&lt;&gt;"",_xlfn.MAXIFS($B$1:B1830,$A$1:A1830,A1831)+1,"")</f>
        <v/>
      </c>
      <c r="C1831" s="299"/>
      <c r="D1831" s="299"/>
      <c r="E1831" s="299"/>
      <c r="F1831" s="299"/>
      <c r="G1831" s="330"/>
      <c r="H1831" s="328"/>
      <c r="I1831" s="329"/>
      <c r="J1831" s="329"/>
      <c r="K1831" s="322"/>
      <c r="L1831" s="322"/>
      <c r="M1831" s="323" t="str">
        <f>IFERROR(VLOOKUP(H1831,Lijsten!$H$1:$I$100,2,0),"")</f>
        <v/>
      </c>
      <c r="N1831" s="323" t="str">
        <f ca="1">IFERROR(IF(VLOOKUP(F1831,Kostentypen!$A$3:$E$21,3,0)=0,"",IF(OR(F1831="Arbeidskosten",F1831="Vergoeding"),VLOOKUP(G1831,Tb_KostenTypen[],2,0),VLOOKUP(F1831,Kostentypen!$A$3:$E$20,3,0))),"")</f>
        <v/>
      </c>
      <c r="O1831" s="324"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4"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3"/>
      <c r="R1831" s="363"/>
      <c r="S1831" s="325"/>
      <c r="T1831" s="325"/>
      <c r="U1831" s="317" t="str" cm="1">
        <f t="array" aca="1" ref="U1831" ca="1">IFERROR(IF(AA1831&lt;&gt;"ja",_xlfn.IFNA(_xlfn.IFS(AND(O1831&lt;&gt;"",F1831&lt;&gt;"",RIGHT($N1831,6)="tarief",F1831="Vergoeding"),SUM(O1831)*FLOOR(SUM(Q1831),0.0001),AND(O1831&lt;&gt;"",F1831&lt;&gt;"",RIGHT($N1831,6)="tarief"),SUM(O1831)*FLOOR(SUM(Q1831),0.01),S1831&gt;0,IF(F1831&lt;&gt;"",FLOOR(SUM(S1831),0.01),"")),""),""),"")</f>
        <v/>
      </c>
      <c r="V1831" s="317" t="str" cm="1">
        <f t="array" aca="1" ref="V1831" ca="1">IFERROR(IF(AA1831&lt;&gt;"ja",_xlfn.IFNA(_xlfn.IFS(AND(P1831&lt;&gt;"",R1831&lt;&gt;"",RIGHT($N1831,6)="tarief",F1831="Vergoeding"),SUM(P1831)*FLOOR(SUM(R1831),0.0001),AND(P1831&lt;&gt;"",R1831&lt;&gt;"",RIGHT($N1831,6)="tarief"),P1831*FLOOR(R1831,0.01),T1831&gt;0,FLOOR(SUM(T1831),0.01)),""),""),"")</f>
        <v/>
      </c>
      <c r="W1831" s="317" t="str" cm="1">
        <f t="array" aca="1" ref="W1831" ca="1">IFERROR(_xlfn.IFS(OR(F1831="",LEFT(Methode_Keuze,4)="Geen",Methode_Keuze=""),"",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17" t="str" cm="1">
        <f t="array" aca="1" ref="X1831" ca="1">IFERROR(_xlfn.IFS(OR(F1831="",LEFT(Methode_Keuze,4)="Geen",Methode_Keuze=""),"",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26"/>
      <c r="Z1831" s="319"/>
      <c r="AA1831" s="32" t="str" cm="1">
        <f t="array" ref="AA1831">IFERROR(IF(INDEX(SubsidieTabel!$AD$1:$AG$12,MATCH($F1831,SubsidieTabel!$AD$1:$AD$12,0),IFERROR(MATCH(Methode_Keuze,SubsidieTabel!$AD$1:$AG$1,0),2))&lt;&gt;1=TRUE,"ja",""),"")</f>
        <v/>
      </c>
    </row>
    <row r="1832" spans="1:27" x14ac:dyDescent="0.25">
      <c r="A1832" s="320"/>
      <c r="B1832" s="321" t="str">
        <f>IF(A1832&lt;&gt;"",_xlfn.MAXIFS($B$1:B1831,$A$1:A1831,A1832)+1,"")</f>
        <v/>
      </c>
      <c r="C1832" s="299"/>
      <c r="D1832" s="299"/>
      <c r="E1832" s="299"/>
      <c r="F1832" s="299"/>
      <c r="G1832" s="330"/>
      <c r="H1832" s="328"/>
      <c r="I1832" s="329"/>
      <c r="J1832" s="329"/>
      <c r="K1832" s="322"/>
      <c r="L1832" s="322"/>
      <c r="M1832" s="323" t="str">
        <f>IFERROR(VLOOKUP(H1832,Lijsten!$H$1:$I$100,2,0),"")</f>
        <v/>
      </c>
      <c r="N1832" s="323" t="str">
        <f ca="1">IFERROR(IF(VLOOKUP(F1832,Kostentypen!$A$3:$E$21,3,0)=0,"",IF(OR(F1832="Arbeidskosten",F1832="Vergoeding"),VLOOKUP(G1832,Tb_KostenTypen[],2,0),VLOOKUP(F1832,Kostentypen!$A$3:$E$20,3,0))),"")</f>
        <v/>
      </c>
      <c r="O1832" s="324"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4"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3"/>
      <c r="R1832" s="363"/>
      <c r="S1832" s="325"/>
      <c r="T1832" s="325"/>
      <c r="U1832" s="317" t="str" cm="1">
        <f t="array" aca="1" ref="U1832" ca="1">IFERROR(IF(AA1832&lt;&gt;"ja",_xlfn.IFNA(_xlfn.IFS(AND(O1832&lt;&gt;"",F1832&lt;&gt;"",RIGHT($N1832,6)="tarief",F1832="Vergoeding"),SUM(O1832)*FLOOR(SUM(Q1832),0.0001),AND(O1832&lt;&gt;"",F1832&lt;&gt;"",RIGHT($N1832,6)="tarief"),SUM(O1832)*FLOOR(SUM(Q1832),0.01),S1832&gt;0,IF(F1832&lt;&gt;"",FLOOR(SUM(S1832),0.01),"")),""),""),"")</f>
        <v/>
      </c>
      <c r="V1832" s="317" t="str" cm="1">
        <f t="array" aca="1" ref="V1832" ca="1">IFERROR(IF(AA1832&lt;&gt;"ja",_xlfn.IFNA(_xlfn.IFS(AND(P1832&lt;&gt;"",R1832&lt;&gt;"",RIGHT($N1832,6)="tarief",F1832="Vergoeding"),SUM(P1832)*FLOOR(SUM(R1832),0.0001),AND(P1832&lt;&gt;"",R1832&lt;&gt;"",RIGHT($N1832,6)="tarief"),P1832*FLOOR(R1832,0.01),T1832&gt;0,FLOOR(SUM(T1832),0.01)),""),""),"")</f>
        <v/>
      </c>
      <c r="W1832" s="317" t="str" cm="1">
        <f t="array" aca="1" ref="W1832" ca="1">IFERROR(_xlfn.IFS(OR(F1832="",LEFT(Methode_Keuze,4)="Geen",Methode_Keuze=""),"",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17" t="str" cm="1">
        <f t="array" aca="1" ref="X1832" ca="1">IFERROR(_xlfn.IFS(OR(F1832="",LEFT(Methode_Keuze,4)="Geen",Methode_Keuze=""),"",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26"/>
      <c r="Z1832" s="319"/>
      <c r="AA1832" s="32" t="str" cm="1">
        <f t="array" ref="AA1832">IFERROR(IF(INDEX(SubsidieTabel!$AD$1:$AG$12,MATCH($F1832,SubsidieTabel!$AD$1:$AD$12,0),IFERROR(MATCH(Methode_Keuze,SubsidieTabel!$AD$1:$AG$1,0),2))&lt;&gt;1=TRUE,"ja",""),"")</f>
        <v/>
      </c>
    </row>
    <row r="1833" spans="1:27" x14ac:dyDescent="0.25">
      <c r="A1833" s="320"/>
      <c r="B1833" s="321" t="str">
        <f>IF(A1833&lt;&gt;"",_xlfn.MAXIFS($B$1:B1832,$A$1:A1832,A1833)+1,"")</f>
        <v/>
      </c>
      <c r="C1833" s="299"/>
      <c r="D1833" s="299"/>
      <c r="E1833" s="299"/>
      <c r="F1833" s="299"/>
      <c r="G1833" s="330"/>
      <c r="H1833" s="328"/>
      <c r="I1833" s="329"/>
      <c r="J1833" s="329"/>
      <c r="K1833" s="322"/>
      <c r="L1833" s="322"/>
      <c r="M1833" s="323" t="str">
        <f>IFERROR(VLOOKUP(H1833,Lijsten!$H$1:$I$100,2,0),"")</f>
        <v/>
      </c>
      <c r="N1833" s="323" t="str">
        <f ca="1">IFERROR(IF(VLOOKUP(F1833,Kostentypen!$A$3:$E$21,3,0)=0,"",IF(OR(F1833="Arbeidskosten",F1833="Vergoeding"),VLOOKUP(G1833,Tb_KostenTypen[],2,0),VLOOKUP(F1833,Kostentypen!$A$3:$E$20,3,0))),"")</f>
        <v/>
      </c>
      <c r="O1833" s="324"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4"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3"/>
      <c r="R1833" s="363"/>
      <c r="S1833" s="325"/>
      <c r="T1833" s="325"/>
      <c r="U1833" s="317" t="str" cm="1">
        <f t="array" aca="1" ref="U1833" ca="1">IFERROR(IF(AA1833&lt;&gt;"ja",_xlfn.IFNA(_xlfn.IFS(AND(O1833&lt;&gt;"",F1833&lt;&gt;"",RIGHT($N1833,6)="tarief",F1833="Vergoeding"),SUM(O1833)*FLOOR(SUM(Q1833),0.0001),AND(O1833&lt;&gt;"",F1833&lt;&gt;"",RIGHT($N1833,6)="tarief"),SUM(O1833)*FLOOR(SUM(Q1833),0.01),S1833&gt;0,IF(F1833&lt;&gt;"",FLOOR(SUM(S1833),0.01),"")),""),""),"")</f>
        <v/>
      </c>
      <c r="V1833" s="317" t="str" cm="1">
        <f t="array" aca="1" ref="V1833" ca="1">IFERROR(IF(AA1833&lt;&gt;"ja",_xlfn.IFNA(_xlfn.IFS(AND(P1833&lt;&gt;"",R1833&lt;&gt;"",RIGHT($N1833,6)="tarief",F1833="Vergoeding"),SUM(P1833)*FLOOR(SUM(R1833),0.0001),AND(P1833&lt;&gt;"",R1833&lt;&gt;"",RIGHT($N1833,6)="tarief"),P1833*FLOOR(R1833,0.01),T1833&gt;0,FLOOR(SUM(T1833),0.01)),""),""),"")</f>
        <v/>
      </c>
      <c r="W1833" s="317" t="str" cm="1">
        <f t="array" aca="1" ref="W1833" ca="1">IFERROR(_xlfn.IFS(OR(F1833="",LEFT(Methode_Keuze,4)="Geen",Methode_Keuze=""),"",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17" t="str" cm="1">
        <f t="array" aca="1" ref="X1833" ca="1">IFERROR(_xlfn.IFS(OR(F1833="",LEFT(Methode_Keuze,4)="Geen",Methode_Keuze=""),"",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26"/>
      <c r="Z1833" s="319"/>
      <c r="AA1833" s="32" t="str" cm="1">
        <f t="array" ref="AA1833">IFERROR(IF(INDEX(SubsidieTabel!$AD$1:$AG$12,MATCH($F1833,SubsidieTabel!$AD$1:$AD$12,0),IFERROR(MATCH(Methode_Keuze,SubsidieTabel!$AD$1:$AG$1,0),2))&lt;&gt;1=TRUE,"ja",""),"")</f>
        <v/>
      </c>
    </row>
    <row r="1834" spans="1:27" x14ac:dyDescent="0.25">
      <c r="A1834" s="320"/>
      <c r="B1834" s="321" t="str">
        <f>IF(A1834&lt;&gt;"",_xlfn.MAXIFS($B$1:B1833,$A$1:A1833,A1834)+1,"")</f>
        <v/>
      </c>
      <c r="C1834" s="299"/>
      <c r="D1834" s="299"/>
      <c r="E1834" s="299"/>
      <c r="F1834" s="299"/>
      <c r="G1834" s="330"/>
      <c r="H1834" s="328"/>
      <c r="I1834" s="329"/>
      <c r="J1834" s="329"/>
      <c r="K1834" s="322"/>
      <c r="L1834" s="322"/>
      <c r="M1834" s="323" t="str">
        <f>IFERROR(VLOOKUP(H1834,Lijsten!$H$1:$I$100,2,0),"")</f>
        <v/>
      </c>
      <c r="N1834" s="323" t="str">
        <f ca="1">IFERROR(IF(VLOOKUP(F1834,Kostentypen!$A$3:$E$21,3,0)=0,"",IF(OR(F1834="Arbeidskosten",F1834="Vergoeding"),VLOOKUP(G1834,Tb_KostenTypen[],2,0),VLOOKUP(F1834,Kostentypen!$A$3:$E$20,3,0))),"")</f>
        <v/>
      </c>
      <c r="O1834" s="324"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4"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3"/>
      <c r="R1834" s="363"/>
      <c r="S1834" s="325"/>
      <c r="T1834" s="325"/>
      <c r="U1834" s="317" t="str" cm="1">
        <f t="array" aca="1" ref="U1834" ca="1">IFERROR(IF(AA1834&lt;&gt;"ja",_xlfn.IFNA(_xlfn.IFS(AND(O1834&lt;&gt;"",F1834&lt;&gt;"",RIGHT($N1834,6)="tarief",F1834="Vergoeding"),SUM(O1834)*FLOOR(SUM(Q1834),0.0001),AND(O1834&lt;&gt;"",F1834&lt;&gt;"",RIGHT($N1834,6)="tarief"),SUM(O1834)*FLOOR(SUM(Q1834),0.01),S1834&gt;0,IF(F1834&lt;&gt;"",FLOOR(SUM(S1834),0.01),"")),""),""),"")</f>
        <v/>
      </c>
      <c r="V1834" s="317" t="str" cm="1">
        <f t="array" aca="1" ref="V1834" ca="1">IFERROR(IF(AA1834&lt;&gt;"ja",_xlfn.IFNA(_xlfn.IFS(AND(P1834&lt;&gt;"",R1834&lt;&gt;"",RIGHT($N1834,6)="tarief",F1834="Vergoeding"),SUM(P1834)*FLOOR(SUM(R1834),0.0001),AND(P1834&lt;&gt;"",R1834&lt;&gt;"",RIGHT($N1834,6)="tarief"),P1834*FLOOR(R1834,0.01),T1834&gt;0,FLOOR(SUM(T1834),0.01)),""),""),"")</f>
        <v/>
      </c>
      <c r="W1834" s="317" t="str" cm="1">
        <f t="array" aca="1" ref="W1834" ca="1">IFERROR(_xlfn.IFS(OR(F1834="",LEFT(Methode_Keuze,4)="Geen",Methode_Keuze=""),"",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17" t="str" cm="1">
        <f t="array" aca="1" ref="X1834" ca="1">IFERROR(_xlfn.IFS(OR(F1834="",LEFT(Methode_Keuze,4)="Geen",Methode_Keuze=""),"",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26"/>
      <c r="Z1834" s="319"/>
      <c r="AA1834" s="32" t="str" cm="1">
        <f t="array" ref="AA1834">IFERROR(IF(INDEX(SubsidieTabel!$AD$1:$AG$12,MATCH($F1834,SubsidieTabel!$AD$1:$AD$12,0),IFERROR(MATCH(Methode_Keuze,SubsidieTabel!$AD$1:$AG$1,0),2))&lt;&gt;1=TRUE,"ja",""),"")</f>
        <v/>
      </c>
    </row>
    <row r="1835" spans="1:27" x14ac:dyDescent="0.25">
      <c r="A1835" s="320"/>
      <c r="B1835" s="321" t="str">
        <f>IF(A1835&lt;&gt;"",_xlfn.MAXIFS($B$1:B1834,$A$1:A1834,A1835)+1,"")</f>
        <v/>
      </c>
      <c r="C1835" s="299"/>
      <c r="D1835" s="299"/>
      <c r="E1835" s="299"/>
      <c r="F1835" s="299"/>
      <c r="G1835" s="330"/>
      <c r="H1835" s="328"/>
      <c r="I1835" s="329"/>
      <c r="J1835" s="329"/>
      <c r="K1835" s="322"/>
      <c r="L1835" s="322"/>
      <c r="M1835" s="323" t="str">
        <f>IFERROR(VLOOKUP(H1835,Lijsten!$H$1:$I$100,2,0),"")</f>
        <v/>
      </c>
      <c r="N1835" s="323" t="str">
        <f ca="1">IFERROR(IF(VLOOKUP(F1835,Kostentypen!$A$3:$E$21,3,0)=0,"",IF(OR(F1835="Arbeidskosten",F1835="Vergoeding"),VLOOKUP(G1835,Tb_KostenTypen[],2,0),VLOOKUP(F1835,Kostentypen!$A$3:$E$20,3,0))),"")</f>
        <v/>
      </c>
      <c r="O1835" s="324"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4"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3"/>
      <c r="R1835" s="363"/>
      <c r="S1835" s="325"/>
      <c r="T1835" s="325"/>
      <c r="U1835" s="317" t="str" cm="1">
        <f t="array" aca="1" ref="U1835" ca="1">IFERROR(IF(AA1835&lt;&gt;"ja",_xlfn.IFNA(_xlfn.IFS(AND(O1835&lt;&gt;"",F1835&lt;&gt;"",RIGHT($N1835,6)="tarief",F1835="Vergoeding"),SUM(O1835)*FLOOR(SUM(Q1835),0.0001),AND(O1835&lt;&gt;"",F1835&lt;&gt;"",RIGHT($N1835,6)="tarief"),SUM(O1835)*FLOOR(SUM(Q1835),0.01),S1835&gt;0,IF(F1835&lt;&gt;"",FLOOR(SUM(S1835),0.01),"")),""),""),"")</f>
        <v/>
      </c>
      <c r="V1835" s="317" t="str" cm="1">
        <f t="array" aca="1" ref="V1835" ca="1">IFERROR(IF(AA1835&lt;&gt;"ja",_xlfn.IFNA(_xlfn.IFS(AND(P1835&lt;&gt;"",R1835&lt;&gt;"",RIGHT($N1835,6)="tarief",F1835="Vergoeding"),SUM(P1835)*FLOOR(SUM(R1835),0.0001),AND(P1835&lt;&gt;"",R1835&lt;&gt;"",RIGHT($N1835,6)="tarief"),P1835*FLOOR(R1835,0.01),T1835&gt;0,FLOOR(SUM(T1835),0.01)),""),""),"")</f>
        <v/>
      </c>
      <c r="W1835" s="317" t="str" cm="1">
        <f t="array" aca="1" ref="W1835" ca="1">IFERROR(_xlfn.IFS(OR(F1835="",LEFT(Methode_Keuze,4)="Geen",Methode_Keuze=""),"",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17" t="str" cm="1">
        <f t="array" aca="1" ref="X1835" ca="1">IFERROR(_xlfn.IFS(OR(F1835="",LEFT(Methode_Keuze,4)="Geen",Methode_Keuze=""),"",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26"/>
      <c r="Z1835" s="319"/>
      <c r="AA1835" s="32" t="str" cm="1">
        <f t="array" ref="AA1835">IFERROR(IF(INDEX(SubsidieTabel!$AD$1:$AG$12,MATCH($F1835,SubsidieTabel!$AD$1:$AD$12,0),IFERROR(MATCH(Methode_Keuze,SubsidieTabel!$AD$1:$AG$1,0),2))&lt;&gt;1=TRUE,"ja",""),"")</f>
        <v/>
      </c>
    </row>
    <row r="1836" spans="1:27" x14ac:dyDescent="0.25">
      <c r="A1836" s="320"/>
      <c r="B1836" s="321" t="str">
        <f>IF(A1836&lt;&gt;"",_xlfn.MAXIFS($B$1:B1835,$A$1:A1835,A1836)+1,"")</f>
        <v/>
      </c>
      <c r="C1836" s="299"/>
      <c r="D1836" s="299"/>
      <c r="E1836" s="299"/>
      <c r="F1836" s="299"/>
      <c r="G1836" s="330"/>
      <c r="H1836" s="328"/>
      <c r="I1836" s="329"/>
      <c r="J1836" s="329"/>
      <c r="K1836" s="322"/>
      <c r="L1836" s="322"/>
      <c r="M1836" s="323" t="str">
        <f>IFERROR(VLOOKUP(H1836,Lijsten!$H$1:$I$100,2,0),"")</f>
        <v/>
      </c>
      <c r="N1836" s="323" t="str">
        <f ca="1">IFERROR(IF(VLOOKUP(F1836,Kostentypen!$A$3:$E$21,3,0)=0,"",IF(OR(F1836="Arbeidskosten",F1836="Vergoeding"),VLOOKUP(G1836,Tb_KostenTypen[],2,0),VLOOKUP(F1836,Kostentypen!$A$3:$E$20,3,0))),"")</f>
        <v/>
      </c>
      <c r="O1836" s="324"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4"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3"/>
      <c r="R1836" s="363"/>
      <c r="S1836" s="325"/>
      <c r="T1836" s="325"/>
      <c r="U1836" s="317" t="str" cm="1">
        <f t="array" aca="1" ref="U1836" ca="1">IFERROR(IF(AA1836&lt;&gt;"ja",_xlfn.IFNA(_xlfn.IFS(AND(O1836&lt;&gt;"",F1836&lt;&gt;"",RIGHT($N1836,6)="tarief",F1836="Vergoeding"),SUM(O1836)*FLOOR(SUM(Q1836),0.0001),AND(O1836&lt;&gt;"",F1836&lt;&gt;"",RIGHT($N1836,6)="tarief"),SUM(O1836)*FLOOR(SUM(Q1836),0.01),S1836&gt;0,IF(F1836&lt;&gt;"",FLOOR(SUM(S1836),0.01),"")),""),""),"")</f>
        <v/>
      </c>
      <c r="V1836" s="317" t="str" cm="1">
        <f t="array" aca="1" ref="V1836" ca="1">IFERROR(IF(AA1836&lt;&gt;"ja",_xlfn.IFNA(_xlfn.IFS(AND(P1836&lt;&gt;"",R1836&lt;&gt;"",RIGHT($N1836,6)="tarief",F1836="Vergoeding"),SUM(P1836)*FLOOR(SUM(R1836),0.0001),AND(P1836&lt;&gt;"",R1836&lt;&gt;"",RIGHT($N1836,6)="tarief"),P1836*FLOOR(R1836,0.01),T1836&gt;0,FLOOR(SUM(T1836),0.01)),""),""),"")</f>
        <v/>
      </c>
      <c r="W1836" s="317" t="str" cm="1">
        <f t="array" aca="1" ref="W1836" ca="1">IFERROR(_xlfn.IFS(OR(F1836="",LEFT(Methode_Keuze,4)="Geen",Methode_Keuze=""),"",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17" t="str" cm="1">
        <f t="array" aca="1" ref="X1836" ca="1">IFERROR(_xlfn.IFS(OR(F1836="",LEFT(Methode_Keuze,4)="Geen",Methode_Keuze=""),"",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26"/>
      <c r="Z1836" s="319"/>
      <c r="AA1836" s="32" t="str" cm="1">
        <f t="array" ref="AA1836">IFERROR(IF(INDEX(SubsidieTabel!$AD$1:$AG$12,MATCH($F1836,SubsidieTabel!$AD$1:$AD$12,0),IFERROR(MATCH(Methode_Keuze,SubsidieTabel!$AD$1:$AG$1,0),2))&lt;&gt;1=TRUE,"ja",""),"")</f>
        <v/>
      </c>
    </row>
    <row r="1837" spans="1:27" x14ac:dyDescent="0.25">
      <c r="A1837" s="320"/>
      <c r="B1837" s="321" t="str">
        <f>IF(A1837&lt;&gt;"",_xlfn.MAXIFS($B$1:B1836,$A$1:A1836,A1837)+1,"")</f>
        <v/>
      </c>
      <c r="C1837" s="299"/>
      <c r="D1837" s="299"/>
      <c r="E1837" s="299"/>
      <c r="F1837" s="299"/>
      <c r="G1837" s="330"/>
      <c r="H1837" s="328"/>
      <c r="I1837" s="329"/>
      <c r="J1837" s="329"/>
      <c r="K1837" s="322"/>
      <c r="L1837" s="322"/>
      <c r="M1837" s="323" t="str">
        <f>IFERROR(VLOOKUP(H1837,Lijsten!$H$1:$I$100,2,0),"")</f>
        <v/>
      </c>
      <c r="N1837" s="323" t="str">
        <f ca="1">IFERROR(IF(VLOOKUP(F1837,Kostentypen!$A$3:$E$21,3,0)=0,"",IF(OR(F1837="Arbeidskosten",F1837="Vergoeding"),VLOOKUP(G1837,Tb_KostenTypen[],2,0),VLOOKUP(F1837,Kostentypen!$A$3:$E$20,3,0))),"")</f>
        <v/>
      </c>
      <c r="O1837" s="324"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4"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3"/>
      <c r="R1837" s="363"/>
      <c r="S1837" s="325"/>
      <c r="T1837" s="325"/>
      <c r="U1837" s="317" t="str" cm="1">
        <f t="array" aca="1" ref="U1837" ca="1">IFERROR(IF(AA1837&lt;&gt;"ja",_xlfn.IFNA(_xlfn.IFS(AND(O1837&lt;&gt;"",F1837&lt;&gt;"",RIGHT($N1837,6)="tarief",F1837="Vergoeding"),SUM(O1837)*FLOOR(SUM(Q1837),0.0001),AND(O1837&lt;&gt;"",F1837&lt;&gt;"",RIGHT($N1837,6)="tarief"),SUM(O1837)*FLOOR(SUM(Q1837),0.01),S1837&gt;0,IF(F1837&lt;&gt;"",FLOOR(SUM(S1837),0.01),"")),""),""),"")</f>
        <v/>
      </c>
      <c r="V1837" s="317" t="str" cm="1">
        <f t="array" aca="1" ref="V1837" ca="1">IFERROR(IF(AA1837&lt;&gt;"ja",_xlfn.IFNA(_xlfn.IFS(AND(P1837&lt;&gt;"",R1837&lt;&gt;"",RIGHT($N1837,6)="tarief",F1837="Vergoeding"),SUM(P1837)*FLOOR(SUM(R1837),0.0001),AND(P1837&lt;&gt;"",R1837&lt;&gt;"",RIGHT($N1837,6)="tarief"),P1837*FLOOR(R1837,0.01),T1837&gt;0,FLOOR(SUM(T1837),0.01)),""),""),"")</f>
        <v/>
      </c>
      <c r="W1837" s="317" t="str" cm="1">
        <f t="array" aca="1" ref="W1837" ca="1">IFERROR(_xlfn.IFS(OR(F1837="",LEFT(Methode_Keuze,4)="Geen",Methode_Keuze=""),"",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17" t="str" cm="1">
        <f t="array" aca="1" ref="X1837" ca="1">IFERROR(_xlfn.IFS(OR(F1837="",LEFT(Methode_Keuze,4)="Geen",Methode_Keuze=""),"",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26"/>
      <c r="Z1837" s="319"/>
      <c r="AA1837" s="32" t="str" cm="1">
        <f t="array" ref="AA1837">IFERROR(IF(INDEX(SubsidieTabel!$AD$1:$AG$12,MATCH($F1837,SubsidieTabel!$AD$1:$AD$12,0),IFERROR(MATCH(Methode_Keuze,SubsidieTabel!$AD$1:$AG$1,0),2))&lt;&gt;1=TRUE,"ja",""),"")</f>
        <v/>
      </c>
    </row>
    <row r="1838" spans="1:27" x14ac:dyDescent="0.25">
      <c r="A1838" s="320"/>
      <c r="B1838" s="321" t="str">
        <f>IF(A1838&lt;&gt;"",_xlfn.MAXIFS($B$1:B1837,$A$1:A1837,A1838)+1,"")</f>
        <v/>
      </c>
      <c r="C1838" s="299"/>
      <c r="D1838" s="299"/>
      <c r="E1838" s="299"/>
      <c r="F1838" s="299"/>
      <c r="G1838" s="330"/>
      <c r="H1838" s="328"/>
      <c r="I1838" s="329"/>
      <c r="J1838" s="329"/>
      <c r="K1838" s="322"/>
      <c r="L1838" s="322"/>
      <c r="M1838" s="323" t="str">
        <f>IFERROR(VLOOKUP(H1838,Lijsten!$H$1:$I$100,2,0),"")</f>
        <v/>
      </c>
      <c r="N1838" s="323" t="str">
        <f ca="1">IFERROR(IF(VLOOKUP(F1838,Kostentypen!$A$3:$E$21,3,0)=0,"",IF(OR(F1838="Arbeidskosten",F1838="Vergoeding"),VLOOKUP(G1838,Tb_KostenTypen[],2,0),VLOOKUP(F1838,Kostentypen!$A$3:$E$20,3,0))),"")</f>
        <v/>
      </c>
      <c r="O1838" s="324"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4"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3"/>
      <c r="R1838" s="363"/>
      <c r="S1838" s="325"/>
      <c r="T1838" s="325"/>
      <c r="U1838" s="317" t="str" cm="1">
        <f t="array" aca="1" ref="U1838" ca="1">IFERROR(IF(AA1838&lt;&gt;"ja",_xlfn.IFNA(_xlfn.IFS(AND(O1838&lt;&gt;"",F1838&lt;&gt;"",RIGHT($N1838,6)="tarief",F1838="Vergoeding"),SUM(O1838)*FLOOR(SUM(Q1838),0.0001),AND(O1838&lt;&gt;"",F1838&lt;&gt;"",RIGHT($N1838,6)="tarief"),SUM(O1838)*FLOOR(SUM(Q1838),0.01),S1838&gt;0,IF(F1838&lt;&gt;"",FLOOR(SUM(S1838),0.01),"")),""),""),"")</f>
        <v/>
      </c>
      <c r="V1838" s="317" t="str" cm="1">
        <f t="array" aca="1" ref="V1838" ca="1">IFERROR(IF(AA1838&lt;&gt;"ja",_xlfn.IFNA(_xlfn.IFS(AND(P1838&lt;&gt;"",R1838&lt;&gt;"",RIGHT($N1838,6)="tarief",F1838="Vergoeding"),SUM(P1838)*FLOOR(SUM(R1838),0.0001),AND(P1838&lt;&gt;"",R1838&lt;&gt;"",RIGHT($N1838,6)="tarief"),P1838*FLOOR(R1838,0.01),T1838&gt;0,FLOOR(SUM(T1838),0.01)),""),""),"")</f>
        <v/>
      </c>
      <c r="W1838" s="317" t="str" cm="1">
        <f t="array" aca="1" ref="W1838" ca="1">IFERROR(_xlfn.IFS(OR(F1838="",LEFT(Methode_Keuze,4)="Geen",Methode_Keuze=""),"",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17" t="str" cm="1">
        <f t="array" aca="1" ref="X1838" ca="1">IFERROR(_xlfn.IFS(OR(F1838="",LEFT(Methode_Keuze,4)="Geen",Methode_Keuze=""),"",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26"/>
      <c r="Z1838" s="319"/>
      <c r="AA1838" s="32" t="str" cm="1">
        <f t="array" ref="AA1838">IFERROR(IF(INDEX(SubsidieTabel!$AD$1:$AG$12,MATCH($F1838,SubsidieTabel!$AD$1:$AD$12,0),IFERROR(MATCH(Methode_Keuze,SubsidieTabel!$AD$1:$AG$1,0),2))&lt;&gt;1=TRUE,"ja",""),"")</f>
        <v/>
      </c>
    </row>
    <row r="1839" spans="1:27" x14ac:dyDescent="0.25">
      <c r="A1839" s="320"/>
      <c r="B1839" s="321" t="str">
        <f>IF(A1839&lt;&gt;"",_xlfn.MAXIFS($B$1:B1838,$A$1:A1838,A1839)+1,"")</f>
        <v/>
      </c>
      <c r="C1839" s="299"/>
      <c r="D1839" s="299"/>
      <c r="E1839" s="299"/>
      <c r="F1839" s="299"/>
      <c r="G1839" s="330"/>
      <c r="H1839" s="328"/>
      <c r="I1839" s="329"/>
      <c r="J1839" s="329"/>
      <c r="K1839" s="322"/>
      <c r="L1839" s="322"/>
      <c r="M1839" s="323" t="str">
        <f>IFERROR(VLOOKUP(H1839,Lijsten!$H$1:$I$100,2,0),"")</f>
        <v/>
      </c>
      <c r="N1839" s="323" t="str">
        <f ca="1">IFERROR(IF(VLOOKUP(F1839,Kostentypen!$A$3:$E$21,3,0)=0,"",IF(OR(F1839="Arbeidskosten",F1839="Vergoeding"),VLOOKUP(G1839,Tb_KostenTypen[],2,0),VLOOKUP(F1839,Kostentypen!$A$3:$E$20,3,0))),"")</f>
        <v/>
      </c>
      <c r="O1839" s="324"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4"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3"/>
      <c r="R1839" s="363"/>
      <c r="S1839" s="325"/>
      <c r="T1839" s="325"/>
      <c r="U1839" s="317" t="str" cm="1">
        <f t="array" aca="1" ref="U1839" ca="1">IFERROR(IF(AA1839&lt;&gt;"ja",_xlfn.IFNA(_xlfn.IFS(AND(O1839&lt;&gt;"",F1839&lt;&gt;"",RIGHT($N1839,6)="tarief",F1839="Vergoeding"),SUM(O1839)*FLOOR(SUM(Q1839),0.0001),AND(O1839&lt;&gt;"",F1839&lt;&gt;"",RIGHT($N1839,6)="tarief"),SUM(O1839)*FLOOR(SUM(Q1839),0.01),S1839&gt;0,IF(F1839&lt;&gt;"",FLOOR(SUM(S1839),0.01),"")),""),""),"")</f>
        <v/>
      </c>
      <c r="V1839" s="317" t="str" cm="1">
        <f t="array" aca="1" ref="V1839" ca="1">IFERROR(IF(AA1839&lt;&gt;"ja",_xlfn.IFNA(_xlfn.IFS(AND(P1839&lt;&gt;"",R1839&lt;&gt;"",RIGHT($N1839,6)="tarief",F1839="Vergoeding"),SUM(P1839)*FLOOR(SUM(R1839),0.0001),AND(P1839&lt;&gt;"",R1839&lt;&gt;"",RIGHT($N1839,6)="tarief"),P1839*FLOOR(R1839,0.01),T1839&gt;0,FLOOR(SUM(T1839),0.01)),""),""),"")</f>
        <v/>
      </c>
      <c r="W1839" s="317" t="str" cm="1">
        <f t="array" aca="1" ref="W1839" ca="1">IFERROR(_xlfn.IFS(OR(F1839="",LEFT(Methode_Keuze,4)="Geen",Methode_Keuze=""),"",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17" t="str" cm="1">
        <f t="array" aca="1" ref="X1839" ca="1">IFERROR(_xlfn.IFS(OR(F1839="",LEFT(Methode_Keuze,4)="Geen",Methode_Keuze=""),"",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26"/>
      <c r="Z1839" s="319"/>
      <c r="AA1839" s="32" t="str" cm="1">
        <f t="array" ref="AA1839">IFERROR(IF(INDEX(SubsidieTabel!$AD$1:$AG$12,MATCH($F1839,SubsidieTabel!$AD$1:$AD$12,0),IFERROR(MATCH(Methode_Keuze,SubsidieTabel!$AD$1:$AG$1,0),2))&lt;&gt;1=TRUE,"ja",""),"")</f>
        <v/>
      </c>
    </row>
    <row r="1840" spans="1:27" x14ac:dyDescent="0.25">
      <c r="A1840" s="320"/>
      <c r="B1840" s="321" t="str">
        <f>IF(A1840&lt;&gt;"",_xlfn.MAXIFS($B$1:B1839,$A$1:A1839,A1840)+1,"")</f>
        <v/>
      </c>
      <c r="C1840" s="299"/>
      <c r="D1840" s="299"/>
      <c r="E1840" s="299"/>
      <c r="F1840" s="299"/>
      <c r="G1840" s="330"/>
      <c r="H1840" s="328"/>
      <c r="I1840" s="329"/>
      <c r="J1840" s="329"/>
      <c r="K1840" s="322"/>
      <c r="L1840" s="322"/>
      <c r="M1840" s="323" t="str">
        <f>IFERROR(VLOOKUP(H1840,Lijsten!$H$1:$I$100,2,0),"")</f>
        <v/>
      </c>
      <c r="N1840" s="323" t="str">
        <f ca="1">IFERROR(IF(VLOOKUP(F1840,Kostentypen!$A$3:$E$21,3,0)=0,"",IF(OR(F1840="Arbeidskosten",F1840="Vergoeding"),VLOOKUP(G1840,Tb_KostenTypen[],2,0),VLOOKUP(F1840,Kostentypen!$A$3:$E$20,3,0))),"")</f>
        <v/>
      </c>
      <c r="O1840" s="324"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4"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3"/>
      <c r="R1840" s="363"/>
      <c r="S1840" s="325"/>
      <c r="T1840" s="325"/>
      <c r="U1840" s="317" t="str" cm="1">
        <f t="array" aca="1" ref="U1840" ca="1">IFERROR(IF(AA1840&lt;&gt;"ja",_xlfn.IFNA(_xlfn.IFS(AND(O1840&lt;&gt;"",F1840&lt;&gt;"",RIGHT($N1840,6)="tarief",F1840="Vergoeding"),SUM(O1840)*FLOOR(SUM(Q1840),0.0001),AND(O1840&lt;&gt;"",F1840&lt;&gt;"",RIGHT($N1840,6)="tarief"),SUM(O1840)*FLOOR(SUM(Q1840),0.01),S1840&gt;0,IF(F1840&lt;&gt;"",FLOOR(SUM(S1840),0.01),"")),""),""),"")</f>
        <v/>
      </c>
      <c r="V1840" s="317" t="str" cm="1">
        <f t="array" aca="1" ref="V1840" ca="1">IFERROR(IF(AA1840&lt;&gt;"ja",_xlfn.IFNA(_xlfn.IFS(AND(P1840&lt;&gt;"",R1840&lt;&gt;"",RIGHT($N1840,6)="tarief",F1840="Vergoeding"),SUM(P1840)*FLOOR(SUM(R1840),0.0001),AND(P1840&lt;&gt;"",R1840&lt;&gt;"",RIGHT($N1840,6)="tarief"),P1840*FLOOR(R1840,0.01),T1840&gt;0,FLOOR(SUM(T1840),0.01)),""),""),"")</f>
        <v/>
      </c>
      <c r="W1840" s="317" t="str" cm="1">
        <f t="array" aca="1" ref="W1840" ca="1">IFERROR(_xlfn.IFS(OR(F1840="",LEFT(Methode_Keuze,4)="Geen",Methode_Keuze=""),"",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17" t="str" cm="1">
        <f t="array" aca="1" ref="X1840" ca="1">IFERROR(_xlfn.IFS(OR(F1840="",LEFT(Methode_Keuze,4)="Geen",Methode_Keuze=""),"",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26"/>
      <c r="Z1840" s="319"/>
      <c r="AA1840" s="32" t="str" cm="1">
        <f t="array" ref="AA1840">IFERROR(IF(INDEX(SubsidieTabel!$AD$1:$AG$12,MATCH($F1840,SubsidieTabel!$AD$1:$AD$12,0),IFERROR(MATCH(Methode_Keuze,SubsidieTabel!$AD$1:$AG$1,0),2))&lt;&gt;1=TRUE,"ja",""),"")</f>
        <v/>
      </c>
    </row>
    <row r="1841" spans="1:27" x14ac:dyDescent="0.25">
      <c r="A1841" s="320"/>
      <c r="B1841" s="321" t="str">
        <f>IF(A1841&lt;&gt;"",_xlfn.MAXIFS($B$1:B1840,$A$1:A1840,A1841)+1,"")</f>
        <v/>
      </c>
      <c r="C1841" s="299"/>
      <c r="D1841" s="299"/>
      <c r="E1841" s="299"/>
      <c r="F1841" s="299"/>
      <c r="G1841" s="330"/>
      <c r="H1841" s="328"/>
      <c r="I1841" s="329"/>
      <c r="J1841" s="329"/>
      <c r="K1841" s="322"/>
      <c r="L1841" s="322"/>
      <c r="M1841" s="323" t="str">
        <f>IFERROR(VLOOKUP(H1841,Lijsten!$H$1:$I$100,2,0),"")</f>
        <v/>
      </c>
      <c r="N1841" s="323" t="str">
        <f ca="1">IFERROR(IF(VLOOKUP(F1841,Kostentypen!$A$3:$E$21,3,0)=0,"",IF(OR(F1841="Arbeidskosten",F1841="Vergoeding"),VLOOKUP(G1841,Tb_KostenTypen[],2,0),VLOOKUP(F1841,Kostentypen!$A$3:$E$20,3,0))),"")</f>
        <v/>
      </c>
      <c r="O1841" s="324"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4"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3"/>
      <c r="R1841" s="363"/>
      <c r="S1841" s="325"/>
      <c r="T1841" s="325"/>
      <c r="U1841" s="317" t="str" cm="1">
        <f t="array" aca="1" ref="U1841" ca="1">IFERROR(IF(AA1841&lt;&gt;"ja",_xlfn.IFNA(_xlfn.IFS(AND(O1841&lt;&gt;"",F1841&lt;&gt;"",RIGHT($N1841,6)="tarief",F1841="Vergoeding"),SUM(O1841)*FLOOR(SUM(Q1841),0.0001),AND(O1841&lt;&gt;"",F1841&lt;&gt;"",RIGHT($N1841,6)="tarief"),SUM(O1841)*FLOOR(SUM(Q1841),0.01),S1841&gt;0,IF(F1841&lt;&gt;"",FLOOR(SUM(S1841),0.01),"")),""),""),"")</f>
        <v/>
      </c>
      <c r="V1841" s="317" t="str" cm="1">
        <f t="array" aca="1" ref="V1841" ca="1">IFERROR(IF(AA1841&lt;&gt;"ja",_xlfn.IFNA(_xlfn.IFS(AND(P1841&lt;&gt;"",R1841&lt;&gt;"",RIGHT($N1841,6)="tarief",F1841="Vergoeding"),SUM(P1841)*FLOOR(SUM(R1841),0.0001),AND(P1841&lt;&gt;"",R1841&lt;&gt;"",RIGHT($N1841,6)="tarief"),P1841*FLOOR(R1841,0.01),T1841&gt;0,FLOOR(SUM(T1841),0.01)),""),""),"")</f>
        <v/>
      </c>
      <c r="W1841" s="317" t="str" cm="1">
        <f t="array" aca="1" ref="W1841" ca="1">IFERROR(_xlfn.IFS(OR(F1841="",LEFT(Methode_Keuze,4)="Geen",Methode_Keuze=""),"",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17" t="str" cm="1">
        <f t="array" aca="1" ref="X1841" ca="1">IFERROR(_xlfn.IFS(OR(F1841="",LEFT(Methode_Keuze,4)="Geen",Methode_Keuze=""),"",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26"/>
      <c r="Z1841" s="319"/>
      <c r="AA1841" s="32" t="str" cm="1">
        <f t="array" ref="AA1841">IFERROR(IF(INDEX(SubsidieTabel!$AD$1:$AG$12,MATCH($F1841,SubsidieTabel!$AD$1:$AD$12,0),IFERROR(MATCH(Methode_Keuze,SubsidieTabel!$AD$1:$AG$1,0),2))&lt;&gt;1=TRUE,"ja",""),"")</f>
        <v/>
      </c>
    </row>
    <row r="1842" spans="1:27" x14ac:dyDescent="0.25">
      <c r="A1842" s="320"/>
      <c r="B1842" s="321" t="str">
        <f>IF(A1842&lt;&gt;"",_xlfn.MAXIFS($B$1:B1841,$A$1:A1841,A1842)+1,"")</f>
        <v/>
      </c>
      <c r="C1842" s="299"/>
      <c r="D1842" s="299"/>
      <c r="E1842" s="299"/>
      <c r="F1842" s="299"/>
      <c r="G1842" s="330"/>
      <c r="H1842" s="328"/>
      <c r="I1842" s="329"/>
      <c r="J1842" s="329"/>
      <c r="K1842" s="322"/>
      <c r="L1842" s="322"/>
      <c r="M1842" s="323" t="str">
        <f>IFERROR(VLOOKUP(H1842,Lijsten!$H$1:$I$100,2,0),"")</f>
        <v/>
      </c>
      <c r="N1842" s="323" t="str">
        <f ca="1">IFERROR(IF(VLOOKUP(F1842,Kostentypen!$A$3:$E$21,3,0)=0,"",IF(OR(F1842="Arbeidskosten",F1842="Vergoeding"),VLOOKUP(G1842,Tb_KostenTypen[],2,0),VLOOKUP(F1842,Kostentypen!$A$3:$E$20,3,0))),"")</f>
        <v/>
      </c>
      <c r="O1842" s="324"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4"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3"/>
      <c r="R1842" s="363"/>
      <c r="S1842" s="325"/>
      <c r="T1842" s="325"/>
      <c r="U1842" s="317" t="str" cm="1">
        <f t="array" aca="1" ref="U1842" ca="1">IFERROR(IF(AA1842&lt;&gt;"ja",_xlfn.IFNA(_xlfn.IFS(AND(O1842&lt;&gt;"",F1842&lt;&gt;"",RIGHT($N1842,6)="tarief",F1842="Vergoeding"),SUM(O1842)*FLOOR(SUM(Q1842),0.0001),AND(O1842&lt;&gt;"",F1842&lt;&gt;"",RIGHT($N1842,6)="tarief"),SUM(O1842)*FLOOR(SUM(Q1842),0.01),S1842&gt;0,IF(F1842&lt;&gt;"",FLOOR(SUM(S1842),0.01),"")),""),""),"")</f>
        <v/>
      </c>
      <c r="V1842" s="317" t="str" cm="1">
        <f t="array" aca="1" ref="V1842" ca="1">IFERROR(IF(AA1842&lt;&gt;"ja",_xlfn.IFNA(_xlfn.IFS(AND(P1842&lt;&gt;"",R1842&lt;&gt;"",RIGHT($N1842,6)="tarief",F1842="Vergoeding"),SUM(P1842)*FLOOR(SUM(R1842),0.0001),AND(P1842&lt;&gt;"",R1842&lt;&gt;"",RIGHT($N1842,6)="tarief"),P1842*FLOOR(R1842,0.01),T1842&gt;0,FLOOR(SUM(T1842),0.01)),""),""),"")</f>
        <v/>
      </c>
      <c r="W1842" s="317" t="str" cm="1">
        <f t="array" aca="1" ref="W1842" ca="1">IFERROR(_xlfn.IFS(OR(F1842="",LEFT(Methode_Keuze,4)="Geen",Methode_Keuze=""),"",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17" t="str" cm="1">
        <f t="array" aca="1" ref="X1842" ca="1">IFERROR(_xlfn.IFS(OR(F1842="",LEFT(Methode_Keuze,4)="Geen",Methode_Keuze=""),"",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26"/>
      <c r="Z1842" s="319"/>
      <c r="AA1842" s="32" t="str" cm="1">
        <f t="array" ref="AA1842">IFERROR(IF(INDEX(SubsidieTabel!$AD$1:$AG$12,MATCH($F1842,SubsidieTabel!$AD$1:$AD$12,0),IFERROR(MATCH(Methode_Keuze,SubsidieTabel!$AD$1:$AG$1,0),2))&lt;&gt;1=TRUE,"ja",""),"")</f>
        <v/>
      </c>
    </row>
    <row r="1843" spans="1:27" x14ac:dyDescent="0.25">
      <c r="A1843" s="320"/>
      <c r="B1843" s="321" t="str">
        <f>IF(A1843&lt;&gt;"",_xlfn.MAXIFS($B$1:B1842,$A$1:A1842,A1843)+1,"")</f>
        <v/>
      </c>
      <c r="C1843" s="299"/>
      <c r="D1843" s="299"/>
      <c r="E1843" s="299"/>
      <c r="F1843" s="299"/>
      <c r="G1843" s="330"/>
      <c r="H1843" s="328"/>
      <c r="I1843" s="329"/>
      <c r="J1843" s="329"/>
      <c r="K1843" s="322"/>
      <c r="L1843" s="322"/>
      <c r="M1843" s="323" t="str">
        <f>IFERROR(VLOOKUP(H1843,Lijsten!$H$1:$I$100,2,0),"")</f>
        <v/>
      </c>
      <c r="N1843" s="323" t="str">
        <f ca="1">IFERROR(IF(VLOOKUP(F1843,Kostentypen!$A$3:$E$21,3,0)=0,"",IF(OR(F1843="Arbeidskosten",F1843="Vergoeding"),VLOOKUP(G1843,Tb_KostenTypen[],2,0),VLOOKUP(F1843,Kostentypen!$A$3:$E$20,3,0))),"")</f>
        <v/>
      </c>
      <c r="O1843" s="324"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4"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3"/>
      <c r="R1843" s="363"/>
      <c r="S1843" s="325"/>
      <c r="T1843" s="325"/>
      <c r="U1843" s="317" t="str" cm="1">
        <f t="array" aca="1" ref="U1843" ca="1">IFERROR(IF(AA1843&lt;&gt;"ja",_xlfn.IFNA(_xlfn.IFS(AND(O1843&lt;&gt;"",F1843&lt;&gt;"",RIGHT($N1843,6)="tarief",F1843="Vergoeding"),SUM(O1843)*FLOOR(SUM(Q1843),0.0001),AND(O1843&lt;&gt;"",F1843&lt;&gt;"",RIGHT($N1843,6)="tarief"),SUM(O1843)*FLOOR(SUM(Q1843),0.01),S1843&gt;0,IF(F1843&lt;&gt;"",FLOOR(SUM(S1843),0.01),"")),""),""),"")</f>
        <v/>
      </c>
      <c r="V1843" s="317" t="str" cm="1">
        <f t="array" aca="1" ref="V1843" ca="1">IFERROR(IF(AA1843&lt;&gt;"ja",_xlfn.IFNA(_xlfn.IFS(AND(P1843&lt;&gt;"",R1843&lt;&gt;"",RIGHT($N1843,6)="tarief",F1843="Vergoeding"),SUM(P1843)*FLOOR(SUM(R1843),0.0001),AND(P1843&lt;&gt;"",R1843&lt;&gt;"",RIGHT($N1843,6)="tarief"),P1843*FLOOR(R1843,0.01),T1843&gt;0,FLOOR(SUM(T1843),0.01)),""),""),"")</f>
        <v/>
      </c>
      <c r="W1843" s="317" t="str" cm="1">
        <f t="array" aca="1" ref="W1843" ca="1">IFERROR(_xlfn.IFS(OR(F1843="",LEFT(Methode_Keuze,4)="Geen",Methode_Keuze=""),"",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17" t="str" cm="1">
        <f t="array" aca="1" ref="X1843" ca="1">IFERROR(_xlfn.IFS(OR(F1843="",LEFT(Methode_Keuze,4)="Geen",Methode_Keuze=""),"",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26"/>
      <c r="Z1843" s="319"/>
      <c r="AA1843" s="32" t="str" cm="1">
        <f t="array" ref="AA1843">IFERROR(IF(INDEX(SubsidieTabel!$AD$1:$AG$12,MATCH($F1843,SubsidieTabel!$AD$1:$AD$12,0),IFERROR(MATCH(Methode_Keuze,SubsidieTabel!$AD$1:$AG$1,0),2))&lt;&gt;1=TRUE,"ja",""),"")</f>
        <v/>
      </c>
    </row>
    <row r="1844" spans="1:27" x14ac:dyDescent="0.25">
      <c r="A1844" s="320"/>
      <c r="B1844" s="321" t="str">
        <f>IF(A1844&lt;&gt;"",_xlfn.MAXIFS($B$1:B1843,$A$1:A1843,A1844)+1,"")</f>
        <v/>
      </c>
      <c r="C1844" s="299"/>
      <c r="D1844" s="299"/>
      <c r="E1844" s="299"/>
      <c r="F1844" s="299"/>
      <c r="G1844" s="330"/>
      <c r="H1844" s="328"/>
      <c r="I1844" s="329"/>
      <c r="J1844" s="329"/>
      <c r="K1844" s="322"/>
      <c r="L1844" s="322"/>
      <c r="M1844" s="323" t="str">
        <f>IFERROR(VLOOKUP(H1844,Lijsten!$H$1:$I$100,2,0),"")</f>
        <v/>
      </c>
      <c r="N1844" s="323" t="str">
        <f ca="1">IFERROR(IF(VLOOKUP(F1844,Kostentypen!$A$3:$E$21,3,0)=0,"",IF(OR(F1844="Arbeidskosten",F1844="Vergoeding"),VLOOKUP(G1844,Tb_KostenTypen[],2,0),VLOOKUP(F1844,Kostentypen!$A$3:$E$20,3,0))),"")</f>
        <v/>
      </c>
      <c r="O1844" s="324"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4"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3"/>
      <c r="R1844" s="363"/>
      <c r="S1844" s="325"/>
      <c r="T1844" s="325"/>
      <c r="U1844" s="317" t="str" cm="1">
        <f t="array" aca="1" ref="U1844" ca="1">IFERROR(IF(AA1844&lt;&gt;"ja",_xlfn.IFNA(_xlfn.IFS(AND(O1844&lt;&gt;"",F1844&lt;&gt;"",RIGHT($N1844,6)="tarief",F1844="Vergoeding"),SUM(O1844)*FLOOR(SUM(Q1844),0.0001),AND(O1844&lt;&gt;"",F1844&lt;&gt;"",RIGHT($N1844,6)="tarief"),SUM(O1844)*FLOOR(SUM(Q1844),0.01),S1844&gt;0,IF(F1844&lt;&gt;"",FLOOR(SUM(S1844),0.01),"")),""),""),"")</f>
        <v/>
      </c>
      <c r="V1844" s="317" t="str" cm="1">
        <f t="array" aca="1" ref="V1844" ca="1">IFERROR(IF(AA1844&lt;&gt;"ja",_xlfn.IFNA(_xlfn.IFS(AND(P1844&lt;&gt;"",R1844&lt;&gt;"",RIGHT($N1844,6)="tarief",F1844="Vergoeding"),SUM(P1844)*FLOOR(SUM(R1844),0.0001),AND(P1844&lt;&gt;"",R1844&lt;&gt;"",RIGHT($N1844,6)="tarief"),P1844*FLOOR(R1844,0.01),T1844&gt;0,FLOOR(SUM(T1844),0.01)),""),""),"")</f>
        <v/>
      </c>
      <c r="W1844" s="317" t="str" cm="1">
        <f t="array" aca="1" ref="W1844" ca="1">IFERROR(_xlfn.IFS(OR(F1844="",LEFT(Methode_Keuze,4)="Geen",Methode_Keuze=""),"",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17" t="str" cm="1">
        <f t="array" aca="1" ref="X1844" ca="1">IFERROR(_xlfn.IFS(OR(F1844="",LEFT(Methode_Keuze,4)="Geen",Methode_Keuze=""),"",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26"/>
      <c r="Z1844" s="319"/>
      <c r="AA1844" s="32" t="str" cm="1">
        <f t="array" ref="AA1844">IFERROR(IF(INDEX(SubsidieTabel!$AD$1:$AG$12,MATCH($F1844,SubsidieTabel!$AD$1:$AD$12,0),IFERROR(MATCH(Methode_Keuze,SubsidieTabel!$AD$1:$AG$1,0),2))&lt;&gt;1=TRUE,"ja",""),"")</f>
        <v/>
      </c>
    </row>
    <row r="1845" spans="1:27" x14ac:dyDescent="0.25">
      <c r="A1845" s="320"/>
      <c r="B1845" s="321" t="str">
        <f>IF(A1845&lt;&gt;"",_xlfn.MAXIFS($B$1:B1844,$A$1:A1844,A1845)+1,"")</f>
        <v/>
      </c>
      <c r="C1845" s="299"/>
      <c r="D1845" s="299"/>
      <c r="E1845" s="299"/>
      <c r="F1845" s="299"/>
      <c r="G1845" s="330"/>
      <c r="H1845" s="328"/>
      <c r="I1845" s="329"/>
      <c r="J1845" s="329"/>
      <c r="K1845" s="322"/>
      <c r="L1845" s="322"/>
      <c r="M1845" s="323" t="str">
        <f>IFERROR(VLOOKUP(H1845,Lijsten!$H$1:$I$100,2,0),"")</f>
        <v/>
      </c>
      <c r="N1845" s="323" t="str">
        <f ca="1">IFERROR(IF(VLOOKUP(F1845,Kostentypen!$A$3:$E$21,3,0)=0,"",IF(OR(F1845="Arbeidskosten",F1845="Vergoeding"),VLOOKUP(G1845,Tb_KostenTypen[],2,0),VLOOKUP(F1845,Kostentypen!$A$3:$E$20,3,0))),"")</f>
        <v/>
      </c>
      <c r="O1845" s="324"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4"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3"/>
      <c r="R1845" s="363"/>
      <c r="S1845" s="325"/>
      <c r="T1845" s="325"/>
      <c r="U1845" s="317" t="str" cm="1">
        <f t="array" aca="1" ref="U1845" ca="1">IFERROR(IF(AA1845&lt;&gt;"ja",_xlfn.IFNA(_xlfn.IFS(AND(O1845&lt;&gt;"",F1845&lt;&gt;"",RIGHT($N1845,6)="tarief",F1845="Vergoeding"),SUM(O1845)*FLOOR(SUM(Q1845),0.0001),AND(O1845&lt;&gt;"",F1845&lt;&gt;"",RIGHT($N1845,6)="tarief"),SUM(O1845)*FLOOR(SUM(Q1845),0.01),S1845&gt;0,IF(F1845&lt;&gt;"",FLOOR(SUM(S1845),0.01),"")),""),""),"")</f>
        <v/>
      </c>
      <c r="V1845" s="317" t="str" cm="1">
        <f t="array" aca="1" ref="V1845" ca="1">IFERROR(IF(AA1845&lt;&gt;"ja",_xlfn.IFNA(_xlfn.IFS(AND(P1845&lt;&gt;"",R1845&lt;&gt;"",RIGHT($N1845,6)="tarief",F1845="Vergoeding"),SUM(P1845)*FLOOR(SUM(R1845),0.0001),AND(P1845&lt;&gt;"",R1845&lt;&gt;"",RIGHT($N1845,6)="tarief"),P1845*FLOOR(R1845,0.01),T1845&gt;0,FLOOR(SUM(T1845),0.01)),""),""),"")</f>
        <v/>
      </c>
      <c r="W1845" s="317" t="str" cm="1">
        <f t="array" aca="1" ref="W1845" ca="1">IFERROR(_xlfn.IFS(OR(F1845="",LEFT(Methode_Keuze,4)="Geen",Methode_Keuze=""),"",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17" t="str" cm="1">
        <f t="array" aca="1" ref="X1845" ca="1">IFERROR(_xlfn.IFS(OR(F1845="",LEFT(Methode_Keuze,4)="Geen",Methode_Keuze=""),"",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26"/>
      <c r="Z1845" s="319"/>
      <c r="AA1845" s="32" t="str" cm="1">
        <f t="array" ref="AA1845">IFERROR(IF(INDEX(SubsidieTabel!$AD$1:$AG$12,MATCH($F1845,SubsidieTabel!$AD$1:$AD$12,0),IFERROR(MATCH(Methode_Keuze,SubsidieTabel!$AD$1:$AG$1,0),2))&lt;&gt;1=TRUE,"ja",""),"")</f>
        <v/>
      </c>
    </row>
    <row r="1846" spans="1:27" x14ac:dyDescent="0.25">
      <c r="A1846" s="320"/>
      <c r="B1846" s="321" t="str">
        <f>IF(A1846&lt;&gt;"",_xlfn.MAXIFS($B$1:B1845,$A$1:A1845,A1846)+1,"")</f>
        <v/>
      </c>
      <c r="C1846" s="299"/>
      <c r="D1846" s="299"/>
      <c r="E1846" s="299"/>
      <c r="F1846" s="299"/>
      <c r="G1846" s="330"/>
      <c r="H1846" s="328"/>
      <c r="I1846" s="329"/>
      <c r="J1846" s="329"/>
      <c r="K1846" s="322"/>
      <c r="L1846" s="322"/>
      <c r="M1846" s="323" t="str">
        <f>IFERROR(VLOOKUP(H1846,Lijsten!$H$1:$I$100,2,0),"")</f>
        <v/>
      </c>
      <c r="N1846" s="323" t="str">
        <f ca="1">IFERROR(IF(VLOOKUP(F1846,Kostentypen!$A$3:$E$21,3,0)=0,"",IF(OR(F1846="Arbeidskosten",F1846="Vergoeding"),VLOOKUP(G1846,Tb_KostenTypen[],2,0),VLOOKUP(F1846,Kostentypen!$A$3:$E$20,3,0))),"")</f>
        <v/>
      </c>
      <c r="O1846" s="324"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4"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3"/>
      <c r="R1846" s="363"/>
      <c r="S1846" s="325"/>
      <c r="T1846" s="325"/>
      <c r="U1846" s="317" t="str" cm="1">
        <f t="array" aca="1" ref="U1846" ca="1">IFERROR(IF(AA1846&lt;&gt;"ja",_xlfn.IFNA(_xlfn.IFS(AND(O1846&lt;&gt;"",F1846&lt;&gt;"",RIGHT($N1846,6)="tarief",F1846="Vergoeding"),SUM(O1846)*FLOOR(SUM(Q1846),0.0001),AND(O1846&lt;&gt;"",F1846&lt;&gt;"",RIGHT($N1846,6)="tarief"),SUM(O1846)*FLOOR(SUM(Q1846),0.01),S1846&gt;0,IF(F1846&lt;&gt;"",FLOOR(SUM(S1846),0.01),"")),""),""),"")</f>
        <v/>
      </c>
      <c r="V1846" s="317" t="str" cm="1">
        <f t="array" aca="1" ref="V1846" ca="1">IFERROR(IF(AA1846&lt;&gt;"ja",_xlfn.IFNA(_xlfn.IFS(AND(P1846&lt;&gt;"",R1846&lt;&gt;"",RIGHT($N1846,6)="tarief",F1846="Vergoeding"),SUM(P1846)*FLOOR(SUM(R1846),0.0001),AND(P1846&lt;&gt;"",R1846&lt;&gt;"",RIGHT($N1846,6)="tarief"),P1846*FLOOR(R1846,0.01),T1846&gt;0,FLOOR(SUM(T1846),0.01)),""),""),"")</f>
        <v/>
      </c>
      <c r="W1846" s="317" t="str" cm="1">
        <f t="array" aca="1" ref="W1846" ca="1">IFERROR(_xlfn.IFS(OR(F1846="",LEFT(Methode_Keuze,4)="Geen",Methode_Keuze=""),"",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17" t="str" cm="1">
        <f t="array" aca="1" ref="X1846" ca="1">IFERROR(_xlfn.IFS(OR(F1846="",LEFT(Methode_Keuze,4)="Geen",Methode_Keuze=""),"",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26"/>
      <c r="Z1846" s="319"/>
      <c r="AA1846" s="32" t="str" cm="1">
        <f t="array" ref="AA1846">IFERROR(IF(INDEX(SubsidieTabel!$AD$1:$AG$12,MATCH($F1846,SubsidieTabel!$AD$1:$AD$12,0),IFERROR(MATCH(Methode_Keuze,SubsidieTabel!$AD$1:$AG$1,0),2))&lt;&gt;1=TRUE,"ja",""),"")</f>
        <v/>
      </c>
    </row>
    <row r="1847" spans="1:27" x14ac:dyDescent="0.25">
      <c r="A1847" s="320"/>
      <c r="B1847" s="321" t="str">
        <f>IF(A1847&lt;&gt;"",_xlfn.MAXIFS($B$1:B1846,$A$1:A1846,A1847)+1,"")</f>
        <v/>
      </c>
      <c r="C1847" s="299"/>
      <c r="D1847" s="299"/>
      <c r="E1847" s="299"/>
      <c r="F1847" s="299"/>
      <c r="G1847" s="330"/>
      <c r="H1847" s="328"/>
      <c r="I1847" s="329"/>
      <c r="J1847" s="329"/>
      <c r="K1847" s="322"/>
      <c r="L1847" s="322"/>
      <c r="M1847" s="323" t="str">
        <f>IFERROR(VLOOKUP(H1847,Lijsten!$H$1:$I$100,2,0),"")</f>
        <v/>
      </c>
      <c r="N1847" s="323" t="str">
        <f ca="1">IFERROR(IF(VLOOKUP(F1847,Kostentypen!$A$3:$E$21,3,0)=0,"",IF(OR(F1847="Arbeidskosten",F1847="Vergoeding"),VLOOKUP(G1847,Tb_KostenTypen[],2,0),VLOOKUP(F1847,Kostentypen!$A$3:$E$20,3,0))),"")</f>
        <v/>
      </c>
      <c r="O1847" s="324"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4"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3"/>
      <c r="R1847" s="363"/>
      <c r="S1847" s="325"/>
      <c r="T1847" s="325"/>
      <c r="U1847" s="317" t="str" cm="1">
        <f t="array" aca="1" ref="U1847" ca="1">IFERROR(IF(AA1847&lt;&gt;"ja",_xlfn.IFNA(_xlfn.IFS(AND(O1847&lt;&gt;"",F1847&lt;&gt;"",RIGHT($N1847,6)="tarief",F1847="Vergoeding"),SUM(O1847)*FLOOR(SUM(Q1847),0.0001),AND(O1847&lt;&gt;"",F1847&lt;&gt;"",RIGHT($N1847,6)="tarief"),SUM(O1847)*FLOOR(SUM(Q1847),0.01),S1847&gt;0,IF(F1847&lt;&gt;"",FLOOR(SUM(S1847),0.01),"")),""),""),"")</f>
        <v/>
      </c>
      <c r="V1847" s="317" t="str" cm="1">
        <f t="array" aca="1" ref="V1847" ca="1">IFERROR(IF(AA1847&lt;&gt;"ja",_xlfn.IFNA(_xlfn.IFS(AND(P1847&lt;&gt;"",R1847&lt;&gt;"",RIGHT($N1847,6)="tarief",F1847="Vergoeding"),SUM(P1847)*FLOOR(SUM(R1847),0.0001),AND(P1847&lt;&gt;"",R1847&lt;&gt;"",RIGHT($N1847,6)="tarief"),P1847*FLOOR(R1847,0.01),T1847&gt;0,FLOOR(SUM(T1847),0.01)),""),""),"")</f>
        <v/>
      </c>
      <c r="W1847" s="317" t="str" cm="1">
        <f t="array" aca="1" ref="W1847" ca="1">IFERROR(_xlfn.IFS(OR(F1847="",LEFT(Methode_Keuze,4)="Geen",Methode_Keuze=""),"",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17" t="str" cm="1">
        <f t="array" aca="1" ref="X1847" ca="1">IFERROR(_xlfn.IFS(OR(F1847="",LEFT(Methode_Keuze,4)="Geen",Methode_Keuze=""),"",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26"/>
      <c r="Z1847" s="319"/>
      <c r="AA1847" s="32" t="str" cm="1">
        <f t="array" ref="AA1847">IFERROR(IF(INDEX(SubsidieTabel!$AD$1:$AG$12,MATCH($F1847,SubsidieTabel!$AD$1:$AD$12,0),IFERROR(MATCH(Methode_Keuze,SubsidieTabel!$AD$1:$AG$1,0),2))&lt;&gt;1=TRUE,"ja",""),"")</f>
        <v/>
      </c>
    </row>
    <row r="1848" spans="1:27" x14ac:dyDescent="0.25">
      <c r="A1848" s="320"/>
      <c r="B1848" s="321" t="str">
        <f>IF(A1848&lt;&gt;"",_xlfn.MAXIFS($B$1:B1847,$A$1:A1847,A1848)+1,"")</f>
        <v/>
      </c>
      <c r="C1848" s="299"/>
      <c r="D1848" s="299"/>
      <c r="E1848" s="299"/>
      <c r="F1848" s="299"/>
      <c r="G1848" s="330"/>
      <c r="H1848" s="328"/>
      <c r="I1848" s="329"/>
      <c r="J1848" s="329"/>
      <c r="K1848" s="322"/>
      <c r="L1848" s="322"/>
      <c r="M1848" s="323" t="str">
        <f>IFERROR(VLOOKUP(H1848,Lijsten!$H$1:$I$100,2,0),"")</f>
        <v/>
      </c>
      <c r="N1848" s="323" t="str">
        <f ca="1">IFERROR(IF(VLOOKUP(F1848,Kostentypen!$A$3:$E$21,3,0)=0,"",IF(OR(F1848="Arbeidskosten",F1848="Vergoeding"),VLOOKUP(G1848,Tb_KostenTypen[],2,0),VLOOKUP(F1848,Kostentypen!$A$3:$E$20,3,0))),"")</f>
        <v/>
      </c>
      <c r="O1848" s="324"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4"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3"/>
      <c r="R1848" s="363"/>
      <c r="S1848" s="325"/>
      <c r="T1848" s="325"/>
      <c r="U1848" s="317" t="str" cm="1">
        <f t="array" aca="1" ref="U1848" ca="1">IFERROR(IF(AA1848&lt;&gt;"ja",_xlfn.IFNA(_xlfn.IFS(AND(O1848&lt;&gt;"",F1848&lt;&gt;"",RIGHT($N1848,6)="tarief",F1848="Vergoeding"),SUM(O1848)*FLOOR(SUM(Q1848),0.0001),AND(O1848&lt;&gt;"",F1848&lt;&gt;"",RIGHT($N1848,6)="tarief"),SUM(O1848)*FLOOR(SUM(Q1848),0.01),S1848&gt;0,IF(F1848&lt;&gt;"",FLOOR(SUM(S1848),0.01),"")),""),""),"")</f>
        <v/>
      </c>
      <c r="V1848" s="317" t="str" cm="1">
        <f t="array" aca="1" ref="V1848" ca="1">IFERROR(IF(AA1848&lt;&gt;"ja",_xlfn.IFNA(_xlfn.IFS(AND(P1848&lt;&gt;"",R1848&lt;&gt;"",RIGHT($N1848,6)="tarief",F1848="Vergoeding"),SUM(P1848)*FLOOR(SUM(R1848),0.0001),AND(P1848&lt;&gt;"",R1848&lt;&gt;"",RIGHT($N1848,6)="tarief"),P1848*FLOOR(R1848,0.01),T1848&gt;0,FLOOR(SUM(T1848),0.01)),""),""),"")</f>
        <v/>
      </c>
      <c r="W1848" s="317" t="str" cm="1">
        <f t="array" aca="1" ref="W1848" ca="1">IFERROR(_xlfn.IFS(OR(F1848="",LEFT(Methode_Keuze,4)="Geen",Methode_Keuze=""),"",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17" t="str" cm="1">
        <f t="array" aca="1" ref="X1848" ca="1">IFERROR(_xlfn.IFS(OR(F1848="",LEFT(Methode_Keuze,4)="Geen",Methode_Keuze=""),"",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26"/>
      <c r="Z1848" s="319"/>
      <c r="AA1848" s="32" t="str" cm="1">
        <f t="array" ref="AA1848">IFERROR(IF(INDEX(SubsidieTabel!$AD$1:$AG$12,MATCH($F1848,SubsidieTabel!$AD$1:$AD$12,0),IFERROR(MATCH(Methode_Keuze,SubsidieTabel!$AD$1:$AG$1,0),2))&lt;&gt;1=TRUE,"ja",""),"")</f>
        <v/>
      </c>
    </row>
    <row r="1849" spans="1:27" x14ac:dyDescent="0.25">
      <c r="A1849" s="320"/>
      <c r="B1849" s="321" t="str">
        <f>IF(A1849&lt;&gt;"",_xlfn.MAXIFS($B$1:B1848,$A$1:A1848,A1849)+1,"")</f>
        <v/>
      </c>
      <c r="C1849" s="299"/>
      <c r="D1849" s="299"/>
      <c r="E1849" s="299"/>
      <c r="F1849" s="299"/>
      <c r="G1849" s="330"/>
      <c r="H1849" s="328"/>
      <c r="I1849" s="329"/>
      <c r="J1849" s="329"/>
      <c r="K1849" s="322"/>
      <c r="L1849" s="322"/>
      <c r="M1849" s="323" t="str">
        <f>IFERROR(VLOOKUP(H1849,Lijsten!$H$1:$I$100,2,0),"")</f>
        <v/>
      </c>
      <c r="N1849" s="323" t="str">
        <f ca="1">IFERROR(IF(VLOOKUP(F1849,Kostentypen!$A$3:$E$21,3,0)=0,"",IF(OR(F1849="Arbeidskosten",F1849="Vergoeding"),VLOOKUP(G1849,Tb_KostenTypen[],2,0),VLOOKUP(F1849,Kostentypen!$A$3:$E$20,3,0))),"")</f>
        <v/>
      </c>
      <c r="O1849" s="324"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4"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3"/>
      <c r="R1849" s="363"/>
      <c r="S1849" s="325"/>
      <c r="T1849" s="325"/>
      <c r="U1849" s="317" t="str" cm="1">
        <f t="array" aca="1" ref="U1849" ca="1">IFERROR(IF(AA1849&lt;&gt;"ja",_xlfn.IFNA(_xlfn.IFS(AND(O1849&lt;&gt;"",F1849&lt;&gt;"",RIGHT($N1849,6)="tarief",F1849="Vergoeding"),SUM(O1849)*FLOOR(SUM(Q1849),0.0001),AND(O1849&lt;&gt;"",F1849&lt;&gt;"",RIGHT($N1849,6)="tarief"),SUM(O1849)*FLOOR(SUM(Q1849),0.01),S1849&gt;0,IF(F1849&lt;&gt;"",FLOOR(SUM(S1849),0.01),"")),""),""),"")</f>
        <v/>
      </c>
      <c r="V1849" s="317" t="str" cm="1">
        <f t="array" aca="1" ref="V1849" ca="1">IFERROR(IF(AA1849&lt;&gt;"ja",_xlfn.IFNA(_xlfn.IFS(AND(P1849&lt;&gt;"",R1849&lt;&gt;"",RIGHT($N1849,6)="tarief",F1849="Vergoeding"),SUM(P1849)*FLOOR(SUM(R1849),0.0001),AND(P1849&lt;&gt;"",R1849&lt;&gt;"",RIGHT($N1849,6)="tarief"),P1849*FLOOR(R1849,0.01),T1849&gt;0,FLOOR(SUM(T1849),0.01)),""),""),"")</f>
        <v/>
      </c>
      <c r="W1849" s="317" t="str" cm="1">
        <f t="array" aca="1" ref="W1849" ca="1">IFERROR(_xlfn.IFS(OR(F1849="",LEFT(Methode_Keuze,4)="Geen",Methode_Keuze=""),"",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17" t="str" cm="1">
        <f t="array" aca="1" ref="X1849" ca="1">IFERROR(_xlfn.IFS(OR(F1849="",LEFT(Methode_Keuze,4)="Geen",Methode_Keuze=""),"",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26"/>
      <c r="Z1849" s="319"/>
      <c r="AA1849" s="32" t="str" cm="1">
        <f t="array" ref="AA1849">IFERROR(IF(INDEX(SubsidieTabel!$AD$1:$AG$12,MATCH($F1849,SubsidieTabel!$AD$1:$AD$12,0),IFERROR(MATCH(Methode_Keuze,SubsidieTabel!$AD$1:$AG$1,0),2))&lt;&gt;1=TRUE,"ja",""),"")</f>
        <v/>
      </c>
    </row>
    <row r="1850" spans="1:27" x14ac:dyDescent="0.25">
      <c r="A1850" s="320"/>
      <c r="B1850" s="321" t="str">
        <f>IF(A1850&lt;&gt;"",_xlfn.MAXIFS($B$1:B1849,$A$1:A1849,A1850)+1,"")</f>
        <v/>
      </c>
      <c r="C1850" s="299"/>
      <c r="D1850" s="299"/>
      <c r="E1850" s="299"/>
      <c r="F1850" s="299"/>
      <c r="G1850" s="330"/>
      <c r="H1850" s="328"/>
      <c r="I1850" s="329"/>
      <c r="J1850" s="329"/>
      <c r="K1850" s="322"/>
      <c r="L1850" s="322"/>
      <c r="M1850" s="323" t="str">
        <f>IFERROR(VLOOKUP(H1850,Lijsten!$H$1:$I$100,2,0),"")</f>
        <v/>
      </c>
      <c r="N1850" s="323" t="str">
        <f ca="1">IFERROR(IF(VLOOKUP(F1850,Kostentypen!$A$3:$E$21,3,0)=0,"",IF(OR(F1850="Arbeidskosten",F1850="Vergoeding"),VLOOKUP(G1850,Tb_KostenTypen[],2,0),VLOOKUP(F1850,Kostentypen!$A$3:$E$20,3,0))),"")</f>
        <v/>
      </c>
      <c r="O1850" s="324"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4"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3"/>
      <c r="R1850" s="363"/>
      <c r="S1850" s="325"/>
      <c r="T1850" s="325"/>
      <c r="U1850" s="317" t="str" cm="1">
        <f t="array" aca="1" ref="U1850" ca="1">IFERROR(IF(AA1850&lt;&gt;"ja",_xlfn.IFNA(_xlfn.IFS(AND(O1850&lt;&gt;"",F1850&lt;&gt;"",RIGHT($N1850,6)="tarief",F1850="Vergoeding"),SUM(O1850)*FLOOR(SUM(Q1850),0.0001),AND(O1850&lt;&gt;"",F1850&lt;&gt;"",RIGHT($N1850,6)="tarief"),SUM(O1850)*FLOOR(SUM(Q1850),0.01),S1850&gt;0,IF(F1850&lt;&gt;"",FLOOR(SUM(S1850),0.01),"")),""),""),"")</f>
        <v/>
      </c>
      <c r="V1850" s="317" t="str" cm="1">
        <f t="array" aca="1" ref="V1850" ca="1">IFERROR(IF(AA1850&lt;&gt;"ja",_xlfn.IFNA(_xlfn.IFS(AND(P1850&lt;&gt;"",R1850&lt;&gt;"",RIGHT($N1850,6)="tarief",F1850="Vergoeding"),SUM(P1850)*FLOOR(SUM(R1850),0.0001),AND(P1850&lt;&gt;"",R1850&lt;&gt;"",RIGHT($N1850,6)="tarief"),P1850*FLOOR(R1850,0.01),T1850&gt;0,FLOOR(SUM(T1850),0.01)),""),""),"")</f>
        <v/>
      </c>
      <c r="W1850" s="317" t="str" cm="1">
        <f t="array" aca="1" ref="W1850" ca="1">IFERROR(_xlfn.IFS(OR(F1850="",LEFT(Methode_Keuze,4)="Geen",Methode_Keuze=""),"",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17" t="str" cm="1">
        <f t="array" aca="1" ref="X1850" ca="1">IFERROR(_xlfn.IFS(OR(F1850="",LEFT(Methode_Keuze,4)="Geen",Methode_Keuze=""),"",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26"/>
      <c r="Z1850" s="319"/>
      <c r="AA1850" s="32" t="str" cm="1">
        <f t="array" ref="AA1850">IFERROR(IF(INDEX(SubsidieTabel!$AD$1:$AG$12,MATCH($F1850,SubsidieTabel!$AD$1:$AD$12,0),IFERROR(MATCH(Methode_Keuze,SubsidieTabel!$AD$1:$AG$1,0),2))&lt;&gt;1=TRUE,"ja",""),"")</f>
        <v/>
      </c>
    </row>
    <row r="1851" spans="1:27" x14ac:dyDescent="0.25">
      <c r="A1851" s="320"/>
      <c r="B1851" s="321" t="str">
        <f>IF(A1851&lt;&gt;"",_xlfn.MAXIFS($B$1:B1850,$A$1:A1850,A1851)+1,"")</f>
        <v/>
      </c>
      <c r="C1851" s="299"/>
      <c r="D1851" s="299"/>
      <c r="E1851" s="299"/>
      <c r="F1851" s="299"/>
      <c r="G1851" s="330"/>
      <c r="H1851" s="328"/>
      <c r="I1851" s="329"/>
      <c r="J1851" s="329"/>
      <c r="K1851" s="322"/>
      <c r="L1851" s="322"/>
      <c r="M1851" s="323" t="str">
        <f>IFERROR(VLOOKUP(H1851,Lijsten!$H$1:$I$100,2,0),"")</f>
        <v/>
      </c>
      <c r="N1851" s="323" t="str">
        <f ca="1">IFERROR(IF(VLOOKUP(F1851,Kostentypen!$A$3:$E$21,3,0)=0,"",IF(OR(F1851="Arbeidskosten",F1851="Vergoeding"),VLOOKUP(G1851,Tb_KostenTypen[],2,0),VLOOKUP(F1851,Kostentypen!$A$3:$E$20,3,0))),"")</f>
        <v/>
      </c>
      <c r="O1851" s="324"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4"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3"/>
      <c r="R1851" s="363"/>
      <c r="S1851" s="325"/>
      <c r="T1851" s="325"/>
      <c r="U1851" s="317" t="str" cm="1">
        <f t="array" aca="1" ref="U1851" ca="1">IFERROR(IF(AA1851&lt;&gt;"ja",_xlfn.IFNA(_xlfn.IFS(AND(O1851&lt;&gt;"",F1851&lt;&gt;"",RIGHT($N1851,6)="tarief",F1851="Vergoeding"),SUM(O1851)*FLOOR(SUM(Q1851),0.0001),AND(O1851&lt;&gt;"",F1851&lt;&gt;"",RIGHT($N1851,6)="tarief"),SUM(O1851)*FLOOR(SUM(Q1851),0.01),S1851&gt;0,IF(F1851&lt;&gt;"",FLOOR(SUM(S1851),0.01),"")),""),""),"")</f>
        <v/>
      </c>
      <c r="V1851" s="317" t="str" cm="1">
        <f t="array" aca="1" ref="V1851" ca="1">IFERROR(IF(AA1851&lt;&gt;"ja",_xlfn.IFNA(_xlfn.IFS(AND(P1851&lt;&gt;"",R1851&lt;&gt;"",RIGHT($N1851,6)="tarief",F1851="Vergoeding"),SUM(P1851)*FLOOR(SUM(R1851),0.0001),AND(P1851&lt;&gt;"",R1851&lt;&gt;"",RIGHT($N1851,6)="tarief"),P1851*FLOOR(R1851,0.01),T1851&gt;0,FLOOR(SUM(T1851),0.01)),""),""),"")</f>
        <v/>
      </c>
      <c r="W1851" s="317" t="str" cm="1">
        <f t="array" aca="1" ref="W1851" ca="1">IFERROR(_xlfn.IFS(OR(F1851="",LEFT(Methode_Keuze,4)="Geen",Methode_Keuze=""),"",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17" t="str" cm="1">
        <f t="array" aca="1" ref="X1851" ca="1">IFERROR(_xlfn.IFS(OR(F1851="",LEFT(Methode_Keuze,4)="Geen",Methode_Keuze=""),"",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26"/>
      <c r="Z1851" s="319"/>
      <c r="AA1851" s="32" t="str" cm="1">
        <f t="array" ref="AA1851">IFERROR(IF(INDEX(SubsidieTabel!$AD$1:$AG$12,MATCH($F1851,SubsidieTabel!$AD$1:$AD$12,0),IFERROR(MATCH(Methode_Keuze,SubsidieTabel!$AD$1:$AG$1,0),2))&lt;&gt;1=TRUE,"ja",""),"")</f>
        <v/>
      </c>
    </row>
    <row r="1852" spans="1:27" x14ac:dyDescent="0.25">
      <c r="A1852" s="320"/>
      <c r="B1852" s="321" t="str">
        <f>IF(A1852&lt;&gt;"",_xlfn.MAXIFS($B$1:B1851,$A$1:A1851,A1852)+1,"")</f>
        <v/>
      </c>
      <c r="C1852" s="299"/>
      <c r="D1852" s="299"/>
      <c r="E1852" s="299"/>
      <c r="F1852" s="299"/>
      <c r="G1852" s="330"/>
      <c r="H1852" s="328"/>
      <c r="I1852" s="329"/>
      <c r="J1852" s="329"/>
      <c r="K1852" s="322"/>
      <c r="L1852" s="322"/>
      <c r="M1852" s="323" t="str">
        <f>IFERROR(VLOOKUP(H1852,Lijsten!$H$1:$I$100,2,0),"")</f>
        <v/>
      </c>
      <c r="N1852" s="323" t="str">
        <f ca="1">IFERROR(IF(VLOOKUP(F1852,Kostentypen!$A$3:$E$21,3,0)=0,"",IF(OR(F1852="Arbeidskosten",F1852="Vergoeding"),VLOOKUP(G1852,Tb_KostenTypen[],2,0),VLOOKUP(F1852,Kostentypen!$A$3:$E$20,3,0))),"")</f>
        <v/>
      </c>
      <c r="O1852" s="324"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4"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3"/>
      <c r="R1852" s="363"/>
      <c r="S1852" s="325"/>
      <c r="T1852" s="325"/>
      <c r="U1852" s="317" t="str" cm="1">
        <f t="array" aca="1" ref="U1852" ca="1">IFERROR(IF(AA1852&lt;&gt;"ja",_xlfn.IFNA(_xlfn.IFS(AND(O1852&lt;&gt;"",F1852&lt;&gt;"",RIGHT($N1852,6)="tarief",F1852="Vergoeding"),SUM(O1852)*FLOOR(SUM(Q1852),0.0001),AND(O1852&lt;&gt;"",F1852&lt;&gt;"",RIGHT($N1852,6)="tarief"),SUM(O1852)*FLOOR(SUM(Q1852),0.01),S1852&gt;0,IF(F1852&lt;&gt;"",FLOOR(SUM(S1852),0.01),"")),""),""),"")</f>
        <v/>
      </c>
      <c r="V1852" s="317" t="str" cm="1">
        <f t="array" aca="1" ref="V1852" ca="1">IFERROR(IF(AA1852&lt;&gt;"ja",_xlfn.IFNA(_xlfn.IFS(AND(P1852&lt;&gt;"",R1852&lt;&gt;"",RIGHT($N1852,6)="tarief",F1852="Vergoeding"),SUM(P1852)*FLOOR(SUM(R1852),0.0001),AND(P1852&lt;&gt;"",R1852&lt;&gt;"",RIGHT($N1852,6)="tarief"),P1852*FLOOR(R1852,0.01),T1852&gt;0,FLOOR(SUM(T1852),0.01)),""),""),"")</f>
        <v/>
      </c>
      <c r="W1852" s="317" t="str" cm="1">
        <f t="array" aca="1" ref="W1852" ca="1">IFERROR(_xlfn.IFS(OR(F1852="",LEFT(Methode_Keuze,4)="Geen",Methode_Keuze=""),"",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17" t="str" cm="1">
        <f t="array" aca="1" ref="X1852" ca="1">IFERROR(_xlfn.IFS(OR(F1852="",LEFT(Methode_Keuze,4)="Geen",Methode_Keuze=""),"",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26"/>
      <c r="Z1852" s="319"/>
      <c r="AA1852" s="32" t="str" cm="1">
        <f t="array" ref="AA1852">IFERROR(IF(INDEX(SubsidieTabel!$AD$1:$AG$12,MATCH($F1852,SubsidieTabel!$AD$1:$AD$12,0),IFERROR(MATCH(Methode_Keuze,SubsidieTabel!$AD$1:$AG$1,0),2))&lt;&gt;1=TRUE,"ja",""),"")</f>
        <v/>
      </c>
    </row>
    <row r="1853" spans="1:27" x14ac:dyDescent="0.25">
      <c r="A1853" s="320"/>
      <c r="B1853" s="321" t="str">
        <f>IF(A1853&lt;&gt;"",_xlfn.MAXIFS($B$1:B1852,$A$1:A1852,A1853)+1,"")</f>
        <v/>
      </c>
      <c r="C1853" s="299"/>
      <c r="D1853" s="299"/>
      <c r="E1853" s="299"/>
      <c r="F1853" s="299"/>
      <c r="G1853" s="330"/>
      <c r="H1853" s="328"/>
      <c r="I1853" s="329"/>
      <c r="J1853" s="329"/>
      <c r="K1853" s="322"/>
      <c r="L1853" s="322"/>
      <c r="M1853" s="323" t="str">
        <f>IFERROR(VLOOKUP(H1853,Lijsten!$H$1:$I$100,2,0),"")</f>
        <v/>
      </c>
      <c r="N1853" s="323" t="str">
        <f ca="1">IFERROR(IF(VLOOKUP(F1853,Kostentypen!$A$3:$E$21,3,0)=0,"",IF(OR(F1853="Arbeidskosten",F1853="Vergoeding"),VLOOKUP(G1853,Tb_KostenTypen[],2,0),VLOOKUP(F1853,Kostentypen!$A$3:$E$20,3,0))),"")</f>
        <v/>
      </c>
      <c r="O1853" s="324"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4"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3"/>
      <c r="R1853" s="363"/>
      <c r="S1853" s="325"/>
      <c r="T1853" s="325"/>
      <c r="U1853" s="317" t="str" cm="1">
        <f t="array" aca="1" ref="U1853" ca="1">IFERROR(IF(AA1853&lt;&gt;"ja",_xlfn.IFNA(_xlfn.IFS(AND(O1853&lt;&gt;"",F1853&lt;&gt;"",RIGHT($N1853,6)="tarief",F1853="Vergoeding"),SUM(O1853)*FLOOR(SUM(Q1853),0.0001),AND(O1853&lt;&gt;"",F1853&lt;&gt;"",RIGHT($N1853,6)="tarief"),SUM(O1853)*FLOOR(SUM(Q1853),0.01),S1853&gt;0,IF(F1853&lt;&gt;"",FLOOR(SUM(S1853),0.01),"")),""),""),"")</f>
        <v/>
      </c>
      <c r="V1853" s="317" t="str" cm="1">
        <f t="array" aca="1" ref="V1853" ca="1">IFERROR(IF(AA1853&lt;&gt;"ja",_xlfn.IFNA(_xlfn.IFS(AND(P1853&lt;&gt;"",R1853&lt;&gt;"",RIGHT($N1853,6)="tarief",F1853="Vergoeding"),SUM(P1853)*FLOOR(SUM(R1853),0.0001),AND(P1853&lt;&gt;"",R1853&lt;&gt;"",RIGHT($N1853,6)="tarief"),P1853*FLOOR(R1853,0.01),T1853&gt;0,FLOOR(SUM(T1853),0.01)),""),""),"")</f>
        <v/>
      </c>
      <c r="W1853" s="317" t="str" cm="1">
        <f t="array" aca="1" ref="W1853" ca="1">IFERROR(_xlfn.IFS(OR(F1853="",LEFT(Methode_Keuze,4)="Geen",Methode_Keuze=""),"",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17" t="str" cm="1">
        <f t="array" aca="1" ref="X1853" ca="1">IFERROR(_xlfn.IFS(OR(F1853="",LEFT(Methode_Keuze,4)="Geen",Methode_Keuze=""),"",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26"/>
      <c r="Z1853" s="319"/>
      <c r="AA1853" s="32" t="str" cm="1">
        <f t="array" ref="AA1853">IFERROR(IF(INDEX(SubsidieTabel!$AD$1:$AG$12,MATCH($F1853,SubsidieTabel!$AD$1:$AD$12,0),IFERROR(MATCH(Methode_Keuze,SubsidieTabel!$AD$1:$AG$1,0),2))&lt;&gt;1=TRUE,"ja",""),"")</f>
        <v/>
      </c>
    </row>
    <row r="1854" spans="1:27" x14ac:dyDescent="0.25">
      <c r="A1854" s="320"/>
      <c r="B1854" s="321" t="str">
        <f>IF(A1854&lt;&gt;"",_xlfn.MAXIFS($B$1:B1853,$A$1:A1853,A1854)+1,"")</f>
        <v/>
      </c>
      <c r="C1854" s="299"/>
      <c r="D1854" s="299"/>
      <c r="E1854" s="299"/>
      <c r="F1854" s="299"/>
      <c r="G1854" s="330"/>
      <c r="H1854" s="328"/>
      <c r="I1854" s="329"/>
      <c r="J1854" s="329"/>
      <c r="K1854" s="322"/>
      <c r="L1854" s="322"/>
      <c r="M1854" s="323" t="str">
        <f>IFERROR(VLOOKUP(H1854,Lijsten!$H$1:$I$100,2,0),"")</f>
        <v/>
      </c>
      <c r="N1854" s="323" t="str">
        <f ca="1">IFERROR(IF(VLOOKUP(F1854,Kostentypen!$A$3:$E$21,3,0)=0,"",IF(OR(F1854="Arbeidskosten",F1854="Vergoeding"),VLOOKUP(G1854,Tb_KostenTypen[],2,0),VLOOKUP(F1854,Kostentypen!$A$3:$E$20,3,0))),"")</f>
        <v/>
      </c>
      <c r="O1854" s="324"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4"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3"/>
      <c r="R1854" s="363"/>
      <c r="S1854" s="325"/>
      <c r="T1854" s="325"/>
      <c r="U1854" s="317" t="str" cm="1">
        <f t="array" aca="1" ref="U1854" ca="1">IFERROR(IF(AA1854&lt;&gt;"ja",_xlfn.IFNA(_xlfn.IFS(AND(O1854&lt;&gt;"",F1854&lt;&gt;"",RIGHT($N1854,6)="tarief",F1854="Vergoeding"),SUM(O1854)*FLOOR(SUM(Q1854),0.0001),AND(O1854&lt;&gt;"",F1854&lt;&gt;"",RIGHT($N1854,6)="tarief"),SUM(O1854)*FLOOR(SUM(Q1854),0.01),S1854&gt;0,IF(F1854&lt;&gt;"",FLOOR(SUM(S1854),0.01),"")),""),""),"")</f>
        <v/>
      </c>
      <c r="V1854" s="317" t="str" cm="1">
        <f t="array" aca="1" ref="V1854" ca="1">IFERROR(IF(AA1854&lt;&gt;"ja",_xlfn.IFNA(_xlfn.IFS(AND(P1854&lt;&gt;"",R1854&lt;&gt;"",RIGHT($N1854,6)="tarief",F1854="Vergoeding"),SUM(P1854)*FLOOR(SUM(R1854),0.0001),AND(P1854&lt;&gt;"",R1854&lt;&gt;"",RIGHT($N1854,6)="tarief"),P1854*FLOOR(R1854,0.01),T1854&gt;0,FLOOR(SUM(T1854),0.01)),""),""),"")</f>
        <v/>
      </c>
      <c r="W1854" s="317" t="str" cm="1">
        <f t="array" aca="1" ref="W1854" ca="1">IFERROR(_xlfn.IFS(OR(F1854="",LEFT(Methode_Keuze,4)="Geen",Methode_Keuze=""),"",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17" t="str" cm="1">
        <f t="array" aca="1" ref="X1854" ca="1">IFERROR(_xlfn.IFS(OR(F1854="",LEFT(Methode_Keuze,4)="Geen",Methode_Keuze=""),"",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26"/>
      <c r="Z1854" s="319"/>
      <c r="AA1854" s="32" t="str" cm="1">
        <f t="array" ref="AA1854">IFERROR(IF(INDEX(SubsidieTabel!$AD$1:$AG$12,MATCH($F1854,SubsidieTabel!$AD$1:$AD$12,0),IFERROR(MATCH(Methode_Keuze,SubsidieTabel!$AD$1:$AG$1,0),2))&lt;&gt;1=TRUE,"ja",""),"")</f>
        <v/>
      </c>
    </row>
    <row r="1855" spans="1:27" x14ac:dyDescent="0.25">
      <c r="A1855" s="320"/>
      <c r="B1855" s="321" t="str">
        <f>IF(A1855&lt;&gt;"",_xlfn.MAXIFS($B$1:B1854,$A$1:A1854,A1855)+1,"")</f>
        <v/>
      </c>
      <c r="C1855" s="299"/>
      <c r="D1855" s="299"/>
      <c r="E1855" s="299"/>
      <c r="F1855" s="299"/>
      <c r="G1855" s="330"/>
      <c r="H1855" s="328"/>
      <c r="I1855" s="329"/>
      <c r="J1855" s="329"/>
      <c r="K1855" s="322"/>
      <c r="L1855" s="322"/>
      <c r="M1855" s="323" t="str">
        <f>IFERROR(VLOOKUP(H1855,Lijsten!$H$1:$I$100,2,0),"")</f>
        <v/>
      </c>
      <c r="N1855" s="323" t="str">
        <f ca="1">IFERROR(IF(VLOOKUP(F1855,Kostentypen!$A$3:$E$21,3,0)=0,"",IF(OR(F1855="Arbeidskosten",F1855="Vergoeding"),VLOOKUP(G1855,Tb_KostenTypen[],2,0),VLOOKUP(F1855,Kostentypen!$A$3:$E$20,3,0))),"")</f>
        <v/>
      </c>
      <c r="O1855" s="324"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4"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3"/>
      <c r="R1855" s="363"/>
      <c r="S1855" s="325"/>
      <c r="T1855" s="325"/>
      <c r="U1855" s="317" t="str" cm="1">
        <f t="array" aca="1" ref="U1855" ca="1">IFERROR(IF(AA1855&lt;&gt;"ja",_xlfn.IFNA(_xlfn.IFS(AND(O1855&lt;&gt;"",F1855&lt;&gt;"",RIGHT($N1855,6)="tarief",F1855="Vergoeding"),SUM(O1855)*FLOOR(SUM(Q1855),0.0001),AND(O1855&lt;&gt;"",F1855&lt;&gt;"",RIGHT($N1855,6)="tarief"),SUM(O1855)*FLOOR(SUM(Q1855),0.01),S1855&gt;0,IF(F1855&lt;&gt;"",FLOOR(SUM(S1855),0.01),"")),""),""),"")</f>
        <v/>
      </c>
      <c r="V1855" s="317" t="str" cm="1">
        <f t="array" aca="1" ref="V1855" ca="1">IFERROR(IF(AA1855&lt;&gt;"ja",_xlfn.IFNA(_xlfn.IFS(AND(P1855&lt;&gt;"",R1855&lt;&gt;"",RIGHT($N1855,6)="tarief",F1855="Vergoeding"),SUM(P1855)*FLOOR(SUM(R1855),0.0001),AND(P1855&lt;&gt;"",R1855&lt;&gt;"",RIGHT($N1855,6)="tarief"),P1855*FLOOR(R1855,0.01),T1855&gt;0,FLOOR(SUM(T1855),0.01)),""),""),"")</f>
        <v/>
      </c>
      <c r="W1855" s="317" t="str" cm="1">
        <f t="array" aca="1" ref="W1855" ca="1">IFERROR(_xlfn.IFS(OR(F1855="",LEFT(Methode_Keuze,4)="Geen",Methode_Keuze=""),"",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17" t="str" cm="1">
        <f t="array" aca="1" ref="X1855" ca="1">IFERROR(_xlfn.IFS(OR(F1855="",LEFT(Methode_Keuze,4)="Geen",Methode_Keuze=""),"",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26"/>
      <c r="Z1855" s="319"/>
      <c r="AA1855" s="32" t="str" cm="1">
        <f t="array" ref="AA1855">IFERROR(IF(INDEX(SubsidieTabel!$AD$1:$AG$12,MATCH($F1855,SubsidieTabel!$AD$1:$AD$12,0),IFERROR(MATCH(Methode_Keuze,SubsidieTabel!$AD$1:$AG$1,0),2))&lt;&gt;1=TRUE,"ja",""),"")</f>
        <v/>
      </c>
    </row>
    <row r="1856" spans="1:27" x14ac:dyDescent="0.25">
      <c r="A1856" s="320"/>
      <c r="B1856" s="321" t="str">
        <f>IF(A1856&lt;&gt;"",_xlfn.MAXIFS($B$1:B1855,$A$1:A1855,A1856)+1,"")</f>
        <v/>
      </c>
      <c r="C1856" s="299"/>
      <c r="D1856" s="299"/>
      <c r="E1856" s="299"/>
      <c r="F1856" s="299"/>
      <c r="G1856" s="330"/>
      <c r="H1856" s="328"/>
      <c r="I1856" s="329"/>
      <c r="J1856" s="329"/>
      <c r="K1856" s="322"/>
      <c r="L1856" s="322"/>
      <c r="M1856" s="323" t="str">
        <f>IFERROR(VLOOKUP(H1856,Lijsten!$H$1:$I$100,2,0),"")</f>
        <v/>
      </c>
      <c r="N1856" s="323" t="str">
        <f ca="1">IFERROR(IF(VLOOKUP(F1856,Kostentypen!$A$3:$E$21,3,0)=0,"",IF(OR(F1856="Arbeidskosten",F1856="Vergoeding"),VLOOKUP(G1856,Tb_KostenTypen[],2,0),VLOOKUP(F1856,Kostentypen!$A$3:$E$20,3,0))),"")</f>
        <v/>
      </c>
      <c r="O1856" s="324"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4"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3"/>
      <c r="R1856" s="363"/>
      <c r="S1856" s="325"/>
      <c r="T1856" s="325"/>
      <c r="U1856" s="317" t="str" cm="1">
        <f t="array" aca="1" ref="U1856" ca="1">IFERROR(IF(AA1856&lt;&gt;"ja",_xlfn.IFNA(_xlfn.IFS(AND(O1856&lt;&gt;"",F1856&lt;&gt;"",RIGHT($N1856,6)="tarief",F1856="Vergoeding"),SUM(O1856)*FLOOR(SUM(Q1856),0.0001),AND(O1856&lt;&gt;"",F1856&lt;&gt;"",RIGHT($N1856,6)="tarief"),SUM(O1856)*FLOOR(SUM(Q1856),0.01),S1856&gt;0,IF(F1856&lt;&gt;"",FLOOR(SUM(S1856),0.01),"")),""),""),"")</f>
        <v/>
      </c>
      <c r="V1856" s="317" t="str" cm="1">
        <f t="array" aca="1" ref="V1856" ca="1">IFERROR(IF(AA1856&lt;&gt;"ja",_xlfn.IFNA(_xlfn.IFS(AND(P1856&lt;&gt;"",R1856&lt;&gt;"",RIGHT($N1856,6)="tarief",F1856="Vergoeding"),SUM(P1856)*FLOOR(SUM(R1856),0.0001),AND(P1856&lt;&gt;"",R1856&lt;&gt;"",RIGHT($N1856,6)="tarief"),P1856*FLOOR(R1856,0.01),T1856&gt;0,FLOOR(SUM(T1856),0.01)),""),""),"")</f>
        <v/>
      </c>
      <c r="W1856" s="317" t="str" cm="1">
        <f t="array" aca="1" ref="W1856" ca="1">IFERROR(_xlfn.IFS(OR(F1856="",LEFT(Methode_Keuze,4)="Geen",Methode_Keuze=""),"",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17" t="str" cm="1">
        <f t="array" aca="1" ref="X1856" ca="1">IFERROR(_xlfn.IFS(OR(F1856="",LEFT(Methode_Keuze,4)="Geen",Methode_Keuze=""),"",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26"/>
      <c r="Z1856" s="319"/>
      <c r="AA1856" s="32" t="str" cm="1">
        <f t="array" ref="AA1856">IFERROR(IF(INDEX(SubsidieTabel!$AD$1:$AG$12,MATCH($F1856,SubsidieTabel!$AD$1:$AD$12,0),IFERROR(MATCH(Methode_Keuze,SubsidieTabel!$AD$1:$AG$1,0),2))&lt;&gt;1=TRUE,"ja",""),"")</f>
        <v/>
      </c>
    </row>
    <row r="1857" spans="1:27" x14ac:dyDescent="0.25">
      <c r="A1857" s="320"/>
      <c r="B1857" s="321" t="str">
        <f>IF(A1857&lt;&gt;"",_xlfn.MAXIFS($B$1:B1856,$A$1:A1856,A1857)+1,"")</f>
        <v/>
      </c>
      <c r="C1857" s="299"/>
      <c r="D1857" s="299"/>
      <c r="E1857" s="299"/>
      <c r="F1857" s="299"/>
      <c r="G1857" s="330"/>
      <c r="H1857" s="328"/>
      <c r="I1857" s="329"/>
      <c r="J1857" s="329"/>
      <c r="K1857" s="322"/>
      <c r="L1857" s="322"/>
      <c r="M1857" s="323" t="str">
        <f>IFERROR(VLOOKUP(H1857,Lijsten!$H$1:$I$100,2,0),"")</f>
        <v/>
      </c>
      <c r="N1857" s="323" t="str">
        <f ca="1">IFERROR(IF(VLOOKUP(F1857,Kostentypen!$A$3:$E$21,3,0)=0,"",IF(OR(F1857="Arbeidskosten",F1857="Vergoeding"),VLOOKUP(G1857,Tb_KostenTypen[],2,0),VLOOKUP(F1857,Kostentypen!$A$3:$E$20,3,0))),"")</f>
        <v/>
      </c>
      <c r="O1857" s="324"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4"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3"/>
      <c r="R1857" s="363"/>
      <c r="S1857" s="325"/>
      <c r="T1857" s="325"/>
      <c r="U1857" s="317" t="str" cm="1">
        <f t="array" aca="1" ref="U1857" ca="1">IFERROR(IF(AA1857&lt;&gt;"ja",_xlfn.IFNA(_xlfn.IFS(AND(O1857&lt;&gt;"",F1857&lt;&gt;"",RIGHT($N1857,6)="tarief",F1857="Vergoeding"),SUM(O1857)*FLOOR(SUM(Q1857),0.0001),AND(O1857&lt;&gt;"",F1857&lt;&gt;"",RIGHT($N1857,6)="tarief"),SUM(O1857)*FLOOR(SUM(Q1857),0.01),S1857&gt;0,IF(F1857&lt;&gt;"",FLOOR(SUM(S1857),0.01),"")),""),""),"")</f>
        <v/>
      </c>
      <c r="V1857" s="317" t="str" cm="1">
        <f t="array" aca="1" ref="V1857" ca="1">IFERROR(IF(AA1857&lt;&gt;"ja",_xlfn.IFNA(_xlfn.IFS(AND(P1857&lt;&gt;"",R1857&lt;&gt;"",RIGHT($N1857,6)="tarief",F1857="Vergoeding"),SUM(P1857)*FLOOR(SUM(R1857),0.0001),AND(P1857&lt;&gt;"",R1857&lt;&gt;"",RIGHT($N1857,6)="tarief"),P1857*FLOOR(R1857,0.01),T1857&gt;0,FLOOR(SUM(T1857),0.01)),""),""),"")</f>
        <v/>
      </c>
      <c r="W1857" s="317" t="str" cm="1">
        <f t="array" aca="1" ref="W1857" ca="1">IFERROR(_xlfn.IFS(OR(F1857="",LEFT(Methode_Keuze,4)="Geen",Methode_Keuze=""),"",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17" t="str" cm="1">
        <f t="array" aca="1" ref="X1857" ca="1">IFERROR(_xlfn.IFS(OR(F1857="",LEFT(Methode_Keuze,4)="Geen",Methode_Keuze=""),"",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26"/>
      <c r="Z1857" s="319"/>
      <c r="AA1857" s="32" t="str" cm="1">
        <f t="array" ref="AA1857">IFERROR(IF(INDEX(SubsidieTabel!$AD$1:$AG$12,MATCH($F1857,SubsidieTabel!$AD$1:$AD$12,0),IFERROR(MATCH(Methode_Keuze,SubsidieTabel!$AD$1:$AG$1,0),2))&lt;&gt;1=TRUE,"ja",""),"")</f>
        <v/>
      </c>
    </row>
    <row r="1858" spans="1:27" x14ac:dyDescent="0.25">
      <c r="A1858" s="320"/>
      <c r="B1858" s="321" t="str">
        <f>IF(A1858&lt;&gt;"",_xlfn.MAXIFS($B$1:B1857,$A$1:A1857,A1858)+1,"")</f>
        <v/>
      </c>
      <c r="C1858" s="299"/>
      <c r="D1858" s="299"/>
      <c r="E1858" s="299"/>
      <c r="F1858" s="299"/>
      <c r="G1858" s="330"/>
      <c r="H1858" s="328"/>
      <c r="I1858" s="329"/>
      <c r="J1858" s="329"/>
      <c r="K1858" s="322"/>
      <c r="L1858" s="322"/>
      <c r="M1858" s="323" t="str">
        <f>IFERROR(VLOOKUP(H1858,Lijsten!$H$1:$I$100,2,0),"")</f>
        <v/>
      </c>
      <c r="N1858" s="323" t="str">
        <f ca="1">IFERROR(IF(VLOOKUP(F1858,Kostentypen!$A$3:$E$21,3,0)=0,"",IF(OR(F1858="Arbeidskosten",F1858="Vergoeding"),VLOOKUP(G1858,Tb_KostenTypen[],2,0),VLOOKUP(F1858,Kostentypen!$A$3:$E$20,3,0))),"")</f>
        <v/>
      </c>
      <c r="O1858" s="324"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4"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3"/>
      <c r="R1858" s="363"/>
      <c r="S1858" s="325"/>
      <c r="T1858" s="325"/>
      <c r="U1858" s="317" t="str" cm="1">
        <f t="array" aca="1" ref="U1858" ca="1">IFERROR(IF(AA1858&lt;&gt;"ja",_xlfn.IFNA(_xlfn.IFS(AND(O1858&lt;&gt;"",F1858&lt;&gt;"",RIGHT($N1858,6)="tarief",F1858="Vergoeding"),SUM(O1858)*FLOOR(SUM(Q1858),0.0001),AND(O1858&lt;&gt;"",F1858&lt;&gt;"",RIGHT($N1858,6)="tarief"),SUM(O1858)*FLOOR(SUM(Q1858),0.01),S1858&gt;0,IF(F1858&lt;&gt;"",FLOOR(SUM(S1858),0.01),"")),""),""),"")</f>
        <v/>
      </c>
      <c r="V1858" s="317" t="str" cm="1">
        <f t="array" aca="1" ref="V1858" ca="1">IFERROR(IF(AA1858&lt;&gt;"ja",_xlfn.IFNA(_xlfn.IFS(AND(P1858&lt;&gt;"",R1858&lt;&gt;"",RIGHT($N1858,6)="tarief",F1858="Vergoeding"),SUM(P1858)*FLOOR(SUM(R1858),0.0001),AND(P1858&lt;&gt;"",R1858&lt;&gt;"",RIGHT($N1858,6)="tarief"),P1858*FLOOR(R1858,0.01),T1858&gt;0,FLOOR(SUM(T1858),0.01)),""),""),"")</f>
        <v/>
      </c>
      <c r="W1858" s="317" t="str" cm="1">
        <f t="array" aca="1" ref="W1858" ca="1">IFERROR(_xlfn.IFS(OR(F1858="",LEFT(Methode_Keuze,4)="Geen",Methode_Keuze=""),"",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17" t="str" cm="1">
        <f t="array" aca="1" ref="X1858" ca="1">IFERROR(_xlfn.IFS(OR(F1858="",LEFT(Methode_Keuze,4)="Geen",Methode_Keuze=""),"",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26"/>
      <c r="Z1858" s="319"/>
      <c r="AA1858" s="32" t="str" cm="1">
        <f t="array" ref="AA1858">IFERROR(IF(INDEX(SubsidieTabel!$AD$1:$AG$12,MATCH($F1858,SubsidieTabel!$AD$1:$AD$12,0),IFERROR(MATCH(Methode_Keuze,SubsidieTabel!$AD$1:$AG$1,0),2))&lt;&gt;1=TRUE,"ja",""),"")</f>
        <v/>
      </c>
    </row>
    <row r="1859" spans="1:27" x14ac:dyDescent="0.25">
      <c r="A1859" s="320"/>
      <c r="B1859" s="321" t="str">
        <f>IF(A1859&lt;&gt;"",_xlfn.MAXIFS($B$1:B1858,$A$1:A1858,A1859)+1,"")</f>
        <v/>
      </c>
      <c r="C1859" s="299"/>
      <c r="D1859" s="299"/>
      <c r="E1859" s="299"/>
      <c r="F1859" s="299"/>
      <c r="G1859" s="330"/>
      <c r="H1859" s="328"/>
      <c r="I1859" s="329"/>
      <c r="J1859" s="329"/>
      <c r="K1859" s="322"/>
      <c r="L1859" s="322"/>
      <c r="M1859" s="323" t="str">
        <f>IFERROR(VLOOKUP(H1859,Lijsten!$H$1:$I$100,2,0),"")</f>
        <v/>
      </c>
      <c r="N1859" s="323" t="str">
        <f ca="1">IFERROR(IF(VLOOKUP(F1859,Kostentypen!$A$3:$E$21,3,0)=0,"",IF(OR(F1859="Arbeidskosten",F1859="Vergoeding"),VLOOKUP(G1859,Tb_KostenTypen[],2,0),VLOOKUP(F1859,Kostentypen!$A$3:$E$20,3,0))),"")</f>
        <v/>
      </c>
      <c r="O1859" s="324"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4"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3"/>
      <c r="R1859" s="363"/>
      <c r="S1859" s="325"/>
      <c r="T1859" s="325"/>
      <c r="U1859" s="317" t="str" cm="1">
        <f t="array" aca="1" ref="U1859" ca="1">IFERROR(IF(AA1859&lt;&gt;"ja",_xlfn.IFNA(_xlfn.IFS(AND(O1859&lt;&gt;"",F1859&lt;&gt;"",RIGHT($N1859,6)="tarief",F1859="Vergoeding"),SUM(O1859)*FLOOR(SUM(Q1859),0.0001),AND(O1859&lt;&gt;"",F1859&lt;&gt;"",RIGHT($N1859,6)="tarief"),SUM(O1859)*FLOOR(SUM(Q1859),0.01),S1859&gt;0,IF(F1859&lt;&gt;"",FLOOR(SUM(S1859),0.01),"")),""),""),"")</f>
        <v/>
      </c>
      <c r="V1859" s="317" t="str" cm="1">
        <f t="array" aca="1" ref="V1859" ca="1">IFERROR(IF(AA1859&lt;&gt;"ja",_xlfn.IFNA(_xlfn.IFS(AND(P1859&lt;&gt;"",R1859&lt;&gt;"",RIGHT($N1859,6)="tarief",F1859="Vergoeding"),SUM(P1859)*FLOOR(SUM(R1859),0.0001),AND(P1859&lt;&gt;"",R1859&lt;&gt;"",RIGHT($N1859,6)="tarief"),P1859*FLOOR(R1859,0.01),T1859&gt;0,FLOOR(SUM(T1859),0.01)),""),""),"")</f>
        <v/>
      </c>
      <c r="W1859" s="317" t="str" cm="1">
        <f t="array" aca="1" ref="W1859" ca="1">IFERROR(_xlfn.IFS(OR(F1859="",LEFT(Methode_Keuze,4)="Geen",Methode_Keuze=""),"",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17" t="str" cm="1">
        <f t="array" aca="1" ref="X1859" ca="1">IFERROR(_xlfn.IFS(OR(F1859="",LEFT(Methode_Keuze,4)="Geen",Methode_Keuze=""),"",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26"/>
      <c r="Z1859" s="319"/>
      <c r="AA1859" s="32" t="str" cm="1">
        <f t="array" ref="AA1859">IFERROR(IF(INDEX(SubsidieTabel!$AD$1:$AG$12,MATCH($F1859,SubsidieTabel!$AD$1:$AD$12,0),IFERROR(MATCH(Methode_Keuze,SubsidieTabel!$AD$1:$AG$1,0),2))&lt;&gt;1=TRUE,"ja",""),"")</f>
        <v/>
      </c>
    </row>
    <row r="1860" spans="1:27" x14ac:dyDescent="0.25">
      <c r="A1860" s="320"/>
      <c r="B1860" s="321" t="str">
        <f>IF(A1860&lt;&gt;"",_xlfn.MAXIFS($B$1:B1859,$A$1:A1859,A1860)+1,"")</f>
        <v/>
      </c>
      <c r="C1860" s="299"/>
      <c r="D1860" s="299"/>
      <c r="E1860" s="299"/>
      <c r="F1860" s="299"/>
      <c r="G1860" s="330"/>
      <c r="H1860" s="328"/>
      <c r="I1860" s="329"/>
      <c r="J1860" s="329"/>
      <c r="K1860" s="322"/>
      <c r="L1860" s="322"/>
      <c r="M1860" s="323" t="str">
        <f>IFERROR(VLOOKUP(H1860,Lijsten!$H$1:$I$100,2,0),"")</f>
        <v/>
      </c>
      <c r="N1860" s="323" t="str">
        <f ca="1">IFERROR(IF(VLOOKUP(F1860,Kostentypen!$A$3:$E$21,3,0)=0,"",IF(OR(F1860="Arbeidskosten",F1860="Vergoeding"),VLOOKUP(G1860,Tb_KostenTypen[],2,0),VLOOKUP(F1860,Kostentypen!$A$3:$E$20,3,0))),"")</f>
        <v/>
      </c>
      <c r="O1860" s="324"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4"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3"/>
      <c r="R1860" s="363"/>
      <c r="S1860" s="325"/>
      <c r="T1860" s="325"/>
      <c r="U1860" s="317" t="str" cm="1">
        <f t="array" aca="1" ref="U1860" ca="1">IFERROR(IF(AA1860&lt;&gt;"ja",_xlfn.IFNA(_xlfn.IFS(AND(O1860&lt;&gt;"",F1860&lt;&gt;"",RIGHT($N1860,6)="tarief",F1860="Vergoeding"),SUM(O1860)*FLOOR(SUM(Q1860),0.0001),AND(O1860&lt;&gt;"",F1860&lt;&gt;"",RIGHT($N1860,6)="tarief"),SUM(O1860)*FLOOR(SUM(Q1860),0.01),S1860&gt;0,IF(F1860&lt;&gt;"",FLOOR(SUM(S1860),0.01),"")),""),""),"")</f>
        <v/>
      </c>
      <c r="V1860" s="317" t="str" cm="1">
        <f t="array" aca="1" ref="V1860" ca="1">IFERROR(IF(AA1860&lt;&gt;"ja",_xlfn.IFNA(_xlfn.IFS(AND(P1860&lt;&gt;"",R1860&lt;&gt;"",RIGHT($N1860,6)="tarief",F1860="Vergoeding"),SUM(P1860)*FLOOR(SUM(R1860),0.0001),AND(P1860&lt;&gt;"",R1860&lt;&gt;"",RIGHT($N1860,6)="tarief"),P1860*FLOOR(R1860,0.01),T1860&gt;0,FLOOR(SUM(T1860),0.01)),""),""),"")</f>
        <v/>
      </c>
      <c r="W1860" s="317" t="str" cm="1">
        <f t="array" aca="1" ref="W1860" ca="1">IFERROR(_xlfn.IFS(OR(F1860="",LEFT(Methode_Keuze,4)="Geen",Methode_Keuze=""),"",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17" t="str" cm="1">
        <f t="array" aca="1" ref="X1860" ca="1">IFERROR(_xlfn.IFS(OR(F1860="",LEFT(Methode_Keuze,4)="Geen",Methode_Keuze=""),"",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26"/>
      <c r="Z1860" s="319"/>
      <c r="AA1860" s="32" t="str" cm="1">
        <f t="array" ref="AA1860">IFERROR(IF(INDEX(SubsidieTabel!$AD$1:$AG$12,MATCH($F1860,SubsidieTabel!$AD$1:$AD$12,0),IFERROR(MATCH(Methode_Keuze,SubsidieTabel!$AD$1:$AG$1,0),2))&lt;&gt;1=TRUE,"ja",""),"")</f>
        <v/>
      </c>
    </row>
    <row r="1861" spans="1:27" x14ac:dyDescent="0.25">
      <c r="A1861" s="320"/>
      <c r="B1861" s="321" t="str">
        <f>IF(A1861&lt;&gt;"",_xlfn.MAXIFS($B$1:B1860,$A$1:A1860,A1861)+1,"")</f>
        <v/>
      </c>
      <c r="C1861" s="299"/>
      <c r="D1861" s="299"/>
      <c r="E1861" s="299"/>
      <c r="F1861" s="299"/>
      <c r="G1861" s="330"/>
      <c r="H1861" s="328"/>
      <c r="I1861" s="329"/>
      <c r="J1861" s="329"/>
      <c r="K1861" s="322"/>
      <c r="L1861" s="322"/>
      <c r="M1861" s="323" t="str">
        <f>IFERROR(VLOOKUP(H1861,Lijsten!$H$1:$I$100,2,0),"")</f>
        <v/>
      </c>
      <c r="N1861" s="323" t="str">
        <f ca="1">IFERROR(IF(VLOOKUP(F1861,Kostentypen!$A$3:$E$21,3,0)=0,"",IF(OR(F1861="Arbeidskosten",F1861="Vergoeding"),VLOOKUP(G1861,Tb_KostenTypen[],2,0),VLOOKUP(F1861,Kostentypen!$A$3:$E$20,3,0))),"")</f>
        <v/>
      </c>
      <c r="O1861" s="324"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4"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3"/>
      <c r="R1861" s="363"/>
      <c r="S1861" s="325"/>
      <c r="T1861" s="325"/>
      <c r="U1861" s="317" t="str" cm="1">
        <f t="array" aca="1" ref="U1861" ca="1">IFERROR(IF(AA1861&lt;&gt;"ja",_xlfn.IFNA(_xlfn.IFS(AND(O1861&lt;&gt;"",F1861&lt;&gt;"",RIGHT($N1861,6)="tarief",F1861="Vergoeding"),SUM(O1861)*FLOOR(SUM(Q1861),0.0001),AND(O1861&lt;&gt;"",F1861&lt;&gt;"",RIGHT($N1861,6)="tarief"),SUM(O1861)*FLOOR(SUM(Q1861),0.01),S1861&gt;0,IF(F1861&lt;&gt;"",FLOOR(SUM(S1861),0.01),"")),""),""),"")</f>
        <v/>
      </c>
      <c r="V1861" s="317" t="str" cm="1">
        <f t="array" aca="1" ref="V1861" ca="1">IFERROR(IF(AA1861&lt;&gt;"ja",_xlfn.IFNA(_xlfn.IFS(AND(P1861&lt;&gt;"",R1861&lt;&gt;"",RIGHT($N1861,6)="tarief",F1861="Vergoeding"),SUM(P1861)*FLOOR(SUM(R1861),0.0001),AND(P1861&lt;&gt;"",R1861&lt;&gt;"",RIGHT($N1861,6)="tarief"),P1861*FLOOR(R1861,0.01),T1861&gt;0,FLOOR(SUM(T1861),0.01)),""),""),"")</f>
        <v/>
      </c>
      <c r="W1861" s="317" t="str" cm="1">
        <f t="array" aca="1" ref="W1861" ca="1">IFERROR(_xlfn.IFS(OR(F1861="",LEFT(Methode_Keuze,4)="Geen",Methode_Keuze=""),"",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17" t="str" cm="1">
        <f t="array" aca="1" ref="X1861" ca="1">IFERROR(_xlfn.IFS(OR(F1861="",LEFT(Methode_Keuze,4)="Geen",Methode_Keuze=""),"",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26"/>
      <c r="Z1861" s="319"/>
      <c r="AA1861" s="32" t="str" cm="1">
        <f t="array" ref="AA1861">IFERROR(IF(INDEX(SubsidieTabel!$AD$1:$AG$12,MATCH($F1861,SubsidieTabel!$AD$1:$AD$12,0),IFERROR(MATCH(Methode_Keuze,SubsidieTabel!$AD$1:$AG$1,0),2))&lt;&gt;1=TRUE,"ja",""),"")</f>
        <v/>
      </c>
    </row>
    <row r="1862" spans="1:27" x14ac:dyDescent="0.25">
      <c r="A1862" s="320"/>
      <c r="B1862" s="321" t="str">
        <f>IF(A1862&lt;&gt;"",_xlfn.MAXIFS($B$1:B1861,$A$1:A1861,A1862)+1,"")</f>
        <v/>
      </c>
      <c r="C1862" s="299"/>
      <c r="D1862" s="299"/>
      <c r="E1862" s="299"/>
      <c r="F1862" s="299"/>
      <c r="G1862" s="330"/>
      <c r="H1862" s="328"/>
      <c r="I1862" s="329"/>
      <c r="J1862" s="329"/>
      <c r="K1862" s="322"/>
      <c r="L1862" s="322"/>
      <c r="M1862" s="323" t="str">
        <f>IFERROR(VLOOKUP(H1862,Lijsten!$H$1:$I$100,2,0),"")</f>
        <v/>
      </c>
      <c r="N1862" s="323" t="str">
        <f ca="1">IFERROR(IF(VLOOKUP(F1862,Kostentypen!$A$3:$E$21,3,0)=0,"",IF(OR(F1862="Arbeidskosten",F1862="Vergoeding"),VLOOKUP(G1862,Tb_KostenTypen[],2,0),VLOOKUP(F1862,Kostentypen!$A$3:$E$20,3,0))),"")</f>
        <v/>
      </c>
      <c r="O1862" s="324"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4"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3"/>
      <c r="R1862" s="363"/>
      <c r="S1862" s="325"/>
      <c r="T1862" s="325"/>
      <c r="U1862" s="317" t="str" cm="1">
        <f t="array" aca="1" ref="U1862" ca="1">IFERROR(IF(AA1862&lt;&gt;"ja",_xlfn.IFNA(_xlfn.IFS(AND(O1862&lt;&gt;"",F1862&lt;&gt;"",RIGHT($N1862,6)="tarief",F1862="Vergoeding"),SUM(O1862)*FLOOR(SUM(Q1862),0.0001),AND(O1862&lt;&gt;"",F1862&lt;&gt;"",RIGHT($N1862,6)="tarief"),SUM(O1862)*FLOOR(SUM(Q1862),0.01),S1862&gt;0,IF(F1862&lt;&gt;"",FLOOR(SUM(S1862),0.01),"")),""),""),"")</f>
        <v/>
      </c>
      <c r="V1862" s="317" t="str" cm="1">
        <f t="array" aca="1" ref="V1862" ca="1">IFERROR(IF(AA1862&lt;&gt;"ja",_xlfn.IFNA(_xlfn.IFS(AND(P1862&lt;&gt;"",R1862&lt;&gt;"",RIGHT($N1862,6)="tarief",F1862="Vergoeding"),SUM(P1862)*FLOOR(SUM(R1862),0.0001),AND(P1862&lt;&gt;"",R1862&lt;&gt;"",RIGHT($N1862,6)="tarief"),P1862*FLOOR(R1862,0.01),T1862&gt;0,FLOOR(SUM(T1862),0.01)),""),""),"")</f>
        <v/>
      </c>
      <c r="W1862" s="317" t="str" cm="1">
        <f t="array" aca="1" ref="W1862" ca="1">IFERROR(_xlfn.IFS(OR(F1862="",LEFT(Methode_Keuze,4)="Geen",Methode_Keuze=""),"",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17" t="str" cm="1">
        <f t="array" aca="1" ref="X1862" ca="1">IFERROR(_xlfn.IFS(OR(F1862="",LEFT(Methode_Keuze,4)="Geen",Methode_Keuze=""),"",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26"/>
      <c r="Z1862" s="319"/>
      <c r="AA1862" s="32" t="str" cm="1">
        <f t="array" ref="AA1862">IFERROR(IF(INDEX(SubsidieTabel!$AD$1:$AG$12,MATCH($F1862,SubsidieTabel!$AD$1:$AD$12,0),IFERROR(MATCH(Methode_Keuze,SubsidieTabel!$AD$1:$AG$1,0),2))&lt;&gt;1=TRUE,"ja",""),"")</f>
        <v/>
      </c>
    </row>
    <row r="1863" spans="1:27" x14ac:dyDescent="0.25">
      <c r="A1863" s="320"/>
      <c r="B1863" s="321" t="str">
        <f>IF(A1863&lt;&gt;"",_xlfn.MAXIFS($B$1:B1862,$A$1:A1862,A1863)+1,"")</f>
        <v/>
      </c>
      <c r="C1863" s="299"/>
      <c r="D1863" s="299"/>
      <c r="E1863" s="299"/>
      <c r="F1863" s="299"/>
      <c r="G1863" s="330"/>
      <c r="H1863" s="328"/>
      <c r="I1863" s="329"/>
      <c r="J1863" s="329"/>
      <c r="K1863" s="322"/>
      <c r="L1863" s="322"/>
      <c r="M1863" s="323" t="str">
        <f>IFERROR(VLOOKUP(H1863,Lijsten!$H$1:$I$100,2,0),"")</f>
        <v/>
      </c>
      <c r="N1863" s="323" t="str">
        <f ca="1">IFERROR(IF(VLOOKUP(F1863,Kostentypen!$A$3:$E$21,3,0)=0,"",IF(OR(F1863="Arbeidskosten",F1863="Vergoeding"),VLOOKUP(G1863,Tb_KostenTypen[],2,0),VLOOKUP(F1863,Kostentypen!$A$3:$E$20,3,0))),"")</f>
        <v/>
      </c>
      <c r="O1863" s="324"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4"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3"/>
      <c r="R1863" s="363"/>
      <c r="S1863" s="325"/>
      <c r="T1863" s="325"/>
      <c r="U1863" s="317" t="str" cm="1">
        <f t="array" aca="1" ref="U1863" ca="1">IFERROR(IF(AA1863&lt;&gt;"ja",_xlfn.IFNA(_xlfn.IFS(AND(O1863&lt;&gt;"",F1863&lt;&gt;"",RIGHT($N1863,6)="tarief",F1863="Vergoeding"),SUM(O1863)*FLOOR(SUM(Q1863),0.0001),AND(O1863&lt;&gt;"",F1863&lt;&gt;"",RIGHT($N1863,6)="tarief"),SUM(O1863)*FLOOR(SUM(Q1863),0.01),S1863&gt;0,IF(F1863&lt;&gt;"",FLOOR(SUM(S1863),0.01),"")),""),""),"")</f>
        <v/>
      </c>
      <c r="V1863" s="317" t="str" cm="1">
        <f t="array" aca="1" ref="V1863" ca="1">IFERROR(IF(AA1863&lt;&gt;"ja",_xlfn.IFNA(_xlfn.IFS(AND(P1863&lt;&gt;"",R1863&lt;&gt;"",RIGHT($N1863,6)="tarief",F1863="Vergoeding"),SUM(P1863)*FLOOR(SUM(R1863),0.0001),AND(P1863&lt;&gt;"",R1863&lt;&gt;"",RIGHT($N1863,6)="tarief"),P1863*FLOOR(R1863,0.01),T1863&gt;0,FLOOR(SUM(T1863),0.01)),""),""),"")</f>
        <v/>
      </c>
      <c r="W1863" s="317" t="str" cm="1">
        <f t="array" aca="1" ref="W1863" ca="1">IFERROR(_xlfn.IFS(OR(F1863="",LEFT(Methode_Keuze,4)="Geen",Methode_Keuze=""),"",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17" t="str" cm="1">
        <f t="array" aca="1" ref="X1863" ca="1">IFERROR(_xlfn.IFS(OR(F1863="",LEFT(Methode_Keuze,4)="Geen",Methode_Keuze=""),"",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26"/>
      <c r="Z1863" s="319"/>
      <c r="AA1863" s="32" t="str" cm="1">
        <f t="array" ref="AA1863">IFERROR(IF(INDEX(SubsidieTabel!$AD$1:$AG$12,MATCH($F1863,SubsidieTabel!$AD$1:$AD$12,0),IFERROR(MATCH(Methode_Keuze,SubsidieTabel!$AD$1:$AG$1,0),2))&lt;&gt;1=TRUE,"ja",""),"")</f>
        <v/>
      </c>
    </row>
    <row r="1864" spans="1:27" x14ac:dyDescent="0.25">
      <c r="A1864" s="320"/>
      <c r="B1864" s="321" t="str">
        <f>IF(A1864&lt;&gt;"",_xlfn.MAXIFS($B$1:B1863,$A$1:A1863,A1864)+1,"")</f>
        <v/>
      </c>
      <c r="C1864" s="299"/>
      <c r="D1864" s="299"/>
      <c r="E1864" s="299"/>
      <c r="F1864" s="299"/>
      <c r="G1864" s="330"/>
      <c r="H1864" s="328"/>
      <c r="I1864" s="329"/>
      <c r="J1864" s="329"/>
      <c r="K1864" s="322"/>
      <c r="L1864" s="322"/>
      <c r="M1864" s="323" t="str">
        <f>IFERROR(VLOOKUP(H1864,Lijsten!$H$1:$I$100,2,0),"")</f>
        <v/>
      </c>
      <c r="N1864" s="323" t="str">
        <f ca="1">IFERROR(IF(VLOOKUP(F1864,Kostentypen!$A$3:$E$21,3,0)=0,"",IF(OR(F1864="Arbeidskosten",F1864="Vergoeding"),VLOOKUP(G1864,Tb_KostenTypen[],2,0),VLOOKUP(F1864,Kostentypen!$A$3:$E$20,3,0))),"")</f>
        <v/>
      </c>
      <c r="O1864" s="324"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4"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3"/>
      <c r="R1864" s="363"/>
      <c r="S1864" s="325"/>
      <c r="T1864" s="325"/>
      <c r="U1864" s="317" t="str" cm="1">
        <f t="array" aca="1" ref="U1864" ca="1">IFERROR(IF(AA1864&lt;&gt;"ja",_xlfn.IFNA(_xlfn.IFS(AND(O1864&lt;&gt;"",F1864&lt;&gt;"",RIGHT($N1864,6)="tarief",F1864="Vergoeding"),SUM(O1864)*FLOOR(SUM(Q1864),0.0001),AND(O1864&lt;&gt;"",F1864&lt;&gt;"",RIGHT($N1864,6)="tarief"),SUM(O1864)*FLOOR(SUM(Q1864),0.01),S1864&gt;0,IF(F1864&lt;&gt;"",FLOOR(SUM(S1864),0.01),"")),""),""),"")</f>
        <v/>
      </c>
      <c r="V1864" s="317" t="str" cm="1">
        <f t="array" aca="1" ref="V1864" ca="1">IFERROR(IF(AA1864&lt;&gt;"ja",_xlfn.IFNA(_xlfn.IFS(AND(P1864&lt;&gt;"",R1864&lt;&gt;"",RIGHT($N1864,6)="tarief",F1864="Vergoeding"),SUM(P1864)*FLOOR(SUM(R1864),0.0001),AND(P1864&lt;&gt;"",R1864&lt;&gt;"",RIGHT($N1864,6)="tarief"),P1864*FLOOR(R1864,0.01),T1864&gt;0,FLOOR(SUM(T1864),0.01)),""),""),"")</f>
        <v/>
      </c>
      <c r="W1864" s="317" t="str" cm="1">
        <f t="array" aca="1" ref="W1864" ca="1">IFERROR(_xlfn.IFS(OR(F1864="",LEFT(Methode_Keuze,4)="Geen",Methode_Keuze=""),"",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17" t="str" cm="1">
        <f t="array" aca="1" ref="X1864" ca="1">IFERROR(_xlfn.IFS(OR(F1864="",LEFT(Methode_Keuze,4)="Geen",Methode_Keuze=""),"",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26"/>
      <c r="Z1864" s="319"/>
      <c r="AA1864" s="32" t="str" cm="1">
        <f t="array" ref="AA1864">IFERROR(IF(INDEX(SubsidieTabel!$AD$1:$AG$12,MATCH($F1864,SubsidieTabel!$AD$1:$AD$12,0),IFERROR(MATCH(Methode_Keuze,SubsidieTabel!$AD$1:$AG$1,0),2))&lt;&gt;1=TRUE,"ja",""),"")</f>
        <v/>
      </c>
    </row>
    <row r="1865" spans="1:27" x14ac:dyDescent="0.25">
      <c r="A1865" s="320"/>
      <c r="B1865" s="321" t="str">
        <f>IF(A1865&lt;&gt;"",_xlfn.MAXIFS($B$1:B1864,$A$1:A1864,A1865)+1,"")</f>
        <v/>
      </c>
      <c r="C1865" s="299"/>
      <c r="D1865" s="299"/>
      <c r="E1865" s="299"/>
      <c r="F1865" s="299"/>
      <c r="G1865" s="330"/>
      <c r="H1865" s="328"/>
      <c r="I1865" s="329"/>
      <c r="J1865" s="329"/>
      <c r="K1865" s="322"/>
      <c r="L1865" s="322"/>
      <c r="M1865" s="323" t="str">
        <f>IFERROR(VLOOKUP(H1865,Lijsten!$H$1:$I$100,2,0),"")</f>
        <v/>
      </c>
      <c r="N1865" s="323" t="str">
        <f ca="1">IFERROR(IF(VLOOKUP(F1865,Kostentypen!$A$3:$E$21,3,0)=0,"",IF(OR(F1865="Arbeidskosten",F1865="Vergoeding"),VLOOKUP(G1865,Tb_KostenTypen[],2,0),VLOOKUP(F1865,Kostentypen!$A$3:$E$20,3,0))),"")</f>
        <v/>
      </c>
      <c r="O1865" s="324"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4"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3"/>
      <c r="R1865" s="363"/>
      <c r="S1865" s="325"/>
      <c r="T1865" s="325"/>
      <c r="U1865" s="317" t="str" cm="1">
        <f t="array" aca="1" ref="U1865" ca="1">IFERROR(IF(AA1865&lt;&gt;"ja",_xlfn.IFNA(_xlfn.IFS(AND(O1865&lt;&gt;"",F1865&lt;&gt;"",RIGHT($N1865,6)="tarief",F1865="Vergoeding"),SUM(O1865)*FLOOR(SUM(Q1865),0.0001),AND(O1865&lt;&gt;"",F1865&lt;&gt;"",RIGHT($N1865,6)="tarief"),SUM(O1865)*FLOOR(SUM(Q1865),0.01),S1865&gt;0,IF(F1865&lt;&gt;"",FLOOR(SUM(S1865),0.01),"")),""),""),"")</f>
        <v/>
      </c>
      <c r="V1865" s="317" t="str" cm="1">
        <f t="array" aca="1" ref="V1865" ca="1">IFERROR(IF(AA1865&lt;&gt;"ja",_xlfn.IFNA(_xlfn.IFS(AND(P1865&lt;&gt;"",R1865&lt;&gt;"",RIGHT($N1865,6)="tarief",F1865="Vergoeding"),SUM(P1865)*FLOOR(SUM(R1865),0.0001),AND(P1865&lt;&gt;"",R1865&lt;&gt;"",RIGHT($N1865,6)="tarief"),P1865*FLOOR(R1865,0.01),T1865&gt;0,FLOOR(SUM(T1865),0.01)),""),""),"")</f>
        <v/>
      </c>
      <c r="W1865" s="317" t="str" cm="1">
        <f t="array" aca="1" ref="W1865" ca="1">IFERROR(_xlfn.IFS(OR(F1865="",LEFT(Methode_Keuze,4)="Geen",Methode_Keuze=""),"",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17" t="str" cm="1">
        <f t="array" aca="1" ref="X1865" ca="1">IFERROR(_xlfn.IFS(OR(F1865="",LEFT(Methode_Keuze,4)="Geen",Methode_Keuze=""),"",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26"/>
      <c r="Z1865" s="319"/>
      <c r="AA1865" s="32" t="str" cm="1">
        <f t="array" ref="AA1865">IFERROR(IF(INDEX(SubsidieTabel!$AD$1:$AG$12,MATCH($F1865,SubsidieTabel!$AD$1:$AD$12,0),IFERROR(MATCH(Methode_Keuze,SubsidieTabel!$AD$1:$AG$1,0),2))&lt;&gt;1=TRUE,"ja",""),"")</f>
        <v/>
      </c>
    </row>
    <row r="1866" spans="1:27" x14ac:dyDescent="0.25">
      <c r="A1866" s="320"/>
      <c r="B1866" s="321" t="str">
        <f>IF(A1866&lt;&gt;"",_xlfn.MAXIFS($B$1:B1865,$A$1:A1865,A1866)+1,"")</f>
        <v/>
      </c>
      <c r="C1866" s="299"/>
      <c r="D1866" s="299"/>
      <c r="E1866" s="299"/>
      <c r="F1866" s="299"/>
      <c r="G1866" s="330"/>
      <c r="H1866" s="328"/>
      <c r="I1866" s="329"/>
      <c r="J1866" s="329"/>
      <c r="K1866" s="322"/>
      <c r="L1866" s="322"/>
      <c r="M1866" s="323" t="str">
        <f>IFERROR(VLOOKUP(H1866,Lijsten!$H$1:$I$100,2,0),"")</f>
        <v/>
      </c>
      <c r="N1866" s="323" t="str">
        <f ca="1">IFERROR(IF(VLOOKUP(F1866,Kostentypen!$A$3:$E$21,3,0)=0,"",IF(OR(F1866="Arbeidskosten",F1866="Vergoeding"),VLOOKUP(G1866,Tb_KostenTypen[],2,0),VLOOKUP(F1866,Kostentypen!$A$3:$E$20,3,0))),"")</f>
        <v/>
      </c>
      <c r="O1866" s="324"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4"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3"/>
      <c r="R1866" s="363"/>
      <c r="S1866" s="325"/>
      <c r="T1866" s="325"/>
      <c r="U1866" s="317" t="str" cm="1">
        <f t="array" aca="1" ref="U1866" ca="1">IFERROR(IF(AA1866&lt;&gt;"ja",_xlfn.IFNA(_xlfn.IFS(AND(O1866&lt;&gt;"",F1866&lt;&gt;"",RIGHT($N1866,6)="tarief",F1866="Vergoeding"),SUM(O1866)*FLOOR(SUM(Q1866),0.0001),AND(O1866&lt;&gt;"",F1866&lt;&gt;"",RIGHT($N1866,6)="tarief"),SUM(O1866)*FLOOR(SUM(Q1866),0.01),S1866&gt;0,IF(F1866&lt;&gt;"",FLOOR(SUM(S1866),0.01),"")),""),""),"")</f>
        <v/>
      </c>
      <c r="V1866" s="317" t="str" cm="1">
        <f t="array" aca="1" ref="V1866" ca="1">IFERROR(IF(AA1866&lt;&gt;"ja",_xlfn.IFNA(_xlfn.IFS(AND(P1866&lt;&gt;"",R1866&lt;&gt;"",RIGHT($N1866,6)="tarief",F1866="Vergoeding"),SUM(P1866)*FLOOR(SUM(R1866),0.0001),AND(P1866&lt;&gt;"",R1866&lt;&gt;"",RIGHT($N1866,6)="tarief"),P1866*FLOOR(R1866,0.01),T1866&gt;0,FLOOR(SUM(T1866),0.01)),""),""),"")</f>
        <v/>
      </c>
      <c r="W1866" s="317" t="str" cm="1">
        <f t="array" aca="1" ref="W1866" ca="1">IFERROR(_xlfn.IFS(OR(F1866="",LEFT(Methode_Keuze,4)="Geen",Methode_Keuze=""),"",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17" t="str" cm="1">
        <f t="array" aca="1" ref="X1866" ca="1">IFERROR(_xlfn.IFS(OR(F1866="",LEFT(Methode_Keuze,4)="Geen",Methode_Keuze=""),"",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26"/>
      <c r="Z1866" s="319"/>
      <c r="AA1866" s="32" t="str" cm="1">
        <f t="array" ref="AA1866">IFERROR(IF(INDEX(SubsidieTabel!$AD$1:$AG$12,MATCH($F1866,SubsidieTabel!$AD$1:$AD$12,0),IFERROR(MATCH(Methode_Keuze,SubsidieTabel!$AD$1:$AG$1,0),2))&lt;&gt;1=TRUE,"ja",""),"")</f>
        <v/>
      </c>
    </row>
    <row r="1867" spans="1:27" x14ac:dyDescent="0.25">
      <c r="A1867" s="320"/>
      <c r="B1867" s="321" t="str">
        <f>IF(A1867&lt;&gt;"",_xlfn.MAXIFS($B$1:B1866,$A$1:A1866,A1867)+1,"")</f>
        <v/>
      </c>
      <c r="C1867" s="299"/>
      <c r="D1867" s="299"/>
      <c r="E1867" s="299"/>
      <c r="F1867" s="299"/>
      <c r="G1867" s="330"/>
      <c r="H1867" s="328"/>
      <c r="I1867" s="329"/>
      <c r="J1867" s="329"/>
      <c r="K1867" s="322"/>
      <c r="L1867" s="322"/>
      <c r="M1867" s="323" t="str">
        <f>IFERROR(VLOOKUP(H1867,Lijsten!$H$1:$I$100,2,0),"")</f>
        <v/>
      </c>
      <c r="N1867" s="323" t="str">
        <f ca="1">IFERROR(IF(VLOOKUP(F1867,Kostentypen!$A$3:$E$21,3,0)=0,"",IF(OR(F1867="Arbeidskosten",F1867="Vergoeding"),VLOOKUP(G1867,Tb_KostenTypen[],2,0),VLOOKUP(F1867,Kostentypen!$A$3:$E$20,3,0))),"")</f>
        <v/>
      </c>
      <c r="O1867" s="324"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4"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3"/>
      <c r="R1867" s="363"/>
      <c r="S1867" s="325"/>
      <c r="T1867" s="325"/>
      <c r="U1867" s="317" t="str" cm="1">
        <f t="array" aca="1" ref="U1867" ca="1">IFERROR(IF(AA1867&lt;&gt;"ja",_xlfn.IFNA(_xlfn.IFS(AND(O1867&lt;&gt;"",F1867&lt;&gt;"",RIGHT($N1867,6)="tarief",F1867="Vergoeding"),SUM(O1867)*FLOOR(SUM(Q1867),0.0001),AND(O1867&lt;&gt;"",F1867&lt;&gt;"",RIGHT($N1867,6)="tarief"),SUM(O1867)*FLOOR(SUM(Q1867),0.01),S1867&gt;0,IF(F1867&lt;&gt;"",FLOOR(SUM(S1867),0.01),"")),""),""),"")</f>
        <v/>
      </c>
      <c r="V1867" s="317" t="str" cm="1">
        <f t="array" aca="1" ref="V1867" ca="1">IFERROR(IF(AA1867&lt;&gt;"ja",_xlfn.IFNA(_xlfn.IFS(AND(P1867&lt;&gt;"",R1867&lt;&gt;"",RIGHT($N1867,6)="tarief",F1867="Vergoeding"),SUM(P1867)*FLOOR(SUM(R1867),0.0001),AND(P1867&lt;&gt;"",R1867&lt;&gt;"",RIGHT($N1867,6)="tarief"),P1867*FLOOR(R1867,0.01),T1867&gt;0,FLOOR(SUM(T1867),0.01)),""),""),"")</f>
        <v/>
      </c>
      <c r="W1867" s="317" t="str" cm="1">
        <f t="array" aca="1" ref="W1867" ca="1">IFERROR(_xlfn.IFS(OR(F1867="",LEFT(Methode_Keuze,4)="Geen",Methode_Keuze=""),"",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17" t="str" cm="1">
        <f t="array" aca="1" ref="X1867" ca="1">IFERROR(_xlfn.IFS(OR(F1867="",LEFT(Methode_Keuze,4)="Geen",Methode_Keuze=""),"",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26"/>
      <c r="Z1867" s="319"/>
      <c r="AA1867" s="32" t="str" cm="1">
        <f t="array" ref="AA1867">IFERROR(IF(INDEX(SubsidieTabel!$AD$1:$AG$12,MATCH($F1867,SubsidieTabel!$AD$1:$AD$12,0),IFERROR(MATCH(Methode_Keuze,SubsidieTabel!$AD$1:$AG$1,0),2))&lt;&gt;1=TRUE,"ja",""),"")</f>
        <v/>
      </c>
    </row>
    <row r="1868" spans="1:27" x14ac:dyDescent="0.25">
      <c r="A1868" s="320"/>
      <c r="B1868" s="321" t="str">
        <f>IF(A1868&lt;&gt;"",_xlfn.MAXIFS($B$1:B1867,$A$1:A1867,A1868)+1,"")</f>
        <v/>
      </c>
      <c r="C1868" s="299"/>
      <c r="D1868" s="299"/>
      <c r="E1868" s="299"/>
      <c r="F1868" s="299"/>
      <c r="G1868" s="330"/>
      <c r="H1868" s="328"/>
      <c r="I1868" s="329"/>
      <c r="J1868" s="329"/>
      <c r="K1868" s="322"/>
      <c r="L1868" s="322"/>
      <c r="M1868" s="323" t="str">
        <f>IFERROR(VLOOKUP(H1868,Lijsten!$H$1:$I$100,2,0),"")</f>
        <v/>
      </c>
      <c r="N1868" s="323" t="str">
        <f ca="1">IFERROR(IF(VLOOKUP(F1868,Kostentypen!$A$3:$E$21,3,0)=0,"",IF(OR(F1868="Arbeidskosten",F1868="Vergoeding"),VLOOKUP(G1868,Tb_KostenTypen[],2,0),VLOOKUP(F1868,Kostentypen!$A$3:$E$20,3,0))),"")</f>
        <v/>
      </c>
      <c r="O1868" s="324"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4"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3"/>
      <c r="R1868" s="363"/>
      <c r="S1868" s="325"/>
      <c r="T1868" s="325"/>
      <c r="U1868" s="317" t="str" cm="1">
        <f t="array" aca="1" ref="U1868" ca="1">IFERROR(IF(AA1868&lt;&gt;"ja",_xlfn.IFNA(_xlfn.IFS(AND(O1868&lt;&gt;"",F1868&lt;&gt;"",RIGHT($N1868,6)="tarief",F1868="Vergoeding"),SUM(O1868)*FLOOR(SUM(Q1868),0.0001),AND(O1868&lt;&gt;"",F1868&lt;&gt;"",RIGHT($N1868,6)="tarief"),SUM(O1868)*FLOOR(SUM(Q1868),0.01),S1868&gt;0,IF(F1868&lt;&gt;"",FLOOR(SUM(S1868),0.01),"")),""),""),"")</f>
        <v/>
      </c>
      <c r="V1868" s="317" t="str" cm="1">
        <f t="array" aca="1" ref="V1868" ca="1">IFERROR(IF(AA1868&lt;&gt;"ja",_xlfn.IFNA(_xlfn.IFS(AND(P1868&lt;&gt;"",R1868&lt;&gt;"",RIGHT($N1868,6)="tarief",F1868="Vergoeding"),SUM(P1868)*FLOOR(SUM(R1868),0.0001),AND(P1868&lt;&gt;"",R1868&lt;&gt;"",RIGHT($N1868,6)="tarief"),P1868*FLOOR(R1868,0.01),T1868&gt;0,FLOOR(SUM(T1868),0.01)),""),""),"")</f>
        <v/>
      </c>
      <c r="W1868" s="317" t="str" cm="1">
        <f t="array" aca="1" ref="W1868" ca="1">IFERROR(_xlfn.IFS(OR(F1868="",LEFT(Methode_Keuze,4)="Geen",Methode_Keuze=""),"",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17" t="str" cm="1">
        <f t="array" aca="1" ref="X1868" ca="1">IFERROR(_xlfn.IFS(OR(F1868="",LEFT(Methode_Keuze,4)="Geen",Methode_Keuze=""),"",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26"/>
      <c r="Z1868" s="319"/>
      <c r="AA1868" s="32" t="str" cm="1">
        <f t="array" ref="AA1868">IFERROR(IF(INDEX(SubsidieTabel!$AD$1:$AG$12,MATCH($F1868,SubsidieTabel!$AD$1:$AD$12,0),IFERROR(MATCH(Methode_Keuze,SubsidieTabel!$AD$1:$AG$1,0),2))&lt;&gt;1=TRUE,"ja",""),"")</f>
        <v/>
      </c>
    </row>
    <row r="1869" spans="1:27" x14ac:dyDescent="0.25">
      <c r="A1869" s="320"/>
      <c r="B1869" s="321" t="str">
        <f>IF(A1869&lt;&gt;"",_xlfn.MAXIFS($B$1:B1868,$A$1:A1868,A1869)+1,"")</f>
        <v/>
      </c>
      <c r="C1869" s="299"/>
      <c r="D1869" s="299"/>
      <c r="E1869" s="299"/>
      <c r="F1869" s="299"/>
      <c r="G1869" s="330"/>
      <c r="H1869" s="328"/>
      <c r="I1869" s="329"/>
      <c r="J1869" s="329"/>
      <c r="K1869" s="322"/>
      <c r="L1869" s="322"/>
      <c r="M1869" s="323" t="str">
        <f>IFERROR(VLOOKUP(H1869,Lijsten!$H$1:$I$100,2,0),"")</f>
        <v/>
      </c>
      <c r="N1869" s="323" t="str">
        <f ca="1">IFERROR(IF(VLOOKUP(F1869,Kostentypen!$A$3:$E$21,3,0)=0,"",IF(OR(F1869="Arbeidskosten",F1869="Vergoeding"),VLOOKUP(G1869,Tb_KostenTypen[],2,0),VLOOKUP(F1869,Kostentypen!$A$3:$E$20,3,0))),"")</f>
        <v/>
      </c>
      <c r="O1869" s="324"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4"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3"/>
      <c r="R1869" s="363"/>
      <c r="S1869" s="325"/>
      <c r="T1869" s="325"/>
      <c r="U1869" s="317" t="str" cm="1">
        <f t="array" aca="1" ref="U1869" ca="1">IFERROR(IF(AA1869&lt;&gt;"ja",_xlfn.IFNA(_xlfn.IFS(AND(O1869&lt;&gt;"",F1869&lt;&gt;"",RIGHT($N1869,6)="tarief",F1869="Vergoeding"),SUM(O1869)*FLOOR(SUM(Q1869),0.0001),AND(O1869&lt;&gt;"",F1869&lt;&gt;"",RIGHT($N1869,6)="tarief"),SUM(O1869)*FLOOR(SUM(Q1869),0.01),S1869&gt;0,IF(F1869&lt;&gt;"",FLOOR(SUM(S1869),0.01),"")),""),""),"")</f>
        <v/>
      </c>
      <c r="V1869" s="317" t="str" cm="1">
        <f t="array" aca="1" ref="V1869" ca="1">IFERROR(IF(AA1869&lt;&gt;"ja",_xlfn.IFNA(_xlfn.IFS(AND(P1869&lt;&gt;"",R1869&lt;&gt;"",RIGHT($N1869,6)="tarief",F1869="Vergoeding"),SUM(P1869)*FLOOR(SUM(R1869),0.0001),AND(P1869&lt;&gt;"",R1869&lt;&gt;"",RIGHT($N1869,6)="tarief"),P1869*FLOOR(R1869,0.01),T1869&gt;0,FLOOR(SUM(T1869),0.01)),""),""),"")</f>
        <v/>
      </c>
      <c r="W1869" s="317" t="str" cm="1">
        <f t="array" aca="1" ref="W1869" ca="1">IFERROR(_xlfn.IFS(OR(F1869="",LEFT(Methode_Keuze,4)="Geen",Methode_Keuze=""),"",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17" t="str" cm="1">
        <f t="array" aca="1" ref="X1869" ca="1">IFERROR(_xlfn.IFS(OR(F1869="",LEFT(Methode_Keuze,4)="Geen",Methode_Keuze=""),"",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26"/>
      <c r="Z1869" s="319"/>
      <c r="AA1869" s="32" t="str" cm="1">
        <f t="array" ref="AA1869">IFERROR(IF(INDEX(SubsidieTabel!$AD$1:$AG$12,MATCH($F1869,SubsidieTabel!$AD$1:$AD$12,0),IFERROR(MATCH(Methode_Keuze,SubsidieTabel!$AD$1:$AG$1,0),2))&lt;&gt;1=TRUE,"ja",""),"")</f>
        <v/>
      </c>
    </row>
    <row r="1870" spans="1:27" x14ac:dyDescent="0.25">
      <c r="A1870" s="320"/>
      <c r="B1870" s="321" t="str">
        <f>IF(A1870&lt;&gt;"",_xlfn.MAXIFS($B$1:B1869,$A$1:A1869,A1870)+1,"")</f>
        <v/>
      </c>
      <c r="C1870" s="299"/>
      <c r="D1870" s="299"/>
      <c r="E1870" s="299"/>
      <c r="F1870" s="299"/>
      <c r="G1870" s="330"/>
      <c r="H1870" s="328"/>
      <c r="I1870" s="329"/>
      <c r="J1870" s="329"/>
      <c r="K1870" s="322"/>
      <c r="L1870" s="322"/>
      <c r="M1870" s="323" t="str">
        <f>IFERROR(VLOOKUP(H1870,Lijsten!$H$1:$I$100,2,0),"")</f>
        <v/>
      </c>
      <c r="N1870" s="323" t="str">
        <f ca="1">IFERROR(IF(VLOOKUP(F1870,Kostentypen!$A$3:$E$21,3,0)=0,"",IF(OR(F1870="Arbeidskosten",F1870="Vergoeding"),VLOOKUP(G1870,Tb_KostenTypen[],2,0),VLOOKUP(F1870,Kostentypen!$A$3:$E$20,3,0))),"")</f>
        <v/>
      </c>
      <c r="O1870" s="324"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4"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3"/>
      <c r="R1870" s="363"/>
      <c r="S1870" s="325"/>
      <c r="T1870" s="325"/>
      <c r="U1870" s="317" t="str" cm="1">
        <f t="array" aca="1" ref="U1870" ca="1">IFERROR(IF(AA1870&lt;&gt;"ja",_xlfn.IFNA(_xlfn.IFS(AND(O1870&lt;&gt;"",F1870&lt;&gt;"",RIGHT($N1870,6)="tarief",F1870="Vergoeding"),SUM(O1870)*FLOOR(SUM(Q1870),0.0001),AND(O1870&lt;&gt;"",F1870&lt;&gt;"",RIGHT($N1870,6)="tarief"),SUM(O1870)*FLOOR(SUM(Q1870),0.01),S1870&gt;0,IF(F1870&lt;&gt;"",FLOOR(SUM(S1870),0.01),"")),""),""),"")</f>
        <v/>
      </c>
      <c r="V1870" s="317" t="str" cm="1">
        <f t="array" aca="1" ref="V1870" ca="1">IFERROR(IF(AA1870&lt;&gt;"ja",_xlfn.IFNA(_xlfn.IFS(AND(P1870&lt;&gt;"",R1870&lt;&gt;"",RIGHT($N1870,6)="tarief",F1870="Vergoeding"),SUM(P1870)*FLOOR(SUM(R1870),0.0001),AND(P1870&lt;&gt;"",R1870&lt;&gt;"",RIGHT($N1870,6)="tarief"),P1870*FLOOR(R1870,0.01),T1870&gt;0,FLOOR(SUM(T1870),0.01)),""),""),"")</f>
        <v/>
      </c>
      <c r="W1870" s="317" t="str" cm="1">
        <f t="array" aca="1" ref="W1870" ca="1">IFERROR(_xlfn.IFS(OR(F1870="",LEFT(Methode_Keuze,4)="Geen",Methode_Keuze=""),"",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17" t="str" cm="1">
        <f t="array" aca="1" ref="X1870" ca="1">IFERROR(_xlfn.IFS(OR(F1870="",LEFT(Methode_Keuze,4)="Geen",Methode_Keuze=""),"",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26"/>
      <c r="Z1870" s="319"/>
      <c r="AA1870" s="32" t="str" cm="1">
        <f t="array" ref="AA1870">IFERROR(IF(INDEX(SubsidieTabel!$AD$1:$AG$12,MATCH($F1870,SubsidieTabel!$AD$1:$AD$12,0),IFERROR(MATCH(Methode_Keuze,SubsidieTabel!$AD$1:$AG$1,0),2))&lt;&gt;1=TRUE,"ja",""),"")</f>
        <v/>
      </c>
    </row>
    <row r="1871" spans="1:27" x14ac:dyDescent="0.25">
      <c r="A1871" s="320"/>
      <c r="B1871" s="321" t="str">
        <f>IF(A1871&lt;&gt;"",_xlfn.MAXIFS($B$1:B1870,$A$1:A1870,A1871)+1,"")</f>
        <v/>
      </c>
      <c r="C1871" s="299"/>
      <c r="D1871" s="299"/>
      <c r="E1871" s="299"/>
      <c r="F1871" s="299"/>
      <c r="G1871" s="330"/>
      <c r="H1871" s="328"/>
      <c r="I1871" s="329"/>
      <c r="J1871" s="329"/>
      <c r="K1871" s="322"/>
      <c r="L1871" s="322"/>
      <c r="M1871" s="323" t="str">
        <f>IFERROR(VLOOKUP(H1871,Lijsten!$H$1:$I$100,2,0),"")</f>
        <v/>
      </c>
      <c r="N1871" s="323" t="str">
        <f ca="1">IFERROR(IF(VLOOKUP(F1871,Kostentypen!$A$3:$E$21,3,0)=0,"",IF(OR(F1871="Arbeidskosten",F1871="Vergoeding"),VLOOKUP(G1871,Tb_KostenTypen[],2,0),VLOOKUP(F1871,Kostentypen!$A$3:$E$20,3,0))),"")</f>
        <v/>
      </c>
      <c r="O1871" s="324"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4"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3"/>
      <c r="R1871" s="363"/>
      <c r="S1871" s="325"/>
      <c r="T1871" s="325"/>
      <c r="U1871" s="317" t="str" cm="1">
        <f t="array" aca="1" ref="U1871" ca="1">IFERROR(IF(AA1871&lt;&gt;"ja",_xlfn.IFNA(_xlfn.IFS(AND(O1871&lt;&gt;"",F1871&lt;&gt;"",RIGHT($N1871,6)="tarief",F1871="Vergoeding"),SUM(O1871)*FLOOR(SUM(Q1871),0.0001),AND(O1871&lt;&gt;"",F1871&lt;&gt;"",RIGHT($N1871,6)="tarief"),SUM(O1871)*FLOOR(SUM(Q1871),0.01),S1871&gt;0,IF(F1871&lt;&gt;"",FLOOR(SUM(S1871),0.01),"")),""),""),"")</f>
        <v/>
      </c>
      <c r="V1871" s="317" t="str" cm="1">
        <f t="array" aca="1" ref="V1871" ca="1">IFERROR(IF(AA1871&lt;&gt;"ja",_xlfn.IFNA(_xlfn.IFS(AND(P1871&lt;&gt;"",R1871&lt;&gt;"",RIGHT($N1871,6)="tarief",F1871="Vergoeding"),SUM(P1871)*FLOOR(SUM(R1871),0.0001),AND(P1871&lt;&gt;"",R1871&lt;&gt;"",RIGHT($N1871,6)="tarief"),P1871*FLOOR(R1871,0.01),T1871&gt;0,FLOOR(SUM(T1871),0.01)),""),""),"")</f>
        <v/>
      </c>
      <c r="W1871" s="317" t="str" cm="1">
        <f t="array" aca="1" ref="W1871" ca="1">IFERROR(_xlfn.IFS(OR(F1871="",LEFT(Methode_Keuze,4)="Geen",Methode_Keuze=""),"",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17" t="str" cm="1">
        <f t="array" aca="1" ref="X1871" ca="1">IFERROR(_xlfn.IFS(OR(F1871="",LEFT(Methode_Keuze,4)="Geen",Methode_Keuze=""),"",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26"/>
      <c r="Z1871" s="319"/>
      <c r="AA1871" s="32" t="str" cm="1">
        <f t="array" ref="AA1871">IFERROR(IF(INDEX(SubsidieTabel!$AD$1:$AG$12,MATCH($F1871,SubsidieTabel!$AD$1:$AD$12,0),IFERROR(MATCH(Methode_Keuze,SubsidieTabel!$AD$1:$AG$1,0),2))&lt;&gt;1=TRUE,"ja",""),"")</f>
        <v/>
      </c>
    </row>
    <row r="1872" spans="1:27" x14ac:dyDescent="0.25">
      <c r="A1872" s="320"/>
      <c r="B1872" s="321" t="str">
        <f>IF(A1872&lt;&gt;"",_xlfn.MAXIFS($B$1:B1871,$A$1:A1871,A1872)+1,"")</f>
        <v/>
      </c>
      <c r="C1872" s="299"/>
      <c r="D1872" s="299"/>
      <c r="E1872" s="299"/>
      <c r="F1872" s="299"/>
      <c r="G1872" s="330"/>
      <c r="H1872" s="328"/>
      <c r="I1872" s="329"/>
      <c r="J1872" s="329"/>
      <c r="K1872" s="322"/>
      <c r="L1872" s="322"/>
      <c r="M1872" s="323" t="str">
        <f>IFERROR(VLOOKUP(H1872,Lijsten!$H$1:$I$100,2,0),"")</f>
        <v/>
      </c>
      <c r="N1872" s="323" t="str">
        <f ca="1">IFERROR(IF(VLOOKUP(F1872,Kostentypen!$A$3:$E$21,3,0)=0,"",IF(OR(F1872="Arbeidskosten",F1872="Vergoeding"),VLOOKUP(G1872,Tb_KostenTypen[],2,0),VLOOKUP(F1872,Kostentypen!$A$3:$E$20,3,0))),"")</f>
        <v/>
      </c>
      <c r="O1872" s="324"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4"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3"/>
      <c r="R1872" s="363"/>
      <c r="S1872" s="325"/>
      <c r="T1872" s="325"/>
      <c r="U1872" s="317" t="str" cm="1">
        <f t="array" aca="1" ref="U1872" ca="1">IFERROR(IF(AA1872&lt;&gt;"ja",_xlfn.IFNA(_xlfn.IFS(AND(O1872&lt;&gt;"",F1872&lt;&gt;"",RIGHT($N1872,6)="tarief",F1872="Vergoeding"),SUM(O1872)*FLOOR(SUM(Q1872),0.0001),AND(O1872&lt;&gt;"",F1872&lt;&gt;"",RIGHT($N1872,6)="tarief"),SUM(O1872)*FLOOR(SUM(Q1872),0.01),S1872&gt;0,IF(F1872&lt;&gt;"",FLOOR(SUM(S1872),0.01),"")),""),""),"")</f>
        <v/>
      </c>
      <c r="V1872" s="317" t="str" cm="1">
        <f t="array" aca="1" ref="V1872" ca="1">IFERROR(IF(AA1872&lt;&gt;"ja",_xlfn.IFNA(_xlfn.IFS(AND(P1872&lt;&gt;"",R1872&lt;&gt;"",RIGHT($N1872,6)="tarief",F1872="Vergoeding"),SUM(P1872)*FLOOR(SUM(R1872),0.0001),AND(P1872&lt;&gt;"",R1872&lt;&gt;"",RIGHT($N1872,6)="tarief"),P1872*FLOOR(R1872,0.01),T1872&gt;0,FLOOR(SUM(T1872),0.01)),""),""),"")</f>
        <v/>
      </c>
      <c r="W1872" s="317" t="str" cm="1">
        <f t="array" aca="1" ref="W1872" ca="1">IFERROR(_xlfn.IFS(OR(F1872="",LEFT(Methode_Keuze,4)="Geen",Methode_Keuze=""),"",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17" t="str" cm="1">
        <f t="array" aca="1" ref="X1872" ca="1">IFERROR(_xlfn.IFS(OR(F1872="",LEFT(Methode_Keuze,4)="Geen",Methode_Keuze=""),"",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26"/>
      <c r="Z1872" s="319"/>
      <c r="AA1872" s="32" t="str" cm="1">
        <f t="array" ref="AA1872">IFERROR(IF(INDEX(SubsidieTabel!$AD$1:$AG$12,MATCH($F1872,SubsidieTabel!$AD$1:$AD$12,0),IFERROR(MATCH(Methode_Keuze,SubsidieTabel!$AD$1:$AG$1,0),2))&lt;&gt;1=TRUE,"ja",""),"")</f>
        <v/>
      </c>
    </row>
    <row r="1873" spans="1:27" x14ac:dyDescent="0.25">
      <c r="A1873" s="320"/>
      <c r="B1873" s="321" t="str">
        <f>IF(A1873&lt;&gt;"",_xlfn.MAXIFS($B$1:B1872,$A$1:A1872,A1873)+1,"")</f>
        <v/>
      </c>
      <c r="C1873" s="299"/>
      <c r="D1873" s="299"/>
      <c r="E1873" s="299"/>
      <c r="F1873" s="299"/>
      <c r="G1873" s="330"/>
      <c r="H1873" s="328"/>
      <c r="I1873" s="329"/>
      <c r="J1873" s="329"/>
      <c r="K1873" s="322"/>
      <c r="L1873" s="322"/>
      <c r="M1873" s="323" t="str">
        <f>IFERROR(VLOOKUP(H1873,Lijsten!$H$1:$I$100,2,0),"")</f>
        <v/>
      </c>
      <c r="N1873" s="323" t="str">
        <f ca="1">IFERROR(IF(VLOOKUP(F1873,Kostentypen!$A$3:$E$21,3,0)=0,"",IF(OR(F1873="Arbeidskosten",F1873="Vergoeding"),VLOOKUP(G1873,Tb_KostenTypen[],2,0),VLOOKUP(F1873,Kostentypen!$A$3:$E$20,3,0))),"")</f>
        <v/>
      </c>
      <c r="O1873" s="324"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4"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3"/>
      <c r="R1873" s="363"/>
      <c r="S1873" s="325"/>
      <c r="T1873" s="325"/>
      <c r="U1873" s="317" t="str" cm="1">
        <f t="array" aca="1" ref="U1873" ca="1">IFERROR(IF(AA1873&lt;&gt;"ja",_xlfn.IFNA(_xlfn.IFS(AND(O1873&lt;&gt;"",F1873&lt;&gt;"",RIGHT($N1873,6)="tarief",F1873="Vergoeding"),SUM(O1873)*FLOOR(SUM(Q1873),0.0001),AND(O1873&lt;&gt;"",F1873&lt;&gt;"",RIGHT($N1873,6)="tarief"),SUM(O1873)*FLOOR(SUM(Q1873),0.01),S1873&gt;0,IF(F1873&lt;&gt;"",FLOOR(SUM(S1873),0.01),"")),""),""),"")</f>
        <v/>
      </c>
      <c r="V1873" s="317" t="str" cm="1">
        <f t="array" aca="1" ref="V1873" ca="1">IFERROR(IF(AA1873&lt;&gt;"ja",_xlfn.IFNA(_xlfn.IFS(AND(P1873&lt;&gt;"",R1873&lt;&gt;"",RIGHT($N1873,6)="tarief",F1873="Vergoeding"),SUM(P1873)*FLOOR(SUM(R1873),0.0001),AND(P1873&lt;&gt;"",R1873&lt;&gt;"",RIGHT($N1873,6)="tarief"),P1873*FLOOR(R1873,0.01),T1873&gt;0,FLOOR(SUM(T1873),0.01)),""),""),"")</f>
        <v/>
      </c>
      <c r="W1873" s="317" t="str" cm="1">
        <f t="array" aca="1" ref="W1873" ca="1">IFERROR(_xlfn.IFS(OR(F1873="",LEFT(Methode_Keuze,4)="Geen",Methode_Keuze=""),"",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17" t="str" cm="1">
        <f t="array" aca="1" ref="X1873" ca="1">IFERROR(_xlfn.IFS(OR(F1873="",LEFT(Methode_Keuze,4)="Geen",Methode_Keuze=""),"",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26"/>
      <c r="Z1873" s="319"/>
      <c r="AA1873" s="32" t="str" cm="1">
        <f t="array" ref="AA1873">IFERROR(IF(INDEX(SubsidieTabel!$AD$1:$AG$12,MATCH($F1873,SubsidieTabel!$AD$1:$AD$12,0),IFERROR(MATCH(Methode_Keuze,SubsidieTabel!$AD$1:$AG$1,0),2))&lt;&gt;1=TRUE,"ja",""),"")</f>
        <v/>
      </c>
    </row>
    <row r="1874" spans="1:27" x14ac:dyDescent="0.25">
      <c r="A1874" s="320"/>
      <c r="B1874" s="321" t="str">
        <f>IF(A1874&lt;&gt;"",_xlfn.MAXIFS($B$1:B1873,$A$1:A1873,A1874)+1,"")</f>
        <v/>
      </c>
      <c r="C1874" s="299"/>
      <c r="D1874" s="299"/>
      <c r="E1874" s="299"/>
      <c r="F1874" s="299"/>
      <c r="G1874" s="330"/>
      <c r="H1874" s="328"/>
      <c r="I1874" s="329"/>
      <c r="J1874" s="329"/>
      <c r="K1874" s="322"/>
      <c r="L1874" s="322"/>
      <c r="M1874" s="323" t="str">
        <f>IFERROR(VLOOKUP(H1874,Lijsten!$H$1:$I$100,2,0),"")</f>
        <v/>
      </c>
      <c r="N1874" s="323" t="str">
        <f ca="1">IFERROR(IF(VLOOKUP(F1874,Kostentypen!$A$3:$E$21,3,0)=0,"",IF(OR(F1874="Arbeidskosten",F1874="Vergoeding"),VLOOKUP(G1874,Tb_KostenTypen[],2,0),VLOOKUP(F1874,Kostentypen!$A$3:$E$20,3,0))),"")</f>
        <v/>
      </c>
      <c r="O1874" s="324"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4"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3"/>
      <c r="R1874" s="363"/>
      <c r="S1874" s="325"/>
      <c r="T1874" s="325"/>
      <c r="U1874" s="317" t="str" cm="1">
        <f t="array" aca="1" ref="U1874" ca="1">IFERROR(IF(AA1874&lt;&gt;"ja",_xlfn.IFNA(_xlfn.IFS(AND(O1874&lt;&gt;"",F1874&lt;&gt;"",RIGHT($N1874,6)="tarief",F1874="Vergoeding"),SUM(O1874)*FLOOR(SUM(Q1874),0.0001),AND(O1874&lt;&gt;"",F1874&lt;&gt;"",RIGHT($N1874,6)="tarief"),SUM(O1874)*FLOOR(SUM(Q1874),0.01),S1874&gt;0,IF(F1874&lt;&gt;"",FLOOR(SUM(S1874),0.01),"")),""),""),"")</f>
        <v/>
      </c>
      <c r="V1874" s="317" t="str" cm="1">
        <f t="array" aca="1" ref="V1874" ca="1">IFERROR(IF(AA1874&lt;&gt;"ja",_xlfn.IFNA(_xlfn.IFS(AND(P1874&lt;&gt;"",R1874&lt;&gt;"",RIGHT($N1874,6)="tarief",F1874="Vergoeding"),SUM(P1874)*FLOOR(SUM(R1874),0.0001),AND(P1874&lt;&gt;"",R1874&lt;&gt;"",RIGHT($N1874,6)="tarief"),P1874*FLOOR(R1874,0.01),T1874&gt;0,FLOOR(SUM(T1874),0.01)),""),""),"")</f>
        <v/>
      </c>
      <c r="W1874" s="317" t="str" cm="1">
        <f t="array" aca="1" ref="W1874" ca="1">IFERROR(_xlfn.IFS(OR(F1874="",LEFT(Methode_Keuze,4)="Geen",Methode_Keuze=""),"",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17" t="str" cm="1">
        <f t="array" aca="1" ref="X1874" ca="1">IFERROR(_xlfn.IFS(OR(F1874="",LEFT(Methode_Keuze,4)="Geen",Methode_Keuze=""),"",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26"/>
      <c r="Z1874" s="319"/>
      <c r="AA1874" s="32" t="str" cm="1">
        <f t="array" ref="AA1874">IFERROR(IF(INDEX(SubsidieTabel!$AD$1:$AG$12,MATCH($F1874,SubsidieTabel!$AD$1:$AD$12,0),IFERROR(MATCH(Methode_Keuze,SubsidieTabel!$AD$1:$AG$1,0),2))&lt;&gt;1=TRUE,"ja",""),"")</f>
        <v/>
      </c>
    </row>
    <row r="1875" spans="1:27" x14ac:dyDescent="0.25">
      <c r="A1875" s="320"/>
      <c r="B1875" s="321" t="str">
        <f>IF(A1875&lt;&gt;"",_xlfn.MAXIFS($B$1:B1874,$A$1:A1874,A1875)+1,"")</f>
        <v/>
      </c>
      <c r="C1875" s="299"/>
      <c r="D1875" s="299"/>
      <c r="E1875" s="299"/>
      <c r="F1875" s="299"/>
      <c r="G1875" s="330"/>
      <c r="H1875" s="328"/>
      <c r="I1875" s="329"/>
      <c r="J1875" s="329"/>
      <c r="K1875" s="322"/>
      <c r="L1875" s="322"/>
      <c r="M1875" s="323" t="str">
        <f>IFERROR(VLOOKUP(H1875,Lijsten!$H$1:$I$100,2,0),"")</f>
        <v/>
      </c>
      <c r="N1875" s="323" t="str">
        <f ca="1">IFERROR(IF(VLOOKUP(F1875,Kostentypen!$A$3:$E$21,3,0)=0,"",IF(OR(F1875="Arbeidskosten",F1875="Vergoeding"),VLOOKUP(G1875,Tb_KostenTypen[],2,0),VLOOKUP(F1875,Kostentypen!$A$3:$E$20,3,0))),"")</f>
        <v/>
      </c>
      <c r="O1875" s="324"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4"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3"/>
      <c r="R1875" s="363"/>
      <c r="S1875" s="325"/>
      <c r="T1875" s="325"/>
      <c r="U1875" s="317" t="str" cm="1">
        <f t="array" aca="1" ref="U1875" ca="1">IFERROR(IF(AA1875&lt;&gt;"ja",_xlfn.IFNA(_xlfn.IFS(AND(O1875&lt;&gt;"",F1875&lt;&gt;"",RIGHT($N1875,6)="tarief",F1875="Vergoeding"),SUM(O1875)*FLOOR(SUM(Q1875),0.0001),AND(O1875&lt;&gt;"",F1875&lt;&gt;"",RIGHT($N1875,6)="tarief"),SUM(O1875)*FLOOR(SUM(Q1875),0.01),S1875&gt;0,IF(F1875&lt;&gt;"",FLOOR(SUM(S1875),0.01),"")),""),""),"")</f>
        <v/>
      </c>
      <c r="V1875" s="317" t="str" cm="1">
        <f t="array" aca="1" ref="V1875" ca="1">IFERROR(IF(AA1875&lt;&gt;"ja",_xlfn.IFNA(_xlfn.IFS(AND(P1875&lt;&gt;"",R1875&lt;&gt;"",RIGHT($N1875,6)="tarief",F1875="Vergoeding"),SUM(P1875)*FLOOR(SUM(R1875),0.0001),AND(P1875&lt;&gt;"",R1875&lt;&gt;"",RIGHT($N1875,6)="tarief"),P1875*FLOOR(R1875,0.01),T1875&gt;0,FLOOR(SUM(T1875),0.01)),""),""),"")</f>
        <v/>
      </c>
      <c r="W1875" s="317" t="str" cm="1">
        <f t="array" aca="1" ref="W1875" ca="1">IFERROR(_xlfn.IFS(OR(F1875="",LEFT(Methode_Keuze,4)="Geen",Methode_Keuze=""),"",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17" t="str" cm="1">
        <f t="array" aca="1" ref="X1875" ca="1">IFERROR(_xlfn.IFS(OR(F1875="",LEFT(Methode_Keuze,4)="Geen",Methode_Keuze=""),"",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26"/>
      <c r="Z1875" s="319"/>
      <c r="AA1875" s="32" t="str" cm="1">
        <f t="array" ref="AA1875">IFERROR(IF(INDEX(SubsidieTabel!$AD$1:$AG$12,MATCH($F1875,SubsidieTabel!$AD$1:$AD$12,0),IFERROR(MATCH(Methode_Keuze,SubsidieTabel!$AD$1:$AG$1,0),2))&lt;&gt;1=TRUE,"ja",""),"")</f>
        <v/>
      </c>
    </row>
    <row r="1876" spans="1:27" x14ac:dyDescent="0.25">
      <c r="A1876" s="320"/>
      <c r="B1876" s="321" t="str">
        <f>IF(A1876&lt;&gt;"",_xlfn.MAXIFS($B$1:B1875,$A$1:A1875,A1876)+1,"")</f>
        <v/>
      </c>
      <c r="C1876" s="299"/>
      <c r="D1876" s="299"/>
      <c r="E1876" s="299"/>
      <c r="F1876" s="299"/>
      <c r="G1876" s="330"/>
      <c r="H1876" s="328"/>
      <c r="I1876" s="329"/>
      <c r="J1876" s="329"/>
      <c r="K1876" s="322"/>
      <c r="L1876" s="322"/>
      <c r="M1876" s="323" t="str">
        <f>IFERROR(VLOOKUP(H1876,Lijsten!$H$1:$I$100,2,0),"")</f>
        <v/>
      </c>
      <c r="N1876" s="323" t="str">
        <f ca="1">IFERROR(IF(VLOOKUP(F1876,Kostentypen!$A$3:$E$21,3,0)=0,"",IF(OR(F1876="Arbeidskosten",F1876="Vergoeding"),VLOOKUP(G1876,Tb_KostenTypen[],2,0),VLOOKUP(F1876,Kostentypen!$A$3:$E$20,3,0))),"")</f>
        <v/>
      </c>
      <c r="O1876" s="324"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4"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3"/>
      <c r="R1876" s="363"/>
      <c r="S1876" s="325"/>
      <c r="T1876" s="325"/>
      <c r="U1876" s="317" t="str" cm="1">
        <f t="array" aca="1" ref="U1876" ca="1">IFERROR(IF(AA1876&lt;&gt;"ja",_xlfn.IFNA(_xlfn.IFS(AND(O1876&lt;&gt;"",F1876&lt;&gt;"",RIGHT($N1876,6)="tarief",F1876="Vergoeding"),SUM(O1876)*FLOOR(SUM(Q1876),0.0001),AND(O1876&lt;&gt;"",F1876&lt;&gt;"",RIGHT($N1876,6)="tarief"),SUM(O1876)*FLOOR(SUM(Q1876),0.01),S1876&gt;0,IF(F1876&lt;&gt;"",FLOOR(SUM(S1876),0.01),"")),""),""),"")</f>
        <v/>
      </c>
      <c r="V1876" s="317" t="str" cm="1">
        <f t="array" aca="1" ref="V1876" ca="1">IFERROR(IF(AA1876&lt;&gt;"ja",_xlfn.IFNA(_xlfn.IFS(AND(P1876&lt;&gt;"",R1876&lt;&gt;"",RIGHT($N1876,6)="tarief",F1876="Vergoeding"),SUM(P1876)*FLOOR(SUM(R1876),0.0001),AND(P1876&lt;&gt;"",R1876&lt;&gt;"",RIGHT($N1876,6)="tarief"),P1876*FLOOR(R1876,0.01),T1876&gt;0,FLOOR(SUM(T1876),0.01)),""),""),"")</f>
        <v/>
      </c>
      <c r="W1876" s="317" t="str" cm="1">
        <f t="array" aca="1" ref="W1876" ca="1">IFERROR(_xlfn.IFS(OR(F1876="",LEFT(Methode_Keuze,4)="Geen",Methode_Keuze=""),"",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17" t="str" cm="1">
        <f t="array" aca="1" ref="X1876" ca="1">IFERROR(_xlfn.IFS(OR(F1876="",LEFT(Methode_Keuze,4)="Geen",Methode_Keuze=""),"",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26"/>
      <c r="Z1876" s="319"/>
      <c r="AA1876" s="32" t="str" cm="1">
        <f t="array" ref="AA1876">IFERROR(IF(INDEX(SubsidieTabel!$AD$1:$AG$12,MATCH($F1876,SubsidieTabel!$AD$1:$AD$12,0),IFERROR(MATCH(Methode_Keuze,SubsidieTabel!$AD$1:$AG$1,0),2))&lt;&gt;1=TRUE,"ja",""),"")</f>
        <v/>
      </c>
    </row>
    <row r="1877" spans="1:27" x14ac:dyDescent="0.25">
      <c r="A1877" s="320"/>
      <c r="B1877" s="321" t="str">
        <f>IF(A1877&lt;&gt;"",_xlfn.MAXIFS($B$1:B1876,$A$1:A1876,A1877)+1,"")</f>
        <v/>
      </c>
      <c r="C1877" s="299"/>
      <c r="D1877" s="299"/>
      <c r="E1877" s="299"/>
      <c r="F1877" s="299"/>
      <c r="G1877" s="330"/>
      <c r="H1877" s="328"/>
      <c r="I1877" s="329"/>
      <c r="J1877" s="329"/>
      <c r="K1877" s="322"/>
      <c r="L1877" s="322"/>
      <c r="M1877" s="323" t="str">
        <f>IFERROR(VLOOKUP(H1877,Lijsten!$H$1:$I$100,2,0),"")</f>
        <v/>
      </c>
      <c r="N1877" s="323" t="str">
        <f ca="1">IFERROR(IF(VLOOKUP(F1877,Kostentypen!$A$3:$E$21,3,0)=0,"",IF(OR(F1877="Arbeidskosten",F1877="Vergoeding"),VLOOKUP(G1877,Tb_KostenTypen[],2,0),VLOOKUP(F1877,Kostentypen!$A$3:$E$20,3,0))),"")</f>
        <v/>
      </c>
      <c r="O1877" s="324"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4"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3"/>
      <c r="R1877" s="363"/>
      <c r="S1877" s="325"/>
      <c r="T1877" s="325"/>
      <c r="U1877" s="317" t="str" cm="1">
        <f t="array" aca="1" ref="U1877" ca="1">IFERROR(IF(AA1877&lt;&gt;"ja",_xlfn.IFNA(_xlfn.IFS(AND(O1877&lt;&gt;"",F1877&lt;&gt;"",RIGHT($N1877,6)="tarief",F1877="Vergoeding"),SUM(O1877)*FLOOR(SUM(Q1877),0.0001),AND(O1877&lt;&gt;"",F1877&lt;&gt;"",RIGHT($N1877,6)="tarief"),SUM(O1877)*FLOOR(SUM(Q1877),0.01),S1877&gt;0,IF(F1877&lt;&gt;"",FLOOR(SUM(S1877),0.01),"")),""),""),"")</f>
        <v/>
      </c>
      <c r="V1877" s="317" t="str" cm="1">
        <f t="array" aca="1" ref="V1877" ca="1">IFERROR(IF(AA1877&lt;&gt;"ja",_xlfn.IFNA(_xlfn.IFS(AND(P1877&lt;&gt;"",R1877&lt;&gt;"",RIGHT($N1877,6)="tarief",F1877="Vergoeding"),SUM(P1877)*FLOOR(SUM(R1877),0.0001),AND(P1877&lt;&gt;"",R1877&lt;&gt;"",RIGHT($N1877,6)="tarief"),P1877*FLOOR(R1877,0.01),T1877&gt;0,FLOOR(SUM(T1877),0.01)),""),""),"")</f>
        <v/>
      </c>
      <c r="W1877" s="317" t="str" cm="1">
        <f t="array" aca="1" ref="W1877" ca="1">IFERROR(_xlfn.IFS(OR(F1877="",LEFT(Methode_Keuze,4)="Geen",Methode_Keuze=""),"",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17" t="str" cm="1">
        <f t="array" aca="1" ref="X1877" ca="1">IFERROR(_xlfn.IFS(OR(F1877="",LEFT(Methode_Keuze,4)="Geen",Methode_Keuze=""),"",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26"/>
      <c r="Z1877" s="319"/>
      <c r="AA1877" s="32" t="str" cm="1">
        <f t="array" ref="AA1877">IFERROR(IF(INDEX(SubsidieTabel!$AD$1:$AG$12,MATCH($F1877,SubsidieTabel!$AD$1:$AD$12,0),IFERROR(MATCH(Methode_Keuze,SubsidieTabel!$AD$1:$AG$1,0),2))&lt;&gt;1=TRUE,"ja",""),"")</f>
        <v/>
      </c>
    </row>
    <row r="1878" spans="1:27" x14ac:dyDescent="0.25">
      <c r="A1878" s="320"/>
      <c r="B1878" s="321" t="str">
        <f>IF(A1878&lt;&gt;"",_xlfn.MAXIFS($B$1:B1877,$A$1:A1877,A1878)+1,"")</f>
        <v/>
      </c>
      <c r="C1878" s="299"/>
      <c r="D1878" s="299"/>
      <c r="E1878" s="299"/>
      <c r="F1878" s="299"/>
      <c r="G1878" s="330"/>
      <c r="H1878" s="328"/>
      <c r="I1878" s="329"/>
      <c r="J1878" s="329"/>
      <c r="K1878" s="322"/>
      <c r="L1878" s="322"/>
      <c r="M1878" s="323" t="str">
        <f>IFERROR(VLOOKUP(H1878,Lijsten!$H$1:$I$100,2,0),"")</f>
        <v/>
      </c>
      <c r="N1878" s="323" t="str">
        <f ca="1">IFERROR(IF(VLOOKUP(F1878,Kostentypen!$A$3:$E$21,3,0)=0,"",IF(OR(F1878="Arbeidskosten",F1878="Vergoeding"),VLOOKUP(G1878,Tb_KostenTypen[],2,0),VLOOKUP(F1878,Kostentypen!$A$3:$E$20,3,0))),"")</f>
        <v/>
      </c>
      <c r="O1878" s="324"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4"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3"/>
      <c r="R1878" s="363"/>
      <c r="S1878" s="325"/>
      <c r="T1878" s="325"/>
      <c r="U1878" s="317" t="str" cm="1">
        <f t="array" aca="1" ref="U1878" ca="1">IFERROR(IF(AA1878&lt;&gt;"ja",_xlfn.IFNA(_xlfn.IFS(AND(O1878&lt;&gt;"",F1878&lt;&gt;"",RIGHT($N1878,6)="tarief",F1878="Vergoeding"),SUM(O1878)*FLOOR(SUM(Q1878),0.0001),AND(O1878&lt;&gt;"",F1878&lt;&gt;"",RIGHT($N1878,6)="tarief"),SUM(O1878)*FLOOR(SUM(Q1878),0.01),S1878&gt;0,IF(F1878&lt;&gt;"",FLOOR(SUM(S1878),0.01),"")),""),""),"")</f>
        <v/>
      </c>
      <c r="V1878" s="317" t="str" cm="1">
        <f t="array" aca="1" ref="V1878" ca="1">IFERROR(IF(AA1878&lt;&gt;"ja",_xlfn.IFNA(_xlfn.IFS(AND(P1878&lt;&gt;"",R1878&lt;&gt;"",RIGHT($N1878,6)="tarief",F1878="Vergoeding"),SUM(P1878)*FLOOR(SUM(R1878),0.0001),AND(P1878&lt;&gt;"",R1878&lt;&gt;"",RIGHT($N1878,6)="tarief"),P1878*FLOOR(R1878,0.01),T1878&gt;0,FLOOR(SUM(T1878),0.01)),""),""),"")</f>
        <v/>
      </c>
      <c r="W1878" s="317" t="str" cm="1">
        <f t="array" aca="1" ref="W1878" ca="1">IFERROR(_xlfn.IFS(OR(F1878="",LEFT(Methode_Keuze,4)="Geen",Methode_Keuze=""),"",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17" t="str" cm="1">
        <f t="array" aca="1" ref="X1878" ca="1">IFERROR(_xlfn.IFS(OR(F1878="",LEFT(Methode_Keuze,4)="Geen",Methode_Keuze=""),"",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26"/>
      <c r="Z1878" s="319"/>
      <c r="AA1878" s="32" t="str" cm="1">
        <f t="array" ref="AA1878">IFERROR(IF(INDEX(SubsidieTabel!$AD$1:$AG$12,MATCH($F1878,SubsidieTabel!$AD$1:$AD$12,0),IFERROR(MATCH(Methode_Keuze,SubsidieTabel!$AD$1:$AG$1,0),2))&lt;&gt;1=TRUE,"ja",""),"")</f>
        <v/>
      </c>
    </row>
    <row r="1879" spans="1:27" x14ac:dyDescent="0.25">
      <c r="A1879" s="320"/>
      <c r="B1879" s="321" t="str">
        <f>IF(A1879&lt;&gt;"",_xlfn.MAXIFS($B$1:B1878,$A$1:A1878,A1879)+1,"")</f>
        <v/>
      </c>
      <c r="C1879" s="299"/>
      <c r="D1879" s="299"/>
      <c r="E1879" s="299"/>
      <c r="F1879" s="299"/>
      <c r="G1879" s="330"/>
      <c r="H1879" s="328"/>
      <c r="I1879" s="329"/>
      <c r="J1879" s="329"/>
      <c r="K1879" s="322"/>
      <c r="L1879" s="322"/>
      <c r="M1879" s="323" t="str">
        <f>IFERROR(VLOOKUP(H1879,Lijsten!$H$1:$I$100,2,0),"")</f>
        <v/>
      </c>
      <c r="N1879" s="323" t="str">
        <f ca="1">IFERROR(IF(VLOOKUP(F1879,Kostentypen!$A$3:$E$21,3,0)=0,"",IF(OR(F1879="Arbeidskosten",F1879="Vergoeding"),VLOOKUP(G1879,Tb_KostenTypen[],2,0),VLOOKUP(F1879,Kostentypen!$A$3:$E$20,3,0))),"")</f>
        <v/>
      </c>
      <c r="O1879" s="324"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4"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3"/>
      <c r="R1879" s="363"/>
      <c r="S1879" s="325"/>
      <c r="T1879" s="325"/>
      <c r="U1879" s="317" t="str" cm="1">
        <f t="array" aca="1" ref="U1879" ca="1">IFERROR(IF(AA1879&lt;&gt;"ja",_xlfn.IFNA(_xlfn.IFS(AND(O1879&lt;&gt;"",F1879&lt;&gt;"",RIGHT($N1879,6)="tarief",F1879="Vergoeding"),SUM(O1879)*FLOOR(SUM(Q1879),0.0001),AND(O1879&lt;&gt;"",F1879&lt;&gt;"",RIGHT($N1879,6)="tarief"),SUM(O1879)*FLOOR(SUM(Q1879),0.01),S1879&gt;0,IF(F1879&lt;&gt;"",FLOOR(SUM(S1879),0.01),"")),""),""),"")</f>
        <v/>
      </c>
      <c r="V1879" s="317" t="str" cm="1">
        <f t="array" aca="1" ref="V1879" ca="1">IFERROR(IF(AA1879&lt;&gt;"ja",_xlfn.IFNA(_xlfn.IFS(AND(P1879&lt;&gt;"",R1879&lt;&gt;"",RIGHT($N1879,6)="tarief",F1879="Vergoeding"),SUM(P1879)*FLOOR(SUM(R1879),0.0001),AND(P1879&lt;&gt;"",R1879&lt;&gt;"",RIGHT($N1879,6)="tarief"),P1879*FLOOR(R1879,0.01),T1879&gt;0,FLOOR(SUM(T1879),0.01)),""),""),"")</f>
        <v/>
      </c>
      <c r="W1879" s="317" t="str" cm="1">
        <f t="array" aca="1" ref="W1879" ca="1">IFERROR(_xlfn.IFS(OR(F1879="",LEFT(Methode_Keuze,4)="Geen",Methode_Keuze=""),"",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17" t="str" cm="1">
        <f t="array" aca="1" ref="X1879" ca="1">IFERROR(_xlfn.IFS(OR(F1879="",LEFT(Methode_Keuze,4)="Geen",Methode_Keuze=""),"",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26"/>
      <c r="Z1879" s="319"/>
      <c r="AA1879" s="32" t="str" cm="1">
        <f t="array" ref="AA1879">IFERROR(IF(INDEX(SubsidieTabel!$AD$1:$AG$12,MATCH($F1879,SubsidieTabel!$AD$1:$AD$12,0),IFERROR(MATCH(Methode_Keuze,SubsidieTabel!$AD$1:$AG$1,0),2))&lt;&gt;1=TRUE,"ja",""),"")</f>
        <v/>
      </c>
    </row>
    <row r="1880" spans="1:27" x14ac:dyDescent="0.25">
      <c r="A1880" s="320"/>
      <c r="B1880" s="321" t="str">
        <f>IF(A1880&lt;&gt;"",_xlfn.MAXIFS($B$1:B1879,$A$1:A1879,A1880)+1,"")</f>
        <v/>
      </c>
      <c r="C1880" s="299"/>
      <c r="D1880" s="299"/>
      <c r="E1880" s="299"/>
      <c r="F1880" s="299"/>
      <c r="G1880" s="330"/>
      <c r="H1880" s="328"/>
      <c r="I1880" s="329"/>
      <c r="J1880" s="329"/>
      <c r="K1880" s="322"/>
      <c r="L1880" s="322"/>
      <c r="M1880" s="323" t="str">
        <f>IFERROR(VLOOKUP(H1880,Lijsten!$H$1:$I$100,2,0),"")</f>
        <v/>
      </c>
      <c r="N1880" s="323" t="str">
        <f ca="1">IFERROR(IF(VLOOKUP(F1880,Kostentypen!$A$3:$E$21,3,0)=0,"",IF(OR(F1880="Arbeidskosten",F1880="Vergoeding"),VLOOKUP(G1880,Tb_KostenTypen[],2,0),VLOOKUP(F1880,Kostentypen!$A$3:$E$20,3,0))),"")</f>
        <v/>
      </c>
      <c r="O1880" s="324"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4"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3"/>
      <c r="R1880" s="363"/>
      <c r="S1880" s="325"/>
      <c r="T1880" s="325"/>
      <c r="U1880" s="317" t="str" cm="1">
        <f t="array" aca="1" ref="U1880" ca="1">IFERROR(IF(AA1880&lt;&gt;"ja",_xlfn.IFNA(_xlfn.IFS(AND(O1880&lt;&gt;"",F1880&lt;&gt;"",RIGHT($N1880,6)="tarief",F1880="Vergoeding"),SUM(O1880)*FLOOR(SUM(Q1880),0.0001),AND(O1880&lt;&gt;"",F1880&lt;&gt;"",RIGHT($N1880,6)="tarief"),SUM(O1880)*FLOOR(SUM(Q1880),0.01),S1880&gt;0,IF(F1880&lt;&gt;"",FLOOR(SUM(S1880),0.01),"")),""),""),"")</f>
        <v/>
      </c>
      <c r="V1880" s="317" t="str" cm="1">
        <f t="array" aca="1" ref="V1880" ca="1">IFERROR(IF(AA1880&lt;&gt;"ja",_xlfn.IFNA(_xlfn.IFS(AND(P1880&lt;&gt;"",R1880&lt;&gt;"",RIGHT($N1880,6)="tarief",F1880="Vergoeding"),SUM(P1880)*FLOOR(SUM(R1880),0.0001),AND(P1880&lt;&gt;"",R1880&lt;&gt;"",RIGHT($N1880,6)="tarief"),P1880*FLOOR(R1880,0.01),T1880&gt;0,FLOOR(SUM(T1880),0.01)),""),""),"")</f>
        <v/>
      </c>
      <c r="W1880" s="317" t="str" cm="1">
        <f t="array" aca="1" ref="W1880" ca="1">IFERROR(_xlfn.IFS(OR(F1880="",LEFT(Methode_Keuze,4)="Geen",Methode_Keuze=""),"",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17" t="str" cm="1">
        <f t="array" aca="1" ref="X1880" ca="1">IFERROR(_xlfn.IFS(OR(F1880="",LEFT(Methode_Keuze,4)="Geen",Methode_Keuze=""),"",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26"/>
      <c r="Z1880" s="319"/>
      <c r="AA1880" s="32" t="str" cm="1">
        <f t="array" ref="AA1880">IFERROR(IF(INDEX(SubsidieTabel!$AD$1:$AG$12,MATCH($F1880,SubsidieTabel!$AD$1:$AD$12,0),IFERROR(MATCH(Methode_Keuze,SubsidieTabel!$AD$1:$AG$1,0),2))&lt;&gt;1=TRUE,"ja",""),"")</f>
        <v/>
      </c>
    </row>
    <row r="1881" spans="1:27" x14ac:dyDescent="0.25">
      <c r="A1881" s="320"/>
      <c r="B1881" s="321" t="str">
        <f>IF(A1881&lt;&gt;"",_xlfn.MAXIFS($B$1:B1880,$A$1:A1880,A1881)+1,"")</f>
        <v/>
      </c>
      <c r="C1881" s="299"/>
      <c r="D1881" s="299"/>
      <c r="E1881" s="299"/>
      <c r="F1881" s="299"/>
      <c r="G1881" s="330"/>
      <c r="H1881" s="328"/>
      <c r="I1881" s="329"/>
      <c r="J1881" s="329"/>
      <c r="K1881" s="322"/>
      <c r="L1881" s="322"/>
      <c r="M1881" s="323" t="str">
        <f>IFERROR(VLOOKUP(H1881,Lijsten!$H$1:$I$100,2,0),"")</f>
        <v/>
      </c>
      <c r="N1881" s="323" t="str">
        <f ca="1">IFERROR(IF(VLOOKUP(F1881,Kostentypen!$A$3:$E$21,3,0)=0,"",IF(OR(F1881="Arbeidskosten",F1881="Vergoeding"),VLOOKUP(G1881,Tb_KostenTypen[],2,0),VLOOKUP(F1881,Kostentypen!$A$3:$E$20,3,0))),"")</f>
        <v/>
      </c>
      <c r="O1881" s="324"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4"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3"/>
      <c r="R1881" s="363"/>
      <c r="S1881" s="325"/>
      <c r="T1881" s="325"/>
      <c r="U1881" s="317" t="str" cm="1">
        <f t="array" aca="1" ref="U1881" ca="1">IFERROR(IF(AA1881&lt;&gt;"ja",_xlfn.IFNA(_xlfn.IFS(AND(O1881&lt;&gt;"",F1881&lt;&gt;"",RIGHT($N1881,6)="tarief",F1881="Vergoeding"),SUM(O1881)*FLOOR(SUM(Q1881),0.0001),AND(O1881&lt;&gt;"",F1881&lt;&gt;"",RIGHT($N1881,6)="tarief"),SUM(O1881)*FLOOR(SUM(Q1881),0.01),S1881&gt;0,IF(F1881&lt;&gt;"",FLOOR(SUM(S1881),0.01),"")),""),""),"")</f>
        <v/>
      </c>
      <c r="V1881" s="317" t="str" cm="1">
        <f t="array" aca="1" ref="V1881" ca="1">IFERROR(IF(AA1881&lt;&gt;"ja",_xlfn.IFNA(_xlfn.IFS(AND(P1881&lt;&gt;"",R1881&lt;&gt;"",RIGHT($N1881,6)="tarief",F1881="Vergoeding"),SUM(P1881)*FLOOR(SUM(R1881),0.0001),AND(P1881&lt;&gt;"",R1881&lt;&gt;"",RIGHT($N1881,6)="tarief"),P1881*FLOOR(R1881,0.01),T1881&gt;0,FLOOR(SUM(T1881),0.01)),""),""),"")</f>
        <v/>
      </c>
      <c r="W1881" s="317" t="str" cm="1">
        <f t="array" aca="1" ref="W1881" ca="1">IFERROR(_xlfn.IFS(OR(F1881="",LEFT(Methode_Keuze,4)="Geen",Methode_Keuze=""),"",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17" t="str" cm="1">
        <f t="array" aca="1" ref="X1881" ca="1">IFERROR(_xlfn.IFS(OR(F1881="",LEFT(Methode_Keuze,4)="Geen",Methode_Keuze=""),"",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26"/>
      <c r="Z1881" s="319"/>
      <c r="AA1881" s="32" t="str" cm="1">
        <f t="array" ref="AA1881">IFERROR(IF(INDEX(SubsidieTabel!$AD$1:$AG$12,MATCH($F1881,SubsidieTabel!$AD$1:$AD$12,0),IFERROR(MATCH(Methode_Keuze,SubsidieTabel!$AD$1:$AG$1,0),2))&lt;&gt;1=TRUE,"ja",""),"")</f>
        <v/>
      </c>
    </row>
    <row r="1882" spans="1:27" x14ac:dyDescent="0.25">
      <c r="A1882" s="320"/>
      <c r="B1882" s="321" t="str">
        <f>IF(A1882&lt;&gt;"",_xlfn.MAXIFS($B$1:B1881,$A$1:A1881,A1882)+1,"")</f>
        <v/>
      </c>
      <c r="C1882" s="299"/>
      <c r="D1882" s="299"/>
      <c r="E1882" s="299"/>
      <c r="F1882" s="299"/>
      <c r="G1882" s="330"/>
      <c r="H1882" s="328"/>
      <c r="I1882" s="329"/>
      <c r="J1882" s="329"/>
      <c r="K1882" s="322"/>
      <c r="L1882" s="322"/>
      <c r="M1882" s="323" t="str">
        <f>IFERROR(VLOOKUP(H1882,Lijsten!$H$1:$I$100,2,0),"")</f>
        <v/>
      </c>
      <c r="N1882" s="323" t="str">
        <f ca="1">IFERROR(IF(VLOOKUP(F1882,Kostentypen!$A$3:$E$21,3,0)=0,"",IF(OR(F1882="Arbeidskosten",F1882="Vergoeding"),VLOOKUP(G1882,Tb_KostenTypen[],2,0),VLOOKUP(F1882,Kostentypen!$A$3:$E$20,3,0))),"")</f>
        <v/>
      </c>
      <c r="O1882" s="324"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4"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3"/>
      <c r="R1882" s="363"/>
      <c r="S1882" s="325"/>
      <c r="T1882" s="325"/>
      <c r="U1882" s="317" t="str" cm="1">
        <f t="array" aca="1" ref="U1882" ca="1">IFERROR(IF(AA1882&lt;&gt;"ja",_xlfn.IFNA(_xlfn.IFS(AND(O1882&lt;&gt;"",F1882&lt;&gt;"",RIGHT($N1882,6)="tarief",F1882="Vergoeding"),SUM(O1882)*FLOOR(SUM(Q1882),0.0001),AND(O1882&lt;&gt;"",F1882&lt;&gt;"",RIGHT($N1882,6)="tarief"),SUM(O1882)*FLOOR(SUM(Q1882),0.01),S1882&gt;0,IF(F1882&lt;&gt;"",FLOOR(SUM(S1882),0.01),"")),""),""),"")</f>
        <v/>
      </c>
      <c r="V1882" s="317" t="str" cm="1">
        <f t="array" aca="1" ref="V1882" ca="1">IFERROR(IF(AA1882&lt;&gt;"ja",_xlfn.IFNA(_xlfn.IFS(AND(P1882&lt;&gt;"",R1882&lt;&gt;"",RIGHT($N1882,6)="tarief",F1882="Vergoeding"),SUM(P1882)*FLOOR(SUM(R1882),0.0001),AND(P1882&lt;&gt;"",R1882&lt;&gt;"",RIGHT($N1882,6)="tarief"),P1882*FLOOR(R1882,0.01),T1882&gt;0,FLOOR(SUM(T1882),0.01)),""),""),"")</f>
        <v/>
      </c>
      <c r="W1882" s="317" t="str" cm="1">
        <f t="array" aca="1" ref="W1882" ca="1">IFERROR(_xlfn.IFS(OR(F1882="",LEFT(Methode_Keuze,4)="Geen",Methode_Keuze=""),"",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17" t="str" cm="1">
        <f t="array" aca="1" ref="X1882" ca="1">IFERROR(_xlfn.IFS(OR(F1882="",LEFT(Methode_Keuze,4)="Geen",Methode_Keuze=""),"",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26"/>
      <c r="Z1882" s="319"/>
      <c r="AA1882" s="32" t="str" cm="1">
        <f t="array" ref="AA1882">IFERROR(IF(INDEX(SubsidieTabel!$AD$1:$AG$12,MATCH($F1882,SubsidieTabel!$AD$1:$AD$12,0),IFERROR(MATCH(Methode_Keuze,SubsidieTabel!$AD$1:$AG$1,0),2))&lt;&gt;1=TRUE,"ja",""),"")</f>
        <v/>
      </c>
    </row>
    <row r="1883" spans="1:27" x14ac:dyDescent="0.25">
      <c r="A1883" s="320"/>
      <c r="B1883" s="321" t="str">
        <f>IF(A1883&lt;&gt;"",_xlfn.MAXIFS($B$1:B1882,$A$1:A1882,A1883)+1,"")</f>
        <v/>
      </c>
      <c r="C1883" s="299"/>
      <c r="D1883" s="299"/>
      <c r="E1883" s="299"/>
      <c r="F1883" s="299"/>
      <c r="G1883" s="330"/>
      <c r="H1883" s="328"/>
      <c r="I1883" s="329"/>
      <c r="J1883" s="329"/>
      <c r="K1883" s="322"/>
      <c r="L1883" s="322"/>
      <c r="M1883" s="323" t="str">
        <f>IFERROR(VLOOKUP(H1883,Lijsten!$H$1:$I$100,2,0),"")</f>
        <v/>
      </c>
      <c r="N1883" s="323" t="str">
        <f ca="1">IFERROR(IF(VLOOKUP(F1883,Kostentypen!$A$3:$E$21,3,0)=0,"",IF(OR(F1883="Arbeidskosten",F1883="Vergoeding"),VLOOKUP(G1883,Tb_KostenTypen[],2,0),VLOOKUP(F1883,Kostentypen!$A$3:$E$20,3,0))),"")</f>
        <v/>
      </c>
      <c r="O1883" s="324"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4"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3"/>
      <c r="R1883" s="363"/>
      <c r="S1883" s="325"/>
      <c r="T1883" s="325"/>
      <c r="U1883" s="317" t="str" cm="1">
        <f t="array" aca="1" ref="U1883" ca="1">IFERROR(IF(AA1883&lt;&gt;"ja",_xlfn.IFNA(_xlfn.IFS(AND(O1883&lt;&gt;"",F1883&lt;&gt;"",RIGHT($N1883,6)="tarief",F1883="Vergoeding"),SUM(O1883)*FLOOR(SUM(Q1883),0.0001),AND(O1883&lt;&gt;"",F1883&lt;&gt;"",RIGHT($N1883,6)="tarief"),SUM(O1883)*FLOOR(SUM(Q1883),0.01),S1883&gt;0,IF(F1883&lt;&gt;"",FLOOR(SUM(S1883),0.01),"")),""),""),"")</f>
        <v/>
      </c>
      <c r="V1883" s="317" t="str" cm="1">
        <f t="array" aca="1" ref="V1883" ca="1">IFERROR(IF(AA1883&lt;&gt;"ja",_xlfn.IFNA(_xlfn.IFS(AND(P1883&lt;&gt;"",R1883&lt;&gt;"",RIGHT($N1883,6)="tarief",F1883="Vergoeding"),SUM(P1883)*FLOOR(SUM(R1883),0.0001),AND(P1883&lt;&gt;"",R1883&lt;&gt;"",RIGHT($N1883,6)="tarief"),P1883*FLOOR(R1883,0.01),T1883&gt;0,FLOOR(SUM(T1883),0.01)),""),""),"")</f>
        <v/>
      </c>
      <c r="W1883" s="317" t="str" cm="1">
        <f t="array" aca="1" ref="W1883" ca="1">IFERROR(_xlfn.IFS(OR(F1883="",LEFT(Methode_Keuze,4)="Geen",Methode_Keuze=""),"",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17" t="str" cm="1">
        <f t="array" aca="1" ref="X1883" ca="1">IFERROR(_xlfn.IFS(OR(F1883="",LEFT(Methode_Keuze,4)="Geen",Methode_Keuze=""),"",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26"/>
      <c r="Z1883" s="319"/>
      <c r="AA1883" s="32" t="str" cm="1">
        <f t="array" ref="AA1883">IFERROR(IF(INDEX(SubsidieTabel!$AD$1:$AG$12,MATCH($F1883,SubsidieTabel!$AD$1:$AD$12,0),IFERROR(MATCH(Methode_Keuze,SubsidieTabel!$AD$1:$AG$1,0),2))&lt;&gt;1=TRUE,"ja",""),"")</f>
        <v/>
      </c>
    </row>
    <row r="1884" spans="1:27" x14ac:dyDescent="0.25">
      <c r="A1884" s="320"/>
      <c r="B1884" s="321" t="str">
        <f>IF(A1884&lt;&gt;"",_xlfn.MAXIFS($B$1:B1883,$A$1:A1883,A1884)+1,"")</f>
        <v/>
      </c>
      <c r="C1884" s="299"/>
      <c r="D1884" s="299"/>
      <c r="E1884" s="299"/>
      <c r="F1884" s="299"/>
      <c r="G1884" s="330"/>
      <c r="H1884" s="328"/>
      <c r="I1884" s="329"/>
      <c r="J1884" s="329"/>
      <c r="K1884" s="322"/>
      <c r="L1884" s="322"/>
      <c r="M1884" s="323" t="str">
        <f>IFERROR(VLOOKUP(H1884,Lijsten!$H$1:$I$100,2,0),"")</f>
        <v/>
      </c>
      <c r="N1884" s="323" t="str">
        <f ca="1">IFERROR(IF(VLOOKUP(F1884,Kostentypen!$A$3:$E$21,3,0)=0,"",IF(OR(F1884="Arbeidskosten",F1884="Vergoeding"),VLOOKUP(G1884,Tb_KostenTypen[],2,0),VLOOKUP(F1884,Kostentypen!$A$3:$E$20,3,0))),"")</f>
        <v/>
      </c>
      <c r="O1884" s="324"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4"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3"/>
      <c r="R1884" s="363"/>
      <c r="S1884" s="325"/>
      <c r="T1884" s="325"/>
      <c r="U1884" s="317" t="str" cm="1">
        <f t="array" aca="1" ref="U1884" ca="1">IFERROR(IF(AA1884&lt;&gt;"ja",_xlfn.IFNA(_xlfn.IFS(AND(O1884&lt;&gt;"",F1884&lt;&gt;"",RIGHT($N1884,6)="tarief",F1884="Vergoeding"),SUM(O1884)*FLOOR(SUM(Q1884),0.0001),AND(O1884&lt;&gt;"",F1884&lt;&gt;"",RIGHT($N1884,6)="tarief"),SUM(O1884)*FLOOR(SUM(Q1884),0.01),S1884&gt;0,IF(F1884&lt;&gt;"",FLOOR(SUM(S1884),0.01),"")),""),""),"")</f>
        <v/>
      </c>
      <c r="V1884" s="317" t="str" cm="1">
        <f t="array" aca="1" ref="V1884" ca="1">IFERROR(IF(AA1884&lt;&gt;"ja",_xlfn.IFNA(_xlfn.IFS(AND(P1884&lt;&gt;"",R1884&lt;&gt;"",RIGHT($N1884,6)="tarief",F1884="Vergoeding"),SUM(P1884)*FLOOR(SUM(R1884),0.0001),AND(P1884&lt;&gt;"",R1884&lt;&gt;"",RIGHT($N1884,6)="tarief"),P1884*FLOOR(R1884,0.01),T1884&gt;0,FLOOR(SUM(T1884),0.01)),""),""),"")</f>
        <v/>
      </c>
      <c r="W1884" s="317" t="str" cm="1">
        <f t="array" aca="1" ref="W1884" ca="1">IFERROR(_xlfn.IFS(OR(F1884="",LEFT(Methode_Keuze,4)="Geen",Methode_Keuze=""),"",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17" t="str" cm="1">
        <f t="array" aca="1" ref="X1884" ca="1">IFERROR(_xlfn.IFS(OR(F1884="",LEFT(Methode_Keuze,4)="Geen",Methode_Keuze=""),"",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26"/>
      <c r="Z1884" s="319"/>
      <c r="AA1884" s="32" t="str" cm="1">
        <f t="array" ref="AA1884">IFERROR(IF(INDEX(SubsidieTabel!$AD$1:$AG$12,MATCH($F1884,SubsidieTabel!$AD$1:$AD$12,0),IFERROR(MATCH(Methode_Keuze,SubsidieTabel!$AD$1:$AG$1,0),2))&lt;&gt;1=TRUE,"ja",""),"")</f>
        <v/>
      </c>
    </row>
    <row r="1885" spans="1:27" x14ac:dyDescent="0.25">
      <c r="A1885" s="320"/>
      <c r="B1885" s="321" t="str">
        <f>IF(A1885&lt;&gt;"",_xlfn.MAXIFS($B$1:B1884,$A$1:A1884,A1885)+1,"")</f>
        <v/>
      </c>
      <c r="C1885" s="299"/>
      <c r="D1885" s="299"/>
      <c r="E1885" s="299"/>
      <c r="F1885" s="299"/>
      <c r="G1885" s="330"/>
      <c r="H1885" s="328"/>
      <c r="I1885" s="329"/>
      <c r="J1885" s="329"/>
      <c r="K1885" s="322"/>
      <c r="L1885" s="322"/>
      <c r="M1885" s="323" t="str">
        <f>IFERROR(VLOOKUP(H1885,Lijsten!$H$1:$I$100,2,0),"")</f>
        <v/>
      </c>
      <c r="N1885" s="323" t="str">
        <f ca="1">IFERROR(IF(VLOOKUP(F1885,Kostentypen!$A$3:$E$21,3,0)=0,"",IF(OR(F1885="Arbeidskosten",F1885="Vergoeding"),VLOOKUP(G1885,Tb_KostenTypen[],2,0),VLOOKUP(F1885,Kostentypen!$A$3:$E$20,3,0))),"")</f>
        <v/>
      </c>
      <c r="O1885" s="324"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4"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3"/>
      <c r="R1885" s="363"/>
      <c r="S1885" s="325"/>
      <c r="T1885" s="325"/>
      <c r="U1885" s="317" t="str" cm="1">
        <f t="array" aca="1" ref="U1885" ca="1">IFERROR(IF(AA1885&lt;&gt;"ja",_xlfn.IFNA(_xlfn.IFS(AND(O1885&lt;&gt;"",F1885&lt;&gt;"",RIGHT($N1885,6)="tarief",F1885="Vergoeding"),SUM(O1885)*FLOOR(SUM(Q1885),0.0001),AND(O1885&lt;&gt;"",F1885&lt;&gt;"",RIGHT($N1885,6)="tarief"),SUM(O1885)*FLOOR(SUM(Q1885),0.01),S1885&gt;0,IF(F1885&lt;&gt;"",FLOOR(SUM(S1885),0.01),"")),""),""),"")</f>
        <v/>
      </c>
      <c r="V1885" s="317" t="str" cm="1">
        <f t="array" aca="1" ref="V1885" ca="1">IFERROR(IF(AA1885&lt;&gt;"ja",_xlfn.IFNA(_xlfn.IFS(AND(P1885&lt;&gt;"",R1885&lt;&gt;"",RIGHT($N1885,6)="tarief",F1885="Vergoeding"),SUM(P1885)*FLOOR(SUM(R1885),0.0001),AND(P1885&lt;&gt;"",R1885&lt;&gt;"",RIGHT($N1885,6)="tarief"),P1885*FLOOR(R1885,0.01),T1885&gt;0,FLOOR(SUM(T1885),0.01)),""),""),"")</f>
        <v/>
      </c>
      <c r="W1885" s="317" t="str" cm="1">
        <f t="array" aca="1" ref="W1885" ca="1">IFERROR(_xlfn.IFS(OR(F1885="",LEFT(Methode_Keuze,4)="Geen",Methode_Keuze=""),"",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17" t="str" cm="1">
        <f t="array" aca="1" ref="X1885" ca="1">IFERROR(_xlfn.IFS(OR(F1885="",LEFT(Methode_Keuze,4)="Geen",Methode_Keuze=""),"",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26"/>
      <c r="Z1885" s="319"/>
      <c r="AA1885" s="32" t="str" cm="1">
        <f t="array" ref="AA1885">IFERROR(IF(INDEX(SubsidieTabel!$AD$1:$AG$12,MATCH($F1885,SubsidieTabel!$AD$1:$AD$12,0),IFERROR(MATCH(Methode_Keuze,SubsidieTabel!$AD$1:$AG$1,0),2))&lt;&gt;1=TRUE,"ja",""),"")</f>
        <v/>
      </c>
    </row>
    <row r="1886" spans="1:27" x14ac:dyDescent="0.25">
      <c r="A1886" s="320"/>
      <c r="B1886" s="321" t="str">
        <f>IF(A1886&lt;&gt;"",_xlfn.MAXIFS($B$1:B1885,$A$1:A1885,A1886)+1,"")</f>
        <v/>
      </c>
      <c r="C1886" s="299"/>
      <c r="D1886" s="299"/>
      <c r="E1886" s="299"/>
      <c r="F1886" s="299"/>
      <c r="G1886" s="330"/>
      <c r="H1886" s="328"/>
      <c r="I1886" s="329"/>
      <c r="J1886" s="329"/>
      <c r="K1886" s="322"/>
      <c r="L1886" s="322"/>
      <c r="M1886" s="323" t="str">
        <f>IFERROR(VLOOKUP(H1886,Lijsten!$H$1:$I$100,2,0),"")</f>
        <v/>
      </c>
      <c r="N1886" s="323" t="str">
        <f ca="1">IFERROR(IF(VLOOKUP(F1886,Kostentypen!$A$3:$E$21,3,0)=0,"",IF(OR(F1886="Arbeidskosten",F1886="Vergoeding"),VLOOKUP(G1886,Tb_KostenTypen[],2,0),VLOOKUP(F1886,Kostentypen!$A$3:$E$20,3,0))),"")</f>
        <v/>
      </c>
      <c r="O1886" s="324"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4"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3"/>
      <c r="R1886" s="363"/>
      <c r="S1886" s="325"/>
      <c r="T1886" s="325"/>
      <c r="U1886" s="317" t="str" cm="1">
        <f t="array" aca="1" ref="U1886" ca="1">IFERROR(IF(AA1886&lt;&gt;"ja",_xlfn.IFNA(_xlfn.IFS(AND(O1886&lt;&gt;"",F1886&lt;&gt;"",RIGHT($N1886,6)="tarief",F1886="Vergoeding"),SUM(O1886)*FLOOR(SUM(Q1886),0.0001),AND(O1886&lt;&gt;"",F1886&lt;&gt;"",RIGHT($N1886,6)="tarief"),SUM(O1886)*FLOOR(SUM(Q1886),0.01),S1886&gt;0,IF(F1886&lt;&gt;"",FLOOR(SUM(S1886),0.01),"")),""),""),"")</f>
        <v/>
      </c>
      <c r="V1886" s="317" t="str" cm="1">
        <f t="array" aca="1" ref="V1886" ca="1">IFERROR(IF(AA1886&lt;&gt;"ja",_xlfn.IFNA(_xlfn.IFS(AND(P1886&lt;&gt;"",R1886&lt;&gt;"",RIGHT($N1886,6)="tarief",F1886="Vergoeding"),SUM(P1886)*FLOOR(SUM(R1886),0.0001),AND(P1886&lt;&gt;"",R1886&lt;&gt;"",RIGHT($N1886,6)="tarief"),P1886*FLOOR(R1886,0.01),T1886&gt;0,FLOOR(SUM(T1886),0.01)),""),""),"")</f>
        <v/>
      </c>
      <c r="W1886" s="317" t="str" cm="1">
        <f t="array" aca="1" ref="W1886" ca="1">IFERROR(_xlfn.IFS(OR(F1886="",LEFT(Methode_Keuze,4)="Geen",Methode_Keuze=""),"",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17" t="str" cm="1">
        <f t="array" aca="1" ref="X1886" ca="1">IFERROR(_xlfn.IFS(OR(F1886="",LEFT(Methode_Keuze,4)="Geen",Methode_Keuze=""),"",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26"/>
      <c r="Z1886" s="319"/>
      <c r="AA1886" s="32" t="str" cm="1">
        <f t="array" ref="AA1886">IFERROR(IF(INDEX(SubsidieTabel!$AD$1:$AG$12,MATCH($F1886,SubsidieTabel!$AD$1:$AD$12,0),IFERROR(MATCH(Methode_Keuze,SubsidieTabel!$AD$1:$AG$1,0),2))&lt;&gt;1=TRUE,"ja",""),"")</f>
        <v/>
      </c>
    </row>
    <row r="1887" spans="1:27" x14ac:dyDescent="0.25">
      <c r="A1887" s="320"/>
      <c r="B1887" s="321" t="str">
        <f>IF(A1887&lt;&gt;"",_xlfn.MAXIFS($B$1:B1886,$A$1:A1886,A1887)+1,"")</f>
        <v/>
      </c>
      <c r="C1887" s="299"/>
      <c r="D1887" s="299"/>
      <c r="E1887" s="299"/>
      <c r="F1887" s="299"/>
      <c r="G1887" s="330"/>
      <c r="H1887" s="328"/>
      <c r="I1887" s="329"/>
      <c r="J1887" s="329"/>
      <c r="K1887" s="322"/>
      <c r="L1887" s="322"/>
      <c r="M1887" s="323" t="str">
        <f>IFERROR(VLOOKUP(H1887,Lijsten!$H$1:$I$100,2,0),"")</f>
        <v/>
      </c>
      <c r="N1887" s="323" t="str">
        <f ca="1">IFERROR(IF(VLOOKUP(F1887,Kostentypen!$A$3:$E$21,3,0)=0,"",IF(OR(F1887="Arbeidskosten",F1887="Vergoeding"),VLOOKUP(G1887,Tb_KostenTypen[],2,0),VLOOKUP(F1887,Kostentypen!$A$3:$E$20,3,0))),"")</f>
        <v/>
      </c>
      <c r="O1887" s="324"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4"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3"/>
      <c r="R1887" s="363"/>
      <c r="S1887" s="325"/>
      <c r="T1887" s="325"/>
      <c r="U1887" s="317" t="str" cm="1">
        <f t="array" aca="1" ref="U1887" ca="1">IFERROR(IF(AA1887&lt;&gt;"ja",_xlfn.IFNA(_xlfn.IFS(AND(O1887&lt;&gt;"",F1887&lt;&gt;"",RIGHT($N1887,6)="tarief",F1887="Vergoeding"),SUM(O1887)*FLOOR(SUM(Q1887),0.0001),AND(O1887&lt;&gt;"",F1887&lt;&gt;"",RIGHT($N1887,6)="tarief"),SUM(O1887)*FLOOR(SUM(Q1887),0.01),S1887&gt;0,IF(F1887&lt;&gt;"",FLOOR(SUM(S1887),0.01),"")),""),""),"")</f>
        <v/>
      </c>
      <c r="V1887" s="317" t="str" cm="1">
        <f t="array" aca="1" ref="V1887" ca="1">IFERROR(IF(AA1887&lt;&gt;"ja",_xlfn.IFNA(_xlfn.IFS(AND(P1887&lt;&gt;"",R1887&lt;&gt;"",RIGHT($N1887,6)="tarief",F1887="Vergoeding"),SUM(P1887)*FLOOR(SUM(R1887),0.0001),AND(P1887&lt;&gt;"",R1887&lt;&gt;"",RIGHT($N1887,6)="tarief"),P1887*FLOOR(R1887,0.01),T1887&gt;0,FLOOR(SUM(T1887),0.01)),""),""),"")</f>
        <v/>
      </c>
      <c r="W1887" s="317" t="str" cm="1">
        <f t="array" aca="1" ref="W1887" ca="1">IFERROR(_xlfn.IFS(OR(F1887="",LEFT(Methode_Keuze,4)="Geen",Methode_Keuze=""),"",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17" t="str" cm="1">
        <f t="array" aca="1" ref="X1887" ca="1">IFERROR(_xlfn.IFS(OR(F1887="",LEFT(Methode_Keuze,4)="Geen",Methode_Keuze=""),"",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26"/>
      <c r="Z1887" s="319"/>
      <c r="AA1887" s="32" t="str" cm="1">
        <f t="array" ref="AA1887">IFERROR(IF(INDEX(SubsidieTabel!$AD$1:$AG$12,MATCH($F1887,SubsidieTabel!$AD$1:$AD$12,0),IFERROR(MATCH(Methode_Keuze,SubsidieTabel!$AD$1:$AG$1,0),2))&lt;&gt;1=TRUE,"ja",""),"")</f>
        <v/>
      </c>
    </row>
    <row r="1888" spans="1:27" x14ac:dyDescent="0.25">
      <c r="A1888" s="320"/>
      <c r="B1888" s="321" t="str">
        <f>IF(A1888&lt;&gt;"",_xlfn.MAXIFS($B$1:B1887,$A$1:A1887,A1888)+1,"")</f>
        <v/>
      </c>
      <c r="C1888" s="299"/>
      <c r="D1888" s="299"/>
      <c r="E1888" s="299"/>
      <c r="F1888" s="299"/>
      <c r="G1888" s="330"/>
      <c r="H1888" s="328"/>
      <c r="I1888" s="329"/>
      <c r="J1888" s="329"/>
      <c r="K1888" s="322"/>
      <c r="L1888" s="322"/>
      <c r="M1888" s="323" t="str">
        <f>IFERROR(VLOOKUP(H1888,Lijsten!$H$1:$I$100,2,0),"")</f>
        <v/>
      </c>
      <c r="N1888" s="323" t="str">
        <f ca="1">IFERROR(IF(VLOOKUP(F1888,Kostentypen!$A$3:$E$21,3,0)=0,"",IF(OR(F1888="Arbeidskosten",F1888="Vergoeding"),VLOOKUP(G1888,Tb_KostenTypen[],2,0),VLOOKUP(F1888,Kostentypen!$A$3:$E$20,3,0))),"")</f>
        <v/>
      </c>
      <c r="O1888" s="324"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4"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3"/>
      <c r="R1888" s="363"/>
      <c r="S1888" s="325"/>
      <c r="T1888" s="325"/>
      <c r="U1888" s="317" t="str" cm="1">
        <f t="array" aca="1" ref="U1888" ca="1">IFERROR(IF(AA1888&lt;&gt;"ja",_xlfn.IFNA(_xlfn.IFS(AND(O1888&lt;&gt;"",F1888&lt;&gt;"",RIGHT($N1888,6)="tarief",F1888="Vergoeding"),SUM(O1888)*FLOOR(SUM(Q1888),0.0001),AND(O1888&lt;&gt;"",F1888&lt;&gt;"",RIGHT($N1888,6)="tarief"),SUM(O1888)*FLOOR(SUM(Q1888),0.01),S1888&gt;0,IF(F1888&lt;&gt;"",FLOOR(SUM(S1888),0.01),"")),""),""),"")</f>
        <v/>
      </c>
      <c r="V1888" s="317" t="str" cm="1">
        <f t="array" aca="1" ref="V1888" ca="1">IFERROR(IF(AA1888&lt;&gt;"ja",_xlfn.IFNA(_xlfn.IFS(AND(P1888&lt;&gt;"",R1888&lt;&gt;"",RIGHT($N1888,6)="tarief",F1888="Vergoeding"),SUM(P1888)*FLOOR(SUM(R1888),0.0001),AND(P1888&lt;&gt;"",R1888&lt;&gt;"",RIGHT($N1888,6)="tarief"),P1888*FLOOR(R1888,0.01),T1888&gt;0,FLOOR(SUM(T1888),0.01)),""),""),"")</f>
        <v/>
      </c>
      <c r="W1888" s="317" t="str" cm="1">
        <f t="array" aca="1" ref="W1888" ca="1">IFERROR(_xlfn.IFS(OR(F1888="",LEFT(Methode_Keuze,4)="Geen",Methode_Keuze=""),"",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17" t="str" cm="1">
        <f t="array" aca="1" ref="X1888" ca="1">IFERROR(_xlfn.IFS(OR(F1888="",LEFT(Methode_Keuze,4)="Geen",Methode_Keuze=""),"",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26"/>
      <c r="Z1888" s="319"/>
      <c r="AA1888" s="32" t="str" cm="1">
        <f t="array" ref="AA1888">IFERROR(IF(INDEX(SubsidieTabel!$AD$1:$AG$12,MATCH($F1888,SubsidieTabel!$AD$1:$AD$12,0),IFERROR(MATCH(Methode_Keuze,SubsidieTabel!$AD$1:$AG$1,0),2))&lt;&gt;1=TRUE,"ja",""),"")</f>
        <v/>
      </c>
    </row>
    <row r="1889" spans="1:27" x14ac:dyDescent="0.25">
      <c r="A1889" s="320"/>
      <c r="B1889" s="321" t="str">
        <f>IF(A1889&lt;&gt;"",_xlfn.MAXIFS($B$1:B1888,$A$1:A1888,A1889)+1,"")</f>
        <v/>
      </c>
      <c r="C1889" s="299"/>
      <c r="D1889" s="299"/>
      <c r="E1889" s="299"/>
      <c r="F1889" s="299"/>
      <c r="G1889" s="330"/>
      <c r="H1889" s="328"/>
      <c r="I1889" s="329"/>
      <c r="J1889" s="329"/>
      <c r="K1889" s="322"/>
      <c r="L1889" s="322"/>
      <c r="M1889" s="323" t="str">
        <f>IFERROR(VLOOKUP(H1889,Lijsten!$H$1:$I$100,2,0),"")</f>
        <v/>
      </c>
      <c r="N1889" s="323" t="str">
        <f ca="1">IFERROR(IF(VLOOKUP(F1889,Kostentypen!$A$3:$E$21,3,0)=0,"",IF(OR(F1889="Arbeidskosten",F1889="Vergoeding"),VLOOKUP(G1889,Tb_KostenTypen[],2,0),VLOOKUP(F1889,Kostentypen!$A$3:$E$20,3,0))),"")</f>
        <v/>
      </c>
      <c r="O1889" s="324"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4"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3"/>
      <c r="R1889" s="363"/>
      <c r="S1889" s="325"/>
      <c r="T1889" s="325"/>
      <c r="U1889" s="317" t="str" cm="1">
        <f t="array" aca="1" ref="U1889" ca="1">IFERROR(IF(AA1889&lt;&gt;"ja",_xlfn.IFNA(_xlfn.IFS(AND(O1889&lt;&gt;"",F1889&lt;&gt;"",RIGHT($N1889,6)="tarief",F1889="Vergoeding"),SUM(O1889)*FLOOR(SUM(Q1889),0.0001),AND(O1889&lt;&gt;"",F1889&lt;&gt;"",RIGHT($N1889,6)="tarief"),SUM(O1889)*FLOOR(SUM(Q1889),0.01),S1889&gt;0,IF(F1889&lt;&gt;"",FLOOR(SUM(S1889),0.01),"")),""),""),"")</f>
        <v/>
      </c>
      <c r="V1889" s="317" t="str" cm="1">
        <f t="array" aca="1" ref="V1889" ca="1">IFERROR(IF(AA1889&lt;&gt;"ja",_xlfn.IFNA(_xlfn.IFS(AND(P1889&lt;&gt;"",R1889&lt;&gt;"",RIGHT($N1889,6)="tarief",F1889="Vergoeding"),SUM(P1889)*FLOOR(SUM(R1889),0.0001),AND(P1889&lt;&gt;"",R1889&lt;&gt;"",RIGHT($N1889,6)="tarief"),P1889*FLOOR(R1889,0.01),T1889&gt;0,FLOOR(SUM(T1889),0.01)),""),""),"")</f>
        <v/>
      </c>
      <c r="W1889" s="317" t="str" cm="1">
        <f t="array" aca="1" ref="W1889" ca="1">IFERROR(_xlfn.IFS(OR(F1889="",LEFT(Methode_Keuze,4)="Geen",Methode_Keuze=""),"",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17" t="str" cm="1">
        <f t="array" aca="1" ref="X1889" ca="1">IFERROR(_xlfn.IFS(OR(F1889="",LEFT(Methode_Keuze,4)="Geen",Methode_Keuze=""),"",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26"/>
      <c r="Z1889" s="319"/>
      <c r="AA1889" s="32" t="str" cm="1">
        <f t="array" ref="AA1889">IFERROR(IF(INDEX(SubsidieTabel!$AD$1:$AG$12,MATCH($F1889,SubsidieTabel!$AD$1:$AD$12,0),IFERROR(MATCH(Methode_Keuze,SubsidieTabel!$AD$1:$AG$1,0),2))&lt;&gt;1=TRUE,"ja",""),"")</f>
        <v/>
      </c>
    </row>
    <row r="1890" spans="1:27" x14ac:dyDescent="0.25">
      <c r="A1890" s="320"/>
      <c r="B1890" s="321" t="str">
        <f>IF(A1890&lt;&gt;"",_xlfn.MAXIFS($B$1:B1889,$A$1:A1889,A1890)+1,"")</f>
        <v/>
      </c>
      <c r="C1890" s="299"/>
      <c r="D1890" s="299"/>
      <c r="E1890" s="299"/>
      <c r="F1890" s="299"/>
      <c r="G1890" s="330"/>
      <c r="H1890" s="328"/>
      <c r="I1890" s="329"/>
      <c r="J1890" s="329"/>
      <c r="K1890" s="322"/>
      <c r="L1890" s="322"/>
      <c r="M1890" s="323" t="str">
        <f>IFERROR(VLOOKUP(H1890,Lijsten!$H$1:$I$100,2,0),"")</f>
        <v/>
      </c>
      <c r="N1890" s="323" t="str">
        <f ca="1">IFERROR(IF(VLOOKUP(F1890,Kostentypen!$A$3:$E$21,3,0)=0,"",IF(OR(F1890="Arbeidskosten",F1890="Vergoeding"),VLOOKUP(G1890,Tb_KostenTypen[],2,0),VLOOKUP(F1890,Kostentypen!$A$3:$E$20,3,0))),"")</f>
        <v/>
      </c>
      <c r="O1890" s="324"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4"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3"/>
      <c r="R1890" s="363"/>
      <c r="S1890" s="325"/>
      <c r="T1890" s="325"/>
      <c r="U1890" s="317" t="str" cm="1">
        <f t="array" aca="1" ref="U1890" ca="1">IFERROR(IF(AA1890&lt;&gt;"ja",_xlfn.IFNA(_xlfn.IFS(AND(O1890&lt;&gt;"",F1890&lt;&gt;"",RIGHT($N1890,6)="tarief",F1890="Vergoeding"),SUM(O1890)*FLOOR(SUM(Q1890),0.0001),AND(O1890&lt;&gt;"",F1890&lt;&gt;"",RIGHT($N1890,6)="tarief"),SUM(O1890)*FLOOR(SUM(Q1890),0.01),S1890&gt;0,IF(F1890&lt;&gt;"",FLOOR(SUM(S1890),0.01),"")),""),""),"")</f>
        <v/>
      </c>
      <c r="V1890" s="317" t="str" cm="1">
        <f t="array" aca="1" ref="V1890" ca="1">IFERROR(IF(AA1890&lt;&gt;"ja",_xlfn.IFNA(_xlfn.IFS(AND(P1890&lt;&gt;"",R1890&lt;&gt;"",RIGHT($N1890,6)="tarief",F1890="Vergoeding"),SUM(P1890)*FLOOR(SUM(R1890),0.0001),AND(P1890&lt;&gt;"",R1890&lt;&gt;"",RIGHT($N1890,6)="tarief"),P1890*FLOOR(R1890,0.01),T1890&gt;0,FLOOR(SUM(T1890),0.01)),""),""),"")</f>
        <v/>
      </c>
      <c r="W1890" s="317" t="str" cm="1">
        <f t="array" aca="1" ref="W1890" ca="1">IFERROR(_xlfn.IFS(OR(F1890="",LEFT(Methode_Keuze,4)="Geen",Methode_Keuze=""),"",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17" t="str" cm="1">
        <f t="array" aca="1" ref="X1890" ca="1">IFERROR(_xlfn.IFS(OR(F1890="",LEFT(Methode_Keuze,4)="Geen",Methode_Keuze=""),"",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26"/>
      <c r="Z1890" s="319"/>
      <c r="AA1890" s="32" t="str" cm="1">
        <f t="array" ref="AA1890">IFERROR(IF(INDEX(SubsidieTabel!$AD$1:$AG$12,MATCH($F1890,SubsidieTabel!$AD$1:$AD$12,0),IFERROR(MATCH(Methode_Keuze,SubsidieTabel!$AD$1:$AG$1,0),2))&lt;&gt;1=TRUE,"ja",""),"")</f>
        <v/>
      </c>
    </row>
    <row r="1891" spans="1:27" x14ac:dyDescent="0.25">
      <c r="A1891" s="320"/>
      <c r="B1891" s="321" t="str">
        <f>IF(A1891&lt;&gt;"",_xlfn.MAXIFS($B$1:B1890,$A$1:A1890,A1891)+1,"")</f>
        <v/>
      </c>
      <c r="C1891" s="299"/>
      <c r="D1891" s="299"/>
      <c r="E1891" s="299"/>
      <c r="F1891" s="299"/>
      <c r="G1891" s="330"/>
      <c r="H1891" s="328"/>
      <c r="I1891" s="329"/>
      <c r="J1891" s="329"/>
      <c r="K1891" s="322"/>
      <c r="L1891" s="322"/>
      <c r="M1891" s="323" t="str">
        <f>IFERROR(VLOOKUP(H1891,Lijsten!$H$1:$I$100,2,0),"")</f>
        <v/>
      </c>
      <c r="N1891" s="323" t="str">
        <f ca="1">IFERROR(IF(VLOOKUP(F1891,Kostentypen!$A$3:$E$21,3,0)=0,"",IF(OR(F1891="Arbeidskosten",F1891="Vergoeding"),VLOOKUP(G1891,Tb_KostenTypen[],2,0),VLOOKUP(F1891,Kostentypen!$A$3:$E$20,3,0))),"")</f>
        <v/>
      </c>
      <c r="O1891" s="324"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4"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3"/>
      <c r="R1891" s="363"/>
      <c r="S1891" s="325"/>
      <c r="T1891" s="325"/>
      <c r="U1891" s="317" t="str" cm="1">
        <f t="array" aca="1" ref="U1891" ca="1">IFERROR(IF(AA1891&lt;&gt;"ja",_xlfn.IFNA(_xlfn.IFS(AND(O1891&lt;&gt;"",F1891&lt;&gt;"",RIGHT($N1891,6)="tarief",F1891="Vergoeding"),SUM(O1891)*FLOOR(SUM(Q1891),0.0001),AND(O1891&lt;&gt;"",F1891&lt;&gt;"",RIGHT($N1891,6)="tarief"),SUM(O1891)*FLOOR(SUM(Q1891),0.01),S1891&gt;0,IF(F1891&lt;&gt;"",FLOOR(SUM(S1891),0.01),"")),""),""),"")</f>
        <v/>
      </c>
      <c r="V1891" s="317" t="str" cm="1">
        <f t="array" aca="1" ref="V1891" ca="1">IFERROR(IF(AA1891&lt;&gt;"ja",_xlfn.IFNA(_xlfn.IFS(AND(P1891&lt;&gt;"",R1891&lt;&gt;"",RIGHT($N1891,6)="tarief",F1891="Vergoeding"),SUM(P1891)*FLOOR(SUM(R1891),0.0001),AND(P1891&lt;&gt;"",R1891&lt;&gt;"",RIGHT($N1891,6)="tarief"),P1891*FLOOR(R1891,0.01),T1891&gt;0,FLOOR(SUM(T1891),0.01)),""),""),"")</f>
        <v/>
      </c>
      <c r="W1891" s="317" t="str" cm="1">
        <f t="array" aca="1" ref="W1891" ca="1">IFERROR(_xlfn.IFS(OR(F1891="",LEFT(Methode_Keuze,4)="Geen",Methode_Keuze=""),"",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17" t="str" cm="1">
        <f t="array" aca="1" ref="X1891" ca="1">IFERROR(_xlfn.IFS(OR(F1891="",LEFT(Methode_Keuze,4)="Geen",Methode_Keuze=""),"",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26"/>
      <c r="Z1891" s="319"/>
      <c r="AA1891" s="32" t="str" cm="1">
        <f t="array" ref="AA1891">IFERROR(IF(INDEX(SubsidieTabel!$AD$1:$AG$12,MATCH($F1891,SubsidieTabel!$AD$1:$AD$12,0),IFERROR(MATCH(Methode_Keuze,SubsidieTabel!$AD$1:$AG$1,0),2))&lt;&gt;1=TRUE,"ja",""),"")</f>
        <v/>
      </c>
    </row>
    <row r="1892" spans="1:27" x14ac:dyDescent="0.25">
      <c r="A1892" s="320"/>
      <c r="B1892" s="321" t="str">
        <f>IF(A1892&lt;&gt;"",_xlfn.MAXIFS($B$1:B1891,$A$1:A1891,A1892)+1,"")</f>
        <v/>
      </c>
      <c r="C1892" s="299"/>
      <c r="D1892" s="299"/>
      <c r="E1892" s="299"/>
      <c r="F1892" s="299"/>
      <c r="G1892" s="330"/>
      <c r="H1892" s="328"/>
      <c r="I1892" s="329"/>
      <c r="J1892" s="329"/>
      <c r="K1892" s="322"/>
      <c r="L1892" s="322"/>
      <c r="M1892" s="323" t="str">
        <f>IFERROR(VLOOKUP(H1892,Lijsten!$H$1:$I$100,2,0),"")</f>
        <v/>
      </c>
      <c r="N1892" s="323" t="str">
        <f ca="1">IFERROR(IF(VLOOKUP(F1892,Kostentypen!$A$3:$E$21,3,0)=0,"",IF(OR(F1892="Arbeidskosten",F1892="Vergoeding"),VLOOKUP(G1892,Tb_KostenTypen[],2,0),VLOOKUP(F1892,Kostentypen!$A$3:$E$20,3,0))),"")</f>
        <v/>
      </c>
      <c r="O1892" s="324"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4"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3"/>
      <c r="R1892" s="363"/>
      <c r="S1892" s="325"/>
      <c r="T1892" s="325"/>
      <c r="U1892" s="317" t="str" cm="1">
        <f t="array" aca="1" ref="U1892" ca="1">IFERROR(IF(AA1892&lt;&gt;"ja",_xlfn.IFNA(_xlfn.IFS(AND(O1892&lt;&gt;"",F1892&lt;&gt;"",RIGHT($N1892,6)="tarief",F1892="Vergoeding"),SUM(O1892)*FLOOR(SUM(Q1892),0.0001),AND(O1892&lt;&gt;"",F1892&lt;&gt;"",RIGHT($N1892,6)="tarief"),SUM(O1892)*FLOOR(SUM(Q1892),0.01),S1892&gt;0,IF(F1892&lt;&gt;"",FLOOR(SUM(S1892),0.01),"")),""),""),"")</f>
        <v/>
      </c>
      <c r="V1892" s="317" t="str" cm="1">
        <f t="array" aca="1" ref="V1892" ca="1">IFERROR(IF(AA1892&lt;&gt;"ja",_xlfn.IFNA(_xlfn.IFS(AND(P1892&lt;&gt;"",R1892&lt;&gt;"",RIGHT($N1892,6)="tarief",F1892="Vergoeding"),SUM(P1892)*FLOOR(SUM(R1892),0.0001),AND(P1892&lt;&gt;"",R1892&lt;&gt;"",RIGHT($N1892,6)="tarief"),P1892*FLOOR(R1892,0.01),T1892&gt;0,FLOOR(SUM(T1892),0.01)),""),""),"")</f>
        <v/>
      </c>
      <c r="W1892" s="317" t="str" cm="1">
        <f t="array" aca="1" ref="W1892" ca="1">IFERROR(_xlfn.IFS(OR(F1892="",LEFT(Methode_Keuze,4)="Geen",Methode_Keuze=""),"",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17" t="str" cm="1">
        <f t="array" aca="1" ref="X1892" ca="1">IFERROR(_xlfn.IFS(OR(F1892="",LEFT(Methode_Keuze,4)="Geen",Methode_Keuze=""),"",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26"/>
      <c r="Z1892" s="319"/>
      <c r="AA1892" s="32" t="str" cm="1">
        <f t="array" ref="AA1892">IFERROR(IF(INDEX(SubsidieTabel!$AD$1:$AG$12,MATCH($F1892,SubsidieTabel!$AD$1:$AD$12,0),IFERROR(MATCH(Methode_Keuze,SubsidieTabel!$AD$1:$AG$1,0),2))&lt;&gt;1=TRUE,"ja",""),"")</f>
        <v/>
      </c>
    </row>
    <row r="1893" spans="1:27" x14ac:dyDescent="0.25">
      <c r="A1893" s="320"/>
      <c r="B1893" s="321" t="str">
        <f>IF(A1893&lt;&gt;"",_xlfn.MAXIFS($B$1:B1892,$A$1:A1892,A1893)+1,"")</f>
        <v/>
      </c>
      <c r="C1893" s="299"/>
      <c r="D1893" s="299"/>
      <c r="E1893" s="299"/>
      <c r="F1893" s="299"/>
      <c r="G1893" s="330"/>
      <c r="H1893" s="328"/>
      <c r="I1893" s="329"/>
      <c r="J1893" s="329"/>
      <c r="K1893" s="322"/>
      <c r="L1893" s="322"/>
      <c r="M1893" s="323" t="str">
        <f>IFERROR(VLOOKUP(H1893,Lijsten!$H$1:$I$100,2,0),"")</f>
        <v/>
      </c>
      <c r="N1893" s="323" t="str">
        <f ca="1">IFERROR(IF(VLOOKUP(F1893,Kostentypen!$A$3:$E$21,3,0)=0,"",IF(OR(F1893="Arbeidskosten",F1893="Vergoeding"),VLOOKUP(G1893,Tb_KostenTypen[],2,0),VLOOKUP(F1893,Kostentypen!$A$3:$E$20,3,0))),"")</f>
        <v/>
      </c>
      <c r="O1893" s="324"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4"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3"/>
      <c r="R1893" s="363"/>
      <c r="S1893" s="325"/>
      <c r="T1893" s="325"/>
      <c r="U1893" s="317" t="str" cm="1">
        <f t="array" aca="1" ref="U1893" ca="1">IFERROR(IF(AA1893&lt;&gt;"ja",_xlfn.IFNA(_xlfn.IFS(AND(O1893&lt;&gt;"",F1893&lt;&gt;"",RIGHT($N1893,6)="tarief",F1893="Vergoeding"),SUM(O1893)*FLOOR(SUM(Q1893),0.0001),AND(O1893&lt;&gt;"",F1893&lt;&gt;"",RIGHT($N1893,6)="tarief"),SUM(O1893)*FLOOR(SUM(Q1893),0.01),S1893&gt;0,IF(F1893&lt;&gt;"",FLOOR(SUM(S1893),0.01),"")),""),""),"")</f>
        <v/>
      </c>
      <c r="V1893" s="317" t="str" cm="1">
        <f t="array" aca="1" ref="V1893" ca="1">IFERROR(IF(AA1893&lt;&gt;"ja",_xlfn.IFNA(_xlfn.IFS(AND(P1893&lt;&gt;"",R1893&lt;&gt;"",RIGHT($N1893,6)="tarief",F1893="Vergoeding"),SUM(P1893)*FLOOR(SUM(R1893),0.0001),AND(P1893&lt;&gt;"",R1893&lt;&gt;"",RIGHT($N1893,6)="tarief"),P1893*FLOOR(R1893,0.01),T1893&gt;0,FLOOR(SUM(T1893),0.01)),""),""),"")</f>
        <v/>
      </c>
      <c r="W1893" s="317" t="str" cm="1">
        <f t="array" aca="1" ref="W1893" ca="1">IFERROR(_xlfn.IFS(OR(F1893="",LEFT(Methode_Keuze,4)="Geen",Methode_Keuze=""),"",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17" t="str" cm="1">
        <f t="array" aca="1" ref="X1893" ca="1">IFERROR(_xlfn.IFS(OR(F1893="",LEFT(Methode_Keuze,4)="Geen",Methode_Keuze=""),"",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26"/>
      <c r="Z1893" s="319"/>
      <c r="AA1893" s="32" t="str" cm="1">
        <f t="array" ref="AA1893">IFERROR(IF(INDEX(SubsidieTabel!$AD$1:$AG$12,MATCH($F1893,SubsidieTabel!$AD$1:$AD$12,0),IFERROR(MATCH(Methode_Keuze,SubsidieTabel!$AD$1:$AG$1,0),2))&lt;&gt;1=TRUE,"ja",""),"")</f>
        <v/>
      </c>
    </row>
    <row r="1894" spans="1:27" x14ac:dyDescent="0.25">
      <c r="A1894" s="320"/>
      <c r="B1894" s="321" t="str">
        <f>IF(A1894&lt;&gt;"",_xlfn.MAXIFS($B$1:B1893,$A$1:A1893,A1894)+1,"")</f>
        <v/>
      </c>
      <c r="C1894" s="299"/>
      <c r="D1894" s="299"/>
      <c r="E1894" s="299"/>
      <c r="F1894" s="299"/>
      <c r="G1894" s="330"/>
      <c r="H1894" s="328"/>
      <c r="I1894" s="329"/>
      <c r="J1894" s="329"/>
      <c r="K1894" s="322"/>
      <c r="L1894" s="322"/>
      <c r="M1894" s="323" t="str">
        <f>IFERROR(VLOOKUP(H1894,Lijsten!$H$1:$I$100,2,0),"")</f>
        <v/>
      </c>
      <c r="N1894" s="323" t="str">
        <f ca="1">IFERROR(IF(VLOOKUP(F1894,Kostentypen!$A$3:$E$21,3,0)=0,"",IF(OR(F1894="Arbeidskosten",F1894="Vergoeding"),VLOOKUP(G1894,Tb_KostenTypen[],2,0),VLOOKUP(F1894,Kostentypen!$A$3:$E$20,3,0))),"")</f>
        <v/>
      </c>
      <c r="O1894" s="324"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4"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3"/>
      <c r="R1894" s="363"/>
      <c r="S1894" s="325"/>
      <c r="T1894" s="325"/>
      <c r="U1894" s="317" t="str" cm="1">
        <f t="array" aca="1" ref="U1894" ca="1">IFERROR(IF(AA1894&lt;&gt;"ja",_xlfn.IFNA(_xlfn.IFS(AND(O1894&lt;&gt;"",F1894&lt;&gt;"",RIGHT($N1894,6)="tarief",F1894="Vergoeding"),SUM(O1894)*FLOOR(SUM(Q1894),0.0001),AND(O1894&lt;&gt;"",F1894&lt;&gt;"",RIGHT($N1894,6)="tarief"),SUM(O1894)*FLOOR(SUM(Q1894),0.01),S1894&gt;0,IF(F1894&lt;&gt;"",FLOOR(SUM(S1894),0.01),"")),""),""),"")</f>
        <v/>
      </c>
      <c r="V1894" s="317" t="str" cm="1">
        <f t="array" aca="1" ref="V1894" ca="1">IFERROR(IF(AA1894&lt;&gt;"ja",_xlfn.IFNA(_xlfn.IFS(AND(P1894&lt;&gt;"",R1894&lt;&gt;"",RIGHT($N1894,6)="tarief",F1894="Vergoeding"),SUM(P1894)*FLOOR(SUM(R1894),0.0001),AND(P1894&lt;&gt;"",R1894&lt;&gt;"",RIGHT($N1894,6)="tarief"),P1894*FLOOR(R1894,0.01),T1894&gt;0,FLOOR(SUM(T1894),0.01)),""),""),"")</f>
        <v/>
      </c>
      <c r="W1894" s="317" t="str" cm="1">
        <f t="array" aca="1" ref="W1894" ca="1">IFERROR(_xlfn.IFS(OR(F1894="",LEFT(Methode_Keuze,4)="Geen",Methode_Keuze=""),"",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17" t="str" cm="1">
        <f t="array" aca="1" ref="X1894" ca="1">IFERROR(_xlfn.IFS(OR(F1894="",LEFT(Methode_Keuze,4)="Geen",Methode_Keuze=""),"",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26"/>
      <c r="Z1894" s="319"/>
      <c r="AA1894" s="32" t="str" cm="1">
        <f t="array" ref="AA1894">IFERROR(IF(INDEX(SubsidieTabel!$AD$1:$AG$12,MATCH($F1894,SubsidieTabel!$AD$1:$AD$12,0),IFERROR(MATCH(Methode_Keuze,SubsidieTabel!$AD$1:$AG$1,0),2))&lt;&gt;1=TRUE,"ja",""),"")</f>
        <v/>
      </c>
    </row>
    <row r="1895" spans="1:27" x14ac:dyDescent="0.25">
      <c r="A1895" s="320"/>
      <c r="B1895" s="321" t="str">
        <f>IF(A1895&lt;&gt;"",_xlfn.MAXIFS($B$1:B1894,$A$1:A1894,A1895)+1,"")</f>
        <v/>
      </c>
      <c r="C1895" s="299"/>
      <c r="D1895" s="299"/>
      <c r="E1895" s="299"/>
      <c r="F1895" s="299"/>
      <c r="G1895" s="330"/>
      <c r="H1895" s="328"/>
      <c r="I1895" s="329"/>
      <c r="J1895" s="329"/>
      <c r="K1895" s="322"/>
      <c r="L1895" s="322"/>
      <c r="M1895" s="323" t="str">
        <f>IFERROR(VLOOKUP(H1895,Lijsten!$H$1:$I$100,2,0),"")</f>
        <v/>
      </c>
      <c r="N1895" s="323" t="str">
        <f ca="1">IFERROR(IF(VLOOKUP(F1895,Kostentypen!$A$3:$E$21,3,0)=0,"",IF(OR(F1895="Arbeidskosten",F1895="Vergoeding"),VLOOKUP(G1895,Tb_KostenTypen[],2,0),VLOOKUP(F1895,Kostentypen!$A$3:$E$20,3,0))),"")</f>
        <v/>
      </c>
      <c r="O1895" s="324"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4"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3"/>
      <c r="R1895" s="363"/>
      <c r="S1895" s="325"/>
      <c r="T1895" s="325"/>
      <c r="U1895" s="317" t="str" cm="1">
        <f t="array" aca="1" ref="U1895" ca="1">IFERROR(IF(AA1895&lt;&gt;"ja",_xlfn.IFNA(_xlfn.IFS(AND(O1895&lt;&gt;"",F1895&lt;&gt;"",RIGHT($N1895,6)="tarief",F1895="Vergoeding"),SUM(O1895)*FLOOR(SUM(Q1895),0.0001),AND(O1895&lt;&gt;"",F1895&lt;&gt;"",RIGHT($N1895,6)="tarief"),SUM(O1895)*FLOOR(SUM(Q1895),0.01),S1895&gt;0,IF(F1895&lt;&gt;"",FLOOR(SUM(S1895),0.01),"")),""),""),"")</f>
        <v/>
      </c>
      <c r="V1895" s="317" t="str" cm="1">
        <f t="array" aca="1" ref="V1895" ca="1">IFERROR(IF(AA1895&lt;&gt;"ja",_xlfn.IFNA(_xlfn.IFS(AND(P1895&lt;&gt;"",R1895&lt;&gt;"",RIGHT($N1895,6)="tarief",F1895="Vergoeding"),SUM(P1895)*FLOOR(SUM(R1895),0.0001),AND(P1895&lt;&gt;"",R1895&lt;&gt;"",RIGHT($N1895,6)="tarief"),P1895*FLOOR(R1895,0.01),T1895&gt;0,FLOOR(SUM(T1895),0.01)),""),""),"")</f>
        <v/>
      </c>
      <c r="W1895" s="317" t="str" cm="1">
        <f t="array" aca="1" ref="W1895" ca="1">IFERROR(_xlfn.IFS(OR(F1895="",LEFT(Methode_Keuze,4)="Geen",Methode_Keuze=""),"",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17" t="str" cm="1">
        <f t="array" aca="1" ref="X1895" ca="1">IFERROR(_xlfn.IFS(OR(F1895="",LEFT(Methode_Keuze,4)="Geen",Methode_Keuze=""),"",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26"/>
      <c r="Z1895" s="319"/>
      <c r="AA1895" s="32" t="str" cm="1">
        <f t="array" ref="AA1895">IFERROR(IF(INDEX(SubsidieTabel!$AD$1:$AG$12,MATCH($F1895,SubsidieTabel!$AD$1:$AD$12,0),IFERROR(MATCH(Methode_Keuze,SubsidieTabel!$AD$1:$AG$1,0),2))&lt;&gt;1=TRUE,"ja",""),"")</f>
        <v/>
      </c>
    </row>
    <row r="1896" spans="1:27" x14ac:dyDescent="0.25">
      <c r="A1896" s="320"/>
      <c r="B1896" s="321" t="str">
        <f>IF(A1896&lt;&gt;"",_xlfn.MAXIFS($B$1:B1895,$A$1:A1895,A1896)+1,"")</f>
        <v/>
      </c>
      <c r="C1896" s="299"/>
      <c r="D1896" s="299"/>
      <c r="E1896" s="299"/>
      <c r="F1896" s="299"/>
      <c r="G1896" s="330"/>
      <c r="H1896" s="328"/>
      <c r="I1896" s="329"/>
      <c r="J1896" s="329"/>
      <c r="K1896" s="322"/>
      <c r="L1896" s="322"/>
      <c r="M1896" s="323" t="str">
        <f>IFERROR(VLOOKUP(H1896,Lijsten!$H$1:$I$100,2,0),"")</f>
        <v/>
      </c>
      <c r="N1896" s="323" t="str">
        <f ca="1">IFERROR(IF(VLOOKUP(F1896,Kostentypen!$A$3:$E$21,3,0)=0,"",IF(OR(F1896="Arbeidskosten",F1896="Vergoeding"),VLOOKUP(G1896,Tb_KostenTypen[],2,0),VLOOKUP(F1896,Kostentypen!$A$3:$E$20,3,0))),"")</f>
        <v/>
      </c>
      <c r="O1896" s="324"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4"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3"/>
      <c r="R1896" s="363"/>
      <c r="S1896" s="325"/>
      <c r="T1896" s="325"/>
      <c r="U1896" s="317" t="str" cm="1">
        <f t="array" aca="1" ref="U1896" ca="1">IFERROR(IF(AA1896&lt;&gt;"ja",_xlfn.IFNA(_xlfn.IFS(AND(O1896&lt;&gt;"",F1896&lt;&gt;"",RIGHT($N1896,6)="tarief",F1896="Vergoeding"),SUM(O1896)*FLOOR(SUM(Q1896),0.0001),AND(O1896&lt;&gt;"",F1896&lt;&gt;"",RIGHT($N1896,6)="tarief"),SUM(O1896)*FLOOR(SUM(Q1896),0.01),S1896&gt;0,IF(F1896&lt;&gt;"",FLOOR(SUM(S1896),0.01),"")),""),""),"")</f>
        <v/>
      </c>
      <c r="V1896" s="317" t="str" cm="1">
        <f t="array" aca="1" ref="V1896" ca="1">IFERROR(IF(AA1896&lt;&gt;"ja",_xlfn.IFNA(_xlfn.IFS(AND(P1896&lt;&gt;"",R1896&lt;&gt;"",RIGHT($N1896,6)="tarief",F1896="Vergoeding"),SUM(P1896)*FLOOR(SUM(R1896),0.0001),AND(P1896&lt;&gt;"",R1896&lt;&gt;"",RIGHT($N1896,6)="tarief"),P1896*FLOOR(R1896,0.01),T1896&gt;0,FLOOR(SUM(T1896),0.01)),""),""),"")</f>
        <v/>
      </c>
      <c r="W1896" s="317" t="str" cm="1">
        <f t="array" aca="1" ref="W1896" ca="1">IFERROR(_xlfn.IFS(OR(F1896="",LEFT(Methode_Keuze,4)="Geen",Methode_Keuze=""),"",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17" t="str" cm="1">
        <f t="array" aca="1" ref="X1896" ca="1">IFERROR(_xlfn.IFS(OR(F1896="",LEFT(Methode_Keuze,4)="Geen",Methode_Keuze=""),"",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26"/>
      <c r="Z1896" s="319"/>
      <c r="AA1896" s="32" t="str" cm="1">
        <f t="array" ref="AA1896">IFERROR(IF(INDEX(SubsidieTabel!$AD$1:$AG$12,MATCH($F1896,SubsidieTabel!$AD$1:$AD$12,0),IFERROR(MATCH(Methode_Keuze,SubsidieTabel!$AD$1:$AG$1,0),2))&lt;&gt;1=TRUE,"ja",""),"")</f>
        <v/>
      </c>
    </row>
    <row r="1897" spans="1:27" x14ac:dyDescent="0.25">
      <c r="A1897" s="320"/>
      <c r="B1897" s="321" t="str">
        <f>IF(A1897&lt;&gt;"",_xlfn.MAXIFS($B$1:B1896,$A$1:A1896,A1897)+1,"")</f>
        <v/>
      </c>
      <c r="C1897" s="299"/>
      <c r="D1897" s="299"/>
      <c r="E1897" s="299"/>
      <c r="F1897" s="299"/>
      <c r="G1897" s="330"/>
      <c r="H1897" s="328"/>
      <c r="I1897" s="329"/>
      <c r="J1897" s="329"/>
      <c r="K1897" s="322"/>
      <c r="L1897" s="322"/>
      <c r="M1897" s="323" t="str">
        <f>IFERROR(VLOOKUP(H1897,Lijsten!$H$1:$I$100,2,0),"")</f>
        <v/>
      </c>
      <c r="N1897" s="323" t="str">
        <f ca="1">IFERROR(IF(VLOOKUP(F1897,Kostentypen!$A$3:$E$21,3,0)=0,"",IF(OR(F1897="Arbeidskosten",F1897="Vergoeding"),VLOOKUP(G1897,Tb_KostenTypen[],2,0),VLOOKUP(F1897,Kostentypen!$A$3:$E$20,3,0))),"")</f>
        <v/>
      </c>
      <c r="O1897" s="324"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4"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3"/>
      <c r="R1897" s="363"/>
      <c r="S1897" s="325"/>
      <c r="T1897" s="325"/>
      <c r="U1897" s="317" t="str" cm="1">
        <f t="array" aca="1" ref="U1897" ca="1">IFERROR(IF(AA1897&lt;&gt;"ja",_xlfn.IFNA(_xlfn.IFS(AND(O1897&lt;&gt;"",F1897&lt;&gt;"",RIGHT($N1897,6)="tarief",F1897="Vergoeding"),SUM(O1897)*FLOOR(SUM(Q1897),0.0001),AND(O1897&lt;&gt;"",F1897&lt;&gt;"",RIGHT($N1897,6)="tarief"),SUM(O1897)*FLOOR(SUM(Q1897),0.01),S1897&gt;0,IF(F1897&lt;&gt;"",FLOOR(SUM(S1897),0.01),"")),""),""),"")</f>
        <v/>
      </c>
      <c r="V1897" s="317" t="str" cm="1">
        <f t="array" aca="1" ref="V1897" ca="1">IFERROR(IF(AA1897&lt;&gt;"ja",_xlfn.IFNA(_xlfn.IFS(AND(P1897&lt;&gt;"",R1897&lt;&gt;"",RIGHT($N1897,6)="tarief",F1897="Vergoeding"),SUM(P1897)*FLOOR(SUM(R1897),0.0001),AND(P1897&lt;&gt;"",R1897&lt;&gt;"",RIGHT($N1897,6)="tarief"),P1897*FLOOR(R1897,0.01),T1897&gt;0,FLOOR(SUM(T1897),0.01)),""),""),"")</f>
        <v/>
      </c>
      <c r="W1897" s="317" t="str" cm="1">
        <f t="array" aca="1" ref="W1897" ca="1">IFERROR(_xlfn.IFS(OR(F1897="",LEFT(Methode_Keuze,4)="Geen",Methode_Keuze=""),"",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17" t="str" cm="1">
        <f t="array" aca="1" ref="X1897" ca="1">IFERROR(_xlfn.IFS(OR(F1897="",LEFT(Methode_Keuze,4)="Geen",Methode_Keuze=""),"",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26"/>
      <c r="Z1897" s="319"/>
      <c r="AA1897" s="32" t="str" cm="1">
        <f t="array" ref="AA1897">IFERROR(IF(INDEX(SubsidieTabel!$AD$1:$AG$12,MATCH($F1897,SubsidieTabel!$AD$1:$AD$12,0),IFERROR(MATCH(Methode_Keuze,SubsidieTabel!$AD$1:$AG$1,0),2))&lt;&gt;1=TRUE,"ja",""),"")</f>
        <v/>
      </c>
    </row>
    <row r="1898" spans="1:27" x14ac:dyDescent="0.25">
      <c r="A1898" s="320"/>
      <c r="B1898" s="321" t="str">
        <f>IF(A1898&lt;&gt;"",_xlfn.MAXIFS($B$1:B1897,$A$1:A1897,A1898)+1,"")</f>
        <v/>
      </c>
      <c r="C1898" s="299"/>
      <c r="D1898" s="299"/>
      <c r="E1898" s="299"/>
      <c r="F1898" s="299"/>
      <c r="G1898" s="330"/>
      <c r="H1898" s="328"/>
      <c r="I1898" s="329"/>
      <c r="J1898" s="329"/>
      <c r="K1898" s="322"/>
      <c r="L1898" s="322"/>
      <c r="M1898" s="323" t="str">
        <f>IFERROR(VLOOKUP(H1898,Lijsten!$H$1:$I$100,2,0),"")</f>
        <v/>
      </c>
      <c r="N1898" s="323" t="str">
        <f ca="1">IFERROR(IF(VLOOKUP(F1898,Kostentypen!$A$3:$E$21,3,0)=0,"",IF(OR(F1898="Arbeidskosten",F1898="Vergoeding"),VLOOKUP(G1898,Tb_KostenTypen[],2,0),VLOOKUP(F1898,Kostentypen!$A$3:$E$20,3,0))),"")</f>
        <v/>
      </c>
      <c r="O1898" s="324"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4"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3"/>
      <c r="R1898" s="363"/>
      <c r="S1898" s="325"/>
      <c r="T1898" s="325"/>
      <c r="U1898" s="317" t="str" cm="1">
        <f t="array" aca="1" ref="U1898" ca="1">IFERROR(IF(AA1898&lt;&gt;"ja",_xlfn.IFNA(_xlfn.IFS(AND(O1898&lt;&gt;"",F1898&lt;&gt;"",RIGHT($N1898,6)="tarief",F1898="Vergoeding"),SUM(O1898)*FLOOR(SUM(Q1898),0.0001),AND(O1898&lt;&gt;"",F1898&lt;&gt;"",RIGHT($N1898,6)="tarief"),SUM(O1898)*FLOOR(SUM(Q1898),0.01),S1898&gt;0,IF(F1898&lt;&gt;"",FLOOR(SUM(S1898),0.01),"")),""),""),"")</f>
        <v/>
      </c>
      <c r="V1898" s="317" t="str" cm="1">
        <f t="array" aca="1" ref="V1898" ca="1">IFERROR(IF(AA1898&lt;&gt;"ja",_xlfn.IFNA(_xlfn.IFS(AND(P1898&lt;&gt;"",R1898&lt;&gt;"",RIGHT($N1898,6)="tarief",F1898="Vergoeding"),SUM(P1898)*FLOOR(SUM(R1898),0.0001),AND(P1898&lt;&gt;"",R1898&lt;&gt;"",RIGHT($N1898,6)="tarief"),P1898*FLOOR(R1898,0.01),T1898&gt;0,FLOOR(SUM(T1898),0.01)),""),""),"")</f>
        <v/>
      </c>
      <c r="W1898" s="317" t="str" cm="1">
        <f t="array" aca="1" ref="W1898" ca="1">IFERROR(_xlfn.IFS(OR(F1898="",LEFT(Methode_Keuze,4)="Geen",Methode_Keuze=""),"",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17" t="str" cm="1">
        <f t="array" aca="1" ref="X1898" ca="1">IFERROR(_xlfn.IFS(OR(F1898="",LEFT(Methode_Keuze,4)="Geen",Methode_Keuze=""),"",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26"/>
      <c r="Z1898" s="319"/>
      <c r="AA1898" s="32" t="str" cm="1">
        <f t="array" ref="AA1898">IFERROR(IF(INDEX(SubsidieTabel!$AD$1:$AG$12,MATCH($F1898,SubsidieTabel!$AD$1:$AD$12,0),IFERROR(MATCH(Methode_Keuze,SubsidieTabel!$AD$1:$AG$1,0),2))&lt;&gt;1=TRUE,"ja",""),"")</f>
        <v/>
      </c>
    </row>
    <row r="1899" spans="1:27" x14ac:dyDescent="0.25">
      <c r="A1899" s="320"/>
      <c r="B1899" s="321" t="str">
        <f>IF(A1899&lt;&gt;"",_xlfn.MAXIFS($B$1:B1898,$A$1:A1898,A1899)+1,"")</f>
        <v/>
      </c>
      <c r="C1899" s="299"/>
      <c r="D1899" s="299"/>
      <c r="E1899" s="299"/>
      <c r="F1899" s="299"/>
      <c r="G1899" s="330"/>
      <c r="H1899" s="328"/>
      <c r="I1899" s="329"/>
      <c r="J1899" s="329"/>
      <c r="K1899" s="322"/>
      <c r="L1899" s="322"/>
      <c r="M1899" s="323" t="str">
        <f>IFERROR(VLOOKUP(H1899,Lijsten!$H$1:$I$100,2,0),"")</f>
        <v/>
      </c>
      <c r="N1899" s="323" t="str">
        <f ca="1">IFERROR(IF(VLOOKUP(F1899,Kostentypen!$A$3:$E$21,3,0)=0,"",IF(OR(F1899="Arbeidskosten",F1899="Vergoeding"),VLOOKUP(G1899,Tb_KostenTypen[],2,0),VLOOKUP(F1899,Kostentypen!$A$3:$E$20,3,0))),"")</f>
        <v/>
      </c>
      <c r="O1899" s="324"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4"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3"/>
      <c r="R1899" s="363"/>
      <c r="S1899" s="325"/>
      <c r="T1899" s="325"/>
      <c r="U1899" s="317" t="str" cm="1">
        <f t="array" aca="1" ref="U1899" ca="1">IFERROR(IF(AA1899&lt;&gt;"ja",_xlfn.IFNA(_xlfn.IFS(AND(O1899&lt;&gt;"",F1899&lt;&gt;"",RIGHT($N1899,6)="tarief",F1899="Vergoeding"),SUM(O1899)*FLOOR(SUM(Q1899),0.0001),AND(O1899&lt;&gt;"",F1899&lt;&gt;"",RIGHT($N1899,6)="tarief"),SUM(O1899)*FLOOR(SUM(Q1899),0.01),S1899&gt;0,IF(F1899&lt;&gt;"",FLOOR(SUM(S1899),0.01),"")),""),""),"")</f>
        <v/>
      </c>
      <c r="V1899" s="317" t="str" cm="1">
        <f t="array" aca="1" ref="V1899" ca="1">IFERROR(IF(AA1899&lt;&gt;"ja",_xlfn.IFNA(_xlfn.IFS(AND(P1899&lt;&gt;"",R1899&lt;&gt;"",RIGHT($N1899,6)="tarief",F1899="Vergoeding"),SUM(P1899)*FLOOR(SUM(R1899),0.0001),AND(P1899&lt;&gt;"",R1899&lt;&gt;"",RIGHT($N1899,6)="tarief"),P1899*FLOOR(R1899,0.01),T1899&gt;0,FLOOR(SUM(T1899),0.01)),""),""),"")</f>
        <v/>
      </c>
      <c r="W1899" s="317" t="str" cm="1">
        <f t="array" aca="1" ref="W1899" ca="1">IFERROR(_xlfn.IFS(OR(F1899="",LEFT(Methode_Keuze,4)="Geen",Methode_Keuze=""),"",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17" t="str" cm="1">
        <f t="array" aca="1" ref="X1899" ca="1">IFERROR(_xlfn.IFS(OR(F1899="",LEFT(Methode_Keuze,4)="Geen",Methode_Keuze=""),"",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26"/>
      <c r="Z1899" s="319"/>
      <c r="AA1899" s="32" t="str" cm="1">
        <f t="array" ref="AA1899">IFERROR(IF(INDEX(SubsidieTabel!$AD$1:$AG$12,MATCH($F1899,SubsidieTabel!$AD$1:$AD$12,0),IFERROR(MATCH(Methode_Keuze,SubsidieTabel!$AD$1:$AG$1,0),2))&lt;&gt;1=TRUE,"ja",""),"")</f>
        <v/>
      </c>
    </row>
    <row r="1900" spans="1:27" x14ac:dyDescent="0.25">
      <c r="A1900" s="320"/>
      <c r="B1900" s="321" t="str">
        <f>IF(A1900&lt;&gt;"",_xlfn.MAXIFS($B$1:B1899,$A$1:A1899,A1900)+1,"")</f>
        <v/>
      </c>
      <c r="C1900" s="299"/>
      <c r="D1900" s="299"/>
      <c r="E1900" s="299"/>
      <c r="F1900" s="299"/>
      <c r="G1900" s="330"/>
      <c r="H1900" s="328"/>
      <c r="I1900" s="329"/>
      <c r="J1900" s="329"/>
      <c r="K1900" s="322"/>
      <c r="L1900" s="322"/>
      <c r="M1900" s="323" t="str">
        <f>IFERROR(VLOOKUP(H1900,Lijsten!$H$1:$I$100,2,0),"")</f>
        <v/>
      </c>
      <c r="N1900" s="323" t="str">
        <f ca="1">IFERROR(IF(VLOOKUP(F1900,Kostentypen!$A$3:$E$21,3,0)=0,"",IF(OR(F1900="Arbeidskosten",F1900="Vergoeding"),VLOOKUP(G1900,Tb_KostenTypen[],2,0),VLOOKUP(F1900,Kostentypen!$A$3:$E$20,3,0))),"")</f>
        <v/>
      </c>
      <c r="O1900" s="324"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4"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3"/>
      <c r="R1900" s="363"/>
      <c r="S1900" s="325"/>
      <c r="T1900" s="325"/>
      <c r="U1900" s="317" t="str" cm="1">
        <f t="array" aca="1" ref="U1900" ca="1">IFERROR(IF(AA1900&lt;&gt;"ja",_xlfn.IFNA(_xlfn.IFS(AND(O1900&lt;&gt;"",F1900&lt;&gt;"",RIGHT($N1900,6)="tarief",F1900="Vergoeding"),SUM(O1900)*FLOOR(SUM(Q1900),0.0001),AND(O1900&lt;&gt;"",F1900&lt;&gt;"",RIGHT($N1900,6)="tarief"),SUM(O1900)*FLOOR(SUM(Q1900),0.01),S1900&gt;0,IF(F1900&lt;&gt;"",FLOOR(SUM(S1900),0.01),"")),""),""),"")</f>
        <v/>
      </c>
      <c r="V1900" s="317" t="str" cm="1">
        <f t="array" aca="1" ref="V1900" ca="1">IFERROR(IF(AA1900&lt;&gt;"ja",_xlfn.IFNA(_xlfn.IFS(AND(P1900&lt;&gt;"",R1900&lt;&gt;"",RIGHT($N1900,6)="tarief",F1900="Vergoeding"),SUM(P1900)*FLOOR(SUM(R1900),0.0001),AND(P1900&lt;&gt;"",R1900&lt;&gt;"",RIGHT($N1900,6)="tarief"),P1900*FLOOR(R1900,0.01),T1900&gt;0,FLOOR(SUM(T1900),0.01)),""),""),"")</f>
        <v/>
      </c>
      <c r="W1900" s="317" t="str" cm="1">
        <f t="array" aca="1" ref="W1900" ca="1">IFERROR(_xlfn.IFS(OR(F1900="",LEFT(Methode_Keuze,4)="Geen",Methode_Keuze=""),"",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17" t="str" cm="1">
        <f t="array" aca="1" ref="X1900" ca="1">IFERROR(_xlfn.IFS(OR(F1900="",LEFT(Methode_Keuze,4)="Geen",Methode_Keuze=""),"",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26"/>
      <c r="Z1900" s="319"/>
      <c r="AA1900" s="32" t="str" cm="1">
        <f t="array" ref="AA1900">IFERROR(IF(INDEX(SubsidieTabel!$AD$1:$AG$12,MATCH($F1900,SubsidieTabel!$AD$1:$AD$12,0),IFERROR(MATCH(Methode_Keuze,SubsidieTabel!$AD$1:$AG$1,0),2))&lt;&gt;1=TRUE,"ja",""),"")</f>
        <v/>
      </c>
    </row>
    <row r="1901" spans="1:27" x14ac:dyDescent="0.25">
      <c r="A1901" s="320"/>
      <c r="B1901" s="321" t="str">
        <f>IF(A1901&lt;&gt;"",_xlfn.MAXIFS($B$1:B1900,$A$1:A1900,A1901)+1,"")</f>
        <v/>
      </c>
      <c r="C1901" s="299"/>
      <c r="D1901" s="299"/>
      <c r="E1901" s="299"/>
      <c r="F1901" s="299"/>
      <c r="G1901" s="330"/>
      <c r="H1901" s="328"/>
      <c r="I1901" s="329"/>
      <c r="J1901" s="329"/>
      <c r="K1901" s="322"/>
      <c r="L1901" s="322"/>
      <c r="M1901" s="323" t="str">
        <f>IFERROR(VLOOKUP(H1901,Lijsten!$H$1:$I$100,2,0),"")</f>
        <v/>
      </c>
      <c r="N1901" s="323" t="str">
        <f ca="1">IFERROR(IF(VLOOKUP(F1901,Kostentypen!$A$3:$E$21,3,0)=0,"",IF(OR(F1901="Arbeidskosten",F1901="Vergoeding"),VLOOKUP(G1901,Tb_KostenTypen[],2,0),VLOOKUP(F1901,Kostentypen!$A$3:$E$20,3,0))),"")</f>
        <v/>
      </c>
      <c r="O1901" s="324"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4"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3"/>
      <c r="R1901" s="363"/>
      <c r="S1901" s="325"/>
      <c r="T1901" s="325"/>
      <c r="U1901" s="317" t="str" cm="1">
        <f t="array" aca="1" ref="U1901" ca="1">IFERROR(IF(AA1901&lt;&gt;"ja",_xlfn.IFNA(_xlfn.IFS(AND(O1901&lt;&gt;"",F1901&lt;&gt;"",RIGHT($N1901,6)="tarief",F1901="Vergoeding"),SUM(O1901)*FLOOR(SUM(Q1901),0.0001),AND(O1901&lt;&gt;"",F1901&lt;&gt;"",RIGHT($N1901,6)="tarief"),SUM(O1901)*FLOOR(SUM(Q1901),0.01),S1901&gt;0,IF(F1901&lt;&gt;"",FLOOR(SUM(S1901),0.01),"")),""),""),"")</f>
        <v/>
      </c>
      <c r="V1901" s="317" t="str" cm="1">
        <f t="array" aca="1" ref="V1901" ca="1">IFERROR(IF(AA1901&lt;&gt;"ja",_xlfn.IFNA(_xlfn.IFS(AND(P1901&lt;&gt;"",R1901&lt;&gt;"",RIGHT($N1901,6)="tarief",F1901="Vergoeding"),SUM(P1901)*FLOOR(SUM(R1901),0.0001),AND(P1901&lt;&gt;"",R1901&lt;&gt;"",RIGHT($N1901,6)="tarief"),P1901*FLOOR(R1901,0.01),T1901&gt;0,FLOOR(SUM(T1901),0.01)),""),""),"")</f>
        <v/>
      </c>
      <c r="W1901" s="317" t="str" cm="1">
        <f t="array" aca="1" ref="W1901" ca="1">IFERROR(_xlfn.IFS(OR(F1901="",LEFT(Methode_Keuze,4)="Geen",Methode_Keuze=""),"",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17" t="str" cm="1">
        <f t="array" aca="1" ref="X1901" ca="1">IFERROR(_xlfn.IFS(OR(F1901="",LEFT(Methode_Keuze,4)="Geen",Methode_Keuze=""),"",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26"/>
      <c r="Z1901" s="319"/>
      <c r="AA1901" s="32" t="str" cm="1">
        <f t="array" ref="AA1901">IFERROR(IF(INDEX(SubsidieTabel!$AD$1:$AG$12,MATCH($F1901,SubsidieTabel!$AD$1:$AD$12,0),IFERROR(MATCH(Methode_Keuze,SubsidieTabel!$AD$1:$AG$1,0),2))&lt;&gt;1=TRUE,"ja",""),"")</f>
        <v/>
      </c>
    </row>
    <row r="1902" spans="1:27" x14ac:dyDescent="0.25">
      <c r="A1902" s="320"/>
      <c r="B1902" s="321" t="str">
        <f>IF(A1902&lt;&gt;"",_xlfn.MAXIFS($B$1:B1901,$A$1:A1901,A1902)+1,"")</f>
        <v/>
      </c>
      <c r="C1902" s="299"/>
      <c r="D1902" s="299"/>
      <c r="E1902" s="299"/>
      <c r="F1902" s="299"/>
      <c r="G1902" s="330"/>
      <c r="H1902" s="328"/>
      <c r="I1902" s="329"/>
      <c r="J1902" s="329"/>
      <c r="K1902" s="322"/>
      <c r="L1902" s="322"/>
      <c r="M1902" s="323" t="str">
        <f>IFERROR(VLOOKUP(H1902,Lijsten!$H$1:$I$100,2,0),"")</f>
        <v/>
      </c>
      <c r="N1902" s="323" t="str">
        <f ca="1">IFERROR(IF(VLOOKUP(F1902,Kostentypen!$A$3:$E$21,3,0)=0,"",IF(OR(F1902="Arbeidskosten",F1902="Vergoeding"),VLOOKUP(G1902,Tb_KostenTypen[],2,0),VLOOKUP(F1902,Kostentypen!$A$3:$E$20,3,0))),"")</f>
        <v/>
      </c>
      <c r="O1902" s="324"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4"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3"/>
      <c r="R1902" s="363"/>
      <c r="S1902" s="325"/>
      <c r="T1902" s="325"/>
      <c r="U1902" s="317" t="str" cm="1">
        <f t="array" aca="1" ref="U1902" ca="1">IFERROR(IF(AA1902&lt;&gt;"ja",_xlfn.IFNA(_xlfn.IFS(AND(O1902&lt;&gt;"",F1902&lt;&gt;"",RIGHT($N1902,6)="tarief",F1902="Vergoeding"),SUM(O1902)*FLOOR(SUM(Q1902),0.0001),AND(O1902&lt;&gt;"",F1902&lt;&gt;"",RIGHT($N1902,6)="tarief"),SUM(O1902)*FLOOR(SUM(Q1902),0.01),S1902&gt;0,IF(F1902&lt;&gt;"",FLOOR(SUM(S1902),0.01),"")),""),""),"")</f>
        <v/>
      </c>
      <c r="V1902" s="317" t="str" cm="1">
        <f t="array" aca="1" ref="V1902" ca="1">IFERROR(IF(AA1902&lt;&gt;"ja",_xlfn.IFNA(_xlfn.IFS(AND(P1902&lt;&gt;"",R1902&lt;&gt;"",RIGHT($N1902,6)="tarief",F1902="Vergoeding"),SUM(P1902)*FLOOR(SUM(R1902),0.0001),AND(P1902&lt;&gt;"",R1902&lt;&gt;"",RIGHT($N1902,6)="tarief"),P1902*FLOOR(R1902,0.01),T1902&gt;0,FLOOR(SUM(T1902),0.01)),""),""),"")</f>
        <v/>
      </c>
      <c r="W1902" s="317" t="str" cm="1">
        <f t="array" aca="1" ref="W1902" ca="1">IFERROR(_xlfn.IFS(OR(F1902="",LEFT(Methode_Keuze,4)="Geen",Methode_Keuze=""),"",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17" t="str" cm="1">
        <f t="array" aca="1" ref="X1902" ca="1">IFERROR(_xlfn.IFS(OR(F1902="",LEFT(Methode_Keuze,4)="Geen",Methode_Keuze=""),"",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26"/>
      <c r="Z1902" s="319"/>
      <c r="AA1902" s="32" t="str" cm="1">
        <f t="array" ref="AA1902">IFERROR(IF(INDEX(SubsidieTabel!$AD$1:$AG$12,MATCH($F1902,SubsidieTabel!$AD$1:$AD$12,0),IFERROR(MATCH(Methode_Keuze,SubsidieTabel!$AD$1:$AG$1,0),2))&lt;&gt;1=TRUE,"ja",""),"")</f>
        <v/>
      </c>
    </row>
    <row r="1903" spans="1:27" x14ac:dyDescent="0.25">
      <c r="A1903" s="320"/>
      <c r="B1903" s="321" t="str">
        <f>IF(A1903&lt;&gt;"",_xlfn.MAXIFS($B$1:B1902,$A$1:A1902,A1903)+1,"")</f>
        <v/>
      </c>
      <c r="C1903" s="299"/>
      <c r="D1903" s="299"/>
      <c r="E1903" s="299"/>
      <c r="F1903" s="299"/>
      <c r="G1903" s="330"/>
      <c r="H1903" s="328"/>
      <c r="I1903" s="329"/>
      <c r="J1903" s="329"/>
      <c r="K1903" s="322"/>
      <c r="L1903" s="322"/>
      <c r="M1903" s="323" t="str">
        <f>IFERROR(VLOOKUP(H1903,Lijsten!$H$1:$I$100,2,0),"")</f>
        <v/>
      </c>
      <c r="N1903" s="323" t="str">
        <f ca="1">IFERROR(IF(VLOOKUP(F1903,Kostentypen!$A$3:$E$21,3,0)=0,"",IF(OR(F1903="Arbeidskosten",F1903="Vergoeding"),VLOOKUP(G1903,Tb_KostenTypen[],2,0),VLOOKUP(F1903,Kostentypen!$A$3:$E$20,3,0))),"")</f>
        <v/>
      </c>
      <c r="O1903" s="324"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4"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3"/>
      <c r="R1903" s="363"/>
      <c r="S1903" s="325"/>
      <c r="T1903" s="325"/>
      <c r="U1903" s="317" t="str" cm="1">
        <f t="array" aca="1" ref="U1903" ca="1">IFERROR(IF(AA1903&lt;&gt;"ja",_xlfn.IFNA(_xlfn.IFS(AND(O1903&lt;&gt;"",F1903&lt;&gt;"",RIGHT($N1903,6)="tarief",F1903="Vergoeding"),SUM(O1903)*FLOOR(SUM(Q1903),0.0001),AND(O1903&lt;&gt;"",F1903&lt;&gt;"",RIGHT($N1903,6)="tarief"),SUM(O1903)*FLOOR(SUM(Q1903),0.01),S1903&gt;0,IF(F1903&lt;&gt;"",FLOOR(SUM(S1903),0.01),"")),""),""),"")</f>
        <v/>
      </c>
      <c r="V1903" s="317" t="str" cm="1">
        <f t="array" aca="1" ref="V1903" ca="1">IFERROR(IF(AA1903&lt;&gt;"ja",_xlfn.IFNA(_xlfn.IFS(AND(P1903&lt;&gt;"",R1903&lt;&gt;"",RIGHT($N1903,6)="tarief",F1903="Vergoeding"),SUM(P1903)*FLOOR(SUM(R1903),0.0001),AND(P1903&lt;&gt;"",R1903&lt;&gt;"",RIGHT($N1903,6)="tarief"),P1903*FLOOR(R1903,0.01),T1903&gt;0,FLOOR(SUM(T1903),0.01)),""),""),"")</f>
        <v/>
      </c>
      <c r="W1903" s="317" t="str" cm="1">
        <f t="array" aca="1" ref="W1903" ca="1">IFERROR(_xlfn.IFS(OR(F1903="",LEFT(Methode_Keuze,4)="Geen",Methode_Keuze=""),"",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17" t="str" cm="1">
        <f t="array" aca="1" ref="X1903" ca="1">IFERROR(_xlfn.IFS(OR(F1903="",LEFT(Methode_Keuze,4)="Geen",Methode_Keuze=""),"",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26"/>
      <c r="Z1903" s="319"/>
      <c r="AA1903" s="32" t="str" cm="1">
        <f t="array" ref="AA1903">IFERROR(IF(INDEX(SubsidieTabel!$AD$1:$AG$12,MATCH($F1903,SubsidieTabel!$AD$1:$AD$12,0),IFERROR(MATCH(Methode_Keuze,SubsidieTabel!$AD$1:$AG$1,0),2))&lt;&gt;1=TRUE,"ja",""),"")</f>
        <v/>
      </c>
    </row>
    <row r="1904" spans="1:27" x14ac:dyDescent="0.25">
      <c r="A1904" s="320"/>
      <c r="B1904" s="321" t="str">
        <f>IF(A1904&lt;&gt;"",_xlfn.MAXIFS($B$1:B1903,$A$1:A1903,A1904)+1,"")</f>
        <v/>
      </c>
      <c r="C1904" s="299"/>
      <c r="D1904" s="299"/>
      <c r="E1904" s="299"/>
      <c r="F1904" s="299"/>
      <c r="G1904" s="330"/>
      <c r="H1904" s="328"/>
      <c r="I1904" s="329"/>
      <c r="J1904" s="329"/>
      <c r="K1904" s="322"/>
      <c r="L1904" s="322"/>
      <c r="M1904" s="323" t="str">
        <f>IFERROR(VLOOKUP(H1904,Lijsten!$H$1:$I$100,2,0),"")</f>
        <v/>
      </c>
      <c r="N1904" s="323" t="str">
        <f ca="1">IFERROR(IF(VLOOKUP(F1904,Kostentypen!$A$3:$E$21,3,0)=0,"",IF(OR(F1904="Arbeidskosten",F1904="Vergoeding"),VLOOKUP(G1904,Tb_KostenTypen[],2,0),VLOOKUP(F1904,Kostentypen!$A$3:$E$20,3,0))),"")</f>
        <v/>
      </c>
      <c r="O1904" s="324"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4"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3"/>
      <c r="R1904" s="363"/>
      <c r="S1904" s="325"/>
      <c r="T1904" s="325"/>
      <c r="U1904" s="317" t="str" cm="1">
        <f t="array" aca="1" ref="U1904" ca="1">IFERROR(IF(AA1904&lt;&gt;"ja",_xlfn.IFNA(_xlfn.IFS(AND(O1904&lt;&gt;"",F1904&lt;&gt;"",RIGHT($N1904,6)="tarief",F1904="Vergoeding"),SUM(O1904)*FLOOR(SUM(Q1904),0.0001),AND(O1904&lt;&gt;"",F1904&lt;&gt;"",RIGHT($N1904,6)="tarief"),SUM(O1904)*FLOOR(SUM(Q1904),0.01),S1904&gt;0,IF(F1904&lt;&gt;"",FLOOR(SUM(S1904),0.01),"")),""),""),"")</f>
        <v/>
      </c>
      <c r="V1904" s="317" t="str" cm="1">
        <f t="array" aca="1" ref="V1904" ca="1">IFERROR(IF(AA1904&lt;&gt;"ja",_xlfn.IFNA(_xlfn.IFS(AND(P1904&lt;&gt;"",R1904&lt;&gt;"",RIGHT($N1904,6)="tarief",F1904="Vergoeding"),SUM(P1904)*FLOOR(SUM(R1904),0.0001),AND(P1904&lt;&gt;"",R1904&lt;&gt;"",RIGHT($N1904,6)="tarief"),P1904*FLOOR(R1904,0.01),T1904&gt;0,FLOOR(SUM(T1904),0.01)),""),""),"")</f>
        <v/>
      </c>
      <c r="W1904" s="317" t="str" cm="1">
        <f t="array" aca="1" ref="W1904" ca="1">IFERROR(_xlfn.IFS(OR(F1904="",LEFT(Methode_Keuze,4)="Geen",Methode_Keuze=""),"",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17" t="str" cm="1">
        <f t="array" aca="1" ref="X1904" ca="1">IFERROR(_xlfn.IFS(OR(F1904="",LEFT(Methode_Keuze,4)="Geen",Methode_Keuze=""),"",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26"/>
      <c r="Z1904" s="319"/>
      <c r="AA1904" s="32" t="str" cm="1">
        <f t="array" ref="AA1904">IFERROR(IF(INDEX(SubsidieTabel!$AD$1:$AG$12,MATCH($F1904,SubsidieTabel!$AD$1:$AD$12,0),IFERROR(MATCH(Methode_Keuze,SubsidieTabel!$AD$1:$AG$1,0),2))&lt;&gt;1=TRUE,"ja",""),"")</f>
        <v/>
      </c>
    </row>
    <row r="1905" spans="1:27" x14ac:dyDescent="0.25">
      <c r="A1905" s="320"/>
      <c r="B1905" s="321" t="str">
        <f>IF(A1905&lt;&gt;"",_xlfn.MAXIFS($B$1:B1904,$A$1:A1904,A1905)+1,"")</f>
        <v/>
      </c>
      <c r="C1905" s="299"/>
      <c r="D1905" s="299"/>
      <c r="E1905" s="299"/>
      <c r="F1905" s="299"/>
      <c r="G1905" s="330"/>
      <c r="H1905" s="328"/>
      <c r="I1905" s="329"/>
      <c r="J1905" s="329"/>
      <c r="K1905" s="322"/>
      <c r="L1905" s="322"/>
      <c r="M1905" s="323" t="str">
        <f>IFERROR(VLOOKUP(H1905,Lijsten!$H$1:$I$100,2,0),"")</f>
        <v/>
      </c>
      <c r="N1905" s="323" t="str">
        <f ca="1">IFERROR(IF(VLOOKUP(F1905,Kostentypen!$A$3:$E$21,3,0)=0,"",IF(OR(F1905="Arbeidskosten",F1905="Vergoeding"),VLOOKUP(G1905,Tb_KostenTypen[],2,0),VLOOKUP(F1905,Kostentypen!$A$3:$E$20,3,0))),"")</f>
        <v/>
      </c>
      <c r="O1905" s="324"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4"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3"/>
      <c r="R1905" s="363"/>
      <c r="S1905" s="325"/>
      <c r="T1905" s="325"/>
      <c r="U1905" s="317" t="str" cm="1">
        <f t="array" aca="1" ref="U1905" ca="1">IFERROR(IF(AA1905&lt;&gt;"ja",_xlfn.IFNA(_xlfn.IFS(AND(O1905&lt;&gt;"",F1905&lt;&gt;"",RIGHT($N1905,6)="tarief",F1905="Vergoeding"),SUM(O1905)*FLOOR(SUM(Q1905),0.0001),AND(O1905&lt;&gt;"",F1905&lt;&gt;"",RIGHT($N1905,6)="tarief"),SUM(O1905)*FLOOR(SUM(Q1905),0.01),S1905&gt;0,IF(F1905&lt;&gt;"",FLOOR(SUM(S1905),0.01),"")),""),""),"")</f>
        <v/>
      </c>
      <c r="V1905" s="317" t="str" cm="1">
        <f t="array" aca="1" ref="V1905" ca="1">IFERROR(IF(AA1905&lt;&gt;"ja",_xlfn.IFNA(_xlfn.IFS(AND(P1905&lt;&gt;"",R1905&lt;&gt;"",RIGHT($N1905,6)="tarief",F1905="Vergoeding"),SUM(P1905)*FLOOR(SUM(R1905),0.0001),AND(P1905&lt;&gt;"",R1905&lt;&gt;"",RIGHT($N1905,6)="tarief"),P1905*FLOOR(R1905,0.01),T1905&gt;0,FLOOR(SUM(T1905),0.01)),""),""),"")</f>
        <v/>
      </c>
      <c r="W1905" s="317" t="str" cm="1">
        <f t="array" aca="1" ref="W1905" ca="1">IFERROR(_xlfn.IFS(OR(F1905="",LEFT(Methode_Keuze,4)="Geen",Methode_Keuze=""),"",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17" t="str" cm="1">
        <f t="array" aca="1" ref="X1905" ca="1">IFERROR(_xlfn.IFS(OR(F1905="",LEFT(Methode_Keuze,4)="Geen",Methode_Keuze=""),"",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26"/>
      <c r="Z1905" s="319"/>
      <c r="AA1905" s="32" t="str" cm="1">
        <f t="array" ref="AA1905">IFERROR(IF(INDEX(SubsidieTabel!$AD$1:$AG$12,MATCH($F1905,SubsidieTabel!$AD$1:$AD$12,0),IFERROR(MATCH(Methode_Keuze,SubsidieTabel!$AD$1:$AG$1,0),2))&lt;&gt;1=TRUE,"ja",""),"")</f>
        <v/>
      </c>
    </row>
    <row r="1906" spans="1:27" x14ac:dyDescent="0.25">
      <c r="A1906" s="320"/>
      <c r="B1906" s="321" t="str">
        <f>IF(A1906&lt;&gt;"",_xlfn.MAXIFS($B$1:B1905,$A$1:A1905,A1906)+1,"")</f>
        <v/>
      </c>
      <c r="C1906" s="299"/>
      <c r="D1906" s="299"/>
      <c r="E1906" s="299"/>
      <c r="F1906" s="299"/>
      <c r="G1906" s="330"/>
      <c r="H1906" s="328"/>
      <c r="I1906" s="329"/>
      <c r="J1906" s="329"/>
      <c r="K1906" s="322"/>
      <c r="L1906" s="322"/>
      <c r="M1906" s="323" t="str">
        <f>IFERROR(VLOOKUP(H1906,Lijsten!$H$1:$I$100,2,0),"")</f>
        <v/>
      </c>
      <c r="N1906" s="323" t="str">
        <f ca="1">IFERROR(IF(VLOOKUP(F1906,Kostentypen!$A$3:$E$21,3,0)=0,"",IF(OR(F1906="Arbeidskosten",F1906="Vergoeding"),VLOOKUP(G1906,Tb_KostenTypen[],2,0),VLOOKUP(F1906,Kostentypen!$A$3:$E$20,3,0))),"")</f>
        <v/>
      </c>
      <c r="O1906" s="324"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4"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3"/>
      <c r="R1906" s="363"/>
      <c r="S1906" s="325"/>
      <c r="T1906" s="325"/>
      <c r="U1906" s="317" t="str" cm="1">
        <f t="array" aca="1" ref="U1906" ca="1">IFERROR(IF(AA1906&lt;&gt;"ja",_xlfn.IFNA(_xlfn.IFS(AND(O1906&lt;&gt;"",F1906&lt;&gt;"",RIGHT($N1906,6)="tarief",F1906="Vergoeding"),SUM(O1906)*FLOOR(SUM(Q1906),0.0001),AND(O1906&lt;&gt;"",F1906&lt;&gt;"",RIGHT($N1906,6)="tarief"),SUM(O1906)*FLOOR(SUM(Q1906),0.01),S1906&gt;0,IF(F1906&lt;&gt;"",FLOOR(SUM(S1906),0.01),"")),""),""),"")</f>
        <v/>
      </c>
      <c r="V1906" s="317" t="str" cm="1">
        <f t="array" aca="1" ref="V1906" ca="1">IFERROR(IF(AA1906&lt;&gt;"ja",_xlfn.IFNA(_xlfn.IFS(AND(P1906&lt;&gt;"",R1906&lt;&gt;"",RIGHT($N1906,6)="tarief",F1906="Vergoeding"),SUM(P1906)*FLOOR(SUM(R1906),0.0001),AND(P1906&lt;&gt;"",R1906&lt;&gt;"",RIGHT($N1906,6)="tarief"),P1906*FLOOR(R1906,0.01),T1906&gt;0,FLOOR(SUM(T1906),0.01)),""),""),"")</f>
        <v/>
      </c>
      <c r="W1906" s="317" t="str" cm="1">
        <f t="array" aca="1" ref="W1906" ca="1">IFERROR(_xlfn.IFS(OR(F1906="",LEFT(Methode_Keuze,4)="Geen",Methode_Keuze=""),"",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17" t="str" cm="1">
        <f t="array" aca="1" ref="X1906" ca="1">IFERROR(_xlfn.IFS(OR(F1906="",LEFT(Methode_Keuze,4)="Geen",Methode_Keuze=""),"",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26"/>
      <c r="Z1906" s="319"/>
      <c r="AA1906" s="32" t="str" cm="1">
        <f t="array" ref="AA1906">IFERROR(IF(INDEX(SubsidieTabel!$AD$1:$AG$12,MATCH($F1906,SubsidieTabel!$AD$1:$AD$12,0),IFERROR(MATCH(Methode_Keuze,SubsidieTabel!$AD$1:$AG$1,0),2))&lt;&gt;1=TRUE,"ja",""),"")</f>
        <v/>
      </c>
    </row>
    <row r="1907" spans="1:27" x14ac:dyDescent="0.25">
      <c r="A1907" s="320"/>
      <c r="B1907" s="321" t="str">
        <f>IF(A1907&lt;&gt;"",_xlfn.MAXIFS($B$1:B1906,$A$1:A1906,A1907)+1,"")</f>
        <v/>
      </c>
      <c r="C1907" s="299"/>
      <c r="D1907" s="299"/>
      <c r="E1907" s="299"/>
      <c r="F1907" s="299"/>
      <c r="G1907" s="330"/>
      <c r="H1907" s="328"/>
      <c r="I1907" s="329"/>
      <c r="J1907" s="329"/>
      <c r="K1907" s="322"/>
      <c r="L1907" s="322"/>
      <c r="M1907" s="323" t="str">
        <f>IFERROR(VLOOKUP(H1907,Lijsten!$H$1:$I$100,2,0),"")</f>
        <v/>
      </c>
      <c r="N1907" s="323" t="str">
        <f ca="1">IFERROR(IF(VLOOKUP(F1907,Kostentypen!$A$3:$E$21,3,0)=0,"",IF(OR(F1907="Arbeidskosten",F1907="Vergoeding"),VLOOKUP(G1907,Tb_KostenTypen[],2,0),VLOOKUP(F1907,Kostentypen!$A$3:$E$20,3,0))),"")</f>
        <v/>
      </c>
      <c r="O1907" s="324"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4"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3"/>
      <c r="R1907" s="363"/>
      <c r="S1907" s="325"/>
      <c r="T1907" s="325"/>
      <c r="U1907" s="317" t="str" cm="1">
        <f t="array" aca="1" ref="U1907" ca="1">IFERROR(IF(AA1907&lt;&gt;"ja",_xlfn.IFNA(_xlfn.IFS(AND(O1907&lt;&gt;"",F1907&lt;&gt;"",RIGHT($N1907,6)="tarief",F1907="Vergoeding"),SUM(O1907)*FLOOR(SUM(Q1907),0.0001),AND(O1907&lt;&gt;"",F1907&lt;&gt;"",RIGHT($N1907,6)="tarief"),SUM(O1907)*FLOOR(SUM(Q1907),0.01),S1907&gt;0,IF(F1907&lt;&gt;"",FLOOR(SUM(S1907),0.01),"")),""),""),"")</f>
        <v/>
      </c>
      <c r="V1907" s="317" t="str" cm="1">
        <f t="array" aca="1" ref="V1907" ca="1">IFERROR(IF(AA1907&lt;&gt;"ja",_xlfn.IFNA(_xlfn.IFS(AND(P1907&lt;&gt;"",R1907&lt;&gt;"",RIGHT($N1907,6)="tarief",F1907="Vergoeding"),SUM(P1907)*FLOOR(SUM(R1907),0.0001),AND(P1907&lt;&gt;"",R1907&lt;&gt;"",RIGHT($N1907,6)="tarief"),P1907*FLOOR(R1907,0.01),T1907&gt;0,FLOOR(SUM(T1907),0.01)),""),""),"")</f>
        <v/>
      </c>
      <c r="W1907" s="317" t="str" cm="1">
        <f t="array" aca="1" ref="W1907" ca="1">IFERROR(_xlfn.IFS(OR(F1907="",LEFT(Methode_Keuze,4)="Geen",Methode_Keuze=""),"",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17" t="str" cm="1">
        <f t="array" aca="1" ref="X1907" ca="1">IFERROR(_xlfn.IFS(OR(F1907="",LEFT(Methode_Keuze,4)="Geen",Methode_Keuze=""),"",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26"/>
      <c r="Z1907" s="319"/>
      <c r="AA1907" s="32" t="str" cm="1">
        <f t="array" ref="AA1907">IFERROR(IF(INDEX(SubsidieTabel!$AD$1:$AG$12,MATCH($F1907,SubsidieTabel!$AD$1:$AD$12,0),IFERROR(MATCH(Methode_Keuze,SubsidieTabel!$AD$1:$AG$1,0),2))&lt;&gt;1=TRUE,"ja",""),"")</f>
        <v/>
      </c>
    </row>
    <row r="1908" spans="1:27" x14ac:dyDescent="0.25">
      <c r="A1908" s="320"/>
      <c r="B1908" s="321" t="str">
        <f>IF(A1908&lt;&gt;"",_xlfn.MAXIFS($B$1:B1907,$A$1:A1907,A1908)+1,"")</f>
        <v/>
      </c>
      <c r="C1908" s="299"/>
      <c r="D1908" s="299"/>
      <c r="E1908" s="299"/>
      <c r="F1908" s="299"/>
      <c r="G1908" s="330"/>
      <c r="H1908" s="328"/>
      <c r="I1908" s="329"/>
      <c r="J1908" s="329"/>
      <c r="K1908" s="322"/>
      <c r="L1908" s="322"/>
      <c r="M1908" s="323" t="str">
        <f>IFERROR(VLOOKUP(H1908,Lijsten!$H$1:$I$100,2,0),"")</f>
        <v/>
      </c>
      <c r="N1908" s="323" t="str">
        <f ca="1">IFERROR(IF(VLOOKUP(F1908,Kostentypen!$A$3:$E$21,3,0)=0,"",IF(OR(F1908="Arbeidskosten",F1908="Vergoeding"),VLOOKUP(G1908,Tb_KostenTypen[],2,0),VLOOKUP(F1908,Kostentypen!$A$3:$E$20,3,0))),"")</f>
        <v/>
      </c>
      <c r="O1908" s="324"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4"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3"/>
      <c r="R1908" s="363"/>
      <c r="S1908" s="325"/>
      <c r="T1908" s="325"/>
      <c r="U1908" s="317" t="str" cm="1">
        <f t="array" aca="1" ref="U1908" ca="1">IFERROR(IF(AA1908&lt;&gt;"ja",_xlfn.IFNA(_xlfn.IFS(AND(O1908&lt;&gt;"",F1908&lt;&gt;"",RIGHT($N1908,6)="tarief",F1908="Vergoeding"),SUM(O1908)*FLOOR(SUM(Q1908),0.0001),AND(O1908&lt;&gt;"",F1908&lt;&gt;"",RIGHT($N1908,6)="tarief"),SUM(O1908)*FLOOR(SUM(Q1908),0.01),S1908&gt;0,IF(F1908&lt;&gt;"",FLOOR(SUM(S1908),0.01),"")),""),""),"")</f>
        <v/>
      </c>
      <c r="V1908" s="317" t="str" cm="1">
        <f t="array" aca="1" ref="V1908" ca="1">IFERROR(IF(AA1908&lt;&gt;"ja",_xlfn.IFNA(_xlfn.IFS(AND(P1908&lt;&gt;"",R1908&lt;&gt;"",RIGHT($N1908,6)="tarief",F1908="Vergoeding"),SUM(P1908)*FLOOR(SUM(R1908),0.0001),AND(P1908&lt;&gt;"",R1908&lt;&gt;"",RIGHT($N1908,6)="tarief"),P1908*FLOOR(R1908,0.01),T1908&gt;0,FLOOR(SUM(T1908),0.01)),""),""),"")</f>
        <v/>
      </c>
      <c r="W1908" s="317" t="str" cm="1">
        <f t="array" aca="1" ref="W1908" ca="1">IFERROR(_xlfn.IFS(OR(F1908="",LEFT(Methode_Keuze,4)="Geen",Methode_Keuze=""),"",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17" t="str" cm="1">
        <f t="array" aca="1" ref="X1908" ca="1">IFERROR(_xlfn.IFS(OR(F1908="",LEFT(Methode_Keuze,4)="Geen",Methode_Keuze=""),"",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26"/>
      <c r="Z1908" s="319"/>
      <c r="AA1908" s="32" t="str" cm="1">
        <f t="array" ref="AA1908">IFERROR(IF(INDEX(SubsidieTabel!$AD$1:$AG$12,MATCH($F1908,SubsidieTabel!$AD$1:$AD$12,0),IFERROR(MATCH(Methode_Keuze,SubsidieTabel!$AD$1:$AG$1,0),2))&lt;&gt;1=TRUE,"ja",""),"")</f>
        <v/>
      </c>
    </row>
    <row r="1909" spans="1:27" x14ac:dyDescent="0.25">
      <c r="A1909" s="320"/>
      <c r="B1909" s="321" t="str">
        <f>IF(A1909&lt;&gt;"",_xlfn.MAXIFS($B$1:B1908,$A$1:A1908,A1909)+1,"")</f>
        <v/>
      </c>
      <c r="C1909" s="299"/>
      <c r="D1909" s="299"/>
      <c r="E1909" s="299"/>
      <c r="F1909" s="299"/>
      <c r="G1909" s="330"/>
      <c r="H1909" s="328"/>
      <c r="I1909" s="329"/>
      <c r="J1909" s="329"/>
      <c r="K1909" s="322"/>
      <c r="L1909" s="322"/>
      <c r="M1909" s="323" t="str">
        <f>IFERROR(VLOOKUP(H1909,Lijsten!$H$1:$I$100,2,0),"")</f>
        <v/>
      </c>
      <c r="N1909" s="323" t="str">
        <f ca="1">IFERROR(IF(VLOOKUP(F1909,Kostentypen!$A$3:$E$21,3,0)=0,"",IF(OR(F1909="Arbeidskosten",F1909="Vergoeding"),VLOOKUP(G1909,Tb_KostenTypen[],2,0),VLOOKUP(F1909,Kostentypen!$A$3:$E$20,3,0))),"")</f>
        <v/>
      </c>
      <c r="O1909" s="324"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4"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3"/>
      <c r="R1909" s="363"/>
      <c r="S1909" s="325"/>
      <c r="T1909" s="325"/>
      <c r="U1909" s="317" t="str" cm="1">
        <f t="array" aca="1" ref="U1909" ca="1">IFERROR(IF(AA1909&lt;&gt;"ja",_xlfn.IFNA(_xlfn.IFS(AND(O1909&lt;&gt;"",F1909&lt;&gt;"",RIGHT($N1909,6)="tarief",F1909="Vergoeding"),SUM(O1909)*FLOOR(SUM(Q1909),0.0001),AND(O1909&lt;&gt;"",F1909&lt;&gt;"",RIGHT($N1909,6)="tarief"),SUM(O1909)*FLOOR(SUM(Q1909),0.01),S1909&gt;0,IF(F1909&lt;&gt;"",FLOOR(SUM(S1909),0.01),"")),""),""),"")</f>
        <v/>
      </c>
      <c r="V1909" s="317" t="str" cm="1">
        <f t="array" aca="1" ref="V1909" ca="1">IFERROR(IF(AA1909&lt;&gt;"ja",_xlfn.IFNA(_xlfn.IFS(AND(P1909&lt;&gt;"",R1909&lt;&gt;"",RIGHT($N1909,6)="tarief",F1909="Vergoeding"),SUM(P1909)*FLOOR(SUM(R1909),0.0001),AND(P1909&lt;&gt;"",R1909&lt;&gt;"",RIGHT($N1909,6)="tarief"),P1909*FLOOR(R1909,0.01),T1909&gt;0,FLOOR(SUM(T1909),0.01)),""),""),"")</f>
        <v/>
      </c>
      <c r="W1909" s="317" t="str" cm="1">
        <f t="array" aca="1" ref="W1909" ca="1">IFERROR(_xlfn.IFS(OR(F1909="",LEFT(Methode_Keuze,4)="Geen",Methode_Keuze=""),"",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17" t="str" cm="1">
        <f t="array" aca="1" ref="X1909" ca="1">IFERROR(_xlfn.IFS(OR(F1909="",LEFT(Methode_Keuze,4)="Geen",Methode_Keuze=""),"",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26"/>
      <c r="Z1909" s="319"/>
      <c r="AA1909" s="32" t="str" cm="1">
        <f t="array" ref="AA1909">IFERROR(IF(INDEX(SubsidieTabel!$AD$1:$AG$12,MATCH($F1909,SubsidieTabel!$AD$1:$AD$12,0),IFERROR(MATCH(Methode_Keuze,SubsidieTabel!$AD$1:$AG$1,0),2))&lt;&gt;1=TRUE,"ja",""),"")</f>
        <v/>
      </c>
    </row>
    <row r="1910" spans="1:27" x14ac:dyDescent="0.25">
      <c r="A1910" s="320"/>
      <c r="B1910" s="321" t="str">
        <f>IF(A1910&lt;&gt;"",_xlfn.MAXIFS($B$1:B1909,$A$1:A1909,A1910)+1,"")</f>
        <v/>
      </c>
      <c r="C1910" s="299"/>
      <c r="D1910" s="299"/>
      <c r="E1910" s="299"/>
      <c r="F1910" s="299"/>
      <c r="G1910" s="330"/>
      <c r="H1910" s="328"/>
      <c r="I1910" s="329"/>
      <c r="J1910" s="329"/>
      <c r="K1910" s="322"/>
      <c r="L1910" s="322"/>
      <c r="M1910" s="323" t="str">
        <f>IFERROR(VLOOKUP(H1910,Lijsten!$H$1:$I$100,2,0),"")</f>
        <v/>
      </c>
      <c r="N1910" s="323" t="str">
        <f ca="1">IFERROR(IF(VLOOKUP(F1910,Kostentypen!$A$3:$E$21,3,0)=0,"",IF(OR(F1910="Arbeidskosten",F1910="Vergoeding"),VLOOKUP(G1910,Tb_KostenTypen[],2,0),VLOOKUP(F1910,Kostentypen!$A$3:$E$20,3,0))),"")</f>
        <v/>
      </c>
      <c r="O1910" s="324"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4"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3"/>
      <c r="R1910" s="363"/>
      <c r="S1910" s="325"/>
      <c r="T1910" s="325"/>
      <c r="U1910" s="317" t="str" cm="1">
        <f t="array" aca="1" ref="U1910" ca="1">IFERROR(IF(AA1910&lt;&gt;"ja",_xlfn.IFNA(_xlfn.IFS(AND(O1910&lt;&gt;"",F1910&lt;&gt;"",RIGHT($N1910,6)="tarief",F1910="Vergoeding"),SUM(O1910)*FLOOR(SUM(Q1910),0.0001),AND(O1910&lt;&gt;"",F1910&lt;&gt;"",RIGHT($N1910,6)="tarief"),SUM(O1910)*FLOOR(SUM(Q1910),0.01),S1910&gt;0,IF(F1910&lt;&gt;"",FLOOR(SUM(S1910),0.01),"")),""),""),"")</f>
        <v/>
      </c>
      <c r="V1910" s="317" t="str" cm="1">
        <f t="array" aca="1" ref="V1910" ca="1">IFERROR(IF(AA1910&lt;&gt;"ja",_xlfn.IFNA(_xlfn.IFS(AND(P1910&lt;&gt;"",R1910&lt;&gt;"",RIGHT($N1910,6)="tarief",F1910="Vergoeding"),SUM(P1910)*FLOOR(SUM(R1910),0.0001),AND(P1910&lt;&gt;"",R1910&lt;&gt;"",RIGHT($N1910,6)="tarief"),P1910*FLOOR(R1910,0.01),T1910&gt;0,FLOOR(SUM(T1910),0.01)),""),""),"")</f>
        <v/>
      </c>
      <c r="W1910" s="317" t="str" cm="1">
        <f t="array" aca="1" ref="W1910" ca="1">IFERROR(_xlfn.IFS(OR(F1910="",LEFT(Methode_Keuze,4)="Geen",Methode_Keuze=""),"",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17" t="str" cm="1">
        <f t="array" aca="1" ref="X1910" ca="1">IFERROR(_xlfn.IFS(OR(F1910="",LEFT(Methode_Keuze,4)="Geen",Methode_Keuze=""),"",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26"/>
      <c r="Z1910" s="319"/>
      <c r="AA1910" s="32" t="str" cm="1">
        <f t="array" ref="AA1910">IFERROR(IF(INDEX(SubsidieTabel!$AD$1:$AG$12,MATCH($F1910,SubsidieTabel!$AD$1:$AD$12,0),IFERROR(MATCH(Methode_Keuze,SubsidieTabel!$AD$1:$AG$1,0),2))&lt;&gt;1=TRUE,"ja",""),"")</f>
        <v/>
      </c>
    </row>
    <row r="1911" spans="1:27" x14ac:dyDescent="0.25">
      <c r="A1911" s="320"/>
      <c r="B1911" s="321" t="str">
        <f>IF(A1911&lt;&gt;"",_xlfn.MAXIFS($B$1:B1910,$A$1:A1910,A1911)+1,"")</f>
        <v/>
      </c>
      <c r="C1911" s="299"/>
      <c r="D1911" s="299"/>
      <c r="E1911" s="299"/>
      <c r="F1911" s="299"/>
      <c r="G1911" s="330"/>
      <c r="H1911" s="328"/>
      <c r="I1911" s="329"/>
      <c r="J1911" s="329"/>
      <c r="K1911" s="322"/>
      <c r="L1911" s="322"/>
      <c r="M1911" s="323" t="str">
        <f>IFERROR(VLOOKUP(H1911,Lijsten!$H$1:$I$100,2,0),"")</f>
        <v/>
      </c>
      <c r="N1911" s="323" t="str">
        <f ca="1">IFERROR(IF(VLOOKUP(F1911,Kostentypen!$A$3:$E$21,3,0)=0,"",IF(OR(F1911="Arbeidskosten",F1911="Vergoeding"),VLOOKUP(G1911,Tb_KostenTypen[],2,0),VLOOKUP(F1911,Kostentypen!$A$3:$E$20,3,0))),"")</f>
        <v/>
      </c>
      <c r="O1911" s="324"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4"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3"/>
      <c r="R1911" s="363"/>
      <c r="S1911" s="325"/>
      <c r="T1911" s="325"/>
      <c r="U1911" s="317" t="str" cm="1">
        <f t="array" aca="1" ref="U1911" ca="1">IFERROR(IF(AA1911&lt;&gt;"ja",_xlfn.IFNA(_xlfn.IFS(AND(O1911&lt;&gt;"",F1911&lt;&gt;"",RIGHT($N1911,6)="tarief",F1911="Vergoeding"),SUM(O1911)*FLOOR(SUM(Q1911),0.0001),AND(O1911&lt;&gt;"",F1911&lt;&gt;"",RIGHT($N1911,6)="tarief"),SUM(O1911)*FLOOR(SUM(Q1911),0.01),S1911&gt;0,IF(F1911&lt;&gt;"",FLOOR(SUM(S1911),0.01),"")),""),""),"")</f>
        <v/>
      </c>
      <c r="V1911" s="317" t="str" cm="1">
        <f t="array" aca="1" ref="V1911" ca="1">IFERROR(IF(AA1911&lt;&gt;"ja",_xlfn.IFNA(_xlfn.IFS(AND(P1911&lt;&gt;"",R1911&lt;&gt;"",RIGHT($N1911,6)="tarief",F1911="Vergoeding"),SUM(P1911)*FLOOR(SUM(R1911),0.0001),AND(P1911&lt;&gt;"",R1911&lt;&gt;"",RIGHT($N1911,6)="tarief"),P1911*FLOOR(R1911,0.01),T1911&gt;0,FLOOR(SUM(T1911),0.01)),""),""),"")</f>
        <v/>
      </c>
      <c r="W1911" s="317" t="str" cm="1">
        <f t="array" aca="1" ref="W1911" ca="1">IFERROR(_xlfn.IFS(OR(F1911="",LEFT(Methode_Keuze,4)="Geen",Methode_Keuze=""),"",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17" t="str" cm="1">
        <f t="array" aca="1" ref="X1911" ca="1">IFERROR(_xlfn.IFS(OR(F1911="",LEFT(Methode_Keuze,4)="Geen",Methode_Keuze=""),"",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26"/>
      <c r="Z1911" s="319"/>
      <c r="AA1911" s="32" t="str" cm="1">
        <f t="array" ref="AA1911">IFERROR(IF(INDEX(SubsidieTabel!$AD$1:$AG$12,MATCH($F1911,SubsidieTabel!$AD$1:$AD$12,0),IFERROR(MATCH(Methode_Keuze,SubsidieTabel!$AD$1:$AG$1,0),2))&lt;&gt;1=TRUE,"ja",""),"")</f>
        <v/>
      </c>
    </row>
    <row r="1912" spans="1:27" x14ac:dyDescent="0.25">
      <c r="A1912" s="320"/>
      <c r="B1912" s="321" t="str">
        <f>IF(A1912&lt;&gt;"",_xlfn.MAXIFS($B$1:B1911,$A$1:A1911,A1912)+1,"")</f>
        <v/>
      </c>
      <c r="C1912" s="299"/>
      <c r="D1912" s="299"/>
      <c r="E1912" s="299"/>
      <c r="F1912" s="299"/>
      <c r="G1912" s="330"/>
      <c r="H1912" s="328"/>
      <c r="I1912" s="329"/>
      <c r="J1912" s="329"/>
      <c r="K1912" s="322"/>
      <c r="L1912" s="322"/>
      <c r="M1912" s="323" t="str">
        <f>IFERROR(VLOOKUP(H1912,Lijsten!$H$1:$I$100,2,0),"")</f>
        <v/>
      </c>
      <c r="N1912" s="323" t="str">
        <f ca="1">IFERROR(IF(VLOOKUP(F1912,Kostentypen!$A$3:$E$21,3,0)=0,"",IF(OR(F1912="Arbeidskosten",F1912="Vergoeding"),VLOOKUP(G1912,Tb_KostenTypen[],2,0),VLOOKUP(F1912,Kostentypen!$A$3:$E$20,3,0))),"")</f>
        <v/>
      </c>
      <c r="O1912" s="324"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4"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3"/>
      <c r="R1912" s="363"/>
      <c r="S1912" s="325"/>
      <c r="T1912" s="325"/>
      <c r="U1912" s="317" t="str" cm="1">
        <f t="array" aca="1" ref="U1912" ca="1">IFERROR(IF(AA1912&lt;&gt;"ja",_xlfn.IFNA(_xlfn.IFS(AND(O1912&lt;&gt;"",F1912&lt;&gt;"",RIGHT($N1912,6)="tarief",F1912="Vergoeding"),SUM(O1912)*FLOOR(SUM(Q1912),0.0001),AND(O1912&lt;&gt;"",F1912&lt;&gt;"",RIGHT($N1912,6)="tarief"),SUM(O1912)*FLOOR(SUM(Q1912),0.01),S1912&gt;0,IF(F1912&lt;&gt;"",FLOOR(SUM(S1912),0.01),"")),""),""),"")</f>
        <v/>
      </c>
      <c r="V1912" s="317" t="str" cm="1">
        <f t="array" aca="1" ref="V1912" ca="1">IFERROR(IF(AA1912&lt;&gt;"ja",_xlfn.IFNA(_xlfn.IFS(AND(P1912&lt;&gt;"",R1912&lt;&gt;"",RIGHT($N1912,6)="tarief",F1912="Vergoeding"),SUM(P1912)*FLOOR(SUM(R1912),0.0001),AND(P1912&lt;&gt;"",R1912&lt;&gt;"",RIGHT($N1912,6)="tarief"),P1912*FLOOR(R1912,0.01),T1912&gt;0,FLOOR(SUM(T1912),0.01)),""),""),"")</f>
        <v/>
      </c>
      <c r="W1912" s="317" t="str" cm="1">
        <f t="array" aca="1" ref="W1912" ca="1">IFERROR(_xlfn.IFS(OR(F1912="",LEFT(Methode_Keuze,4)="Geen",Methode_Keuze=""),"",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17" t="str" cm="1">
        <f t="array" aca="1" ref="X1912" ca="1">IFERROR(_xlfn.IFS(OR(F1912="",LEFT(Methode_Keuze,4)="Geen",Methode_Keuze=""),"",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26"/>
      <c r="Z1912" s="319"/>
      <c r="AA1912" s="32" t="str" cm="1">
        <f t="array" ref="AA1912">IFERROR(IF(INDEX(SubsidieTabel!$AD$1:$AG$12,MATCH($F1912,SubsidieTabel!$AD$1:$AD$12,0),IFERROR(MATCH(Methode_Keuze,SubsidieTabel!$AD$1:$AG$1,0),2))&lt;&gt;1=TRUE,"ja",""),"")</f>
        <v/>
      </c>
    </row>
    <row r="1913" spans="1:27" x14ac:dyDescent="0.25">
      <c r="A1913" s="320"/>
      <c r="B1913" s="321" t="str">
        <f>IF(A1913&lt;&gt;"",_xlfn.MAXIFS($B$1:B1912,$A$1:A1912,A1913)+1,"")</f>
        <v/>
      </c>
      <c r="C1913" s="299"/>
      <c r="D1913" s="299"/>
      <c r="E1913" s="299"/>
      <c r="F1913" s="299"/>
      <c r="G1913" s="330"/>
      <c r="H1913" s="328"/>
      <c r="I1913" s="329"/>
      <c r="J1913" s="329"/>
      <c r="K1913" s="322"/>
      <c r="L1913" s="322"/>
      <c r="M1913" s="323" t="str">
        <f>IFERROR(VLOOKUP(H1913,Lijsten!$H$1:$I$100,2,0),"")</f>
        <v/>
      </c>
      <c r="N1913" s="323" t="str">
        <f ca="1">IFERROR(IF(VLOOKUP(F1913,Kostentypen!$A$3:$E$21,3,0)=0,"",IF(OR(F1913="Arbeidskosten",F1913="Vergoeding"),VLOOKUP(G1913,Tb_KostenTypen[],2,0),VLOOKUP(F1913,Kostentypen!$A$3:$E$20,3,0))),"")</f>
        <v/>
      </c>
      <c r="O1913" s="324"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4"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3"/>
      <c r="R1913" s="363"/>
      <c r="S1913" s="325"/>
      <c r="T1913" s="325"/>
      <c r="U1913" s="317" t="str" cm="1">
        <f t="array" aca="1" ref="U1913" ca="1">IFERROR(IF(AA1913&lt;&gt;"ja",_xlfn.IFNA(_xlfn.IFS(AND(O1913&lt;&gt;"",F1913&lt;&gt;"",RIGHT($N1913,6)="tarief",F1913="Vergoeding"),SUM(O1913)*FLOOR(SUM(Q1913),0.0001),AND(O1913&lt;&gt;"",F1913&lt;&gt;"",RIGHT($N1913,6)="tarief"),SUM(O1913)*FLOOR(SUM(Q1913),0.01),S1913&gt;0,IF(F1913&lt;&gt;"",FLOOR(SUM(S1913),0.01),"")),""),""),"")</f>
        <v/>
      </c>
      <c r="V1913" s="317" t="str" cm="1">
        <f t="array" aca="1" ref="V1913" ca="1">IFERROR(IF(AA1913&lt;&gt;"ja",_xlfn.IFNA(_xlfn.IFS(AND(P1913&lt;&gt;"",R1913&lt;&gt;"",RIGHT($N1913,6)="tarief",F1913="Vergoeding"),SUM(P1913)*FLOOR(SUM(R1913),0.0001),AND(P1913&lt;&gt;"",R1913&lt;&gt;"",RIGHT($N1913,6)="tarief"),P1913*FLOOR(R1913,0.01),T1913&gt;0,FLOOR(SUM(T1913),0.01)),""),""),"")</f>
        <v/>
      </c>
      <c r="W1913" s="317" t="str" cm="1">
        <f t="array" aca="1" ref="W1913" ca="1">IFERROR(_xlfn.IFS(OR(F1913="",LEFT(Methode_Keuze,4)="Geen",Methode_Keuze=""),"",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17" t="str" cm="1">
        <f t="array" aca="1" ref="X1913" ca="1">IFERROR(_xlfn.IFS(OR(F1913="",LEFT(Methode_Keuze,4)="Geen",Methode_Keuze=""),"",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26"/>
      <c r="Z1913" s="319"/>
      <c r="AA1913" s="32" t="str" cm="1">
        <f t="array" ref="AA1913">IFERROR(IF(INDEX(SubsidieTabel!$AD$1:$AG$12,MATCH($F1913,SubsidieTabel!$AD$1:$AD$12,0),IFERROR(MATCH(Methode_Keuze,SubsidieTabel!$AD$1:$AG$1,0),2))&lt;&gt;1=TRUE,"ja",""),"")</f>
        <v/>
      </c>
    </row>
    <row r="1914" spans="1:27" x14ac:dyDescent="0.25">
      <c r="A1914" s="320"/>
      <c r="B1914" s="321" t="str">
        <f>IF(A1914&lt;&gt;"",_xlfn.MAXIFS($B$1:B1913,$A$1:A1913,A1914)+1,"")</f>
        <v/>
      </c>
      <c r="C1914" s="299"/>
      <c r="D1914" s="299"/>
      <c r="E1914" s="299"/>
      <c r="F1914" s="299"/>
      <c r="G1914" s="330"/>
      <c r="H1914" s="328"/>
      <c r="I1914" s="329"/>
      <c r="J1914" s="329"/>
      <c r="K1914" s="322"/>
      <c r="L1914" s="322"/>
      <c r="M1914" s="323" t="str">
        <f>IFERROR(VLOOKUP(H1914,Lijsten!$H$1:$I$100,2,0),"")</f>
        <v/>
      </c>
      <c r="N1914" s="323" t="str">
        <f ca="1">IFERROR(IF(VLOOKUP(F1914,Kostentypen!$A$3:$E$21,3,0)=0,"",IF(OR(F1914="Arbeidskosten",F1914="Vergoeding"),VLOOKUP(G1914,Tb_KostenTypen[],2,0),VLOOKUP(F1914,Kostentypen!$A$3:$E$20,3,0))),"")</f>
        <v/>
      </c>
      <c r="O1914" s="324"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4"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3"/>
      <c r="R1914" s="363"/>
      <c r="S1914" s="325"/>
      <c r="T1914" s="325"/>
      <c r="U1914" s="317" t="str" cm="1">
        <f t="array" aca="1" ref="U1914" ca="1">IFERROR(IF(AA1914&lt;&gt;"ja",_xlfn.IFNA(_xlfn.IFS(AND(O1914&lt;&gt;"",F1914&lt;&gt;"",RIGHT($N1914,6)="tarief",F1914="Vergoeding"),SUM(O1914)*FLOOR(SUM(Q1914),0.0001),AND(O1914&lt;&gt;"",F1914&lt;&gt;"",RIGHT($N1914,6)="tarief"),SUM(O1914)*FLOOR(SUM(Q1914),0.01),S1914&gt;0,IF(F1914&lt;&gt;"",FLOOR(SUM(S1914),0.01),"")),""),""),"")</f>
        <v/>
      </c>
      <c r="V1914" s="317" t="str" cm="1">
        <f t="array" aca="1" ref="V1914" ca="1">IFERROR(IF(AA1914&lt;&gt;"ja",_xlfn.IFNA(_xlfn.IFS(AND(P1914&lt;&gt;"",R1914&lt;&gt;"",RIGHT($N1914,6)="tarief",F1914="Vergoeding"),SUM(P1914)*FLOOR(SUM(R1914),0.0001),AND(P1914&lt;&gt;"",R1914&lt;&gt;"",RIGHT($N1914,6)="tarief"),P1914*FLOOR(R1914,0.01),T1914&gt;0,FLOOR(SUM(T1914),0.01)),""),""),"")</f>
        <v/>
      </c>
      <c r="W1914" s="317" t="str" cm="1">
        <f t="array" aca="1" ref="W1914" ca="1">IFERROR(_xlfn.IFS(OR(F1914="",LEFT(Methode_Keuze,4)="Geen",Methode_Keuze=""),"",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17" t="str" cm="1">
        <f t="array" aca="1" ref="X1914" ca="1">IFERROR(_xlfn.IFS(OR(F1914="",LEFT(Methode_Keuze,4)="Geen",Methode_Keuze=""),"",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26"/>
      <c r="Z1914" s="319"/>
      <c r="AA1914" s="32" t="str" cm="1">
        <f t="array" ref="AA1914">IFERROR(IF(INDEX(SubsidieTabel!$AD$1:$AG$12,MATCH($F1914,SubsidieTabel!$AD$1:$AD$12,0),IFERROR(MATCH(Methode_Keuze,SubsidieTabel!$AD$1:$AG$1,0),2))&lt;&gt;1=TRUE,"ja",""),"")</f>
        <v/>
      </c>
    </row>
    <row r="1915" spans="1:27" x14ac:dyDescent="0.25">
      <c r="A1915" s="320"/>
      <c r="B1915" s="321" t="str">
        <f>IF(A1915&lt;&gt;"",_xlfn.MAXIFS($B$1:B1914,$A$1:A1914,A1915)+1,"")</f>
        <v/>
      </c>
      <c r="C1915" s="299"/>
      <c r="D1915" s="299"/>
      <c r="E1915" s="299"/>
      <c r="F1915" s="299"/>
      <c r="G1915" s="330"/>
      <c r="H1915" s="328"/>
      <c r="I1915" s="329"/>
      <c r="J1915" s="329"/>
      <c r="K1915" s="322"/>
      <c r="L1915" s="322"/>
      <c r="M1915" s="323" t="str">
        <f>IFERROR(VLOOKUP(H1915,Lijsten!$H$1:$I$100,2,0),"")</f>
        <v/>
      </c>
      <c r="N1915" s="323" t="str">
        <f ca="1">IFERROR(IF(VLOOKUP(F1915,Kostentypen!$A$3:$E$21,3,0)=0,"",IF(OR(F1915="Arbeidskosten",F1915="Vergoeding"),VLOOKUP(G1915,Tb_KostenTypen[],2,0),VLOOKUP(F1915,Kostentypen!$A$3:$E$20,3,0))),"")</f>
        <v/>
      </c>
      <c r="O1915" s="324"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4"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3"/>
      <c r="R1915" s="363"/>
      <c r="S1915" s="325"/>
      <c r="T1915" s="325"/>
      <c r="U1915" s="317" t="str" cm="1">
        <f t="array" aca="1" ref="U1915" ca="1">IFERROR(IF(AA1915&lt;&gt;"ja",_xlfn.IFNA(_xlfn.IFS(AND(O1915&lt;&gt;"",F1915&lt;&gt;"",RIGHT($N1915,6)="tarief",F1915="Vergoeding"),SUM(O1915)*FLOOR(SUM(Q1915),0.0001),AND(O1915&lt;&gt;"",F1915&lt;&gt;"",RIGHT($N1915,6)="tarief"),SUM(O1915)*FLOOR(SUM(Q1915),0.01),S1915&gt;0,IF(F1915&lt;&gt;"",FLOOR(SUM(S1915),0.01),"")),""),""),"")</f>
        <v/>
      </c>
      <c r="V1915" s="317" t="str" cm="1">
        <f t="array" aca="1" ref="V1915" ca="1">IFERROR(IF(AA1915&lt;&gt;"ja",_xlfn.IFNA(_xlfn.IFS(AND(P1915&lt;&gt;"",R1915&lt;&gt;"",RIGHT($N1915,6)="tarief",F1915="Vergoeding"),SUM(P1915)*FLOOR(SUM(R1915),0.0001),AND(P1915&lt;&gt;"",R1915&lt;&gt;"",RIGHT($N1915,6)="tarief"),P1915*FLOOR(R1915,0.01),T1915&gt;0,FLOOR(SUM(T1915),0.01)),""),""),"")</f>
        <v/>
      </c>
      <c r="W1915" s="317" t="str" cm="1">
        <f t="array" aca="1" ref="W1915" ca="1">IFERROR(_xlfn.IFS(OR(F1915="",LEFT(Methode_Keuze,4)="Geen",Methode_Keuze=""),"",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17" t="str" cm="1">
        <f t="array" aca="1" ref="X1915" ca="1">IFERROR(_xlfn.IFS(OR(F1915="",LEFT(Methode_Keuze,4)="Geen",Methode_Keuze=""),"",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26"/>
      <c r="Z1915" s="319"/>
      <c r="AA1915" s="32" t="str" cm="1">
        <f t="array" ref="AA1915">IFERROR(IF(INDEX(SubsidieTabel!$AD$1:$AG$12,MATCH($F1915,SubsidieTabel!$AD$1:$AD$12,0),IFERROR(MATCH(Methode_Keuze,SubsidieTabel!$AD$1:$AG$1,0),2))&lt;&gt;1=TRUE,"ja",""),"")</f>
        <v/>
      </c>
    </row>
    <row r="1916" spans="1:27" x14ac:dyDescent="0.25">
      <c r="A1916" s="320"/>
      <c r="B1916" s="321" t="str">
        <f>IF(A1916&lt;&gt;"",_xlfn.MAXIFS($B$1:B1915,$A$1:A1915,A1916)+1,"")</f>
        <v/>
      </c>
      <c r="C1916" s="299"/>
      <c r="D1916" s="299"/>
      <c r="E1916" s="299"/>
      <c r="F1916" s="299"/>
      <c r="G1916" s="330"/>
      <c r="H1916" s="328"/>
      <c r="I1916" s="329"/>
      <c r="J1916" s="329"/>
      <c r="K1916" s="322"/>
      <c r="L1916" s="322"/>
      <c r="M1916" s="323" t="str">
        <f>IFERROR(VLOOKUP(H1916,Lijsten!$H$1:$I$100,2,0),"")</f>
        <v/>
      </c>
      <c r="N1916" s="323" t="str">
        <f ca="1">IFERROR(IF(VLOOKUP(F1916,Kostentypen!$A$3:$E$21,3,0)=0,"",IF(OR(F1916="Arbeidskosten",F1916="Vergoeding"),VLOOKUP(G1916,Tb_KostenTypen[],2,0),VLOOKUP(F1916,Kostentypen!$A$3:$E$20,3,0))),"")</f>
        <v/>
      </c>
      <c r="O1916" s="324"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4"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3"/>
      <c r="R1916" s="363"/>
      <c r="S1916" s="325"/>
      <c r="T1916" s="325"/>
      <c r="U1916" s="317" t="str" cm="1">
        <f t="array" aca="1" ref="U1916" ca="1">IFERROR(IF(AA1916&lt;&gt;"ja",_xlfn.IFNA(_xlfn.IFS(AND(O1916&lt;&gt;"",F1916&lt;&gt;"",RIGHT($N1916,6)="tarief",F1916="Vergoeding"),SUM(O1916)*FLOOR(SUM(Q1916),0.0001),AND(O1916&lt;&gt;"",F1916&lt;&gt;"",RIGHT($N1916,6)="tarief"),SUM(O1916)*FLOOR(SUM(Q1916),0.01),S1916&gt;0,IF(F1916&lt;&gt;"",FLOOR(SUM(S1916),0.01),"")),""),""),"")</f>
        <v/>
      </c>
      <c r="V1916" s="317" t="str" cm="1">
        <f t="array" aca="1" ref="V1916" ca="1">IFERROR(IF(AA1916&lt;&gt;"ja",_xlfn.IFNA(_xlfn.IFS(AND(P1916&lt;&gt;"",R1916&lt;&gt;"",RIGHT($N1916,6)="tarief",F1916="Vergoeding"),SUM(P1916)*FLOOR(SUM(R1916),0.0001),AND(P1916&lt;&gt;"",R1916&lt;&gt;"",RIGHT($N1916,6)="tarief"),P1916*FLOOR(R1916,0.01),T1916&gt;0,FLOOR(SUM(T1916),0.01)),""),""),"")</f>
        <v/>
      </c>
      <c r="W1916" s="317" t="str" cm="1">
        <f t="array" aca="1" ref="W1916" ca="1">IFERROR(_xlfn.IFS(OR(F1916="",LEFT(Methode_Keuze,4)="Geen",Methode_Keuze=""),"",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17" t="str" cm="1">
        <f t="array" aca="1" ref="X1916" ca="1">IFERROR(_xlfn.IFS(OR(F1916="",LEFT(Methode_Keuze,4)="Geen",Methode_Keuze=""),"",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26"/>
      <c r="Z1916" s="319"/>
      <c r="AA1916" s="32" t="str" cm="1">
        <f t="array" ref="AA1916">IFERROR(IF(INDEX(SubsidieTabel!$AD$1:$AG$12,MATCH($F1916,SubsidieTabel!$AD$1:$AD$12,0),IFERROR(MATCH(Methode_Keuze,SubsidieTabel!$AD$1:$AG$1,0),2))&lt;&gt;1=TRUE,"ja",""),"")</f>
        <v/>
      </c>
    </row>
    <row r="1917" spans="1:27" x14ac:dyDescent="0.25">
      <c r="A1917" s="320"/>
      <c r="B1917" s="321" t="str">
        <f>IF(A1917&lt;&gt;"",_xlfn.MAXIFS($B$1:B1916,$A$1:A1916,A1917)+1,"")</f>
        <v/>
      </c>
      <c r="C1917" s="299"/>
      <c r="D1917" s="299"/>
      <c r="E1917" s="299"/>
      <c r="F1917" s="299"/>
      <c r="G1917" s="330"/>
      <c r="H1917" s="328"/>
      <c r="I1917" s="329"/>
      <c r="J1917" s="329"/>
      <c r="K1917" s="322"/>
      <c r="L1917" s="322"/>
      <c r="M1917" s="323" t="str">
        <f>IFERROR(VLOOKUP(H1917,Lijsten!$H$1:$I$100,2,0),"")</f>
        <v/>
      </c>
      <c r="N1917" s="323" t="str">
        <f ca="1">IFERROR(IF(VLOOKUP(F1917,Kostentypen!$A$3:$E$21,3,0)=0,"",IF(OR(F1917="Arbeidskosten",F1917="Vergoeding"),VLOOKUP(G1917,Tb_KostenTypen[],2,0),VLOOKUP(F1917,Kostentypen!$A$3:$E$20,3,0))),"")</f>
        <v/>
      </c>
      <c r="O1917" s="324"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4"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3"/>
      <c r="R1917" s="363"/>
      <c r="S1917" s="325"/>
      <c r="T1917" s="325"/>
      <c r="U1917" s="317" t="str" cm="1">
        <f t="array" aca="1" ref="U1917" ca="1">IFERROR(IF(AA1917&lt;&gt;"ja",_xlfn.IFNA(_xlfn.IFS(AND(O1917&lt;&gt;"",F1917&lt;&gt;"",RIGHT($N1917,6)="tarief",F1917="Vergoeding"),SUM(O1917)*FLOOR(SUM(Q1917),0.0001),AND(O1917&lt;&gt;"",F1917&lt;&gt;"",RIGHT($N1917,6)="tarief"),SUM(O1917)*FLOOR(SUM(Q1917),0.01),S1917&gt;0,IF(F1917&lt;&gt;"",FLOOR(SUM(S1917),0.01),"")),""),""),"")</f>
        <v/>
      </c>
      <c r="V1917" s="317" t="str" cm="1">
        <f t="array" aca="1" ref="V1917" ca="1">IFERROR(IF(AA1917&lt;&gt;"ja",_xlfn.IFNA(_xlfn.IFS(AND(P1917&lt;&gt;"",R1917&lt;&gt;"",RIGHT($N1917,6)="tarief",F1917="Vergoeding"),SUM(P1917)*FLOOR(SUM(R1917),0.0001),AND(P1917&lt;&gt;"",R1917&lt;&gt;"",RIGHT($N1917,6)="tarief"),P1917*FLOOR(R1917,0.01),T1917&gt;0,FLOOR(SUM(T1917),0.01)),""),""),"")</f>
        <v/>
      </c>
      <c r="W1917" s="317" t="str" cm="1">
        <f t="array" aca="1" ref="W1917" ca="1">IFERROR(_xlfn.IFS(OR(F1917="",LEFT(Methode_Keuze,4)="Geen",Methode_Keuze=""),"",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17" t="str" cm="1">
        <f t="array" aca="1" ref="X1917" ca="1">IFERROR(_xlfn.IFS(OR(F1917="",LEFT(Methode_Keuze,4)="Geen",Methode_Keuze=""),"",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26"/>
      <c r="Z1917" s="319"/>
      <c r="AA1917" s="32" t="str" cm="1">
        <f t="array" ref="AA1917">IFERROR(IF(INDEX(SubsidieTabel!$AD$1:$AG$12,MATCH($F1917,SubsidieTabel!$AD$1:$AD$12,0),IFERROR(MATCH(Methode_Keuze,SubsidieTabel!$AD$1:$AG$1,0),2))&lt;&gt;1=TRUE,"ja",""),"")</f>
        <v/>
      </c>
    </row>
    <row r="1918" spans="1:27" x14ac:dyDescent="0.25">
      <c r="A1918" s="320"/>
      <c r="B1918" s="321" t="str">
        <f>IF(A1918&lt;&gt;"",_xlfn.MAXIFS($B$1:B1917,$A$1:A1917,A1918)+1,"")</f>
        <v/>
      </c>
      <c r="C1918" s="299"/>
      <c r="D1918" s="299"/>
      <c r="E1918" s="299"/>
      <c r="F1918" s="299"/>
      <c r="G1918" s="330"/>
      <c r="H1918" s="328"/>
      <c r="I1918" s="329"/>
      <c r="J1918" s="329"/>
      <c r="K1918" s="322"/>
      <c r="L1918" s="322"/>
      <c r="M1918" s="323" t="str">
        <f>IFERROR(VLOOKUP(H1918,Lijsten!$H$1:$I$100,2,0),"")</f>
        <v/>
      </c>
      <c r="N1918" s="323" t="str">
        <f ca="1">IFERROR(IF(VLOOKUP(F1918,Kostentypen!$A$3:$E$21,3,0)=0,"",IF(OR(F1918="Arbeidskosten",F1918="Vergoeding"),VLOOKUP(G1918,Tb_KostenTypen[],2,0),VLOOKUP(F1918,Kostentypen!$A$3:$E$20,3,0))),"")</f>
        <v/>
      </c>
      <c r="O1918" s="324"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4"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3"/>
      <c r="R1918" s="363"/>
      <c r="S1918" s="325"/>
      <c r="T1918" s="325"/>
      <c r="U1918" s="317" t="str" cm="1">
        <f t="array" aca="1" ref="U1918" ca="1">IFERROR(IF(AA1918&lt;&gt;"ja",_xlfn.IFNA(_xlfn.IFS(AND(O1918&lt;&gt;"",F1918&lt;&gt;"",RIGHT($N1918,6)="tarief",F1918="Vergoeding"),SUM(O1918)*FLOOR(SUM(Q1918),0.0001),AND(O1918&lt;&gt;"",F1918&lt;&gt;"",RIGHT($N1918,6)="tarief"),SUM(O1918)*FLOOR(SUM(Q1918),0.01),S1918&gt;0,IF(F1918&lt;&gt;"",FLOOR(SUM(S1918),0.01),"")),""),""),"")</f>
        <v/>
      </c>
      <c r="V1918" s="317" t="str" cm="1">
        <f t="array" aca="1" ref="V1918" ca="1">IFERROR(IF(AA1918&lt;&gt;"ja",_xlfn.IFNA(_xlfn.IFS(AND(P1918&lt;&gt;"",R1918&lt;&gt;"",RIGHT($N1918,6)="tarief",F1918="Vergoeding"),SUM(P1918)*FLOOR(SUM(R1918),0.0001),AND(P1918&lt;&gt;"",R1918&lt;&gt;"",RIGHT($N1918,6)="tarief"),P1918*FLOOR(R1918,0.01),T1918&gt;0,FLOOR(SUM(T1918),0.01)),""),""),"")</f>
        <v/>
      </c>
      <c r="W1918" s="317" t="str" cm="1">
        <f t="array" aca="1" ref="W1918" ca="1">IFERROR(_xlfn.IFS(OR(F1918="",LEFT(Methode_Keuze,4)="Geen",Methode_Keuze=""),"",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17" t="str" cm="1">
        <f t="array" aca="1" ref="X1918" ca="1">IFERROR(_xlfn.IFS(OR(F1918="",LEFT(Methode_Keuze,4)="Geen",Methode_Keuze=""),"",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26"/>
      <c r="Z1918" s="319"/>
      <c r="AA1918" s="32" t="str" cm="1">
        <f t="array" ref="AA1918">IFERROR(IF(INDEX(SubsidieTabel!$AD$1:$AG$12,MATCH($F1918,SubsidieTabel!$AD$1:$AD$12,0),IFERROR(MATCH(Methode_Keuze,SubsidieTabel!$AD$1:$AG$1,0),2))&lt;&gt;1=TRUE,"ja",""),"")</f>
        <v/>
      </c>
    </row>
    <row r="1919" spans="1:27" x14ac:dyDescent="0.25">
      <c r="A1919" s="320"/>
      <c r="B1919" s="321" t="str">
        <f>IF(A1919&lt;&gt;"",_xlfn.MAXIFS($B$1:B1918,$A$1:A1918,A1919)+1,"")</f>
        <v/>
      </c>
      <c r="C1919" s="299"/>
      <c r="D1919" s="299"/>
      <c r="E1919" s="299"/>
      <c r="F1919" s="299"/>
      <c r="G1919" s="330"/>
      <c r="H1919" s="328"/>
      <c r="I1919" s="329"/>
      <c r="J1919" s="329"/>
      <c r="K1919" s="322"/>
      <c r="L1919" s="322"/>
      <c r="M1919" s="323" t="str">
        <f>IFERROR(VLOOKUP(H1919,Lijsten!$H$1:$I$100,2,0),"")</f>
        <v/>
      </c>
      <c r="N1919" s="323" t="str">
        <f ca="1">IFERROR(IF(VLOOKUP(F1919,Kostentypen!$A$3:$E$21,3,0)=0,"",IF(OR(F1919="Arbeidskosten",F1919="Vergoeding"),VLOOKUP(G1919,Tb_KostenTypen[],2,0),VLOOKUP(F1919,Kostentypen!$A$3:$E$20,3,0))),"")</f>
        <v/>
      </c>
      <c r="O1919" s="324"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4"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3"/>
      <c r="R1919" s="363"/>
      <c r="S1919" s="325"/>
      <c r="T1919" s="325"/>
      <c r="U1919" s="317" t="str" cm="1">
        <f t="array" aca="1" ref="U1919" ca="1">IFERROR(IF(AA1919&lt;&gt;"ja",_xlfn.IFNA(_xlfn.IFS(AND(O1919&lt;&gt;"",F1919&lt;&gt;"",RIGHT($N1919,6)="tarief",F1919="Vergoeding"),SUM(O1919)*FLOOR(SUM(Q1919),0.0001),AND(O1919&lt;&gt;"",F1919&lt;&gt;"",RIGHT($N1919,6)="tarief"),SUM(O1919)*FLOOR(SUM(Q1919),0.01),S1919&gt;0,IF(F1919&lt;&gt;"",FLOOR(SUM(S1919),0.01),"")),""),""),"")</f>
        <v/>
      </c>
      <c r="V1919" s="317" t="str" cm="1">
        <f t="array" aca="1" ref="V1919" ca="1">IFERROR(IF(AA1919&lt;&gt;"ja",_xlfn.IFNA(_xlfn.IFS(AND(P1919&lt;&gt;"",R1919&lt;&gt;"",RIGHT($N1919,6)="tarief",F1919="Vergoeding"),SUM(P1919)*FLOOR(SUM(R1919),0.0001),AND(P1919&lt;&gt;"",R1919&lt;&gt;"",RIGHT($N1919,6)="tarief"),P1919*FLOOR(R1919,0.01),T1919&gt;0,FLOOR(SUM(T1919),0.01)),""),""),"")</f>
        <v/>
      </c>
      <c r="W1919" s="317" t="str" cm="1">
        <f t="array" aca="1" ref="W1919" ca="1">IFERROR(_xlfn.IFS(OR(F1919="",LEFT(Methode_Keuze,4)="Geen",Methode_Keuze=""),"",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17" t="str" cm="1">
        <f t="array" aca="1" ref="X1919" ca="1">IFERROR(_xlfn.IFS(OR(F1919="",LEFT(Methode_Keuze,4)="Geen",Methode_Keuze=""),"",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26"/>
      <c r="Z1919" s="319"/>
      <c r="AA1919" s="32" t="str" cm="1">
        <f t="array" ref="AA1919">IFERROR(IF(INDEX(SubsidieTabel!$AD$1:$AG$12,MATCH($F1919,SubsidieTabel!$AD$1:$AD$12,0),IFERROR(MATCH(Methode_Keuze,SubsidieTabel!$AD$1:$AG$1,0),2))&lt;&gt;1=TRUE,"ja",""),"")</f>
        <v/>
      </c>
    </row>
    <row r="1920" spans="1:27" x14ac:dyDescent="0.25">
      <c r="A1920" s="320"/>
      <c r="B1920" s="321" t="str">
        <f>IF(A1920&lt;&gt;"",_xlfn.MAXIFS($B$1:B1919,$A$1:A1919,A1920)+1,"")</f>
        <v/>
      </c>
      <c r="C1920" s="299"/>
      <c r="D1920" s="299"/>
      <c r="E1920" s="299"/>
      <c r="F1920" s="299"/>
      <c r="G1920" s="330"/>
      <c r="H1920" s="328"/>
      <c r="I1920" s="329"/>
      <c r="J1920" s="329"/>
      <c r="K1920" s="322"/>
      <c r="L1920" s="322"/>
      <c r="M1920" s="323" t="str">
        <f>IFERROR(VLOOKUP(H1920,Lijsten!$H$1:$I$100,2,0),"")</f>
        <v/>
      </c>
      <c r="N1920" s="323" t="str">
        <f ca="1">IFERROR(IF(VLOOKUP(F1920,Kostentypen!$A$3:$E$21,3,0)=0,"",IF(OR(F1920="Arbeidskosten",F1920="Vergoeding"),VLOOKUP(G1920,Tb_KostenTypen[],2,0),VLOOKUP(F1920,Kostentypen!$A$3:$E$20,3,0))),"")</f>
        <v/>
      </c>
      <c r="O1920" s="324"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4"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3"/>
      <c r="R1920" s="363"/>
      <c r="S1920" s="325"/>
      <c r="T1920" s="325"/>
      <c r="U1920" s="317" t="str" cm="1">
        <f t="array" aca="1" ref="U1920" ca="1">IFERROR(IF(AA1920&lt;&gt;"ja",_xlfn.IFNA(_xlfn.IFS(AND(O1920&lt;&gt;"",F1920&lt;&gt;"",RIGHT($N1920,6)="tarief",F1920="Vergoeding"),SUM(O1920)*FLOOR(SUM(Q1920),0.0001),AND(O1920&lt;&gt;"",F1920&lt;&gt;"",RIGHT($N1920,6)="tarief"),SUM(O1920)*FLOOR(SUM(Q1920),0.01),S1920&gt;0,IF(F1920&lt;&gt;"",FLOOR(SUM(S1920),0.01),"")),""),""),"")</f>
        <v/>
      </c>
      <c r="V1920" s="317" t="str" cm="1">
        <f t="array" aca="1" ref="V1920" ca="1">IFERROR(IF(AA1920&lt;&gt;"ja",_xlfn.IFNA(_xlfn.IFS(AND(P1920&lt;&gt;"",R1920&lt;&gt;"",RIGHT($N1920,6)="tarief",F1920="Vergoeding"),SUM(P1920)*FLOOR(SUM(R1920),0.0001),AND(P1920&lt;&gt;"",R1920&lt;&gt;"",RIGHT($N1920,6)="tarief"),P1920*FLOOR(R1920,0.01),T1920&gt;0,FLOOR(SUM(T1920),0.01)),""),""),"")</f>
        <v/>
      </c>
      <c r="W1920" s="317" t="str" cm="1">
        <f t="array" aca="1" ref="W1920" ca="1">IFERROR(_xlfn.IFS(OR(F1920="",LEFT(Methode_Keuze,4)="Geen",Methode_Keuze=""),"",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17" t="str" cm="1">
        <f t="array" aca="1" ref="X1920" ca="1">IFERROR(_xlfn.IFS(OR(F1920="",LEFT(Methode_Keuze,4)="Geen",Methode_Keuze=""),"",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26"/>
      <c r="Z1920" s="319"/>
      <c r="AA1920" s="32" t="str" cm="1">
        <f t="array" ref="AA1920">IFERROR(IF(INDEX(SubsidieTabel!$AD$1:$AG$12,MATCH($F1920,SubsidieTabel!$AD$1:$AD$12,0),IFERROR(MATCH(Methode_Keuze,SubsidieTabel!$AD$1:$AG$1,0),2))&lt;&gt;1=TRUE,"ja",""),"")</f>
        <v/>
      </c>
    </row>
    <row r="1921" spans="1:27" x14ac:dyDescent="0.25">
      <c r="A1921" s="320"/>
      <c r="B1921" s="321" t="str">
        <f>IF(A1921&lt;&gt;"",_xlfn.MAXIFS($B$1:B1920,$A$1:A1920,A1921)+1,"")</f>
        <v/>
      </c>
      <c r="C1921" s="299"/>
      <c r="D1921" s="299"/>
      <c r="E1921" s="299"/>
      <c r="F1921" s="299"/>
      <c r="G1921" s="330"/>
      <c r="H1921" s="328"/>
      <c r="I1921" s="329"/>
      <c r="J1921" s="329"/>
      <c r="K1921" s="322"/>
      <c r="L1921" s="322"/>
      <c r="M1921" s="323" t="str">
        <f>IFERROR(VLOOKUP(H1921,Lijsten!$H$1:$I$100,2,0),"")</f>
        <v/>
      </c>
      <c r="N1921" s="323" t="str">
        <f ca="1">IFERROR(IF(VLOOKUP(F1921,Kostentypen!$A$3:$E$21,3,0)=0,"",IF(OR(F1921="Arbeidskosten",F1921="Vergoeding"),VLOOKUP(G1921,Tb_KostenTypen[],2,0),VLOOKUP(F1921,Kostentypen!$A$3:$E$20,3,0))),"")</f>
        <v/>
      </c>
      <c r="O1921" s="324"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4"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3"/>
      <c r="R1921" s="363"/>
      <c r="S1921" s="325"/>
      <c r="T1921" s="325"/>
      <c r="U1921" s="317" t="str" cm="1">
        <f t="array" aca="1" ref="U1921" ca="1">IFERROR(IF(AA1921&lt;&gt;"ja",_xlfn.IFNA(_xlfn.IFS(AND(O1921&lt;&gt;"",F1921&lt;&gt;"",RIGHT($N1921,6)="tarief",F1921="Vergoeding"),SUM(O1921)*FLOOR(SUM(Q1921),0.0001),AND(O1921&lt;&gt;"",F1921&lt;&gt;"",RIGHT($N1921,6)="tarief"),SUM(O1921)*FLOOR(SUM(Q1921),0.01),S1921&gt;0,IF(F1921&lt;&gt;"",FLOOR(SUM(S1921),0.01),"")),""),""),"")</f>
        <v/>
      </c>
      <c r="V1921" s="317" t="str" cm="1">
        <f t="array" aca="1" ref="V1921" ca="1">IFERROR(IF(AA1921&lt;&gt;"ja",_xlfn.IFNA(_xlfn.IFS(AND(P1921&lt;&gt;"",R1921&lt;&gt;"",RIGHT($N1921,6)="tarief",F1921="Vergoeding"),SUM(P1921)*FLOOR(SUM(R1921),0.0001),AND(P1921&lt;&gt;"",R1921&lt;&gt;"",RIGHT($N1921,6)="tarief"),P1921*FLOOR(R1921,0.01),T1921&gt;0,FLOOR(SUM(T1921),0.01)),""),""),"")</f>
        <v/>
      </c>
      <c r="W1921" s="317" t="str" cm="1">
        <f t="array" aca="1" ref="W1921" ca="1">IFERROR(_xlfn.IFS(OR(F1921="",LEFT(Methode_Keuze,4)="Geen",Methode_Keuze=""),"",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17" t="str" cm="1">
        <f t="array" aca="1" ref="X1921" ca="1">IFERROR(_xlfn.IFS(OR(F1921="",LEFT(Methode_Keuze,4)="Geen",Methode_Keuze=""),"",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26"/>
      <c r="Z1921" s="319"/>
      <c r="AA1921" s="32" t="str" cm="1">
        <f t="array" ref="AA1921">IFERROR(IF(INDEX(SubsidieTabel!$AD$1:$AG$12,MATCH($F1921,SubsidieTabel!$AD$1:$AD$12,0),IFERROR(MATCH(Methode_Keuze,SubsidieTabel!$AD$1:$AG$1,0),2))&lt;&gt;1=TRUE,"ja",""),"")</f>
        <v/>
      </c>
    </row>
    <row r="1922" spans="1:27" x14ac:dyDescent="0.25">
      <c r="A1922" s="320"/>
      <c r="B1922" s="321" t="str">
        <f>IF(A1922&lt;&gt;"",_xlfn.MAXIFS($B$1:B1921,$A$1:A1921,A1922)+1,"")</f>
        <v/>
      </c>
      <c r="C1922" s="299"/>
      <c r="D1922" s="299"/>
      <c r="E1922" s="299"/>
      <c r="F1922" s="299"/>
      <c r="G1922" s="330"/>
      <c r="H1922" s="328"/>
      <c r="I1922" s="329"/>
      <c r="J1922" s="329"/>
      <c r="K1922" s="322"/>
      <c r="L1922" s="322"/>
      <c r="M1922" s="323" t="str">
        <f>IFERROR(VLOOKUP(H1922,Lijsten!$H$1:$I$100,2,0),"")</f>
        <v/>
      </c>
      <c r="N1922" s="323" t="str">
        <f ca="1">IFERROR(IF(VLOOKUP(F1922,Kostentypen!$A$3:$E$21,3,0)=0,"",IF(OR(F1922="Arbeidskosten",F1922="Vergoeding"),VLOOKUP(G1922,Tb_KostenTypen[],2,0),VLOOKUP(F1922,Kostentypen!$A$3:$E$20,3,0))),"")</f>
        <v/>
      </c>
      <c r="O1922" s="324"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4"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3"/>
      <c r="R1922" s="363"/>
      <c r="S1922" s="325"/>
      <c r="T1922" s="325"/>
      <c r="U1922" s="317" t="str" cm="1">
        <f t="array" aca="1" ref="U1922" ca="1">IFERROR(IF(AA1922&lt;&gt;"ja",_xlfn.IFNA(_xlfn.IFS(AND(O1922&lt;&gt;"",F1922&lt;&gt;"",RIGHT($N1922,6)="tarief",F1922="Vergoeding"),SUM(O1922)*FLOOR(SUM(Q1922),0.0001),AND(O1922&lt;&gt;"",F1922&lt;&gt;"",RIGHT($N1922,6)="tarief"),SUM(O1922)*FLOOR(SUM(Q1922),0.01),S1922&gt;0,IF(F1922&lt;&gt;"",FLOOR(SUM(S1922),0.01),"")),""),""),"")</f>
        <v/>
      </c>
      <c r="V1922" s="317" t="str" cm="1">
        <f t="array" aca="1" ref="V1922" ca="1">IFERROR(IF(AA1922&lt;&gt;"ja",_xlfn.IFNA(_xlfn.IFS(AND(P1922&lt;&gt;"",R1922&lt;&gt;"",RIGHT($N1922,6)="tarief",F1922="Vergoeding"),SUM(P1922)*FLOOR(SUM(R1922),0.0001),AND(P1922&lt;&gt;"",R1922&lt;&gt;"",RIGHT($N1922,6)="tarief"),P1922*FLOOR(R1922,0.01),T1922&gt;0,FLOOR(SUM(T1922),0.01)),""),""),"")</f>
        <v/>
      </c>
      <c r="W1922" s="317" t="str" cm="1">
        <f t="array" aca="1" ref="W1922" ca="1">IFERROR(_xlfn.IFS(OR(F1922="",LEFT(Methode_Keuze,4)="Geen",Methode_Keuze=""),"",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17" t="str" cm="1">
        <f t="array" aca="1" ref="X1922" ca="1">IFERROR(_xlfn.IFS(OR(F1922="",LEFT(Methode_Keuze,4)="Geen",Methode_Keuze=""),"",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26"/>
      <c r="Z1922" s="319"/>
      <c r="AA1922" s="32" t="str" cm="1">
        <f t="array" ref="AA1922">IFERROR(IF(INDEX(SubsidieTabel!$AD$1:$AG$12,MATCH($F1922,SubsidieTabel!$AD$1:$AD$12,0),IFERROR(MATCH(Methode_Keuze,SubsidieTabel!$AD$1:$AG$1,0),2))&lt;&gt;1=TRUE,"ja",""),"")</f>
        <v/>
      </c>
    </row>
    <row r="1923" spans="1:27" x14ac:dyDescent="0.25">
      <c r="A1923" s="320"/>
      <c r="B1923" s="321" t="str">
        <f>IF(A1923&lt;&gt;"",_xlfn.MAXIFS($B$1:B1922,$A$1:A1922,A1923)+1,"")</f>
        <v/>
      </c>
      <c r="C1923" s="299"/>
      <c r="D1923" s="299"/>
      <c r="E1923" s="299"/>
      <c r="F1923" s="299"/>
      <c r="G1923" s="330"/>
      <c r="H1923" s="328"/>
      <c r="I1923" s="329"/>
      <c r="J1923" s="329"/>
      <c r="K1923" s="322"/>
      <c r="L1923" s="322"/>
      <c r="M1923" s="323" t="str">
        <f>IFERROR(VLOOKUP(H1923,Lijsten!$H$1:$I$100,2,0),"")</f>
        <v/>
      </c>
      <c r="N1923" s="323" t="str">
        <f ca="1">IFERROR(IF(VLOOKUP(F1923,Kostentypen!$A$3:$E$21,3,0)=0,"",IF(OR(F1923="Arbeidskosten",F1923="Vergoeding"),VLOOKUP(G1923,Tb_KostenTypen[],2,0),VLOOKUP(F1923,Kostentypen!$A$3:$E$20,3,0))),"")</f>
        <v/>
      </c>
      <c r="O1923" s="324"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4"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3"/>
      <c r="R1923" s="363"/>
      <c r="S1923" s="325"/>
      <c r="T1923" s="325"/>
      <c r="U1923" s="317" t="str" cm="1">
        <f t="array" aca="1" ref="U1923" ca="1">IFERROR(IF(AA1923&lt;&gt;"ja",_xlfn.IFNA(_xlfn.IFS(AND(O1923&lt;&gt;"",F1923&lt;&gt;"",RIGHT($N1923,6)="tarief",F1923="Vergoeding"),SUM(O1923)*FLOOR(SUM(Q1923),0.0001),AND(O1923&lt;&gt;"",F1923&lt;&gt;"",RIGHT($N1923,6)="tarief"),SUM(O1923)*FLOOR(SUM(Q1923),0.01),S1923&gt;0,IF(F1923&lt;&gt;"",FLOOR(SUM(S1923),0.01),"")),""),""),"")</f>
        <v/>
      </c>
      <c r="V1923" s="317" t="str" cm="1">
        <f t="array" aca="1" ref="V1923" ca="1">IFERROR(IF(AA1923&lt;&gt;"ja",_xlfn.IFNA(_xlfn.IFS(AND(P1923&lt;&gt;"",R1923&lt;&gt;"",RIGHT($N1923,6)="tarief",F1923="Vergoeding"),SUM(P1923)*FLOOR(SUM(R1923),0.0001),AND(P1923&lt;&gt;"",R1923&lt;&gt;"",RIGHT($N1923,6)="tarief"),P1923*FLOOR(R1923,0.01),T1923&gt;0,FLOOR(SUM(T1923),0.01)),""),""),"")</f>
        <v/>
      </c>
      <c r="W1923" s="317" t="str" cm="1">
        <f t="array" aca="1" ref="W1923" ca="1">IFERROR(_xlfn.IFS(OR(F1923="",LEFT(Methode_Keuze,4)="Geen",Methode_Keuze=""),"",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17" t="str" cm="1">
        <f t="array" aca="1" ref="X1923" ca="1">IFERROR(_xlfn.IFS(OR(F1923="",LEFT(Methode_Keuze,4)="Geen",Methode_Keuze=""),"",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26"/>
      <c r="Z1923" s="319"/>
      <c r="AA1923" s="32" t="str" cm="1">
        <f t="array" ref="AA1923">IFERROR(IF(INDEX(SubsidieTabel!$AD$1:$AG$12,MATCH($F1923,SubsidieTabel!$AD$1:$AD$12,0),IFERROR(MATCH(Methode_Keuze,SubsidieTabel!$AD$1:$AG$1,0),2))&lt;&gt;1=TRUE,"ja",""),"")</f>
        <v/>
      </c>
    </row>
    <row r="1924" spans="1:27" x14ac:dyDescent="0.25">
      <c r="A1924" s="320"/>
      <c r="B1924" s="321" t="str">
        <f>IF(A1924&lt;&gt;"",_xlfn.MAXIFS($B$1:B1923,$A$1:A1923,A1924)+1,"")</f>
        <v/>
      </c>
      <c r="C1924" s="299"/>
      <c r="D1924" s="299"/>
      <c r="E1924" s="299"/>
      <c r="F1924" s="299"/>
      <c r="G1924" s="330"/>
      <c r="H1924" s="328"/>
      <c r="I1924" s="329"/>
      <c r="J1924" s="329"/>
      <c r="K1924" s="322"/>
      <c r="L1924" s="322"/>
      <c r="M1924" s="323" t="str">
        <f>IFERROR(VLOOKUP(H1924,Lijsten!$H$1:$I$100,2,0),"")</f>
        <v/>
      </c>
      <c r="N1924" s="323" t="str">
        <f ca="1">IFERROR(IF(VLOOKUP(F1924,Kostentypen!$A$3:$E$21,3,0)=0,"",IF(OR(F1924="Arbeidskosten",F1924="Vergoeding"),VLOOKUP(G1924,Tb_KostenTypen[],2,0),VLOOKUP(F1924,Kostentypen!$A$3:$E$20,3,0))),"")</f>
        <v/>
      </c>
      <c r="O1924" s="324"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4"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3"/>
      <c r="R1924" s="363"/>
      <c r="S1924" s="325"/>
      <c r="T1924" s="325"/>
      <c r="U1924" s="317" t="str" cm="1">
        <f t="array" aca="1" ref="U1924" ca="1">IFERROR(IF(AA1924&lt;&gt;"ja",_xlfn.IFNA(_xlfn.IFS(AND(O1924&lt;&gt;"",F1924&lt;&gt;"",RIGHT($N1924,6)="tarief",F1924="Vergoeding"),SUM(O1924)*FLOOR(SUM(Q1924),0.0001),AND(O1924&lt;&gt;"",F1924&lt;&gt;"",RIGHT($N1924,6)="tarief"),SUM(O1924)*FLOOR(SUM(Q1924),0.01),S1924&gt;0,IF(F1924&lt;&gt;"",FLOOR(SUM(S1924),0.01),"")),""),""),"")</f>
        <v/>
      </c>
      <c r="V1924" s="317" t="str" cm="1">
        <f t="array" aca="1" ref="V1924" ca="1">IFERROR(IF(AA1924&lt;&gt;"ja",_xlfn.IFNA(_xlfn.IFS(AND(P1924&lt;&gt;"",R1924&lt;&gt;"",RIGHT($N1924,6)="tarief",F1924="Vergoeding"),SUM(P1924)*FLOOR(SUM(R1924),0.0001),AND(P1924&lt;&gt;"",R1924&lt;&gt;"",RIGHT($N1924,6)="tarief"),P1924*FLOOR(R1924,0.01),T1924&gt;0,FLOOR(SUM(T1924),0.01)),""),""),"")</f>
        <v/>
      </c>
      <c r="W1924" s="317" t="str" cm="1">
        <f t="array" aca="1" ref="W1924" ca="1">IFERROR(_xlfn.IFS(OR(F1924="",LEFT(Methode_Keuze,4)="Geen",Methode_Keuze=""),"",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17" t="str" cm="1">
        <f t="array" aca="1" ref="X1924" ca="1">IFERROR(_xlfn.IFS(OR(F1924="",LEFT(Methode_Keuze,4)="Geen",Methode_Keuze=""),"",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26"/>
      <c r="Z1924" s="319"/>
      <c r="AA1924" s="32" t="str" cm="1">
        <f t="array" ref="AA1924">IFERROR(IF(INDEX(SubsidieTabel!$AD$1:$AG$12,MATCH($F1924,SubsidieTabel!$AD$1:$AD$12,0),IFERROR(MATCH(Methode_Keuze,SubsidieTabel!$AD$1:$AG$1,0),2))&lt;&gt;1=TRUE,"ja",""),"")</f>
        <v/>
      </c>
    </row>
    <row r="1925" spans="1:27" x14ac:dyDescent="0.25">
      <c r="A1925" s="320"/>
      <c r="B1925" s="321" t="str">
        <f>IF(A1925&lt;&gt;"",_xlfn.MAXIFS($B$1:B1924,$A$1:A1924,A1925)+1,"")</f>
        <v/>
      </c>
      <c r="C1925" s="299"/>
      <c r="D1925" s="299"/>
      <c r="E1925" s="299"/>
      <c r="F1925" s="299"/>
      <c r="G1925" s="330"/>
      <c r="H1925" s="328"/>
      <c r="I1925" s="329"/>
      <c r="J1925" s="329"/>
      <c r="K1925" s="322"/>
      <c r="L1925" s="322"/>
      <c r="M1925" s="323" t="str">
        <f>IFERROR(VLOOKUP(H1925,Lijsten!$H$1:$I$100,2,0),"")</f>
        <v/>
      </c>
      <c r="N1925" s="323" t="str">
        <f ca="1">IFERROR(IF(VLOOKUP(F1925,Kostentypen!$A$3:$E$21,3,0)=0,"",IF(OR(F1925="Arbeidskosten",F1925="Vergoeding"),VLOOKUP(G1925,Tb_KostenTypen[],2,0),VLOOKUP(F1925,Kostentypen!$A$3:$E$20,3,0))),"")</f>
        <v/>
      </c>
      <c r="O1925" s="324"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4"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3"/>
      <c r="R1925" s="363"/>
      <c r="S1925" s="325"/>
      <c r="T1925" s="325"/>
      <c r="U1925" s="317" t="str" cm="1">
        <f t="array" aca="1" ref="U1925" ca="1">IFERROR(IF(AA1925&lt;&gt;"ja",_xlfn.IFNA(_xlfn.IFS(AND(O1925&lt;&gt;"",F1925&lt;&gt;"",RIGHT($N1925,6)="tarief",F1925="Vergoeding"),SUM(O1925)*FLOOR(SUM(Q1925),0.0001),AND(O1925&lt;&gt;"",F1925&lt;&gt;"",RIGHT($N1925,6)="tarief"),SUM(O1925)*FLOOR(SUM(Q1925),0.01),S1925&gt;0,IF(F1925&lt;&gt;"",FLOOR(SUM(S1925),0.01),"")),""),""),"")</f>
        <v/>
      </c>
      <c r="V1925" s="317" t="str" cm="1">
        <f t="array" aca="1" ref="V1925" ca="1">IFERROR(IF(AA1925&lt;&gt;"ja",_xlfn.IFNA(_xlfn.IFS(AND(P1925&lt;&gt;"",R1925&lt;&gt;"",RIGHT($N1925,6)="tarief",F1925="Vergoeding"),SUM(P1925)*FLOOR(SUM(R1925),0.0001),AND(P1925&lt;&gt;"",R1925&lt;&gt;"",RIGHT($N1925,6)="tarief"),P1925*FLOOR(R1925,0.01),T1925&gt;0,FLOOR(SUM(T1925),0.01)),""),""),"")</f>
        <v/>
      </c>
      <c r="W1925" s="317" t="str" cm="1">
        <f t="array" aca="1" ref="W1925" ca="1">IFERROR(_xlfn.IFS(OR(F1925="",LEFT(Methode_Keuze,4)="Geen",Methode_Keuze=""),"",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17" t="str" cm="1">
        <f t="array" aca="1" ref="X1925" ca="1">IFERROR(_xlfn.IFS(OR(F1925="",LEFT(Methode_Keuze,4)="Geen",Methode_Keuze=""),"",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26"/>
      <c r="Z1925" s="319"/>
      <c r="AA1925" s="32" t="str" cm="1">
        <f t="array" ref="AA1925">IFERROR(IF(INDEX(SubsidieTabel!$AD$1:$AG$12,MATCH($F1925,SubsidieTabel!$AD$1:$AD$12,0),IFERROR(MATCH(Methode_Keuze,SubsidieTabel!$AD$1:$AG$1,0),2))&lt;&gt;1=TRUE,"ja",""),"")</f>
        <v/>
      </c>
    </row>
    <row r="1926" spans="1:27" x14ac:dyDescent="0.25">
      <c r="A1926" s="320"/>
      <c r="B1926" s="321" t="str">
        <f>IF(A1926&lt;&gt;"",_xlfn.MAXIFS($B$1:B1925,$A$1:A1925,A1926)+1,"")</f>
        <v/>
      </c>
      <c r="C1926" s="299"/>
      <c r="D1926" s="299"/>
      <c r="E1926" s="299"/>
      <c r="F1926" s="299"/>
      <c r="G1926" s="330"/>
      <c r="H1926" s="328"/>
      <c r="I1926" s="329"/>
      <c r="J1926" s="329"/>
      <c r="K1926" s="322"/>
      <c r="L1926" s="322"/>
      <c r="M1926" s="323" t="str">
        <f>IFERROR(VLOOKUP(H1926,Lijsten!$H$1:$I$100,2,0),"")</f>
        <v/>
      </c>
      <c r="N1926" s="323" t="str">
        <f ca="1">IFERROR(IF(VLOOKUP(F1926,Kostentypen!$A$3:$E$21,3,0)=0,"",IF(OR(F1926="Arbeidskosten",F1926="Vergoeding"),VLOOKUP(G1926,Tb_KostenTypen[],2,0),VLOOKUP(F1926,Kostentypen!$A$3:$E$20,3,0))),"")</f>
        <v/>
      </c>
      <c r="O1926" s="324"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4"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3"/>
      <c r="R1926" s="363"/>
      <c r="S1926" s="325"/>
      <c r="T1926" s="325"/>
      <c r="U1926" s="317" t="str" cm="1">
        <f t="array" aca="1" ref="U1926" ca="1">IFERROR(IF(AA1926&lt;&gt;"ja",_xlfn.IFNA(_xlfn.IFS(AND(O1926&lt;&gt;"",F1926&lt;&gt;"",RIGHT($N1926,6)="tarief",F1926="Vergoeding"),SUM(O1926)*FLOOR(SUM(Q1926),0.0001),AND(O1926&lt;&gt;"",F1926&lt;&gt;"",RIGHT($N1926,6)="tarief"),SUM(O1926)*FLOOR(SUM(Q1926),0.01),S1926&gt;0,IF(F1926&lt;&gt;"",FLOOR(SUM(S1926),0.01),"")),""),""),"")</f>
        <v/>
      </c>
      <c r="V1926" s="317" t="str" cm="1">
        <f t="array" aca="1" ref="V1926" ca="1">IFERROR(IF(AA1926&lt;&gt;"ja",_xlfn.IFNA(_xlfn.IFS(AND(P1926&lt;&gt;"",R1926&lt;&gt;"",RIGHT($N1926,6)="tarief",F1926="Vergoeding"),SUM(P1926)*FLOOR(SUM(R1926),0.0001),AND(P1926&lt;&gt;"",R1926&lt;&gt;"",RIGHT($N1926,6)="tarief"),P1926*FLOOR(R1926,0.01),T1926&gt;0,FLOOR(SUM(T1926),0.01)),""),""),"")</f>
        <v/>
      </c>
      <c r="W1926" s="317" t="str" cm="1">
        <f t="array" aca="1" ref="W1926" ca="1">IFERROR(_xlfn.IFS(OR(F1926="",LEFT(Methode_Keuze,4)="Geen",Methode_Keuze=""),"",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17" t="str" cm="1">
        <f t="array" aca="1" ref="X1926" ca="1">IFERROR(_xlfn.IFS(OR(F1926="",LEFT(Methode_Keuze,4)="Geen",Methode_Keuze=""),"",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26"/>
      <c r="Z1926" s="319"/>
      <c r="AA1926" s="32" t="str" cm="1">
        <f t="array" ref="AA1926">IFERROR(IF(INDEX(SubsidieTabel!$AD$1:$AG$12,MATCH($F1926,SubsidieTabel!$AD$1:$AD$12,0),IFERROR(MATCH(Methode_Keuze,SubsidieTabel!$AD$1:$AG$1,0),2))&lt;&gt;1=TRUE,"ja",""),"")</f>
        <v/>
      </c>
    </row>
    <row r="1927" spans="1:27" x14ac:dyDescent="0.25">
      <c r="A1927" s="320"/>
      <c r="B1927" s="321" t="str">
        <f>IF(A1927&lt;&gt;"",_xlfn.MAXIFS($B$1:B1926,$A$1:A1926,A1927)+1,"")</f>
        <v/>
      </c>
      <c r="C1927" s="299"/>
      <c r="D1927" s="299"/>
      <c r="E1927" s="299"/>
      <c r="F1927" s="299"/>
      <c r="G1927" s="330"/>
      <c r="H1927" s="328"/>
      <c r="I1927" s="329"/>
      <c r="J1927" s="329"/>
      <c r="K1927" s="322"/>
      <c r="L1927" s="322"/>
      <c r="M1927" s="323" t="str">
        <f>IFERROR(VLOOKUP(H1927,Lijsten!$H$1:$I$100,2,0),"")</f>
        <v/>
      </c>
      <c r="N1927" s="323" t="str">
        <f ca="1">IFERROR(IF(VLOOKUP(F1927,Kostentypen!$A$3:$E$21,3,0)=0,"",IF(OR(F1927="Arbeidskosten",F1927="Vergoeding"),VLOOKUP(G1927,Tb_KostenTypen[],2,0),VLOOKUP(F1927,Kostentypen!$A$3:$E$20,3,0))),"")</f>
        <v/>
      </c>
      <c r="O1927" s="324"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4"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3"/>
      <c r="R1927" s="363"/>
      <c r="S1927" s="325"/>
      <c r="T1927" s="325"/>
      <c r="U1927" s="317" t="str" cm="1">
        <f t="array" aca="1" ref="U1927" ca="1">IFERROR(IF(AA1927&lt;&gt;"ja",_xlfn.IFNA(_xlfn.IFS(AND(O1927&lt;&gt;"",F1927&lt;&gt;"",RIGHT($N1927,6)="tarief",F1927="Vergoeding"),SUM(O1927)*FLOOR(SUM(Q1927),0.0001),AND(O1927&lt;&gt;"",F1927&lt;&gt;"",RIGHT($N1927,6)="tarief"),SUM(O1927)*FLOOR(SUM(Q1927),0.01),S1927&gt;0,IF(F1927&lt;&gt;"",FLOOR(SUM(S1927),0.01),"")),""),""),"")</f>
        <v/>
      </c>
      <c r="V1927" s="317" t="str" cm="1">
        <f t="array" aca="1" ref="V1927" ca="1">IFERROR(IF(AA1927&lt;&gt;"ja",_xlfn.IFNA(_xlfn.IFS(AND(P1927&lt;&gt;"",R1927&lt;&gt;"",RIGHT($N1927,6)="tarief",F1927="Vergoeding"),SUM(P1927)*FLOOR(SUM(R1927),0.0001),AND(P1927&lt;&gt;"",R1927&lt;&gt;"",RIGHT($N1927,6)="tarief"),P1927*FLOOR(R1927,0.01),T1927&gt;0,FLOOR(SUM(T1927),0.01)),""),""),"")</f>
        <v/>
      </c>
      <c r="W1927" s="317" t="str" cm="1">
        <f t="array" aca="1" ref="W1927" ca="1">IFERROR(_xlfn.IFS(OR(F1927="",LEFT(Methode_Keuze,4)="Geen",Methode_Keuze=""),"",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17" t="str" cm="1">
        <f t="array" aca="1" ref="X1927" ca="1">IFERROR(_xlfn.IFS(OR(F1927="",LEFT(Methode_Keuze,4)="Geen",Methode_Keuze=""),"",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26"/>
      <c r="Z1927" s="319"/>
      <c r="AA1927" s="32" t="str" cm="1">
        <f t="array" ref="AA1927">IFERROR(IF(INDEX(SubsidieTabel!$AD$1:$AG$12,MATCH($F1927,SubsidieTabel!$AD$1:$AD$12,0),IFERROR(MATCH(Methode_Keuze,SubsidieTabel!$AD$1:$AG$1,0),2))&lt;&gt;1=TRUE,"ja",""),"")</f>
        <v/>
      </c>
    </row>
    <row r="1928" spans="1:27" x14ac:dyDescent="0.25">
      <c r="A1928" s="320"/>
      <c r="B1928" s="321" t="str">
        <f>IF(A1928&lt;&gt;"",_xlfn.MAXIFS($B$1:B1927,$A$1:A1927,A1928)+1,"")</f>
        <v/>
      </c>
      <c r="C1928" s="299"/>
      <c r="D1928" s="299"/>
      <c r="E1928" s="299"/>
      <c r="F1928" s="299"/>
      <c r="G1928" s="330"/>
      <c r="H1928" s="328"/>
      <c r="I1928" s="329"/>
      <c r="J1928" s="329"/>
      <c r="K1928" s="322"/>
      <c r="L1928" s="322"/>
      <c r="M1928" s="323" t="str">
        <f>IFERROR(VLOOKUP(H1928,Lijsten!$H$1:$I$100,2,0),"")</f>
        <v/>
      </c>
      <c r="N1928" s="323" t="str">
        <f ca="1">IFERROR(IF(VLOOKUP(F1928,Kostentypen!$A$3:$E$21,3,0)=0,"",IF(OR(F1928="Arbeidskosten",F1928="Vergoeding"),VLOOKUP(G1928,Tb_KostenTypen[],2,0),VLOOKUP(F1928,Kostentypen!$A$3:$E$20,3,0))),"")</f>
        <v/>
      </c>
      <c r="O1928" s="324"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4"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3"/>
      <c r="R1928" s="363"/>
      <c r="S1928" s="325"/>
      <c r="T1928" s="325"/>
      <c r="U1928" s="317" t="str" cm="1">
        <f t="array" aca="1" ref="U1928" ca="1">IFERROR(IF(AA1928&lt;&gt;"ja",_xlfn.IFNA(_xlfn.IFS(AND(O1928&lt;&gt;"",F1928&lt;&gt;"",RIGHT($N1928,6)="tarief",F1928="Vergoeding"),SUM(O1928)*FLOOR(SUM(Q1928),0.0001),AND(O1928&lt;&gt;"",F1928&lt;&gt;"",RIGHT($N1928,6)="tarief"),SUM(O1928)*FLOOR(SUM(Q1928),0.01),S1928&gt;0,IF(F1928&lt;&gt;"",FLOOR(SUM(S1928),0.01),"")),""),""),"")</f>
        <v/>
      </c>
      <c r="V1928" s="317" t="str" cm="1">
        <f t="array" aca="1" ref="V1928" ca="1">IFERROR(IF(AA1928&lt;&gt;"ja",_xlfn.IFNA(_xlfn.IFS(AND(P1928&lt;&gt;"",R1928&lt;&gt;"",RIGHT($N1928,6)="tarief",F1928="Vergoeding"),SUM(P1928)*FLOOR(SUM(R1928),0.0001),AND(P1928&lt;&gt;"",R1928&lt;&gt;"",RIGHT($N1928,6)="tarief"),P1928*FLOOR(R1928,0.01),T1928&gt;0,FLOOR(SUM(T1928),0.01)),""),""),"")</f>
        <v/>
      </c>
      <c r="W1928" s="317" t="str" cm="1">
        <f t="array" aca="1" ref="W1928" ca="1">IFERROR(_xlfn.IFS(OR(F1928="",LEFT(Methode_Keuze,4)="Geen",Methode_Keuze=""),"",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17" t="str" cm="1">
        <f t="array" aca="1" ref="X1928" ca="1">IFERROR(_xlfn.IFS(OR(F1928="",LEFT(Methode_Keuze,4)="Geen",Methode_Keuze=""),"",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26"/>
      <c r="Z1928" s="319"/>
      <c r="AA1928" s="32" t="str" cm="1">
        <f t="array" ref="AA1928">IFERROR(IF(INDEX(SubsidieTabel!$AD$1:$AG$12,MATCH($F1928,SubsidieTabel!$AD$1:$AD$12,0),IFERROR(MATCH(Methode_Keuze,SubsidieTabel!$AD$1:$AG$1,0),2))&lt;&gt;1=TRUE,"ja",""),"")</f>
        <v/>
      </c>
    </row>
    <row r="1929" spans="1:27" x14ac:dyDescent="0.25">
      <c r="A1929" s="320"/>
      <c r="B1929" s="321" t="str">
        <f>IF(A1929&lt;&gt;"",_xlfn.MAXIFS($B$1:B1928,$A$1:A1928,A1929)+1,"")</f>
        <v/>
      </c>
      <c r="C1929" s="299"/>
      <c r="D1929" s="299"/>
      <c r="E1929" s="299"/>
      <c r="F1929" s="299"/>
      <c r="G1929" s="330"/>
      <c r="H1929" s="328"/>
      <c r="I1929" s="329"/>
      <c r="J1929" s="329"/>
      <c r="K1929" s="322"/>
      <c r="L1929" s="322"/>
      <c r="M1929" s="323" t="str">
        <f>IFERROR(VLOOKUP(H1929,Lijsten!$H$1:$I$100,2,0),"")</f>
        <v/>
      </c>
      <c r="N1929" s="323" t="str">
        <f ca="1">IFERROR(IF(VLOOKUP(F1929,Kostentypen!$A$3:$E$21,3,0)=0,"",IF(OR(F1929="Arbeidskosten",F1929="Vergoeding"),VLOOKUP(G1929,Tb_KostenTypen[],2,0),VLOOKUP(F1929,Kostentypen!$A$3:$E$20,3,0))),"")</f>
        <v/>
      </c>
      <c r="O1929" s="324"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4"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3"/>
      <c r="R1929" s="363"/>
      <c r="S1929" s="325"/>
      <c r="T1929" s="325"/>
      <c r="U1929" s="317" t="str" cm="1">
        <f t="array" aca="1" ref="U1929" ca="1">IFERROR(IF(AA1929&lt;&gt;"ja",_xlfn.IFNA(_xlfn.IFS(AND(O1929&lt;&gt;"",F1929&lt;&gt;"",RIGHT($N1929,6)="tarief",F1929="Vergoeding"),SUM(O1929)*FLOOR(SUM(Q1929),0.0001),AND(O1929&lt;&gt;"",F1929&lt;&gt;"",RIGHT($N1929,6)="tarief"),SUM(O1929)*FLOOR(SUM(Q1929),0.01),S1929&gt;0,IF(F1929&lt;&gt;"",FLOOR(SUM(S1929),0.01),"")),""),""),"")</f>
        <v/>
      </c>
      <c r="V1929" s="317" t="str" cm="1">
        <f t="array" aca="1" ref="V1929" ca="1">IFERROR(IF(AA1929&lt;&gt;"ja",_xlfn.IFNA(_xlfn.IFS(AND(P1929&lt;&gt;"",R1929&lt;&gt;"",RIGHT($N1929,6)="tarief",F1929="Vergoeding"),SUM(P1929)*FLOOR(SUM(R1929),0.0001),AND(P1929&lt;&gt;"",R1929&lt;&gt;"",RIGHT($N1929,6)="tarief"),P1929*FLOOR(R1929,0.01),T1929&gt;0,FLOOR(SUM(T1929),0.01)),""),""),"")</f>
        <v/>
      </c>
      <c r="W1929" s="317" t="str" cm="1">
        <f t="array" aca="1" ref="W1929" ca="1">IFERROR(_xlfn.IFS(OR(F1929="",LEFT(Methode_Keuze,4)="Geen",Methode_Keuze=""),"",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17" t="str" cm="1">
        <f t="array" aca="1" ref="X1929" ca="1">IFERROR(_xlfn.IFS(OR(F1929="",LEFT(Methode_Keuze,4)="Geen",Methode_Keuze=""),"",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26"/>
      <c r="Z1929" s="319"/>
      <c r="AA1929" s="32" t="str" cm="1">
        <f t="array" ref="AA1929">IFERROR(IF(INDEX(SubsidieTabel!$AD$1:$AG$12,MATCH($F1929,SubsidieTabel!$AD$1:$AD$12,0),IFERROR(MATCH(Methode_Keuze,SubsidieTabel!$AD$1:$AG$1,0),2))&lt;&gt;1=TRUE,"ja",""),"")</f>
        <v/>
      </c>
    </row>
    <row r="1930" spans="1:27" x14ac:dyDescent="0.25">
      <c r="A1930" s="320"/>
      <c r="B1930" s="321" t="str">
        <f>IF(A1930&lt;&gt;"",_xlfn.MAXIFS($B$1:B1929,$A$1:A1929,A1930)+1,"")</f>
        <v/>
      </c>
      <c r="C1930" s="299"/>
      <c r="D1930" s="299"/>
      <c r="E1930" s="299"/>
      <c r="F1930" s="299"/>
      <c r="G1930" s="330"/>
      <c r="H1930" s="328"/>
      <c r="I1930" s="329"/>
      <c r="J1930" s="329"/>
      <c r="K1930" s="322"/>
      <c r="L1930" s="322"/>
      <c r="M1930" s="323" t="str">
        <f>IFERROR(VLOOKUP(H1930,Lijsten!$H$1:$I$100,2,0),"")</f>
        <v/>
      </c>
      <c r="N1930" s="323" t="str">
        <f ca="1">IFERROR(IF(VLOOKUP(F1930,Kostentypen!$A$3:$E$21,3,0)=0,"",IF(OR(F1930="Arbeidskosten",F1930="Vergoeding"),VLOOKUP(G1930,Tb_KostenTypen[],2,0),VLOOKUP(F1930,Kostentypen!$A$3:$E$20,3,0))),"")</f>
        <v/>
      </c>
      <c r="O1930" s="324"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4"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3"/>
      <c r="R1930" s="363"/>
      <c r="S1930" s="325"/>
      <c r="T1930" s="325"/>
      <c r="U1930" s="317" t="str" cm="1">
        <f t="array" aca="1" ref="U1930" ca="1">IFERROR(IF(AA1930&lt;&gt;"ja",_xlfn.IFNA(_xlfn.IFS(AND(O1930&lt;&gt;"",F1930&lt;&gt;"",RIGHT($N1930,6)="tarief",F1930="Vergoeding"),SUM(O1930)*FLOOR(SUM(Q1930),0.0001),AND(O1930&lt;&gt;"",F1930&lt;&gt;"",RIGHT($N1930,6)="tarief"),SUM(O1930)*FLOOR(SUM(Q1930),0.01),S1930&gt;0,IF(F1930&lt;&gt;"",FLOOR(SUM(S1930),0.01),"")),""),""),"")</f>
        <v/>
      </c>
      <c r="V1930" s="317" t="str" cm="1">
        <f t="array" aca="1" ref="V1930" ca="1">IFERROR(IF(AA1930&lt;&gt;"ja",_xlfn.IFNA(_xlfn.IFS(AND(P1930&lt;&gt;"",R1930&lt;&gt;"",RIGHT($N1930,6)="tarief",F1930="Vergoeding"),SUM(P1930)*FLOOR(SUM(R1930),0.0001),AND(P1930&lt;&gt;"",R1930&lt;&gt;"",RIGHT($N1930,6)="tarief"),P1930*FLOOR(R1930,0.01),T1930&gt;0,FLOOR(SUM(T1930),0.01)),""),""),"")</f>
        <v/>
      </c>
      <c r="W1930" s="317" t="str" cm="1">
        <f t="array" aca="1" ref="W1930" ca="1">IFERROR(_xlfn.IFS(OR(F1930="",LEFT(Methode_Keuze,4)="Geen",Methode_Keuze=""),"",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17" t="str" cm="1">
        <f t="array" aca="1" ref="X1930" ca="1">IFERROR(_xlfn.IFS(OR(F1930="",LEFT(Methode_Keuze,4)="Geen",Methode_Keuze=""),"",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26"/>
      <c r="Z1930" s="319"/>
      <c r="AA1930" s="32" t="str" cm="1">
        <f t="array" ref="AA1930">IFERROR(IF(INDEX(SubsidieTabel!$AD$1:$AG$12,MATCH($F1930,SubsidieTabel!$AD$1:$AD$12,0),IFERROR(MATCH(Methode_Keuze,SubsidieTabel!$AD$1:$AG$1,0),2))&lt;&gt;1=TRUE,"ja",""),"")</f>
        <v/>
      </c>
    </row>
    <row r="1931" spans="1:27" x14ac:dyDescent="0.25">
      <c r="A1931" s="320"/>
      <c r="B1931" s="321" t="str">
        <f>IF(A1931&lt;&gt;"",_xlfn.MAXIFS($B$1:B1930,$A$1:A1930,A1931)+1,"")</f>
        <v/>
      </c>
      <c r="C1931" s="299"/>
      <c r="D1931" s="299"/>
      <c r="E1931" s="299"/>
      <c r="F1931" s="299"/>
      <c r="G1931" s="330"/>
      <c r="H1931" s="328"/>
      <c r="I1931" s="329"/>
      <c r="J1931" s="329"/>
      <c r="K1931" s="322"/>
      <c r="L1931" s="322"/>
      <c r="M1931" s="323" t="str">
        <f>IFERROR(VLOOKUP(H1931,Lijsten!$H$1:$I$100,2,0),"")</f>
        <v/>
      </c>
      <c r="N1931" s="323" t="str">
        <f ca="1">IFERROR(IF(VLOOKUP(F1931,Kostentypen!$A$3:$E$21,3,0)=0,"",IF(OR(F1931="Arbeidskosten",F1931="Vergoeding"),VLOOKUP(G1931,Tb_KostenTypen[],2,0),VLOOKUP(F1931,Kostentypen!$A$3:$E$20,3,0))),"")</f>
        <v/>
      </c>
      <c r="O1931" s="324"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4"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3"/>
      <c r="R1931" s="363"/>
      <c r="S1931" s="325"/>
      <c r="T1931" s="325"/>
      <c r="U1931" s="317" t="str" cm="1">
        <f t="array" aca="1" ref="U1931" ca="1">IFERROR(IF(AA1931&lt;&gt;"ja",_xlfn.IFNA(_xlfn.IFS(AND(O1931&lt;&gt;"",F1931&lt;&gt;"",RIGHT($N1931,6)="tarief",F1931="Vergoeding"),SUM(O1931)*FLOOR(SUM(Q1931),0.0001),AND(O1931&lt;&gt;"",F1931&lt;&gt;"",RIGHT($N1931,6)="tarief"),SUM(O1931)*FLOOR(SUM(Q1931),0.01),S1931&gt;0,IF(F1931&lt;&gt;"",FLOOR(SUM(S1931),0.01),"")),""),""),"")</f>
        <v/>
      </c>
      <c r="V1931" s="317" t="str" cm="1">
        <f t="array" aca="1" ref="V1931" ca="1">IFERROR(IF(AA1931&lt;&gt;"ja",_xlfn.IFNA(_xlfn.IFS(AND(P1931&lt;&gt;"",R1931&lt;&gt;"",RIGHT($N1931,6)="tarief",F1931="Vergoeding"),SUM(P1931)*FLOOR(SUM(R1931),0.0001),AND(P1931&lt;&gt;"",R1931&lt;&gt;"",RIGHT($N1931,6)="tarief"),P1931*FLOOR(R1931,0.01),T1931&gt;0,FLOOR(SUM(T1931),0.01)),""),""),"")</f>
        <v/>
      </c>
      <c r="W1931" s="317" t="str" cm="1">
        <f t="array" aca="1" ref="W1931" ca="1">IFERROR(_xlfn.IFS(OR(F1931="",LEFT(Methode_Keuze,4)="Geen",Methode_Keuze=""),"",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17" t="str" cm="1">
        <f t="array" aca="1" ref="X1931" ca="1">IFERROR(_xlfn.IFS(OR(F1931="",LEFT(Methode_Keuze,4)="Geen",Methode_Keuze=""),"",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26"/>
      <c r="Z1931" s="319"/>
      <c r="AA1931" s="32" t="str" cm="1">
        <f t="array" ref="AA1931">IFERROR(IF(INDEX(SubsidieTabel!$AD$1:$AG$12,MATCH($F1931,SubsidieTabel!$AD$1:$AD$12,0),IFERROR(MATCH(Methode_Keuze,SubsidieTabel!$AD$1:$AG$1,0),2))&lt;&gt;1=TRUE,"ja",""),"")</f>
        <v/>
      </c>
    </row>
    <row r="1932" spans="1:27" x14ac:dyDescent="0.25">
      <c r="A1932" s="320"/>
      <c r="B1932" s="321" t="str">
        <f>IF(A1932&lt;&gt;"",_xlfn.MAXIFS($B$1:B1931,$A$1:A1931,A1932)+1,"")</f>
        <v/>
      </c>
      <c r="C1932" s="299"/>
      <c r="D1932" s="299"/>
      <c r="E1932" s="299"/>
      <c r="F1932" s="299"/>
      <c r="G1932" s="330"/>
      <c r="H1932" s="328"/>
      <c r="I1932" s="329"/>
      <c r="J1932" s="329"/>
      <c r="K1932" s="322"/>
      <c r="L1932" s="322"/>
      <c r="M1932" s="323" t="str">
        <f>IFERROR(VLOOKUP(H1932,Lijsten!$H$1:$I$100,2,0),"")</f>
        <v/>
      </c>
      <c r="N1932" s="323" t="str">
        <f ca="1">IFERROR(IF(VLOOKUP(F1932,Kostentypen!$A$3:$E$21,3,0)=0,"",IF(OR(F1932="Arbeidskosten",F1932="Vergoeding"),VLOOKUP(G1932,Tb_KostenTypen[],2,0),VLOOKUP(F1932,Kostentypen!$A$3:$E$20,3,0))),"")</f>
        <v/>
      </c>
      <c r="O1932" s="324"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4"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3"/>
      <c r="R1932" s="363"/>
      <c r="S1932" s="325"/>
      <c r="T1932" s="325"/>
      <c r="U1932" s="317" t="str" cm="1">
        <f t="array" aca="1" ref="U1932" ca="1">IFERROR(IF(AA1932&lt;&gt;"ja",_xlfn.IFNA(_xlfn.IFS(AND(O1932&lt;&gt;"",F1932&lt;&gt;"",RIGHT($N1932,6)="tarief",F1932="Vergoeding"),SUM(O1932)*FLOOR(SUM(Q1932),0.0001),AND(O1932&lt;&gt;"",F1932&lt;&gt;"",RIGHT($N1932,6)="tarief"),SUM(O1932)*FLOOR(SUM(Q1932),0.01),S1932&gt;0,IF(F1932&lt;&gt;"",FLOOR(SUM(S1932),0.01),"")),""),""),"")</f>
        <v/>
      </c>
      <c r="V1932" s="317" t="str" cm="1">
        <f t="array" aca="1" ref="V1932" ca="1">IFERROR(IF(AA1932&lt;&gt;"ja",_xlfn.IFNA(_xlfn.IFS(AND(P1932&lt;&gt;"",R1932&lt;&gt;"",RIGHT($N1932,6)="tarief",F1932="Vergoeding"),SUM(P1932)*FLOOR(SUM(R1932),0.0001),AND(P1932&lt;&gt;"",R1932&lt;&gt;"",RIGHT($N1932,6)="tarief"),P1932*FLOOR(R1932,0.01),T1932&gt;0,FLOOR(SUM(T1932),0.01)),""),""),"")</f>
        <v/>
      </c>
      <c r="W1932" s="317" t="str" cm="1">
        <f t="array" aca="1" ref="W1932" ca="1">IFERROR(_xlfn.IFS(OR(F1932="",LEFT(Methode_Keuze,4)="Geen",Methode_Keuze=""),"",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17" t="str" cm="1">
        <f t="array" aca="1" ref="X1932" ca="1">IFERROR(_xlfn.IFS(OR(F1932="",LEFT(Methode_Keuze,4)="Geen",Methode_Keuze=""),"",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26"/>
      <c r="Z1932" s="319"/>
      <c r="AA1932" s="32" t="str" cm="1">
        <f t="array" ref="AA1932">IFERROR(IF(INDEX(SubsidieTabel!$AD$1:$AG$12,MATCH($F1932,SubsidieTabel!$AD$1:$AD$12,0),IFERROR(MATCH(Methode_Keuze,SubsidieTabel!$AD$1:$AG$1,0),2))&lt;&gt;1=TRUE,"ja",""),"")</f>
        <v/>
      </c>
    </row>
    <row r="1933" spans="1:27" x14ac:dyDescent="0.25">
      <c r="A1933" s="320"/>
      <c r="B1933" s="321" t="str">
        <f>IF(A1933&lt;&gt;"",_xlfn.MAXIFS($B$1:B1932,$A$1:A1932,A1933)+1,"")</f>
        <v/>
      </c>
      <c r="C1933" s="299"/>
      <c r="D1933" s="299"/>
      <c r="E1933" s="299"/>
      <c r="F1933" s="299"/>
      <c r="G1933" s="330"/>
      <c r="H1933" s="328"/>
      <c r="I1933" s="329"/>
      <c r="J1933" s="329"/>
      <c r="K1933" s="322"/>
      <c r="L1933" s="322"/>
      <c r="M1933" s="323" t="str">
        <f>IFERROR(VLOOKUP(H1933,Lijsten!$H$1:$I$100,2,0),"")</f>
        <v/>
      </c>
      <c r="N1933" s="323" t="str">
        <f ca="1">IFERROR(IF(VLOOKUP(F1933,Kostentypen!$A$3:$E$21,3,0)=0,"",IF(OR(F1933="Arbeidskosten",F1933="Vergoeding"),VLOOKUP(G1933,Tb_KostenTypen[],2,0),VLOOKUP(F1933,Kostentypen!$A$3:$E$20,3,0))),"")</f>
        <v/>
      </c>
      <c r="O1933" s="324"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4"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3"/>
      <c r="R1933" s="363"/>
      <c r="S1933" s="325"/>
      <c r="T1933" s="325"/>
      <c r="U1933" s="317" t="str" cm="1">
        <f t="array" aca="1" ref="U1933" ca="1">IFERROR(IF(AA1933&lt;&gt;"ja",_xlfn.IFNA(_xlfn.IFS(AND(O1933&lt;&gt;"",F1933&lt;&gt;"",RIGHT($N1933,6)="tarief",F1933="Vergoeding"),SUM(O1933)*FLOOR(SUM(Q1933),0.0001),AND(O1933&lt;&gt;"",F1933&lt;&gt;"",RIGHT($N1933,6)="tarief"),SUM(O1933)*FLOOR(SUM(Q1933),0.01),S1933&gt;0,IF(F1933&lt;&gt;"",FLOOR(SUM(S1933),0.01),"")),""),""),"")</f>
        <v/>
      </c>
      <c r="V1933" s="317" t="str" cm="1">
        <f t="array" aca="1" ref="V1933" ca="1">IFERROR(IF(AA1933&lt;&gt;"ja",_xlfn.IFNA(_xlfn.IFS(AND(P1933&lt;&gt;"",R1933&lt;&gt;"",RIGHT($N1933,6)="tarief",F1933="Vergoeding"),SUM(P1933)*FLOOR(SUM(R1933),0.0001),AND(P1933&lt;&gt;"",R1933&lt;&gt;"",RIGHT($N1933,6)="tarief"),P1933*FLOOR(R1933,0.01),T1933&gt;0,FLOOR(SUM(T1933),0.01)),""),""),"")</f>
        <v/>
      </c>
      <c r="W1933" s="317" t="str" cm="1">
        <f t="array" aca="1" ref="W1933" ca="1">IFERROR(_xlfn.IFS(OR(F1933="",LEFT(Methode_Keuze,4)="Geen",Methode_Keuze=""),"",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17" t="str" cm="1">
        <f t="array" aca="1" ref="X1933" ca="1">IFERROR(_xlfn.IFS(OR(F1933="",LEFT(Methode_Keuze,4)="Geen",Methode_Keuze=""),"",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26"/>
      <c r="Z1933" s="319"/>
      <c r="AA1933" s="32" t="str" cm="1">
        <f t="array" ref="AA1933">IFERROR(IF(INDEX(SubsidieTabel!$AD$1:$AG$12,MATCH($F1933,SubsidieTabel!$AD$1:$AD$12,0),IFERROR(MATCH(Methode_Keuze,SubsidieTabel!$AD$1:$AG$1,0),2))&lt;&gt;1=TRUE,"ja",""),"")</f>
        <v/>
      </c>
    </row>
    <row r="1934" spans="1:27" x14ac:dyDescent="0.25">
      <c r="A1934" s="320"/>
      <c r="B1934" s="321" t="str">
        <f>IF(A1934&lt;&gt;"",_xlfn.MAXIFS($B$1:B1933,$A$1:A1933,A1934)+1,"")</f>
        <v/>
      </c>
      <c r="C1934" s="299"/>
      <c r="D1934" s="299"/>
      <c r="E1934" s="299"/>
      <c r="F1934" s="299"/>
      <c r="G1934" s="330"/>
      <c r="H1934" s="328"/>
      <c r="I1934" s="329"/>
      <c r="J1934" s="329"/>
      <c r="K1934" s="322"/>
      <c r="L1934" s="322"/>
      <c r="M1934" s="323" t="str">
        <f>IFERROR(VLOOKUP(H1934,Lijsten!$H$1:$I$100,2,0),"")</f>
        <v/>
      </c>
      <c r="N1934" s="323" t="str">
        <f ca="1">IFERROR(IF(VLOOKUP(F1934,Kostentypen!$A$3:$E$21,3,0)=0,"",IF(OR(F1934="Arbeidskosten",F1934="Vergoeding"),VLOOKUP(G1934,Tb_KostenTypen[],2,0),VLOOKUP(F1934,Kostentypen!$A$3:$E$20,3,0))),"")</f>
        <v/>
      </c>
      <c r="O1934" s="324"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4"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3"/>
      <c r="R1934" s="363"/>
      <c r="S1934" s="325"/>
      <c r="T1934" s="325"/>
      <c r="U1934" s="317" t="str" cm="1">
        <f t="array" aca="1" ref="U1934" ca="1">IFERROR(IF(AA1934&lt;&gt;"ja",_xlfn.IFNA(_xlfn.IFS(AND(O1934&lt;&gt;"",F1934&lt;&gt;"",RIGHT($N1934,6)="tarief",F1934="Vergoeding"),SUM(O1934)*FLOOR(SUM(Q1934),0.0001),AND(O1934&lt;&gt;"",F1934&lt;&gt;"",RIGHT($N1934,6)="tarief"),SUM(O1934)*FLOOR(SUM(Q1934),0.01),S1934&gt;0,IF(F1934&lt;&gt;"",FLOOR(SUM(S1934),0.01),"")),""),""),"")</f>
        <v/>
      </c>
      <c r="V1934" s="317" t="str" cm="1">
        <f t="array" aca="1" ref="V1934" ca="1">IFERROR(IF(AA1934&lt;&gt;"ja",_xlfn.IFNA(_xlfn.IFS(AND(P1934&lt;&gt;"",R1934&lt;&gt;"",RIGHT($N1934,6)="tarief",F1934="Vergoeding"),SUM(P1934)*FLOOR(SUM(R1934),0.0001),AND(P1934&lt;&gt;"",R1934&lt;&gt;"",RIGHT($N1934,6)="tarief"),P1934*FLOOR(R1934,0.01),T1934&gt;0,FLOOR(SUM(T1934),0.01)),""),""),"")</f>
        <v/>
      </c>
      <c r="W1934" s="317" t="str" cm="1">
        <f t="array" aca="1" ref="W1934" ca="1">IFERROR(_xlfn.IFS(OR(F1934="",LEFT(Methode_Keuze,4)="Geen",Methode_Keuze=""),"",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17" t="str" cm="1">
        <f t="array" aca="1" ref="X1934" ca="1">IFERROR(_xlfn.IFS(OR(F1934="",LEFT(Methode_Keuze,4)="Geen",Methode_Keuze=""),"",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26"/>
      <c r="Z1934" s="319"/>
      <c r="AA1934" s="32" t="str" cm="1">
        <f t="array" ref="AA1934">IFERROR(IF(INDEX(SubsidieTabel!$AD$1:$AG$12,MATCH($F1934,SubsidieTabel!$AD$1:$AD$12,0),IFERROR(MATCH(Methode_Keuze,SubsidieTabel!$AD$1:$AG$1,0),2))&lt;&gt;1=TRUE,"ja",""),"")</f>
        <v/>
      </c>
    </row>
    <row r="1935" spans="1:27" x14ac:dyDescent="0.25">
      <c r="A1935" s="320"/>
      <c r="B1935" s="321" t="str">
        <f>IF(A1935&lt;&gt;"",_xlfn.MAXIFS($B$1:B1934,$A$1:A1934,A1935)+1,"")</f>
        <v/>
      </c>
      <c r="C1935" s="299"/>
      <c r="D1935" s="299"/>
      <c r="E1935" s="299"/>
      <c r="F1935" s="299"/>
      <c r="G1935" s="330"/>
      <c r="H1935" s="328"/>
      <c r="I1935" s="329"/>
      <c r="J1935" s="329"/>
      <c r="K1935" s="322"/>
      <c r="L1935" s="322"/>
      <c r="M1935" s="323" t="str">
        <f>IFERROR(VLOOKUP(H1935,Lijsten!$H$1:$I$100,2,0),"")</f>
        <v/>
      </c>
      <c r="N1935" s="323" t="str">
        <f ca="1">IFERROR(IF(VLOOKUP(F1935,Kostentypen!$A$3:$E$21,3,0)=0,"",IF(OR(F1935="Arbeidskosten",F1935="Vergoeding"),VLOOKUP(G1935,Tb_KostenTypen[],2,0),VLOOKUP(F1935,Kostentypen!$A$3:$E$20,3,0))),"")</f>
        <v/>
      </c>
      <c r="O1935" s="324"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4"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3"/>
      <c r="R1935" s="363"/>
      <c r="S1935" s="325"/>
      <c r="T1935" s="325"/>
      <c r="U1935" s="317" t="str" cm="1">
        <f t="array" aca="1" ref="U1935" ca="1">IFERROR(IF(AA1935&lt;&gt;"ja",_xlfn.IFNA(_xlfn.IFS(AND(O1935&lt;&gt;"",F1935&lt;&gt;"",RIGHT($N1935,6)="tarief",F1935="Vergoeding"),SUM(O1935)*FLOOR(SUM(Q1935),0.0001),AND(O1935&lt;&gt;"",F1935&lt;&gt;"",RIGHT($N1935,6)="tarief"),SUM(O1935)*FLOOR(SUM(Q1935),0.01),S1935&gt;0,IF(F1935&lt;&gt;"",FLOOR(SUM(S1935),0.01),"")),""),""),"")</f>
        <v/>
      </c>
      <c r="V1935" s="317" t="str" cm="1">
        <f t="array" aca="1" ref="V1935" ca="1">IFERROR(IF(AA1935&lt;&gt;"ja",_xlfn.IFNA(_xlfn.IFS(AND(P1935&lt;&gt;"",R1935&lt;&gt;"",RIGHT($N1935,6)="tarief",F1935="Vergoeding"),SUM(P1935)*FLOOR(SUM(R1935),0.0001),AND(P1935&lt;&gt;"",R1935&lt;&gt;"",RIGHT($N1935,6)="tarief"),P1935*FLOOR(R1935,0.01),T1935&gt;0,FLOOR(SUM(T1935),0.01)),""),""),"")</f>
        <v/>
      </c>
      <c r="W1935" s="317" t="str" cm="1">
        <f t="array" aca="1" ref="W1935" ca="1">IFERROR(_xlfn.IFS(OR(F1935="",LEFT(Methode_Keuze,4)="Geen",Methode_Keuze=""),"",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17" t="str" cm="1">
        <f t="array" aca="1" ref="X1935" ca="1">IFERROR(_xlfn.IFS(OR(F1935="",LEFT(Methode_Keuze,4)="Geen",Methode_Keuze=""),"",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26"/>
      <c r="Z1935" s="319"/>
      <c r="AA1935" s="32" t="str" cm="1">
        <f t="array" ref="AA1935">IFERROR(IF(INDEX(SubsidieTabel!$AD$1:$AG$12,MATCH($F1935,SubsidieTabel!$AD$1:$AD$12,0),IFERROR(MATCH(Methode_Keuze,SubsidieTabel!$AD$1:$AG$1,0),2))&lt;&gt;1=TRUE,"ja",""),"")</f>
        <v/>
      </c>
    </row>
    <row r="1936" spans="1:27" x14ac:dyDescent="0.25">
      <c r="A1936" s="320"/>
      <c r="B1936" s="321" t="str">
        <f>IF(A1936&lt;&gt;"",_xlfn.MAXIFS($B$1:B1935,$A$1:A1935,A1936)+1,"")</f>
        <v/>
      </c>
      <c r="C1936" s="299"/>
      <c r="D1936" s="299"/>
      <c r="E1936" s="299"/>
      <c r="F1936" s="299"/>
      <c r="G1936" s="330"/>
      <c r="H1936" s="328"/>
      <c r="I1936" s="329"/>
      <c r="J1936" s="329"/>
      <c r="K1936" s="322"/>
      <c r="L1936" s="322"/>
      <c r="M1936" s="323" t="str">
        <f>IFERROR(VLOOKUP(H1936,Lijsten!$H$1:$I$100,2,0),"")</f>
        <v/>
      </c>
      <c r="N1936" s="323" t="str">
        <f ca="1">IFERROR(IF(VLOOKUP(F1936,Kostentypen!$A$3:$E$21,3,0)=0,"",IF(OR(F1936="Arbeidskosten",F1936="Vergoeding"),VLOOKUP(G1936,Tb_KostenTypen[],2,0),VLOOKUP(F1936,Kostentypen!$A$3:$E$20,3,0))),"")</f>
        <v/>
      </c>
      <c r="O1936" s="324"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4"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3"/>
      <c r="R1936" s="363"/>
      <c r="S1936" s="325"/>
      <c r="T1936" s="325"/>
      <c r="U1936" s="317" t="str" cm="1">
        <f t="array" aca="1" ref="U1936" ca="1">IFERROR(IF(AA1936&lt;&gt;"ja",_xlfn.IFNA(_xlfn.IFS(AND(O1936&lt;&gt;"",F1936&lt;&gt;"",RIGHT($N1936,6)="tarief",F1936="Vergoeding"),SUM(O1936)*FLOOR(SUM(Q1936),0.0001),AND(O1936&lt;&gt;"",F1936&lt;&gt;"",RIGHT($N1936,6)="tarief"),SUM(O1936)*FLOOR(SUM(Q1936),0.01),S1936&gt;0,IF(F1936&lt;&gt;"",FLOOR(SUM(S1936),0.01),"")),""),""),"")</f>
        <v/>
      </c>
      <c r="V1936" s="317" t="str" cm="1">
        <f t="array" aca="1" ref="V1936" ca="1">IFERROR(IF(AA1936&lt;&gt;"ja",_xlfn.IFNA(_xlfn.IFS(AND(P1936&lt;&gt;"",R1936&lt;&gt;"",RIGHT($N1936,6)="tarief",F1936="Vergoeding"),SUM(P1936)*FLOOR(SUM(R1936),0.0001),AND(P1936&lt;&gt;"",R1936&lt;&gt;"",RIGHT($N1936,6)="tarief"),P1936*FLOOR(R1936,0.01),T1936&gt;0,FLOOR(SUM(T1936),0.01)),""),""),"")</f>
        <v/>
      </c>
      <c r="W1936" s="317" t="str" cm="1">
        <f t="array" aca="1" ref="W1936" ca="1">IFERROR(_xlfn.IFS(OR(F1936="",LEFT(Methode_Keuze,4)="Geen",Methode_Keuze=""),"",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17" t="str" cm="1">
        <f t="array" aca="1" ref="X1936" ca="1">IFERROR(_xlfn.IFS(OR(F1936="",LEFT(Methode_Keuze,4)="Geen",Methode_Keuze=""),"",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26"/>
      <c r="Z1936" s="319"/>
      <c r="AA1936" s="32" t="str" cm="1">
        <f t="array" ref="AA1936">IFERROR(IF(INDEX(SubsidieTabel!$AD$1:$AG$12,MATCH($F1936,SubsidieTabel!$AD$1:$AD$12,0),IFERROR(MATCH(Methode_Keuze,SubsidieTabel!$AD$1:$AG$1,0),2))&lt;&gt;1=TRUE,"ja",""),"")</f>
        <v/>
      </c>
    </row>
    <row r="1937" spans="1:27" x14ac:dyDescent="0.25">
      <c r="A1937" s="320"/>
      <c r="B1937" s="321" t="str">
        <f>IF(A1937&lt;&gt;"",_xlfn.MAXIFS($B$1:B1936,$A$1:A1936,A1937)+1,"")</f>
        <v/>
      </c>
      <c r="C1937" s="299"/>
      <c r="D1937" s="299"/>
      <c r="E1937" s="299"/>
      <c r="F1937" s="299"/>
      <c r="G1937" s="330"/>
      <c r="H1937" s="328"/>
      <c r="I1937" s="329"/>
      <c r="J1937" s="329"/>
      <c r="K1937" s="322"/>
      <c r="L1937" s="322"/>
      <c r="M1937" s="323" t="str">
        <f>IFERROR(VLOOKUP(H1937,Lijsten!$H$1:$I$100,2,0),"")</f>
        <v/>
      </c>
      <c r="N1937" s="323" t="str">
        <f ca="1">IFERROR(IF(VLOOKUP(F1937,Kostentypen!$A$3:$E$21,3,0)=0,"",IF(OR(F1937="Arbeidskosten",F1937="Vergoeding"),VLOOKUP(G1937,Tb_KostenTypen[],2,0),VLOOKUP(F1937,Kostentypen!$A$3:$E$20,3,0))),"")</f>
        <v/>
      </c>
      <c r="O1937" s="324"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4"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3"/>
      <c r="R1937" s="363"/>
      <c r="S1937" s="325"/>
      <c r="T1937" s="325"/>
      <c r="U1937" s="317" t="str" cm="1">
        <f t="array" aca="1" ref="U1937" ca="1">IFERROR(IF(AA1937&lt;&gt;"ja",_xlfn.IFNA(_xlfn.IFS(AND(O1937&lt;&gt;"",F1937&lt;&gt;"",RIGHT($N1937,6)="tarief",F1937="Vergoeding"),SUM(O1937)*FLOOR(SUM(Q1937),0.0001),AND(O1937&lt;&gt;"",F1937&lt;&gt;"",RIGHT($N1937,6)="tarief"),SUM(O1937)*FLOOR(SUM(Q1937),0.01),S1937&gt;0,IF(F1937&lt;&gt;"",FLOOR(SUM(S1937),0.01),"")),""),""),"")</f>
        <v/>
      </c>
      <c r="V1937" s="317" t="str" cm="1">
        <f t="array" aca="1" ref="V1937" ca="1">IFERROR(IF(AA1937&lt;&gt;"ja",_xlfn.IFNA(_xlfn.IFS(AND(P1937&lt;&gt;"",R1937&lt;&gt;"",RIGHT($N1937,6)="tarief",F1937="Vergoeding"),SUM(P1937)*FLOOR(SUM(R1937),0.0001),AND(P1937&lt;&gt;"",R1937&lt;&gt;"",RIGHT($N1937,6)="tarief"),P1937*FLOOR(R1937,0.01),T1937&gt;0,FLOOR(SUM(T1937),0.01)),""),""),"")</f>
        <v/>
      </c>
      <c r="W1937" s="317" t="str" cm="1">
        <f t="array" aca="1" ref="W1937" ca="1">IFERROR(_xlfn.IFS(OR(F1937="",LEFT(Methode_Keuze,4)="Geen",Methode_Keuze=""),"",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17" t="str" cm="1">
        <f t="array" aca="1" ref="X1937" ca="1">IFERROR(_xlfn.IFS(OR(F1937="",LEFT(Methode_Keuze,4)="Geen",Methode_Keuze=""),"",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26"/>
      <c r="Z1937" s="319"/>
      <c r="AA1937" s="32" t="str" cm="1">
        <f t="array" ref="AA1937">IFERROR(IF(INDEX(SubsidieTabel!$AD$1:$AG$12,MATCH($F1937,SubsidieTabel!$AD$1:$AD$12,0),IFERROR(MATCH(Methode_Keuze,SubsidieTabel!$AD$1:$AG$1,0),2))&lt;&gt;1=TRUE,"ja",""),"")</f>
        <v/>
      </c>
    </row>
    <row r="1938" spans="1:27" x14ac:dyDescent="0.25">
      <c r="A1938" s="320"/>
      <c r="B1938" s="321" t="str">
        <f>IF(A1938&lt;&gt;"",_xlfn.MAXIFS($B$1:B1937,$A$1:A1937,A1938)+1,"")</f>
        <v/>
      </c>
      <c r="C1938" s="299"/>
      <c r="D1938" s="299"/>
      <c r="E1938" s="299"/>
      <c r="F1938" s="299"/>
      <c r="G1938" s="330"/>
      <c r="H1938" s="328"/>
      <c r="I1938" s="329"/>
      <c r="J1938" s="329"/>
      <c r="K1938" s="322"/>
      <c r="L1938" s="322"/>
      <c r="M1938" s="323" t="str">
        <f>IFERROR(VLOOKUP(H1938,Lijsten!$H$1:$I$100,2,0),"")</f>
        <v/>
      </c>
      <c r="N1938" s="323" t="str">
        <f ca="1">IFERROR(IF(VLOOKUP(F1938,Kostentypen!$A$3:$E$21,3,0)=0,"",IF(OR(F1938="Arbeidskosten",F1938="Vergoeding"),VLOOKUP(G1938,Tb_KostenTypen[],2,0),VLOOKUP(F1938,Kostentypen!$A$3:$E$20,3,0))),"")</f>
        <v/>
      </c>
      <c r="O1938" s="324"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4"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3"/>
      <c r="R1938" s="363"/>
      <c r="S1938" s="325"/>
      <c r="T1938" s="325"/>
      <c r="U1938" s="317" t="str" cm="1">
        <f t="array" aca="1" ref="U1938" ca="1">IFERROR(IF(AA1938&lt;&gt;"ja",_xlfn.IFNA(_xlfn.IFS(AND(O1938&lt;&gt;"",F1938&lt;&gt;"",RIGHT($N1938,6)="tarief",F1938="Vergoeding"),SUM(O1938)*FLOOR(SUM(Q1938),0.0001),AND(O1938&lt;&gt;"",F1938&lt;&gt;"",RIGHT($N1938,6)="tarief"),SUM(O1938)*FLOOR(SUM(Q1938),0.01),S1938&gt;0,IF(F1938&lt;&gt;"",FLOOR(SUM(S1938),0.01),"")),""),""),"")</f>
        <v/>
      </c>
      <c r="V1938" s="317" t="str" cm="1">
        <f t="array" aca="1" ref="V1938" ca="1">IFERROR(IF(AA1938&lt;&gt;"ja",_xlfn.IFNA(_xlfn.IFS(AND(P1938&lt;&gt;"",R1938&lt;&gt;"",RIGHT($N1938,6)="tarief",F1938="Vergoeding"),SUM(P1938)*FLOOR(SUM(R1938),0.0001),AND(P1938&lt;&gt;"",R1938&lt;&gt;"",RIGHT($N1938,6)="tarief"),P1938*FLOOR(R1938,0.01),T1938&gt;0,FLOOR(SUM(T1938),0.01)),""),""),"")</f>
        <v/>
      </c>
      <c r="W1938" s="317" t="str" cm="1">
        <f t="array" aca="1" ref="W1938" ca="1">IFERROR(_xlfn.IFS(OR(F1938="",LEFT(Methode_Keuze,4)="Geen",Methode_Keuze=""),"",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17" t="str" cm="1">
        <f t="array" aca="1" ref="X1938" ca="1">IFERROR(_xlfn.IFS(OR(F1938="",LEFT(Methode_Keuze,4)="Geen",Methode_Keuze=""),"",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26"/>
      <c r="Z1938" s="319"/>
      <c r="AA1938" s="32" t="str" cm="1">
        <f t="array" ref="AA1938">IFERROR(IF(INDEX(SubsidieTabel!$AD$1:$AG$12,MATCH($F1938,SubsidieTabel!$AD$1:$AD$12,0),IFERROR(MATCH(Methode_Keuze,SubsidieTabel!$AD$1:$AG$1,0),2))&lt;&gt;1=TRUE,"ja",""),"")</f>
        <v/>
      </c>
    </row>
    <row r="1939" spans="1:27" x14ac:dyDescent="0.25">
      <c r="A1939" s="320"/>
      <c r="B1939" s="321" t="str">
        <f>IF(A1939&lt;&gt;"",_xlfn.MAXIFS($B$1:B1938,$A$1:A1938,A1939)+1,"")</f>
        <v/>
      </c>
      <c r="C1939" s="299"/>
      <c r="D1939" s="299"/>
      <c r="E1939" s="299"/>
      <c r="F1939" s="299"/>
      <c r="G1939" s="330"/>
      <c r="H1939" s="328"/>
      <c r="I1939" s="329"/>
      <c r="J1939" s="329"/>
      <c r="K1939" s="322"/>
      <c r="L1939" s="322"/>
      <c r="M1939" s="323" t="str">
        <f>IFERROR(VLOOKUP(H1939,Lijsten!$H$1:$I$100,2,0),"")</f>
        <v/>
      </c>
      <c r="N1939" s="323" t="str">
        <f ca="1">IFERROR(IF(VLOOKUP(F1939,Kostentypen!$A$3:$E$21,3,0)=0,"",IF(OR(F1939="Arbeidskosten",F1939="Vergoeding"),VLOOKUP(G1939,Tb_KostenTypen[],2,0),VLOOKUP(F1939,Kostentypen!$A$3:$E$20,3,0))),"")</f>
        <v/>
      </c>
      <c r="O1939" s="324"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4"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3"/>
      <c r="R1939" s="363"/>
      <c r="S1939" s="325"/>
      <c r="T1939" s="325"/>
      <c r="U1939" s="317" t="str" cm="1">
        <f t="array" aca="1" ref="U1939" ca="1">IFERROR(IF(AA1939&lt;&gt;"ja",_xlfn.IFNA(_xlfn.IFS(AND(O1939&lt;&gt;"",F1939&lt;&gt;"",RIGHT($N1939,6)="tarief",F1939="Vergoeding"),SUM(O1939)*FLOOR(SUM(Q1939),0.0001),AND(O1939&lt;&gt;"",F1939&lt;&gt;"",RIGHT($N1939,6)="tarief"),SUM(O1939)*FLOOR(SUM(Q1939),0.01),S1939&gt;0,IF(F1939&lt;&gt;"",FLOOR(SUM(S1939),0.01),"")),""),""),"")</f>
        <v/>
      </c>
      <c r="V1939" s="317" t="str" cm="1">
        <f t="array" aca="1" ref="V1939" ca="1">IFERROR(IF(AA1939&lt;&gt;"ja",_xlfn.IFNA(_xlfn.IFS(AND(P1939&lt;&gt;"",R1939&lt;&gt;"",RIGHT($N1939,6)="tarief",F1939="Vergoeding"),SUM(P1939)*FLOOR(SUM(R1939),0.0001),AND(P1939&lt;&gt;"",R1939&lt;&gt;"",RIGHT($N1939,6)="tarief"),P1939*FLOOR(R1939,0.01),T1939&gt;0,FLOOR(SUM(T1939),0.01)),""),""),"")</f>
        <v/>
      </c>
      <c r="W1939" s="317" t="str" cm="1">
        <f t="array" aca="1" ref="W1939" ca="1">IFERROR(_xlfn.IFS(OR(F1939="",LEFT(Methode_Keuze,4)="Geen",Methode_Keuze=""),"",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17" t="str" cm="1">
        <f t="array" aca="1" ref="X1939" ca="1">IFERROR(_xlfn.IFS(OR(F1939="",LEFT(Methode_Keuze,4)="Geen",Methode_Keuze=""),"",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26"/>
      <c r="Z1939" s="319"/>
      <c r="AA1939" s="32" t="str" cm="1">
        <f t="array" ref="AA1939">IFERROR(IF(INDEX(SubsidieTabel!$AD$1:$AG$12,MATCH($F1939,SubsidieTabel!$AD$1:$AD$12,0),IFERROR(MATCH(Methode_Keuze,SubsidieTabel!$AD$1:$AG$1,0),2))&lt;&gt;1=TRUE,"ja",""),"")</f>
        <v/>
      </c>
    </row>
    <row r="1940" spans="1:27" x14ac:dyDescent="0.25">
      <c r="A1940" s="320"/>
      <c r="B1940" s="321" t="str">
        <f>IF(A1940&lt;&gt;"",_xlfn.MAXIFS($B$1:B1939,$A$1:A1939,A1940)+1,"")</f>
        <v/>
      </c>
      <c r="C1940" s="299"/>
      <c r="D1940" s="299"/>
      <c r="E1940" s="299"/>
      <c r="F1940" s="299"/>
      <c r="G1940" s="330"/>
      <c r="H1940" s="328"/>
      <c r="I1940" s="329"/>
      <c r="J1940" s="329"/>
      <c r="K1940" s="322"/>
      <c r="L1940" s="322"/>
      <c r="M1940" s="323" t="str">
        <f>IFERROR(VLOOKUP(H1940,Lijsten!$H$1:$I$100,2,0),"")</f>
        <v/>
      </c>
      <c r="N1940" s="323" t="str">
        <f ca="1">IFERROR(IF(VLOOKUP(F1940,Kostentypen!$A$3:$E$21,3,0)=0,"",IF(OR(F1940="Arbeidskosten",F1940="Vergoeding"),VLOOKUP(G1940,Tb_KostenTypen[],2,0),VLOOKUP(F1940,Kostentypen!$A$3:$E$20,3,0))),"")</f>
        <v/>
      </c>
      <c r="O1940" s="324"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4"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3"/>
      <c r="R1940" s="363"/>
      <c r="S1940" s="325"/>
      <c r="T1940" s="325"/>
      <c r="U1940" s="317" t="str" cm="1">
        <f t="array" aca="1" ref="U1940" ca="1">IFERROR(IF(AA1940&lt;&gt;"ja",_xlfn.IFNA(_xlfn.IFS(AND(O1940&lt;&gt;"",F1940&lt;&gt;"",RIGHT($N1940,6)="tarief",F1940="Vergoeding"),SUM(O1940)*FLOOR(SUM(Q1940),0.0001),AND(O1940&lt;&gt;"",F1940&lt;&gt;"",RIGHT($N1940,6)="tarief"),SUM(O1940)*FLOOR(SUM(Q1940),0.01),S1940&gt;0,IF(F1940&lt;&gt;"",FLOOR(SUM(S1940),0.01),"")),""),""),"")</f>
        <v/>
      </c>
      <c r="V1940" s="317" t="str" cm="1">
        <f t="array" aca="1" ref="V1940" ca="1">IFERROR(IF(AA1940&lt;&gt;"ja",_xlfn.IFNA(_xlfn.IFS(AND(P1940&lt;&gt;"",R1940&lt;&gt;"",RIGHT($N1940,6)="tarief",F1940="Vergoeding"),SUM(P1940)*FLOOR(SUM(R1940),0.0001),AND(P1940&lt;&gt;"",R1940&lt;&gt;"",RIGHT($N1940,6)="tarief"),P1940*FLOOR(R1940,0.01),T1940&gt;0,FLOOR(SUM(T1940),0.01)),""),""),"")</f>
        <v/>
      </c>
      <c r="W1940" s="317" t="str" cm="1">
        <f t="array" aca="1" ref="W1940" ca="1">IFERROR(_xlfn.IFS(OR(F1940="",LEFT(Methode_Keuze,4)="Geen",Methode_Keuze=""),"",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17" t="str" cm="1">
        <f t="array" aca="1" ref="X1940" ca="1">IFERROR(_xlfn.IFS(OR(F1940="",LEFT(Methode_Keuze,4)="Geen",Methode_Keuze=""),"",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26"/>
      <c r="Z1940" s="319"/>
      <c r="AA1940" s="32" t="str" cm="1">
        <f t="array" ref="AA1940">IFERROR(IF(INDEX(SubsidieTabel!$AD$1:$AG$12,MATCH($F1940,SubsidieTabel!$AD$1:$AD$12,0),IFERROR(MATCH(Methode_Keuze,SubsidieTabel!$AD$1:$AG$1,0),2))&lt;&gt;1=TRUE,"ja",""),"")</f>
        <v/>
      </c>
    </row>
    <row r="1941" spans="1:27" x14ac:dyDescent="0.25">
      <c r="A1941" s="320"/>
      <c r="B1941" s="321" t="str">
        <f>IF(A1941&lt;&gt;"",_xlfn.MAXIFS($B$1:B1940,$A$1:A1940,A1941)+1,"")</f>
        <v/>
      </c>
      <c r="C1941" s="299"/>
      <c r="D1941" s="299"/>
      <c r="E1941" s="299"/>
      <c r="F1941" s="299"/>
      <c r="G1941" s="330"/>
      <c r="H1941" s="328"/>
      <c r="I1941" s="329"/>
      <c r="J1941" s="329"/>
      <c r="K1941" s="322"/>
      <c r="L1941" s="322"/>
      <c r="M1941" s="323" t="str">
        <f>IFERROR(VLOOKUP(H1941,Lijsten!$H$1:$I$100,2,0),"")</f>
        <v/>
      </c>
      <c r="N1941" s="323" t="str">
        <f ca="1">IFERROR(IF(VLOOKUP(F1941,Kostentypen!$A$3:$E$21,3,0)=0,"",IF(OR(F1941="Arbeidskosten",F1941="Vergoeding"),VLOOKUP(G1941,Tb_KostenTypen[],2,0),VLOOKUP(F1941,Kostentypen!$A$3:$E$20,3,0))),"")</f>
        <v/>
      </c>
      <c r="O1941" s="324"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4"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3"/>
      <c r="R1941" s="363"/>
      <c r="S1941" s="325"/>
      <c r="T1941" s="325"/>
      <c r="U1941" s="317" t="str" cm="1">
        <f t="array" aca="1" ref="U1941" ca="1">IFERROR(IF(AA1941&lt;&gt;"ja",_xlfn.IFNA(_xlfn.IFS(AND(O1941&lt;&gt;"",F1941&lt;&gt;"",RIGHT($N1941,6)="tarief",F1941="Vergoeding"),SUM(O1941)*FLOOR(SUM(Q1941),0.0001),AND(O1941&lt;&gt;"",F1941&lt;&gt;"",RIGHT($N1941,6)="tarief"),SUM(O1941)*FLOOR(SUM(Q1941),0.01),S1941&gt;0,IF(F1941&lt;&gt;"",FLOOR(SUM(S1941),0.01),"")),""),""),"")</f>
        <v/>
      </c>
      <c r="V1941" s="317" t="str" cm="1">
        <f t="array" aca="1" ref="V1941" ca="1">IFERROR(IF(AA1941&lt;&gt;"ja",_xlfn.IFNA(_xlfn.IFS(AND(P1941&lt;&gt;"",R1941&lt;&gt;"",RIGHT($N1941,6)="tarief",F1941="Vergoeding"),SUM(P1941)*FLOOR(SUM(R1941),0.0001),AND(P1941&lt;&gt;"",R1941&lt;&gt;"",RIGHT($N1941,6)="tarief"),P1941*FLOOR(R1941,0.01),T1941&gt;0,FLOOR(SUM(T1941),0.01)),""),""),"")</f>
        <v/>
      </c>
      <c r="W1941" s="317" t="str" cm="1">
        <f t="array" aca="1" ref="W1941" ca="1">IFERROR(_xlfn.IFS(OR(F1941="",LEFT(Methode_Keuze,4)="Geen",Methode_Keuze=""),"",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17" t="str" cm="1">
        <f t="array" aca="1" ref="X1941" ca="1">IFERROR(_xlfn.IFS(OR(F1941="",LEFT(Methode_Keuze,4)="Geen",Methode_Keuze=""),"",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26"/>
      <c r="Z1941" s="319"/>
      <c r="AA1941" s="32" t="str" cm="1">
        <f t="array" ref="AA1941">IFERROR(IF(INDEX(SubsidieTabel!$AD$1:$AG$12,MATCH($F1941,SubsidieTabel!$AD$1:$AD$12,0),IFERROR(MATCH(Methode_Keuze,SubsidieTabel!$AD$1:$AG$1,0),2))&lt;&gt;1=TRUE,"ja",""),"")</f>
        <v/>
      </c>
    </row>
    <row r="1942" spans="1:27" x14ac:dyDescent="0.25">
      <c r="A1942" s="320"/>
      <c r="B1942" s="321" t="str">
        <f>IF(A1942&lt;&gt;"",_xlfn.MAXIFS($B$1:B1941,$A$1:A1941,A1942)+1,"")</f>
        <v/>
      </c>
      <c r="C1942" s="299"/>
      <c r="D1942" s="299"/>
      <c r="E1942" s="299"/>
      <c r="F1942" s="299"/>
      <c r="G1942" s="330"/>
      <c r="H1942" s="328"/>
      <c r="I1942" s="329"/>
      <c r="J1942" s="329"/>
      <c r="K1942" s="322"/>
      <c r="L1942" s="322"/>
      <c r="M1942" s="323" t="str">
        <f>IFERROR(VLOOKUP(H1942,Lijsten!$H$1:$I$100,2,0),"")</f>
        <v/>
      </c>
      <c r="N1942" s="323" t="str">
        <f ca="1">IFERROR(IF(VLOOKUP(F1942,Kostentypen!$A$3:$E$21,3,0)=0,"",IF(OR(F1942="Arbeidskosten",F1942="Vergoeding"),VLOOKUP(G1942,Tb_KostenTypen[],2,0),VLOOKUP(F1942,Kostentypen!$A$3:$E$20,3,0))),"")</f>
        <v/>
      </c>
      <c r="O1942" s="324"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4"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3"/>
      <c r="R1942" s="363"/>
      <c r="S1942" s="325"/>
      <c r="T1942" s="325"/>
      <c r="U1942" s="317" t="str" cm="1">
        <f t="array" aca="1" ref="U1942" ca="1">IFERROR(IF(AA1942&lt;&gt;"ja",_xlfn.IFNA(_xlfn.IFS(AND(O1942&lt;&gt;"",F1942&lt;&gt;"",RIGHT($N1942,6)="tarief",F1942="Vergoeding"),SUM(O1942)*FLOOR(SUM(Q1942),0.0001),AND(O1942&lt;&gt;"",F1942&lt;&gt;"",RIGHT($N1942,6)="tarief"),SUM(O1942)*FLOOR(SUM(Q1942),0.01),S1942&gt;0,IF(F1942&lt;&gt;"",FLOOR(SUM(S1942),0.01),"")),""),""),"")</f>
        <v/>
      </c>
      <c r="V1942" s="317" t="str" cm="1">
        <f t="array" aca="1" ref="V1942" ca="1">IFERROR(IF(AA1942&lt;&gt;"ja",_xlfn.IFNA(_xlfn.IFS(AND(P1942&lt;&gt;"",R1942&lt;&gt;"",RIGHT($N1942,6)="tarief",F1942="Vergoeding"),SUM(P1942)*FLOOR(SUM(R1942),0.0001),AND(P1942&lt;&gt;"",R1942&lt;&gt;"",RIGHT($N1942,6)="tarief"),P1942*FLOOR(R1942,0.01),T1942&gt;0,FLOOR(SUM(T1942),0.01)),""),""),"")</f>
        <v/>
      </c>
      <c r="W1942" s="317" t="str" cm="1">
        <f t="array" aca="1" ref="W1942" ca="1">IFERROR(_xlfn.IFS(OR(F1942="",LEFT(Methode_Keuze,4)="Geen",Methode_Keuze=""),"",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17" t="str" cm="1">
        <f t="array" aca="1" ref="X1942" ca="1">IFERROR(_xlfn.IFS(OR(F1942="",LEFT(Methode_Keuze,4)="Geen",Methode_Keuze=""),"",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26"/>
      <c r="Z1942" s="319"/>
      <c r="AA1942" s="32" t="str" cm="1">
        <f t="array" ref="AA1942">IFERROR(IF(INDEX(SubsidieTabel!$AD$1:$AG$12,MATCH($F1942,SubsidieTabel!$AD$1:$AD$12,0),IFERROR(MATCH(Methode_Keuze,SubsidieTabel!$AD$1:$AG$1,0),2))&lt;&gt;1=TRUE,"ja",""),"")</f>
        <v/>
      </c>
    </row>
    <row r="1943" spans="1:27" x14ac:dyDescent="0.25">
      <c r="A1943" s="320"/>
      <c r="B1943" s="321" t="str">
        <f>IF(A1943&lt;&gt;"",_xlfn.MAXIFS($B$1:B1942,$A$1:A1942,A1943)+1,"")</f>
        <v/>
      </c>
      <c r="C1943" s="299"/>
      <c r="D1943" s="299"/>
      <c r="E1943" s="299"/>
      <c r="F1943" s="299"/>
      <c r="G1943" s="330"/>
      <c r="H1943" s="328"/>
      <c r="I1943" s="329"/>
      <c r="J1943" s="329"/>
      <c r="K1943" s="322"/>
      <c r="L1943" s="322"/>
      <c r="M1943" s="323" t="str">
        <f>IFERROR(VLOOKUP(H1943,Lijsten!$H$1:$I$100,2,0),"")</f>
        <v/>
      </c>
      <c r="N1943" s="323" t="str">
        <f ca="1">IFERROR(IF(VLOOKUP(F1943,Kostentypen!$A$3:$E$21,3,0)=0,"",IF(OR(F1943="Arbeidskosten",F1943="Vergoeding"),VLOOKUP(G1943,Tb_KostenTypen[],2,0),VLOOKUP(F1943,Kostentypen!$A$3:$E$20,3,0))),"")</f>
        <v/>
      </c>
      <c r="O1943" s="324"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4"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3"/>
      <c r="R1943" s="363"/>
      <c r="S1943" s="325"/>
      <c r="T1943" s="325"/>
      <c r="U1943" s="317" t="str" cm="1">
        <f t="array" aca="1" ref="U1943" ca="1">IFERROR(IF(AA1943&lt;&gt;"ja",_xlfn.IFNA(_xlfn.IFS(AND(O1943&lt;&gt;"",F1943&lt;&gt;"",RIGHT($N1943,6)="tarief",F1943="Vergoeding"),SUM(O1943)*FLOOR(SUM(Q1943),0.0001),AND(O1943&lt;&gt;"",F1943&lt;&gt;"",RIGHT($N1943,6)="tarief"),SUM(O1943)*FLOOR(SUM(Q1943),0.01),S1943&gt;0,IF(F1943&lt;&gt;"",FLOOR(SUM(S1943),0.01),"")),""),""),"")</f>
        <v/>
      </c>
      <c r="V1943" s="317" t="str" cm="1">
        <f t="array" aca="1" ref="V1943" ca="1">IFERROR(IF(AA1943&lt;&gt;"ja",_xlfn.IFNA(_xlfn.IFS(AND(P1943&lt;&gt;"",R1943&lt;&gt;"",RIGHT($N1943,6)="tarief",F1943="Vergoeding"),SUM(P1943)*FLOOR(SUM(R1943),0.0001),AND(P1943&lt;&gt;"",R1943&lt;&gt;"",RIGHT($N1943,6)="tarief"),P1943*FLOOR(R1943,0.01),T1943&gt;0,FLOOR(SUM(T1943),0.01)),""),""),"")</f>
        <v/>
      </c>
      <c r="W1943" s="317" t="str" cm="1">
        <f t="array" aca="1" ref="W1943" ca="1">IFERROR(_xlfn.IFS(OR(F1943="",LEFT(Methode_Keuze,4)="Geen",Methode_Keuze=""),"",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17" t="str" cm="1">
        <f t="array" aca="1" ref="X1943" ca="1">IFERROR(_xlfn.IFS(OR(F1943="",LEFT(Methode_Keuze,4)="Geen",Methode_Keuze=""),"",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26"/>
      <c r="Z1943" s="319"/>
      <c r="AA1943" s="32" t="str" cm="1">
        <f t="array" ref="AA1943">IFERROR(IF(INDEX(SubsidieTabel!$AD$1:$AG$12,MATCH($F1943,SubsidieTabel!$AD$1:$AD$12,0),IFERROR(MATCH(Methode_Keuze,SubsidieTabel!$AD$1:$AG$1,0),2))&lt;&gt;1=TRUE,"ja",""),"")</f>
        <v/>
      </c>
    </row>
    <row r="1944" spans="1:27" x14ac:dyDescent="0.25">
      <c r="A1944" s="320"/>
      <c r="B1944" s="321" t="str">
        <f>IF(A1944&lt;&gt;"",_xlfn.MAXIFS($B$1:B1943,$A$1:A1943,A1944)+1,"")</f>
        <v/>
      </c>
      <c r="C1944" s="299"/>
      <c r="D1944" s="299"/>
      <c r="E1944" s="299"/>
      <c r="F1944" s="299"/>
      <c r="G1944" s="330"/>
      <c r="H1944" s="328"/>
      <c r="I1944" s="329"/>
      <c r="J1944" s="329"/>
      <c r="K1944" s="322"/>
      <c r="L1944" s="322"/>
      <c r="M1944" s="323" t="str">
        <f>IFERROR(VLOOKUP(H1944,Lijsten!$H$1:$I$100,2,0),"")</f>
        <v/>
      </c>
      <c r="N1944" s="323" t="str">
        <f ca="1">IFERROR(IF(VLOOKUP(F1944,Kostentypen!$A$3:$E$21,3,0)=0,"",IF(OR(F1944="Arbeidskosten",F1944="Vergoeding"),VLOOKUP(G1944,Tb_KostenTypen[],2,0),VLOOKUP(F1944,Kostentypen!$A$3:$E$20,3,0))),"")</f>
        <v/>
      </c>
      <c r="O1944" s="324"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4"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3"/>
      <c r="R1944" s="363"/>
      <c r="S1944" s="325"/>
      <c r="T1944" s="325"/>
      <c r="U1944" s="317" t="str" cm="1">
        <f t="array" aca="1" ref="U1944" ca="1">IFERROR(IF(AA1944&lt;&gt;"ja",_xlfn.IFNA(_xlfn.IFS(AND(O1944&lt;&gt;"",F1944&lt;&gt;"",RIGHT($N1944,6)="tarief",F1944="Vergoeding"),SUM(O1944)*FLOOR(SUM(Q1944),0.0001),AND(O1944&lt;&gt;"",F1944&lt;&gt;"",RIGHT($N1944,6)="tarief"),SUM(O1944)*FLOOR(SUM(Q1944),0.01),S1944&gt;0,IF(F1944&lt;&gt;"",FLOOR(SUM(S1944),0.01),"")),""),""),"")</f>
        <v/>
      </c>
      <c r="V1944" s="317" t="str" cm="1">
        <f t="array" aca="1" ref="V1944" ca="1">IFERROR(IF(AA1944&lt;&gt;"ja",_xlfn.IFNA(_xlfn.IFS(AND(P1944&lt;&gt;"",R1944&lt;&gt;"",RIGHT($N1944,6)="tarief",F1944="Vergoeding"),SUM(P1944)*FLOOR(SUM(R1944),0.0001),AND(P1944&lt;&gt;"",R1944&lt;&gt;"",RIGHT($N1944,6)="tarief"),P1944*FLOOR(R1944,0.01),T1944&gt;0,FLOOR(SUM(T1944),0.01)),""),""),"")</f>
        <v/>
      </c>
      <c r="W1944" s="317" t="str" cm="1">
        <f t="array" aca="1" ref="W1944" ca="1">IFERROR(_xlfn.IFS(OR(F1944="",LEFT(Methode_Keuze,4)="Geen",Methode_Keuze=""),"",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17" t="str" cm="1">
        <f t="array" aca="1" ref="X1944" ca="1">IFERROR(_xlfn.IFS(OR(F1944="",LEFT(Methode_Keuze,4)="Geen",Methode_Keuze=""),"",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26"/>
      <c r="Z1944" s="319"/>
      <c r="AA1944" s="32" t="str" cm="1">
        <f t="array" ref="AA1944">IFERROR(IF(INDEX(SubsidieTabel!$AD$1:$AG$12,MATCH($F1944,SubsidieTabel!$AD$1:$AD$12,0),IFERROR(MATCH(Methode_Keuze,SubsidieTabel!$AD$1:$AG$1,0),2))&lt;&gt;1=TRUE,"ja",""),"")</f>
        <v/>
      </c>
    </row>
    <row r="1945" spans="1:27" x14ac:dyDescent="0.25">
      <c r="A1945" s="320"/>
      <c r="B1945" s="321" t="str">
        <f>IF(A1945&lt;&gt;"",_xlfn.MAXIFS($B$1:B1944,$A$1:A1944,A1945)+1,"")</f>
        <v/>
      </c>
      <c r="C1945" s="299"/>
      <c r="D1945" s="299"/>
      <c r="E1945" s="299"/>
      <c r="F1945" s="299"/>
      <c r="G1945" s="330"/>
      <c r="H1945" s="328"/>
      <c r="I1945" s="329"/>
      <c r="J1945" s="329"/>
      <c r="K1945" s="322"/>
      <c r="L1945" s="322"/>
      <c r="M1945" s="323" t="str">
        <f>IFERROR(VLOOKUP(H1945,Lijsten!$H$1:$I$100,2,0),"")</f>
        <v/>
      </c>
      <c r="N1945" s="323" t="str">
        <f ca="1">IFERROR(IF(VLOOKUP(F1945,Kostentypen!$A$3:$E$21,3,0)=0,"",IF(OR(F1945="Arbeidskosten",F1945="Vergoeding"),VLOOKUP(G1945,Tb_KostenTypen[],2,0),VLOOKUP(F1945,Kostentypen!$A$3:$E$20,3,0))),"")</f>
        <v/>
      </c>
      <c r="O1945" s="324"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4"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3"/>
      <c r="R1945" s="363"/>
      <c r="S1945" s="325"/>
      <c r="T1945" s="325"/>
      <c r="U1945" s="317" t="str" cm="1">
        <f t="array" aca="1" ref="U1945" ca="1">IFERROR(IF(AA1945&lt;&gt;"ja",_xlfn.IFNA(_xlfn.IFS(AND(O1945&lt;&gt;"",F1945&lt;&gt;"",RIGHT($N1945,6)="tarief",F1945="Vergoeding"),SUM(O1945)*FLOOR(SUM(Q1945),0.0001),AND(O1945&lt;&gt;"",F1945&lt;&gt;"",RIGHT($N1945,6)="tarief"),SUM(O1945)*FLOOR(SUM(Q1945),0.01),S1945&gt;0,IF(F1945&lt;&gt;"",FLOOR(SUM(S1945),0.01),"")),""),""),"")</f>
        <v/>
      </c>
      <c r="V1945" s="317" t="str" cm="1">
        <f t="array" aca="1" ref="V1945" ca="1">IFERROR(IF(AA1945&lt;&gt;"ja",_xlfn.IFNA(_xlfn.IFS(AND(P1945&lt;&gt;"",R1945&lt;&gt;"",RIGHT($N1945,6)="tarief",F1945="Vergoeding"),SUM(P1945)*FLOOR(SUM(R1945),0.0001),AND(P1945&lt;&gt;"",R1945&lt;&gt;"",RIGHT($N1945,6)="tarief"),P1945*FLOOR(R1945,0.01),T1945&gt;0,FLOOR(SUM(T1945),0.01)),""),""),"")</f>
        <v/>
      </c>
      <c r="W1945" s="317" t="str" cm="1">
        <f t="array" aca="1" ref="W1945" ca="1">IFERROR(_xlfn.IFS(OR(F1945="",LEFT(Methode_Keuze,4)="Geen",Methode_Keuze=""),"",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17" t="str" cm="1">
        <f t="array" aca="1" ref="X1945" ca="1">IFERROR(_xlfn.IFS(OR(F1945="",LEFT(Methode_Keuze,4)="Geen",Methode_Keuze=""),"",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26"/>
      <c r="Z1945" s="319"/>
      <c r="AA1945" s="32" t="str" cm="1">
        <f t="array" ref="AA1945">IFERROR(IF(INDEX(SubsidieTabel!$AD$1:$AG$12,MATCH($F1945,SubsidieTabel!$AD$1:$AD$12,0),IFERROR(MATCH(Methode_Keuze,SubsidieTabel!$AD$1:$AG$1,0),2))&lt;&gt;1=TRUE,"ja",""),"")</f>
        <v/>
      </c>
    </row>
    <row r="1946" spans="1:27" x14ac:dyDescent="0.25">
      <c r="A1946" s="320"/>
      <c r="B1946" s="321" t="str">
        <f>IF(A1946&lt;&gt;"",_xlfn.MAXIFS($B$1:B1945,$A$1:A1945,A1946)+1,"")</f>
        <v/>
      </c>
      <c r="C1946" s="299"/>
      <c r="D1946" s="299"/>
      <c r="E1946" s="299"/>
      <c r="F1946" s="299"/>
      <c r="G1946" s="330"/>
      <c r="H1946" s="328"/>
      <c r="I1946" s="329"/>
      <c r="J1946" s="329"/>
      <c r="K1946" s="322"/>
      <c r="L1946" s="322"/>
      <c r="M1946" s="323" t="str">
        <f>IFERROR(VLOOKUP(H1946,Lijsten!$H$1:$I$100,2,0),"")</f>
        <v/>
      </c>
      <c r="N1946" s="323" t="str">
        <f ca="1">IFERROR(IF(VLOOKUP(F1946,Kostentypen!$A$3:$E$21,3,0)=0,"",IF(OR(F1946="Arbeidskosten",F1946="Vergoeding"),VLOOKUP(G1946,Tb_KostenTypen[],2,0),VLOOKUP(F1946,Kostentypen!$A$3:$E$20,3,0))),"")</f>
        <v/>
      </c>
      <c r="O1946" s="324"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4"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3"/>
      <c r="R1946" s="363"/>
      <c r="S1946" s="325"/>
      <c r="T1946" s="325"/>
      <c r="U1946" s="317" t="str" cm="1">
        <f t="array" aca="1" ref="U1946" ca="1">IFERROR(IF(AA1946&lt;&gt;"ja",_xlfn.IFNA(_xlfn.IFS(AND(O1946&lt;&gt;"",F1946&lt;&gt;"",RIGHT($N1946,6)="tarief",F1946="Vergoeding"),SUM(O1946)*FLOOR(SUM(Q1946),0.0001),AND(O1946&lt;&gt;"",F1946&lt;&gt;"",RIGHT($N1946,6)="tarief"),SUM(O1946)*FLOOR(SUM(Q1946),0.01),S1946&gt;0,IF(F1946&lt;&gt;"",FLOOR(SUM(S1946),0.01),"")),""),""),"")</f>
        <v/>
      </c>
      <c r="V1946" s="317" t="str" cm="1">
        <f t="array" aca="1" ref="V1946" ca="1">IFERROR(IF(AA1946&lt;&gt;"ja",_xlfn.IFNA(_xlfn.IFS(AND(P1946&lt;&gt;"",R1946&lt;&gt;"",RIGHT($N1946,6)="tarief",F1946="Vergoeding"),SUM(P1946)*FLOOR(SUM(R1946),0.0001),AND(P1946&lt;&gt;"",R1946&lt;&gt;"",RIGHT($N1946,6)="tarief"),P1946*FLOOR(R1946,0.01),T1946&gt;0,FLOOR(SUM(T1946),0.01)),""),""),"")</f>
        <v/>
      </c>
      <c r="W1946" s="317" t="str" cm="1">
        <f t="array" aca="1" ref="W1946" ca="1">IFERROR(_xlfn.IFS(OR(F1946="",LEFT(Methode_Keuze,4)="Geen",Methode_Keuze=""),"",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17" t="str" cm="1">
        <f t="array" aca="1" ref="X1946" ca="1">IFERROR(_xlfn.IFS(OR(F1946="",LEFT(Methode_Keuze,4)="Geen",Methode_Keuze=""),"",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26"/>
      <c r="Z1946" s="319"/>
      <c r="AA1946" s="32" t="str" cm="1">
        <f t="array" ref="AA1946">IFERROR(IF(INDEX(SubsidieTabel!$AD$1:$AG$12,MATCH($F1946,SubsidieTabel!$AD$1:$AD$12,0),IFERROR(MATCH(Methode_Keuze,SubsidieTabel!$AD$1:$AG$1,0),2))&lt;&gt;1=TRUE,"ja",""),"")</f>
        <v/>
      </c>
    </row>
    <row r="1947" spans="1:27" x14ac:dyDescent="0.25">
      <c r="A1947" s="320"/>
      <c r="B1947" s="321" t="str">
        <f>IF(A1947&lt;&gt;"",_xlfn.MAXIFS($B$1:B1946,$A$1:A1946,A1947)+1,"")</f>
        <v/>
      </c>
      <c r="C1947" s="299"/>
      <c r="D1947" s="299"/>
      <c r="E1947" s="299"/>
      <c r="F1947" s="299"/>
      <c r="G1947" s="330"/>
      <c r="H1947" s="328"/>
      <c r="I1947" s="329"/>
      <c r="J1947" s="329"/>
      <c r="K1947" s="322"/>
      <c r="L1947" s="322"/>
      <c r="M1947" s="323" t="str">
        <f>IFERROR(VLOOKUP(H1947,Lijsten!$H$1:$I$100,2,0),"")</f>
        <v/>
      </c>
      <c r="N1947" s="323" t="str">
        <f ca="1">IFERROR(IF(VLOOKUP(F1947,Kostentypen!$A$3:$E$21,3,0)=0,"",IF(OR(F1947="Arbeidskosten",F1947="Vergoeding"),VLOOKUP(G1947,Tb_KostenTypen[],2,0),VLOOKUP(F1947,Kostentypen!$A$3:$E$20,3,0))),"")</f>
        <v/>
      </c>
      <c r="O1947" s="324"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4"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3"/>
      <c r="R1947" s="363"/>
      <c r="S1947" s="325"/>
      <c r="T1947" s="325"/>
      <c r="U1947" s="317" t="str" cm="1">
        <f t="array" aca="1" ref="U1947" ca="1">IFERROR(IF(AA1947&lt;&gt;"ja",_xlfn.IFNA(_xlfn.IFS(AND(O1947&lt;&gt;"",F1947&lt;&gt;"",RIGHT($N1947,6)="tarief",F1947="Vergoeding"),SUM(O1947)*FLOOR(SUM(Q1947),0.0001),AND(O1947&lt;&gt;"",F1947&lt;&gt;"",RIGHT($N1947,6)="tarief"),SUM(O1947)*FLOOR(SUM(Q1947),0.01),S1947&gt;0,IF(F1947&lt;&gt;"",FLOOR(SUM(S1947),0.01),"")),""),""),"")</f>
        <v/>
      </c>
      <c r="V1947" s="317" t="str" cm="1">
        <f t="array" aca="1" ref="V1947" ca="1">IFERROR(IF(AA1947&lt;&gt;"ja",_xlfn.IFNA(_xlfn.IFS(AND(P1947&lt;&gt;"",R1947&lt;&gt;"",RIGHT($N1947,6)="tarief",F1947="Vergoeding"),SUM(P1947)*FLOOR(SUM(R1947),0.0001),AND(P1947&lt;&gt;"",R1947&lt;&gt;"",RIGHT($N1947,6)="tarief"),P1947*FLOOR(R1947,0.01),T1947&gt;0,FLOOR(SUM(T1947),0.01)),""),""),"")</f>
        <v/>
      </c>
      <c r="W1947" s="317" t="str" cm="1">
        <f t="array" aca="1" ref="W1947" ca="1">IFERROR(_xlfn.IFS(OR(F1947="",LEFT(Methode_Keuze,4)="Geen",Methode_Keuze=""),"",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17" t="str" cm="1">
        <f t="array" aca="1" ref="X1947" ca="1">IFERROR(_xlfn.IFS(OR(F1947="",LEFT(Methode_Keuze,4)="Geen",Methode_Keuze=""),"",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26"/>
      <c r="Z1947" s="319"/>
      <c r="AA1947" s="32" t="str" cm="1">
        <f t="array" ref="AA1947">IFERROR(IF(INDEX(SubsidieTabel!$AD$1:$AG$12,MATCH($F1947,SubsidieTabel!$AD$1:$AD$12,0),IFERROR(MATCH(Methode_Keuze,SubsidieTabel!$AD$1:$AG$1,0),2))&lt;&gt;1=TRUE,"ja",""),"")</f>
        <v/>
      </c>
    </row>
    <row r="1948" spans="1:27" x14ac:dyDescent="0.25">
      <c r="A1948" s="320"/>
      <c r="B1948" s="321" t="str">
        <f>IF(A1948&lt;&gt;"",_xlfn.MAXIFS($B$1:B1947,$A$1:A1947,A1948)+1,"")</f>
        <v/>
      </c>
      <c r="C1948" s="299"/>
      <c r="D1948" s="299"/>
      <c r="E1948" s="299"/>
      <c r="F1948" s="299"/>
      <c r="G1948" s="330"/>
      <c r="H1948" s="328"/>
      <c r="I1948" s="329"/>
      <c r="J1948" s="329"/>
      <c r="K1948" s="322"/>
      <c r="L1948" s="322"/>
      <c r="M1948" s="323" t="str">
        <f>IFERROR(VLOOKUP(H1948,Lijsten!$H$1:$I$100,2,0),"")</f>
        <v/>
      </c>
      <c r="N1948" s="323" t="str">
        <f ca="1">IFERROR(IF(VLOOKUP(F1948,Kostentypen!$A$3:$E$21,3,0)=0,"",IF(OR(F1948="Arbeidskosten",F1948="Vergoeding"),VLOOKUP(G1948,Tb_KostenTypen[],2,0),VLOOKUP(F1948,Kostentypen!$A$3:$E$20,3,0))),"")</f>
        <v/>
      </c>
      <c r="O1948" s="324"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4"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3"/>
      <c r="R1948" s="363"/>
      <c r="S1948" s="325"/>
      <c r="T1948" s="325"/>
      <c r="U1948" s="317" t="str" cm="1">
        <f t="array" aca="1" ref="U1948" ca="1">IFERROR(IF(AA1948&lt;&gt;"ja",_xlfn.IFNA(_xlfn.IFS(AND(O1948&lt;&gt;"",F1948&lt;&gt;"",RIGHT($N1948,6)="tarief",F1948="Vergoeding"),SUM(O1948)*FLOOR(SUM(Q1948),0.0001),AND(O1948&lt;&gt;"",F1948&lt;&gt;"",RIGHT($N1948,6)="tarief"),SUM(O1948)*FLOOR(SUM(Q1948),0.01),S1948&gt;0,IF(F1948&lt;&gt;"",FLOOR(SUM(S1948),0.01),"")),""),""),"")</f>
        <v/>
      </c>
      <c r="V1948" s="317" t="str" cm="1">
        <f t="array" aca="1" ref="V1948" ca="1">IFERROR(IF(AA1948&lt;&gt;"ja",_xlfn.IFNA(_xlfn.IFS(AND(P1948&lt;&gt;"",R1948&lt;&gt;"",RIGHT($N1948,6)="tarief",F1948="Vergoeding"),SUM(P1948)*FLOOR(SUM(R1948),0.0001),AND(P1948&lt;&gt;"",R1948&lt;&gt;"",RIGHT($N1948,6)="tarief"),P1948*FLOOR(R1948,0.01),T1948&gt;0,FLOOR(SUM(T1948),0.01)),""),""),"")</f>
        <v/>
      </c>
      <c r="W1948" s="317" t="str" cm="1">
        <f t="array" aca="1" ref="W1948" ca="1">IFERROR(_xlfn.IFS(OR(F1948="",LEFT(Methode_Keuze,4)="Geen",Methode_Keuze=""),"",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17" t="str" cm="1">
        <f t="array" aca="1" ref="X1948" ca="1">IFERROR(_xlfn.IFS(OR(F1948="",LEFT(Methode_Keuze,4)="Geen",Methode_Keuze=""),"",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26"/>
      <c r="Z1948" s="319"/>
      <c r="AA1948" s="32" t="str" cm="1">
        <f t="array" ref="AA1948">IFERROR(IF(INDEX(SubsidieTabel!$AD$1:$AG$12,MATCH($F1948,SubsidieTabel!$AD$1:$AD$12,0),IFERROR(MATCH(Methode_Keuze,SubsidieTabel!$AD$1:$AG$1,0),2))&lt;&gt;1=TRUE,"ja",""),"")</f>
        <v/>
      </c>
    </row>
    <row r="1949" spans="1:27" x14ac:dyDescent="0.25">
      <c r="A1949" s="320"/>
      <c r="B1949" s="321" t="str">
        <f>IF(A1949&lt;&gt;"",_xlfn.MAXIFS($B$1:B1948,$A$1:A1948,A1949)+1,"")</f>
        <v/>
      </c>
      <c r="C1949" s="299"/>
      <c r="D1949" s="299"/>
      <c r="E1949" s="299"/>
      <c r="F1949" s="299"/>
      <c r="G1949" s="330"/>
      <c r="H1949" s="328"/>
      <c r="I1949" s="329"/>
      <c r="J1949" s="329"/>
      <c r="K1949" s="322"/>
      <c r="L1949" s="322"/>
      <c r="M1949" s="323" t="str">
        <f>IFERROR(VLOOKUP(H1949,Lijsten!$H$1:$I$100,2,0),"")</f>
        <v/>
      </c>
      <c r="N1949" s="323" t="str">
        <f ca="1">IFERROR(IF(VLOOKUP(F1949,Kostentypen!$A$3:$E$21,3,0)=0,"",IF(OR(F1949="Arbeidskosten",F1949="Vergoeding"),VLOOKUP(G1949,Tb_KostenTypen[],2,0),VLOOKUP(F1949,Kostentypen!$A$3:$E$20,3,0))),"")</f>
        <v/>
      </c>
      <c r="O1949" s="324"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4"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3"/>
      <c r="R1949" s="363"/>
      <c r="S1949" s="325"/>
      <c r="T1949" s="325"/>
      <c r="U1949" s="317" t="str" cm="1">
        <f t="array" aca="1" ref="U1949" ca="1">IFERROR(IF(AA1949&lt;&gt;"ja",_xlfn.IFNA(_xlfn.IFS(AND(O1949&lt;&gt;"",F1949&lt;&gt;"",RIGHT($N1949,6)="tarief",F1949="Vergoeding"),SUM(O1949)*FLOOR(SUM(Q1949),0.0001),AND(O1949&lt;&gt;"",F1949&lt;&gt;"",RIGHT($N1949,6)="tarief"),SUM(O1949)*FLOOR(SUM(Q1949),0.01),S1949&gt;0,IF(F1949&lt;&gt;"",FLOOR(SUM(S1949),0.01),"")),""),""),"")</f>
        <v/>
      </c>
      <c r="V1949" s="317" t="str" cm="1">
        <f t="array" aca="1" ref="V1949" ca="1">IFERROR(IF(AA1949&lt;&gt;"ja",_xlfn.IFNA(_xlfn.IFS(AND(P1949&lt;&gt;"",R1949&lt;&gt;"",RIGHT($N1949,6)="tarief",F1949="Vergoeding"),SUM(P1949)*FLOOR(SUM(R1949),0.0001),AND(P1949&lt;&gt;"",R1949&lt;&gt;"",RIGHT($N1949,6)="tarief"),P1949*FLOOR(R1949,0.01),T1949&gt;0,FLOOR(SUM(T1949),0.01)),""),""),"")</f>
        <v/>
      </c>
      <c r="W1949" s="317" t="str" cm="1">
        <f t="array" aca="1" ref="W1949" ca="1">IFERROR(_xlfn.IFS(OR(F1949="",LEFT(Methode_Keuze,4)="Geen",Methode_Keuze=""),"",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17" t="str" cm="1">
        <f t="array" aca="1" ref="X1949" ca="1">IFERROR(_xlfn.IFS(OR(F1949="",LEFT(Methode_Keuze,4)="Geen",Methode_Keuze=""),"",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26"/>
      <c r="Z1949" s="319"/>
      <c r="AA1949" s="32" t="str" cm="1">
        <f t="array" ref="AA1949">IFERROR(IF(INDEX(SubsidieTabel!$AD$1:$AG$12,MATCH($F1949,SubsidieTabel!$AD$1:$AD$12,0),IFERROR(MATCH(Methode_Keuze,SubsidieTabel!$AD$1:$AG$1,0),2))&lt;&gt;1=TRUE,"ja",""),"")</f>
        <v/>
      </c>
    </row>
    <row r="1950" spans="1:27" x14ac:dyDescent="0.25">
      <c r="A1950" s="320"/>
      <c r="B1950" s="321" t="str">
        <f>IF(A1950&lt;&gt;"",_xlfn.MAXIFS($B$1:B1949,$A$1:A1949,A1950)+1,"")</f>
        <v/>
      </c>
      <c r="C1950" s="299"/>
      <c r="D1950" s="299"/>
      <c r="E1950" s="299"/>
      <c r="F1950" s="299"/>
      <c r="G1950" s="330"/>
      <c r="H1950" s="328"/>
      <c r="I1950" s="329"/>
      <c r="J1950" s="329"/>
      <c r="K1950" s="322"/>
      <c r="L1950" s="322"/>
      <c r="M1950" s="323" t="str">
        <f>IFERROR(VLOOKUP(H1950,Lijsten!$H$1:$I$100,2,0),"")</f>
        <v/>
      </c>
      <c r="N1950" s="323" t="str">
        <f ca="1">IFERROR(IF(VLOOKUP(F1950,Kostentypen!$A$3:$E$21,3,0)=0,"",IF(OR(F1950="Arbeidskosten",F1950="Vergoeding"),VLOOKUP(G1950,Tb_KostenTypen[],2,0),VLOOKUP(F1950,Kostentypen!$A$3:$E$20,3,0))),"")</f>
        <v/>
      </c>
      <c r="O1950" s="324"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4"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3"/>
      <c r="R1950" s="363"/>
      <c r="S1950" s="325"/>
      <c r="T1950" s="325"/>
      <c r="U1950" s="317" t="str" cm="1">
        <f t="array" aca="1" ref="U1950" ca="1">IFERROR(IF(AA1950&lt;&gt;"ja",_xlfn.IFNA(_xlfn.IFS(AND(O1950&lt;&gt;"",F1950&lt;&gt;"",RIGHT($N1950,6)="tarief",F1950="Vergoeding"),SUM(O1950)*FLOOR(SUM(Q1950),0.0001),AND(O1950&lt;&gt;"",F1950&lt;&gt;"",RIGHT($N1950,6)="tarief"),SUM(O1950)*FLOOR(SUM(Q1950),0.01),S1950&gt;0,IF(F1950&lt;&gt;"",FLOOR(SUM(S1950),0.01),"")),""),""),"")</f>
        <v/>
      </c>
      <c r="V1950" s="317" t="str" cm="1">
        <f t="array" aca="1" ref="V1950" ca="1">IFERROR(IF(AA1950&lt;&gt;"ja",_xlfn.IFNA(_xlfn.IFS(AND(P1950&lt;&gt;"",R1950&lt;&gt;"",RIGHT($N1950,6)="tarief",F1950="Vergoeding"),SUM(P1950)*FLOOR(SUM(R1950),0.0001),AND(P1950&lt;&gt;"",R1950&lt;&gt;"",RIGHT($N1950,6)="tarief"),P1950*FLOOR(R1950,0.01),T1950&gt;0,FLOOR(SUM(T1950),0.01)),""),""),"")</f>
        <v/>
      </c>
      <c r="W1950" s="317" t="str" cm="1">
        <f t="array" aca="1" ref="W1950" ca="1">IFERROR(_xlfn.IFS(OR(F1950="",LEFT(Methode_Keuze,4)="Geen",Methode_Keuze=""),"",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17" t="str" cm="1">
        <f t="array" aca="1" ref="X1950" ca="1">IFERROR(_xlfn.IFS(OR(F1950="",LEFT(Methode_Keuze,4)="Geen",Methode_Keuze=""),"",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26"/>
      <c r="Z1950" s="319"/>
      <c r="AA1950" s="32" t="str" cm="1">
        <f t="array" ref="AA1950">IFERROR(IF(INDEX(SubsidieTabel!$AD$1:$AG$12,MATCH($F1950,SubsidieTabel!$AD$1:$AD$12,0),IFERROR(MATCH(Methode_Keuze,SubsidieTabel!$AD$1:$AG$1,0),2))&lt;&gt;1=TRUE,"ja",""),"")</f>
        <v/>
      </c>
    </row>
    <row r="1951" spans="1:27" x14ac:dyDescent="0.25">
      <c r="A1951" s="320"/>
      <c r="B1951" s="321" t="str">
        <f>IF(A1951&lt;&gt;"",_xlfn.MAXIFS($B$1:B1950,$A$1:A1950,A1951)+1,"")</f>
        <v/>
      </c>
      <c r="C1951" s="299"/>
      <c r="D1951" s="299"/>
      <c r="E1951" s="299"/>
      <c r="F1951" s="299"/>
      <c r="G1951" s="330"/>
      <c r="H1951" s="328"/>
      <c r="I1951" s="329"/>
      <c r="J1951" s="329"/>
      <c r="K1951" s="322"/>
      <c r="L1951" s="322"/>
      <c r="M1951" s="323" t="str">
        <f>IFERROR(VLOOKUP(H1951,Lijsten!$H$1:$I$100,2,0),"")</f>
        <v/>
      </c>
      <c r="N1951" s="323" t="str">
        <f ca="1">IFERROR(IF(VLOOKUP(F1951,Kostentypen!$A$3:$E$21,3,0)=0,"",IF(OR(F1951="Arbeidskosten",F1951="Vergoeding"),VLOOKUP(G1951,Tb_KostenTypen[],2,0),VLOOKUP(F1951,Kostentypen!$A$3:$E$20,3,0))),"")</f>
        <v/>
      </c>
      <c r="O1951" s="324"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4"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3"/>
      <c r="R1951" s="363"/>
      <c r="S1951" s="325"/>
      <c r="T1951" s="325"/>
      <c r="U1951" s="317" t="str" cm="1">
        <f t="array" aca="1" ref="U1951" ca="1">IFERROR(IF(AA1951&lt;&gt;"ja",_xlfn.IFNA(_xlfn.IFS(AND(O1951&lt;&gt;"",F1951&lt;&gt;"",RIGHT($N1951,6)="tarief",F1951="Vergoeding"),SUM(O1951)*FLOOR(SUM(Q1951),0.0001),AND(O1951&lt;&gt;"",F1951&lt;&gt;"",RIGHT($N1951,6)="tarief"),SUM(O1951)*FLOOR(SUM(Q1951),0.01),S1951&gt;0,IF(F1951&lt;&gt;"",FLOOR(SUM(S1951),0.01),"")),""),""),"")</f>
        <v/>
      </c>
      <c r="V1951" s="317" t="str" cm="1">
        <f t="array" aca="1" ref="V1951" ca="1">IFERROR(IF(AA1951&lt;&gt;"ja",_xlfn.IFNA(_xlfn.IFS(AND(P1951&lt;&gt;"",R1951&lt;&gt;"",RIGHT($N1951,6)="tarief",F1951="Vergoeding"),SUM(P1951)*FLOOR(SUM(R1951),0.0001),AND(P1951&lt;&gt;"",R1951&lt;&gt;"",RIGHT($N1951,6)="tarief"),P1951*FLOOR(R1951,0.01),T1951&gt;0,FLOOR(SUM(T1951),0.01)),""),""),"")</f>
        <v/>
      </c>
      <c r="W1951" s="317" t="str" cm="1">
        <f t="array" aca="1" ref="W1951" ca="1">IFERROR(_xlfn.IFS(OR(F1951="",LEFT(Methode_Keuze,4)="Geen",Methode_Keuze=""),"",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17" t="str" cm="1">
        <f t="array" aca="1" ref="X1951" ca="1">IFERROR(_xlfn.IFS(OR(F1951="",LEFT(Methode_Keuze,4)="Geen",Methode_Keuze=""),"",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26"/>
      <c r="Z1951" s="319"/>
      <c r="AA1951" s="32" t="str" cm="1">
        <f t="array" ref="AA1951">IFERROR(IF(INDEX(SubsidieTabel!$AD$1:$AG$12,MATCH($F1951,SubsidieTabel!$AD$1:$AD$12,0),IFERROR(MATCH(Methode_Keuze,SubsidieTabel!$AD$1:$AG$1,0),2))&lt;&gt;1=TRUE,"ja",""),"")</f>
        <v/>
      </c>
    </row>
    <row r="1952" spans="1:27" x14ac:dyDescent="0.25">
      <c r="A1952" s="320"/>
      <c r="B1952" s="321" t="str">
        <f>IF(A1952&lt;&gt;"",_xlfn.MAXIFS($B$1:B1951,$A$1:A1951,A1952)+1,"")</f>
        <v/>
      </c>
      <c r="C1952" s="299"/>
      <c r="D1952" s="299"/>
      <c r="E1952" s="299"/>
      <c r="F1952" s="299"/>
      <c r="G1952" s="330"/>
      <c r="H1952" s="328"/>
      <c r="I1952" s="329"/>
      <c r="J1952" s="329"/>
      <c r="K1952" s="322"/>
      <c r="L1952" s="322"/>
      <c r="M1952" s="323" t="str">
        <f>IFERROR(VLOOKUP(H1952,Lijsten!$H$1:$I$100,2,0),"")</f>
        <v/>
      </c>
      <c r="N1952" s="323" t="str">
        <f ca="1">IFERROR(IF(VLOOKUP(F1952,Kostentypen!$A$3:$E$21,3,0)=0,"",IF(OR(F1952="Arbeidskosten",F1952="Vergoeding"),VLOOKUP(G1952,Tb_KostenTypen[],2,0),VLOOKUP(F1952,Kostentypen!$A$3:$E$20,3,0))),"")</f>
        <v/>
      </c>
      <c r="O1952" s="324"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4"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3"/>
      <c r="R1952" s="363"/>
      <c r="S1952" s="325"/>
      <c r="T1952" s="325"/>
      <c r="U1952" s="317" t="str" cm="1">
        <f t="array" aca="1" ref="U1952" ca="1">IFERROR(IF(AA1952&lt;&gt;"ja",_xlfn.IFNA(_xlfn.IFS(AND(O1952&lt;&gt;"",F1952&lt;&gt;"",RIGHT($N1952,6)="tarief",F1952="Vergoeding"),SUM(O1952)*FLOOR(SUM(Q1952),0.0001),AND(O1952&lt;&gt;"",F1952&lt;&gt;"",RIGHT($N1952,6)="tarief"),SUM(O1952)*FLOOR(SUM(Q1952),0.01),S1952&gt;0,IF(F1952&lt;&gt;"",FLOOR(SUM(S1952),0.01),"")),""),""),"")</f>
        <v/>
      </c>
      <c r="V1952" s="317" t="str" cm="1">
        <f t="array" aca="1" ref="V1952" ca="1">IFERROR(IF(AA1952&lt;&gt;"ja",_xlfn.IFNA(_xlfn.IFS(AND(P1952&lt;&gt;"",R1952&lt;&gt;"",RIGHT($N1952,6)="tarief",F1952="Vergoeding"),SUM(P1952)*FLOOR(SUM(R1952),0.0001),AND(P1952&lt;&gt;"",R1952&lt;&gt;"",RIGHT($N1952,6)="tarief"),P1952*FLOOR(R1952,0.01),T1952&gt;0,FLOOR(SUM(T1952),0.01)),""),""),"")</f>
        <v/>
      </c>
      <c r="W1952" s="317" t="str" cm="1">
        <f t="array" aca="1" ref="W1952" ca="1">IFERROR(_xlfn.IFS(OR(F1952="",LEFT(Methode_Keuze,4)="Geen",Methode_Keuze=""),"",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17" t="str" cm="1">
        <f t="array" aca="1" ref="X1952" ca="1">IFERROR(_xlfn.IFS(OR(F1952="",LEFT(Methode_Keuze,4)="Geen",Methode_Keuze=""),"",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26"/>
      <c r="Z1952" s="319"/>
      <c r="AA1952" s="32" t="str" cm="1">
        <f t="array" ref="AA1952">IFERROR(IF(INDEX(SubsidieTabel!$AD$1:$AG$12,MATCH($F1952,SubsidieTabel!$AD$1:$AD$12,0),IFERROR(MATCH(Methode_Keuze,SubsidieTabel!$AD$1:$AG$1,0),2))&lt;&gt;1=TRUE,"ja",""),"")</f>
        <v/>
      </c>
    </row>
    <row r="1953" spans="1:27" x14ac:dyDescent="0.25">
      <c r="A1953" s="320"/>
      <c r="B1953" s="321" t="str">
        <f>IF(A1953&lt;&gt;"",_xlfn.MAXIFS($B$1:B1952,$A$1:A1952,A1953)+1,"")</f>
        <v/>
      </c>
      <c r="C1953" s="299"/>
      <c r="D1953" s="299"/>
      <c r="E1953" s="299"/>
      <c r="F1953" s="299"/>
      <c r="G1953" s="330"/>
      <c r="H1953" s="328"/>
      <c r="I1953" s="329"/>
      <c r="J1953" s="329"/>
      <c r="K1953" s="322"/>
      <c r="L1953" s="322"/>
      <c r="M1953" s="323" t="str">
        <f>IFERROR(VLOOKUP(H1953,Lijsten!$H$1:$I$100,2,0),"")</f>
        <v/>
      </c>
      <c r="N1953" s="323" t="str">
        <f ca="1">IFERROR(IF(VLOOKUP(F1953,Kostentypen!$A$3:$E$21,3,0)=0,"",IF(OR(F1953="Arbeidskosten",F1953="Vergoeding"),VLOOKUP(G1953,Tb_KostenTypen[],2,0),VLOOKUP(F1953,Kostentypen!$A$3:$E$20,3,0))),"")</f>
        <v/>
      </c>
      <c r="O1953" s="324"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4"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3"/>
      <c r="R1953" s="363"/>
      <c r="S1953" s="325"/>
      <c r="T1953" s="325"/>
      <c r="U1953" s="317" t="str" cm="1">
        <f t="array" aca="1" ref="U1953" ca="1">IFERROR(IF(AA1953&lt;&gt;"ja",_xlfn.IFNA(_xlfn.IFS(AND(O1953&lt;&gt;"",F1953&lt;&gt;"",RIGHT($N1953,6)="tarief",F1953="Vergoeding"),SUM(O1953)*FLOOR(SUM(Q1953),0.0001),AND(O1953&lt;&gt;"",F1953&lt;&gt;"",RIGHT($N1953,6)="tarief"),SUM(O1953)*FLOOR(SUM(Q1953),0.01),S1953&gt;0,IF(F1953&lt;&gt;"",FLOOR(SUM(S1953),0.01),"")),""),""),"")</f>
        <v/>
      </c>
      <c r="V1953" s="317" t="str" cm="1">
        <f t="array" aca="1" ref="V1953" ca="1">IFERROR(IF(AA1953&lt;&gt;"ja",_xlfn.IFNA(_xlfn.IFS(AND(P1953&lt;&gt;"",R1953&lt;&gt;"",RIGHT($N1953,6)="tarief",F1953="Vergoeding"),SUM(P1953)*FLOOR(SUM(R1953),0.0001),AND(P1953&lt;&gt;"",R1953&lt;&gt;"",RIGHT($N1953,6)="tarief"),P1953*FLOOR(R1953,0.01),T1953&gt;0,FLOOR(SUM(T1953),0.01)),""),""),"")</f>
        <v/>
      </c>
      <c r="W1953" s="317" t="str" cm="1">
        <f t="array" aca="1" ref="W1953" ca="1">IFERROR(_xlfn.IFS(OR(F1953="",LEFT(Methode_Keuze,4)="Geen",Methode_Keuze=""),"",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17" t="str" cm="1">
        <f t="array" aca="1" ref="X1953" ca="1">IFERROR(_xlfn.IFS(OR(F1953="",LEFT(Methode_Keuze,4)="Geen",Methode_Keuze=""),"",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26"/>
      <c r="Z1953" s="319"/>
      <c r="AA1953" s="32" t="str" cm="1">
        <f t="array" ref="AA1953">IFERROR(IF(INDEX(SubsidieTabel!$AD$1:$AG$12,MATCH($F1953,SubsidieTabel!$AD$1:$AD$12,0),IFERROR(MATCH(Methode_Keuze,SubsidieTabel!$AD$1:$AG$1,0),2))&lt;&gt;1=TRUE,"ja",""),"")</f>
        <v/>
      </c>
    </row>
    <row r="1954" spans="1:27" x14ac:dyDescent="0.25">
      <c r="A1954" s="320"/>
      <c r="B1954" s="321" t="str">
        <f>IF(A1954&lt;&gt;"",_xlfn.MAXIFS($B$1:B1953,$A$1:A1953,A1954)+1,"")</f>
        <v/>
      </c>
      <c r="C1954" s="299"/>
      <c r="D1954" s="299"/>
      <c r="E1954" s="299"/>
      <c r="F1954" s="299"/>
      <c r="G1954" s="330"/>
      <c r="H1954" s="328"/>
      <c r="I1954" s="329"/>
      <c r="J1954" s="329"/>
      <c r="K1954" s="322"/>
      <c r="L1954" s="322"/>
      <c r="M1954" s="323" t="str">
        <f>IFERROR(VLOOKUP(H1954,Lijsten!$H$1:$I$100,2,0),"")</f>
        <v/>
      </c>
      <c r="N1954" s="323" t="str">
        <f ca="1">IFERROR(IF(VLOOKUP(F1954,Kostentypen!$A$3:$E$21,3,0)=0,"",IF(OR(F1954="Arbeidskosten",F1954="Vergoeding"),VLOOKUP(G1954,Tb_KostenTypen[],2,0),VLOOKUP(F1954,Kostentypen!$A$3:$E$20,3,0))),"")</f>
        <v/>
      </c>
      <c r="O1954" s="324"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4"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3"/>
      <c r="R1954" s="363"/>
      <c r="S1954" s="325"/>
      <c r="T1954" s="325"/>
      <c r="U1954" s="317" t="str" cm="1">
        <f t="array" aca="1" ref="U1954" ca="1">IFERROR(IF(AA1954&lt;&gt;"ja",_xlfn.IFNA(_xlfn.IFS(AND(O1954&lt;&gt;"",F1954&lt;&gt;"",RIGHT($N1954,6)="tarief",F1954="Vergoeding"),SUM(O1954)*FLOOR(SUM(Q1954),0.0001),AND(O1954&lt;&gt;"",F1954&lt;&gt;"",RIGHT($N1954,6)="tarief"),SUM(O1954)*FLOOR(SUM(Q1954),0.01),S1954&gt;0,IF(F1954&lt;&gt;"",FLOOR(SUM(S1954),0.01),"")),""),""),"")</f>
        <v/>
      </c>
      <c r="V1954" s="317" t="str" cm="1">
        <f t="array" aca="1" ref="V1954" ca="1">IFERROR(IF(AA1954&lt;&gt;"ja",_xlfn.IFNA(_xlfn.IFS(AND(P1954&lt;&gt;"",R1954&lt;&gt;"",RIGHT($N1954,6)="tarief",F1954="Vergoeding"),SUM(P1954)*FLOOR(SUM(R1954),0.0001),AND(P1954&lt;&gt;"",R1954&lt;&gt;"",RIGHT($N1954,6)="tarief"),P1954*FLOOR(R1954,0.01),T1954&gt;0,FLOOR(SUM(T1954),0.01)),""),""),"")</f>
        <v/>
      </c>
      <c r="W1954" s="317" t="str" cm="1">
        <f t="array" aca="1" ref="W1954" ca="1">IFERROR(_xlfn.IFS(OR(F1954="",LEFT(Methode_Keuze,4)="Geen",Methode_Keuze=""),"",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17" t="str" cm="1">
        <f t="array" aca="1" ref="X1954" ca="1">IFERROR(_xlfn.IFS(OR(F1954="",LEFT(Methode_Keuze,4)="Geen",Methode_Keuze=""),"",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26"/>
      <c r="Z1954" s="319"/>
      <c r="AA1954" s="32" t="str" cm="1">
        <f t="array" ref="AA1954">IFERROR(IF(INDEX(SubsidieTabel!$AD$1:$AG$12,MATCH($F1954,SubsidieTabel!$AD$1:$AD$12,0),IFERROR(MATCH(Methode_Keuze,SubsidieTabel!$AD$1:$AG$1,0),2))&lt;&gt;1=TRUE,"ja",""),"")</f>
        <v/>
      </c>
    </row>
    <row r="1955" spans="1:27" x14ac:dyDescent="0.25">
      <c r="A1955" s="320"/>
      <c r="B1955" s="321" t="str">
        <f>IF(A1955&lt;&gt;"",_xlfn.MAXIFS($B$1:B1954,$A$1:A1954,A1955)+1,"")</f>
        <v/>
      </c>
      <c r="C1955" s="299"/>
      <c r="D1955" s="299"/>
      <c r="E1955" s="299"/>
      <c r="F1955" s="299"/>
      <c r="G1955" s="330"/>
      <c r="H1955" s="328"/>
      <c r="I1955" s="329"/>
      <c r="J1955" s="329"/>
      <c r="K1955" s="322"/>
      <c r="L1955" s="322"/>
      <c r="M1955" s="323" t="str">
        <f>IFERROR(VLOOKUP(H1955,Lijsten!$H$1:$I$100,2,0),"")</f>
        <v/>
      </c>
      <c r="N1955" s="323" t="str">
        <f ca="1">IFERROR(IF(VLOOKUP(F1955,Kostentypen!$A$3:$E$21,3,0)=0,"",IF(OR(F1955="Arbeidskosten",F1955="Vergoeding"),VLOOKUP(G1955,Tb_KostenTypen[],2,0),VLOOKUP(F1955,Kostentypen!$A$3:$E$20,3,0))),"")</f>
        <v/>
      </c>
      <c r="O1955" s="324"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4"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3"/>
      <c r="R1955" s="363"/>
      <c r="S1955" s="325"/>
      <c r="T1955" s="325"/>
      <c r="U1955" s="317" t="str" cm="1">
        <f t="array" aca="1" ref="U1955" ca="1">IFERROR(IF(AA1955&lt;&gt;"ja",_xlfn.IFNA(_xlfn.IFS(AND(O1955&lt;&gt;"",F1955&lt;&gt;"",RIGHT($N1955,6)="tarief",F1955="Vergoeding"),SUM(O1955)*FLOOR(SUM(Q1955),0.0001),AND(O1955&lt;&gt;"",F1955&lt;&gt;"",RIGHT($N1955,6)="tarief"),SUM(O1955)*FLOOR(SUM(Q1955),0.01),S1955&gt;0,IF(F1955&lt;&gt;"",FLOOR(SUM(S1955),0.01),"")),""),""),"")</f>
        <v/>
      </c>
      <c r="V1955" s="317" t="str" cm="1">
        <f t="array" aca="1" ref="V1955" ca="1">IFERROR(IF(AA1955&lt;&gt;"ja",_xlfn.IFNA(_xlfn.IFS(AND(P1955&lt;&gt;"",R1955&lt;&gt;"",RIGHT($N1955,6)="tarief",F1955="Vergoeding"),SUM(P1955)*FLOOR(SUM(R1955),0.0001),AND(P1955&lt;&gt;"",R1955&lt;&gt;"",RIGHT($N1955,6)="tarief"),P1955*FLOOR(R1955,0.01),T1955&gt;0,FLOOR(SUM(T1955),0.01)),""),""),"")</f>
        <v/>
      </c>
      <c r="W1955" s="317" t="str" cm="1">
        <f t="array" aca="1" ref="W1955" ca="1">IFERROR(_xlfn.IFS(OR(F1955="",LEFT(Methode_Keuze,4)="Geen",Methode_Keuze=""),"",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17" t="str" cm="1">
        <f t="array" aca="1" ref="X1955" ca="1">IFERROR(_xlfn.IFS(OR(F1955="",LEFT(Methode_Keuze,4)="Geen",Methode_Keuze=""),"",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26"/>
      <c r="Z1955" s="319"/>
      <c r="AA1955" s="32" t="str" cm="1">
        <f t="array" ref="AA1955">IFERROR(IF(INDEX(SubsidieTabel!$AD$1:$AG$12,MATCH($F1955,SubsidieTabel!$AD$1:$AD$12,0),IFERROR(MATCH(Methode_Keuze,SubsidieTabel!$AD$1:$AG$1,0),2))&lt;&gt;1=TRUE,"ja",""),"")</f>
        <v/>
      </c>
    </row>
    <row r="1956" spans="1:27" x14ac:dyDescent="0.25">
      <c r="A1956" s="320"/>
      <c r="B1956" s="321" t="str">
        <f>IF(A1956&lt;&gt;"",_xlfn.MAXIFS($B$1:B1955,$A$1:A1955,A1956)+1,"")</f>
        <v/>
      </c>
      <c r="C1956" s="299"/>
      <c r="D1956" s="299"/>
      <c r="E1956" s="299"/>
      <c r="F1956" s="299"/>
      <c r="G1956" s="330"/>
      <c r="H1956" s="328"/>
      <c r="I1956" s="329"/>
      <c r="J1956" s="329"/>
      <c r="K1956" s="322"/>
      <c r="L1956" s="322"/>
      <c r="M1956" s="323" t="str">
        <f>IFERROR(VLOOKUP(H1956,Lijsten!$H$1:$I$100,2,0),"")</f>
        <v/>
      </c>
      <c r="N1956" s="323" t="str">
        <f ca="1">IFERROR(IF(VLOOKUP(F1956,Kostentypen!$A$3:$E$21,3,0)=0,"",IF(OR(F1956="Arbeidskosten",F1956="Vergoeding"),VLOOKUP(G1956,Tb_KostenTypen[],2,0),VLOOKUP(F1956,Kostentypen!$A$3:$E$20,3,0))),"")</f>
        <v/>
      </c>
      <c r="O1956" s="324"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4"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3"/>
      <c r="R1956" s="363"/>
      <c r="S1956" s="325"/>
      <c r="T1956" s="325"/>
      <c r="U1956" s="317" t="str" cm="1">
        <f t="array" aca="1" ref="U1956" ca="1">IFERROR(IF(AA1956&lt;&gt;"ja",_xlfn.IFNA(_xlfn.IFS(AND(O1956&lt;&gt;"",F1956&lt;&gt;"",RIGHT($N1956,6)="tarief",F1956="Vergoeding"),SUM(O1956)*FLOOR(SUM(Q1956),0.0001),AND(O1956&lt;&gt;"",F1956&lt;&gt;"",RIGHT($N1956,6)="tarief"),SUM(O1956)*FLOOR(SUM(Q1956),0.01),S1956&gt;0,IF(F1956&lt;&gt;"",FLOOR(SUM(S1956),0.01),"")),""),""),"")</f>
        <v/>
      </c>
      <c r="V1956" s="317" t="str" cm="1">
        <f t="array" aca="1" ref="V1956" ca="1">IFERROR(IF(AA1956&lt;&gt;"ja",_xlfn.IFNA(_xlfn.IFS(AND(P1956&lt;&gt;"",R1956&lt;&gt;"",RIGHT($N1956,6)="tarief",F1956="Vergoeding"),SUM(P1956)*FLOOR(SUM(R1956),0.0001),AND(P1956&lt;&gt;"",R1956&lt;&gt;"",RIGHT($N1956,6)="tarief"),P1956*FLOOR(R1956,0.01),T1956&gt;0,FLOOR(SUM(T1956),0.01)),""),""),"")</f>
        <v/>
      </c>
      <c r="W1956" s="317" t="str" cm="1">
        <f t="array" aca="1" ref="W1956" ca="1">IFERROR(_xlfn.IFS(OR(F1956="",LEFT(Methode_Keuze,4)="Geen",Methode_Keuze=""),"",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17" t="str" cm="1">
        <f t="array" aca="1" ref="X1956" ca="1">IFERROR(_xlfn.IFS(OR(F1956="",LEFT(Methode_Keuze,4)="Geen",Methode_Keuze=""),"",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26"/>
      <c r="Z1956" s="319"/>
      <c r="AA1956" s="32" t="str" cm="1">
        <f t="array" ref="AA1956">IFERROR(IF(INDEX(SubsidieTabel!$AD$1:$AG$12,MATCH($F1956,SubsidieTabel!$AD$1:$AD$12,0),IFERROR(MATCH(Methode_Keuze,SubsidieTabel!$AD$1:$AG$1,0),2))&lt;&gt;1=TRUE,"ja",""),"")</f>
        <v/>
      </c>
    </row>
    <row r="1957" spans="1:27" x14ac:dyDescent="0.25">
      <c r="A1957" s="320"/>
      <c r="B1957" s="321" t="str">
        <f>IF(A1957&lt;&gt;"",_xlfn.MAXIFS($B$1:B1956,$A$1:A1956,A1957)+1,"")</f>
        <v/>
      </c>
      <c r="C1957" s="299"/>
      <c r="D1957" s="299"/>
      <c r="E1957" s="299"/>
      <c r="F1957" s="299"/>
      <c r="G1957" s="330"/>
      <c r="H1957" s="328"/>
      <c r="I1957" s="329"/>
      <c r="J1957" s="329"/>
      <c r="K1957" s="322"/>
      <c r="L1957" s="322"/>
      <c r="M1957" s="323" t="str">
        <f>IFERROR(VLOOKUP(H1957,Lijsten!$H$1:$I$100,2,0),"")</f>
        <v/>
      </c>
      <c r="N1957" s="323" t="str">
        <f ca="1">IFERROR(IF(VLOOKUP(F1957,Kostentypen!$A$3:$E$21,3,0)=0,"",IF(OR(F1957="Arbeidskosten",F1957="Vergoeding"),VLOOKUP(G1957,Tb_KostenTypen[],2,0),VLOOKUP(F1957,Kostentypen!$A$3:$E$20,3,0))),"")</f>
        <v/>
      </c>
      <c r="O1957" s="324"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4"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3"/>
      <c r="R1957" s="363"/>
      <c r="S1957" s="325"/>
      <c r="T1957" s="325"/>
      <c r="U1957" s="317" t="str" cm="1">
        <f t="array" aca="1" ref="U1957" ca="1">IFERROR(IF(AA1957&lt;&gt;"ja",_xlfn.IFNA(_xlfn.IFS(AND(O1957&lt;&gt;"",F1957&lt;&gt;"",RIGHT($N1957,6)="tarief",F1957="Vergoeding"),SUM(O1957)*FLOOR(SUM(Q1957),0.0001),AND(O1957&lt;&gt;"",F1957&lt;&gt;"",RIGHT($N1957,6)="tarief"),SUM(O1957)*FLOOR(SUM(Q1957),0.01),S1957&gt;0,IF(F1957&lt;&gt;"",FLOOR(SUM(S1957),0.01),"")),""),""),"")</f>
        <v/>
      </c>
      <c r="V1957" s="317" t="str" cm="1">
        <f t="array" aca="1" ref="V1957" ca="1">IFERROR(IF(AA1957&lt;&gt;"ja",_xlfn.IFNA(_xlfn.IFS(AND(P1957&lt;&gt;"",R1957&lt;&gt;"",RIGHT($N1957,6)="tarief",F1957="Vergoeding"),SUM(P1957)*FLOOR(SUM(R1957),0.0001),AND(P1957&lt;&gt;"",R1957&lt;&gt;"",RIGHT($N1957,6)="tarief"),P1957*FLOOR(R1957,0.01),T1957&gt;0,FLOOR(SUM(T1957),0.01)),""),""),"")</f>
        <v/>
      </c>
      <c r="W1957" s="317" t="str" cm="1">
        <f t="array" aca="1" ref="W1957" ca="1">IFERROR(_xlfn.IFS(OR(F1957="",LEFT(Methode_Keuze,4)="Geen",Methode_Keuze=""),"",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17" t="str" cm="1">
        <f t="array" aca="1" ref="X1957" ca="1">IFERROR(_xlfn.IFS(OR(F1957="",LEFT(Methode_Keuze,4)="Geen",Methode_Keuze=""),"",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26"/>
      <c r="Z1957" s="319"/>
      <c r="AA1957" s="32" t="str" cm="1">
        <f t="array" ref="AA1957">IFERROR(IF(INDEX(SubsidieTabel!$AD$1:$AG$12,MATCH($F1957,SubsidieTabel!$AD$1:$AD$12,0),IFERROR(MATCH(Methode_Keuze,SubsidieTabel!$AD$1:$AG$1,0),2))&lt;&gt;1=TRUE,"ja",""),"")</f>
        <v/>
      </c>
    </row>
    <row r="1958" spans="1:27" x14ac:dyDescent="0.25">
      <c r="A1958" s="320"/>
      <c r="B1958" s="321" t="str">
        <f>IF(A1958&lt;&gt;"",_xlfn.MAXIFS($B$1:B1957,$A$1:A1957,A1958)+1,"")</f>
        <v/>
      </c>
      <c r="C1958" s="299"/>
      <c r="D1958" s="299"/>
      <c r="E1958" s="299"/>
      <c r="F1958" s="299"/>
      <c r="G1958" s="330"/>
      <c r="H1958" s="328"/>
      <c r="I1958" s="329"/>
      <c r="J1958" s="329"/>
      <c r="K1958" s="322"/>
      <c r="L1958" s="322"/>
      <c r="M1958" s="323" t="str">
        <f>IFERROR(VLOOKUP(H1958,Lijsten!$H$1:$I$100,2,0),"")</f>
        <v/>
      </c>
      <c r="N1958" s="323" t="str">
        <f ca="1">IFERROR(IF(VLOOKUP(F1958,Kostentypen!$A$3:$E$21,3,0)=0,"",IF(OR(F1958="Arbeidskosten",F1958="Vergoeding"),VLOOKUP(G1958,Tb_KostenTypen[],2,0),VLOOKUP(F1958,Kostentypen!$A$3:$E$20,3,0))),"")</f>
        <v/>
      </c>
      <c r="O1958" s="324"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4"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3"/>
      <c r="R1958" s="363"/>
      <c r="S1958" s="325"/>
      <c r="T1958" s="325"/>
      <c r="U1958" s="317" t="str" cm="1">
        <f t="array" aca="1" ref="U1958" ca="1">IFERROR(IF(AA1958&lt;&gt;"ja",_xlfn.IFNA(_xlfn.IFS(AND(O1958&lt;&gt;"",F1958&lt;&gt;"",RIGHT($N1958,6)="tarief",F1958="Vergoeding"),SUM(O1958)*FLOOR(SUM(Q1958),0.0001),AND(O1958&lt;&gt;"",F1958&lt;&gt;"",RIGHT($N1958,6)="tarief"),SUM(O1958)*FLOOR(SUM(Q1958),0.01),S1958&gt;0,IF(F1958&lt;&gt;"",FLOOR(SUM(S1958),0.01),"")),""),""),"")</f>
        <v/>
      </c>
      <c r="V1958" s="317" t="str" cm="1">
        <f t="array" aca="1" ref="V1958" ca="1">IFERROR(IF(AA1958&lt;&gt;"ja",_xlfn.IFNA(_xlfn.IFS(AND(P1958&lt;&gt;"",R1958&lt;&gt;"",RIGHT($N1958,6)="tarief",F1958="Vergoeding"),SUM(P1958)*FLOOR(SUM(R1958),0.0001),AND(P1958&lt;&gt;"",R1958&lt;&gt;"",RIGHT($N1958,6)="tarief"),P1958*FLOOR(R1958,0.01),T1958&gt;0,FLOOR(SUM(T1958),0.01)),""),""),"")</f>
        <v/>
      </c>
      <c r="W1958" s="317" t="str" cm="1">
        <f t="array" aca="1" ref="W1958" ca="1">IFERROR(_xlfn.IFS(OR(F1958="",LEFT(Methode_Keuze,4)="Geen",Methode_Keuze=""),"",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17" t="str" cm="1">
        <f t="array" aca="1" ref="X1958" ca="1">IFERROR(_xlfn.IFS(OR(F1958="",LEFT(Methode_Keuze,4)="Geen",Methode_Keuze=""),"",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26"/>
      <c r="Z1958" s="319"/>
      <c r="AA1958" s="32" t="str" cm="1">
        <f t="array" ref="AA1958">IFERROR(IF(INDEX(SubsidieTabel!$AD$1:$AG$12,MATCH($F1958,SubsidieTabel!$AD$1:$AD$12,0),IFERROR(MATCH(Methode_Keuze,SubsidieTabel!$AD$1:$AG$1,0),2))&lt;&gt;1=TRUE,"ja",""),"")</f>
        <v/>
      </c>
    </row>
    <row r="1959" spans="1:27" x14ac:dyDescent="0.25">
      <c r="A1959" s="320"/>
      <c r="B1959" s="321" t="str">
        <f>IF(A1959&lt;&gt;"",_xlfn.MAXIFS($B$1:B1958,$A$1:A1958,A1959)+1,"")</f>
        <v/>
      </c>
      <c r="C1959" s="299"/>
      <c r="D1959" s="299"/>
      <c r="E1959" s="299"/>
      <c r="F1959" s="299"/>
      <c r="G1959" s="330"/>
      <c r="H1959" s="328"/>
      <c r="I1959" s="329"/>
      <c r="J1959" s="329"/>
      <c r="K1959" s="322"/>
      <c r="L1959" s="322"/>
      <c r="M1959" s="323" t="str">
        <f>IFERROR(VLOOKUP(H1959,Lijsten!$H$1:$I$100,2,0),"")</f>
        <v/>
      </c>
      <c r="N1959" s="323" t="str">
        <f ca="1">IFERROR(IF(VLOOKUP(F1959,Kostentypen!$A$3:$E$21,3,0)=0,"",IF(OR(F1959="Arbeidskosten",F1959="Vergoeding"),VLOOKUP(G1959,Tb_KostenTypen[],2,0),VLOOKUP(F1959,Kostentypen!$A$3:$E$20,3,0))),"")</f>
        <v/>
      </c>
      <c r="O1959" s="324"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4"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3"/>
      <c r="R1959" s="363"/>
      <c r="S1959" s="325"/>
      <c r="T1959" s="325"/>
      <c r="U1959" s="317" t="str" cm="1">
        <f t="array" aca="1" ref="U1959" ca="1">IFERROR(IF(AA1959&lt;&gt;"ja",_xlfn.IFNA(_xlfn.IFS(AND(O1959&lt;&gt;"",F1959&lt;&gt;"",RIGHT($N1959,6)="tarief",F1959="Vergoeding"),SUM(O1959)*FLOOR(SUM(Q1959),0.0001),AND(O1959&lt;&gt;"",F1959&lt;&gt;"",RIGHT($N1959,6)="tarief"),SUM(O1959)*FLOOR(SUM(Q1959),0.01),S1959&gt;0,IF(F1959&lt;&gt;"",FLOOR(SUM(S1959),0.01),"")),""),""),"")</f>
        <v/>
      </c>
      <c r="V1959" s="317" t="str" cm="1">
        <f t="array" aca="1" ref="V1959" ca="1">IFERROR(IF(AA1959&lt;&gt;"ja",_xlfn.IFNA(_xlfn.IFS(AND(P1959&lt;&gt;"",R1959&lt;&gt;"",RIGHT($N1959,6)="tarief",F1959="Vergoeding"),SUM(P1959)*FLOOR(SUM(R1959),0.0001),AND(P1959&lt;&gt;"",R1959&lt;&gt;"",RIGHT($N1959,6)="tarief"),P1959*FLOOR(R1959,0.01),T1959&gt;0,FLOOR(SUM(T1959),0.01)),""),""),"")</f>
        <v/>
      </c>
      <c r="W1959" s="317" t="str" cm="1">
        <f t="array" aca="1" ref="W1959" ca="1">IFERROR(_xlfn.IFS(OR(F1959="",LEFT(Methode_Keuze,4)="Geen",Methode_Keuze=""),"",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17" t="str" cm="1">
        <f t="array" aca="1" ref="X1959" ca="1">IFERROR(_xlfn.IFS(OR(F1959="",LEFT(Methode_Keuze,4)="Geen",Methode_Keuze=""),"",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26"/>
      <c r="Z1959" s="319"/>
      <c r="AA1959" s="32" t="str" cm="1">
        <f t="array" ref="AA1959">IFERROR(IF(INDEX(SubsidieTabel!$AD$1:$AG$12,MATCH($F1959,SubsidieTabel!$AD$1:$AD$12,0),IFERROR(MATCH(Methode_Keuze,SubsidieTabel!$AD$1:$AG$1,0),2))&lt;&gt;1=TRUE,"ja",""),"")</f>
        <v/>
      </c>
    </row>
    <row r="1960" spans="1:27" x14ac:dyDescent="0.25">
      <c r="A1960" s="320"/>
      <c r="B1960" s="321" t="str">
        <f>IF(A1960&lt;&gt;"",_xlfn.MAXIFS($B$1:B1959,$A$1:A1959,A1960)+1,"")</f>
        <v/>
      </c>
      <c r="C1960" s="299"/>
      <c r="D1960" s="299"/>
      <c r="E1960" s="299"/>
      <c r="F1960" s="299"/>
      <c r="G1960" s="330"/>
      <c r="H1960" s="328"/>
      <c r="I1960" s="329"/>
      <c r="J1960" s="329"/>
      <c r="K1960" s="322"/>
      <c r="L1960" s="322"/>
      <c r="M1960" s="323" t="str">
        <f>IFERROR(VLOOKUP(H1960,Lijsten!$H$1:$I$100,2,0),"")</f>
        <v/>
      </c>
      <c r="N1960" s="323" t="str">
        <f ca="1">IFERROR(IF(VLOOKUP(F1960,Kostentypen!$A$3:$E$21,3,0)=0,"",IF(OR(F1960="Arbeidskosten",F1960="Vergoeding"),VLOOKUP(G1960,Tb_KostenTypen[],2,0),VLOOKUP(F1960,Kostentypen!$A$3:$E$20,3,0))),"")</f>
        <v/>
      </c>
      <c r="O1960" s="324"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4"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3"/>
      <c r="R1960" s="363"/>
      <c r="S1960" s="325"/>
      <c r="T1960" s="325"/>
      <c r="U1960" s="317" t="str" cm="1">
        <f t="array" aca="1" ref="U1960" ca="1">IFERROR(IF(AA1960&lt;&gt;"ja",_xlfn.IFNA(_xlfn.IFS(AND(O1960&lt;&gt;"",F1960&lt;&gt;"",RIGHT($N1960,6)="tarief",F1960="Vergoeding"),SUM(O1960)*FLOOR(SUM(Q1960),0.0001),AND(O1960&lt;&gt;"",F1960&lt;&gt;"",RIGHT($N1960,6)="tarief"),SUM(O1960)*FLOOR(SUM(Q1960),0.01),S1960&gt;0,IF(F1960&lt;&gt;"",FLOOR(SUM(S1960),0.01),"")),""),""),"")</f>
        <v/>
      </c>
      <c r="V1960" s="317" t="str" cm="1">
        <f t="array" aca="1" ref="V1960" ca="1">IFERROR(IF(AA1960&lt;&gt;"ja",_xlfn.IFNA(_xlfn.IFS(AND(P1960&lt;&gt;"",R1960&lt;&gt;"",RIGHT($N1960,6)="tarief",F1960="Vergoeding"),SUM(P1960)*FLOOR(SUM(R1960),0.0001),AND(P1960&lt;&gt;"",R1960&lt;&gt;"",RIGHT($N1960,6)="tarief"),P1960*FLOOR(R1960,0.01),T1960&gt;0,FLOOR(SUM(T1960),0.01)),""),""),"")</f>
        <v/>
      </c>
      <c r="W1960" s="317" t="str" cm="1">
        <f t="array" aca="1" ref="W1960" ca="1">IFERROR(_xlfn.IFS(OR(F1960="",LEFT(Methode_Keuze,4)="Geen",Methode_Keuze=""),"",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17" t="str" cm="1">
        <f t="array" aca="1" ref="X1960" ca="1">IFERROR(_xlfn.IFS(OR(F1960="",LEFT(Methode_Keuze,4)="Geen",Methode_Keuze=""),"",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26"/>
      <c r="Z1960" s="319"/>
      <c r="AA1960" s="32" t="str" cm="1">
        <f t="array" ref="AA1960">IFERROR(IF(INDEX(SubsidieTabel!$AD$1:$AG$12,MATCH($F1960,SubsidieTabel!$AD$1:$AD$12,0),IFERROR(MATCH(Methode_Keuze,SubsidieTabel!$AD$1:$AG$1,0),2))&lt;&gt;1=TRUE,"ja",""),"")</f>
        <v/>
      </c>
    </row>
    <row r="1961" spans="1:27" x14ac:dyDescent="0.25">
      <c r="A1961" s="320"/>
      <c r="B1961" s="321" t="str">
        <f>IF(A1961&lt;&gt;"",_xlfn.MAXIFS($B$1:B1960,$A$1:A1960,A1961)+1,"")</f>
        <v/>
      </c>
      <c r="C1961" s="299"/>
      <c r="D1961" s="299"/>
      <c r="E1961" s="299"/>
      <c r="F1961" s="299"/>
      <c r="G1961" s="330"/>
      <c r="H1961" s="328"/>
      <c r="I1961" s="329"/>
      <c r="J1961" s="329"/>
      <c r="K1961" s="322"/>
      <c r="L1961" s="322"/>
      <c r="M1961" s="323" t="str">
        <f>IFERROR(VLOOKUP(H1961,Lijsten!$H$1:$I$100,2,0),"")</f>
        <v/>
      </c>
      <c r="N1961" s="323" t="str">
        <f ca="1">IFERROR(IF(VLOOKUP(F1961,Kostentypen!$A$3:$E$21,3,0)=0,"",IF(OR(F1961="Arbeidskosten",F1961="Vergoeding"),VLOOKUP(G1961,Tb_KostenTypen[],2,0),VLOOKUP(F1961,Kostentypen!$A$3:$E$20,3,0))),"")</f>
        <v/>
      </c>
      <c r="O1961" s="324"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4"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3"/>
      <c r="R1961" s="363"/>
      <c r="S1961" s="325"/>
      <c r="T1961" s="325"/>
      <c r="U1961" s="317" t="str" cm="1">
        <f t="array" aca="1" ref="U1961" ca="1">IFERROR(IF(AA1961&lt;&gt;"ja",_xlfn.IFNA(_xlfn.IFS(AND(O1961&lt;&gt;"",F1961&lt;&gt;"",RIGHT($N1961,6)="tarief",F1961="Vergoeding"),SUM(O1961)*FLOOR(SUM(Q1961),0.0001),AND(O1961&lt;&gt;"",F1961&lt;&gt;"",RIGHT($N1961,6)="tarief"),SUM(O1961)*FLOOR(SUM(Q1961),0.01),S1961&gt;0,IF(F1961&lt;&gt;"",FLOOR(SUM(S1961),0.01),"")),""),""),"")</f>
        <v/>
      </c>
      <c r="V1961" s="317" t="str" cm="1">
        <f t="array" aca="1" ref="V1961" ca="1">IFERROR(IF(AA1961&lt;&gt;"ja",_xlfn.IFNA(_xlfn.IFS(AND(P1961&lt;&gt;"",R1961&lt;&gt;"",RIGHT($N1961,6)="tarief",F1961="Vergoeding"),SUM(P1961)*FLOOR(SUM(R1961),0.0001),AND(P1961&lt;&gt;"",R1961&lt;&gt;"",RIGHT($N1961,6)="tarief"),P1961*FLOOR(R1961,0.01),T1961&gt;0,FLOOR(SUM(T1961),0.01)),""),""),"")</f>
        <v/>
      </c>
      <c r="W1961" s="317" t="str" cm="1">
        <f t="array" aca="1" ref="W1961" ca="1">IFERROR(_xlfn.IFS(OR(F1961="",LEFT(Methode_Keuze,4)="Geen",Methode_Keuze=""),"",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17" t="str" cm="1">
        <f t="array" aca="1" ref="X1961" ca="1">IFERROR(_xlfn.IFS(OR(F1961="",LEFT(Methode_Keuze,4)="Geen",Methode_Keuze=""),"",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26"/>
      <c r="Z1961" s="319"/>
      <c r="AA1961" s="32" t="str" cm="1">
        <f t="array" ref="AA1961">IFERROR(IF(INDEX(SubsidieTabel!$AD$1:$AG$12,MATCH($F1961,SubsidieTabel!$AD$1:$AD$12,0),IFERROR(MATCH(Methode_Keuze,SubsidieTabel!$AD$1:$AG$1,0),2))&lt;&gt;1=TRUE,"ja",""),"")</f>
        <v/>
      </c>
    </row>
    <row r="1962" spans="1:27" x14ac:dyDescent="0.25">
      <c r="A1962" s="320"/>
      <c r="B1962" s="321" t="str">
        <f>IF(A1962&lt;&gt;"",_xlfn.MAXIFS($B$1:B1961,$A$1:A1961,A1962)+1,"")</f>
        <v/>
      </c>
      <c r="C1962" s="299"/>
      <c r="D1962" s="299"/>
      <c r="E1962" s="299"/>
      <c r="F1962" s="299"/>
      <c r="G1962" s="330"/>
      <c r="H1962" s="328"/>
      <c r="I1962" s="329"/>
      <c r="J1962" s="329"/>
      <c r="K1962" s="322"/>
      <c r="L1962" s="322"/>
      <c r="M1962" s="323" t="str">
        <f>IFERROR(VLOOKUP(H1962,Lijsten!$H$1:$I$100,2,0),"")</f>
        <v/>
      </c>
      <c r="N1962" s="323" t="str">
        <f ca="1">IFERROR(IF(VLOOKUP(F1962,Kostentypen!$A$3:$E$21,3,0)=0,"",IF(OR(F1962="Arbeidskosten",F1962="Vergoeding"),VLOOKUP(G1962,Tb_KostenTypen[],2,0),VLOOKUP(F1962,Kostentypen!$A$3:$E$20,3,0))),"")</f>
        <v/>
      </c>
      <c r="O1962" s="324"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4"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3"/>
      <c r="R1962" s="363"/>
      <c r="S1962" s="325"/>
      <c r="T1962" s="325"/>
      <c r="U1962" s="317" t="str" cm="1">
        <f t="array" aca="1" ref="U1962" ca="1">IFERROR(IF(AA1962&lt;&gt;"ja",_xlfn.IFNA(_xlfn.IFS(AND(O1962&lt;&gt;"",F1962&lt;&gt;"",RIGHT($N1962,6)="tarief",F1962="Vergoeding"),SUM(O1962)*FLOOR(SUM(Q1962),0.0001),AND(O1962&lt;&gt;"",F1962&lt;&gt;"",RIGHT($N1962,6)="tarief"),SUM(O1962)*FLOOR(SUM(Q1962),0.01),S1962&gt;0,IF(F1962&lt;&gt;"",FLOOR(SUM(S1962),0.01),"")),""),""),"")</f>
        <v/>
      </c>
      <c r="V1962" s="317" t="str" cm="1">
        <f t="array" aca="1" ref="V1962" ca="1">IFERROR(IF(AA1962&lt;&gt;"ja",_xlfn.IFNA(_xlfn.IFS(AND(P1962&lt;&gt;"",R1962&lt;&gt;"",RIGHT($N1962,6)="tarief",F1962="Vergoeding"),SUM(P1962)*FLOOR(SUM(R1962),0.0001),AND(P1962&lt;&gt;"",R1962&lt;&gt;"",RIGHT($N1962,6)="tarief"),P1962*FLOOR(R1962,0.01),T1962&gt;0,FLOOR(SUM(T1962),0.01)),""),""),"")</f>
        <v/>
      </c>
      <c r="W1962" s="317" t="str" cm="1">
        <f t="array" aca="1" ref="W1962" ca="1">IFERROR(_xlfn.IFS(OR(F1962="",LEFT(Methode_Keuze,4)="Geen",Methode_Keuze=""),"",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17" t="str" cm="1">
        <f t="array" aca="1" ref="X1962" ca="1">IFERROR(_xlfn.IFS(OR(F1962="",LEFT(Methode_Keuze,4)="Geen",Methode_Keuze=""),"",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26"/>
      <c r="Z1962" s="319"/>
      <c r="AA1962" s="32" t="str" cm="1">
        <f t="array" ref="AA1962">IFERROR(IF(INDEX(SubsidieTabel!$AD$1:$AG$12,MATCH($F1962,SubsidieTabel!$AD$1:$AD$12,0),IFERROR(MATCH(Methode_Keuze,SubsidieTabel!$AD$1:$AG$1,0),2))&lt;&gt;1=TRUE,"ja",""),"")</f>
        <v/>
      </c>
    </row>
    <row r="1963" spans="1:27" x14ac:dyDescent="0.25">
      <c r="A1963" s="320"/>
      <c r="B1963" s="321" t="str">
        <f>IF(A1963&lt;&gt;"",_xlfn.MAXIFS($B$1:B1962,$A$1:A1962,A1963)+1,"")</f>
        <v/>
      </c>
      <c r="C1963" s="299"/>
      <c r="D1963" s="299"/>
      <c r="E1963" s="299"/>
      <c r="F1963" s="299"/>
      <c r="G1963" s="330"/>
      <c r="H1963" s="328"/>
      <c r="I1963" s="329"/>
      <c r="J1963" s="329"/>
      <c r="K1963" s="322"/>
      <c r="L1963" s="322"/>
      <c r="M1963" s="323" t="str">
        <f>IFERROR(VLOOKUP(H1963,Lijsten!$H$1:$I$100,2,0),"")</f>
        <v/>
      </c>
      <c r="N1963" s="323" t="str">
        <f ca="1">IFERROR(IF(VLOOKUP(F1963,Kostentypen!$A$3:$E$21,3,0)=0,"",IF(OR(F1963="Arbeidskosten",F1963="Vergoeding"),VLOOKUP(G1963,Tb_KostenTypen[],2,0),VLOOKUP(F1963,Kostentypen!$A$3:$E$20,3,0))),"")</f>
        <v/>
      </c>
      <c r="O1963" s="324"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4"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3"/>
      <c r="R1963" s="363"/>
      <c r="S1963" s="325"/>
      <c r="T1963" s="325"/>
      <c r="U1963" s="317" t="str" cm="1">
        <f t="array" aca="1" ref="U1963" ca="1">IFERROR(IF(AA1963&lt;&gt;"ja",_xlfn.IFNA(_xlfn.IFS(AND(O1963&lt;&gt;"",F1963&lt;&gt;"",RIGHT($N1963,6)="tarief",F1963="Vergoeding"),SUM(O1963)*FLOOR(SUM(Q1963),0.0001),AND(O1963&lt;&gt;"",F1963&lt;&gt;"",RIGHT($N1963,6)="tarief"),SUM(O1963)*FLOOR(SUM(Q1963),0.01),S1963&gt;0,IF(F1963&lt;&gt;"",FLOOR(SUM(S1963),0.01),"")),""),""),"")</f>
        <v/>
      </c>
      <c r="V1963" s="317" t="str" cm="1">
        <f t="array" aca="1" ref="V1963" ca="1">IFERROR(IF(AA1963&lt;&gt;"ja",_xlfn.IFNA(_xlfn.IFS(AND(P1963&lt;&gt;"",R1963&lt;&gt;"",RIGHT($N1963,6)="tarief",F1963="Vergoeding"),SUM(P1963)*FLOOR(SUM(R1963),0.0001),AND(P1963&lt;&gt;"",R1963&lt;&gt;"",RIGHT($N1963,6)="tarief"),P1963*FLOOR(R1963,0.01),T1963&gt;0,FLOOR(SUM(T1963),0.01)),""),""),"")</f>
        <v/>
      </c>
      <c r="W1963" s="317" t="str" cm="1">
        <f t="array" aca="1" ref="W1963" ca="1">IFERROR(_xlfn.IFS(OR(F1963="",LEFT(Methode_Keuze,4)="Geen",Methode_Keuze=""),"",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17" t="str" cm="1">
        <f t="array" aca="1" ref="X1963" ca="1">IFERROR(_xlfn.IFS(OR(F1963="",LEFT(Methode_Keuze,4)="Geen",Methode_Keuze=""),"",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26"/>
      <c r="Z1963" s="319"/>
      <c r="AA1963" s="32" t="str" cm="1">
        <f t="array" ref="AA1963">IFERROR(IF(INDEX(SubsidieTabel!$AD$1:$AG$12,MATCH($F1963,SubsidieTabel!$AD$1:$AD$12,0),IFERROR(MATCH(Methode_Keuze,SubsidieTabel!$AD$1:$AG$1,0),2))&lt;&gt;1=TRUE,"ja",""),"")</f>
        <v/>
      </c>
    </row>
    <row r="1964" spans="1:27" x14ac:dyDescent="0.25">
      <c r="A1964" s="320"/>
      <c r="B1964" s="321" t="str">
        <f>IF(A1964&lt;&gt;"",_xlfn.MAXIFS($B$1:B1963,$A$1:A1963,A1964)+1,"")</f>
        <v/>
      </c>
      <c r="C1964" s="299"/>
      <c r="D1964" s="299"/>
      <c r="E1964" s="299"/>
      <c r="F1964" s="299"/>
      <c r="G1964" s="330"/>
      <c r="H1964" s="328"/>
      <c r="I1964" s="329"/>
      <c r="J1964" s="329"/>
      <c r="K1964" s="322"/>
      <c r="L1964" s="322"/>
      <c r="M1964" s="323" t="str">
        <f>IFERROR(VLOOKUP(H1964,Lijsten!$H$1:$I$100,2,0),"")</f>
        <v/>
      </c>
      <c r="N1964" s="323" t="str">
        <f ca="1">IFERROR(IF(VLOOKUP(F1964,Kostentypen!$A$3:$E$21,3,0)=0,"",IF(OR(F1964="Arbeidskosten",F1964="Vergoeding"),VLOOKUP(G1964,Tb_KostenTypen[],2,0),VLOOKUP(F1964,Kostentypen!$A$3:$E$20,3,0))),"")</f>
        <v/>
      </c>
      <c r="O1964" s="324"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4"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3"/>
      <c r="R1964" s="363"/>
      <c r="S1964" s="325"/>
      <c r="T1964" s="325"/>
      <c r="U1964" s="317" t="str" cm="1">
        <f t="array" aca="1" ref="U1964" ca="1">IFERROR(IF(AA1964&lt;&gt;"ja",_xlfn.IFNA(_xlfn.IFS(AND(O1964&lt;&gt;"",F1964&lt;&gt;"",RIGHT($N1964,6)="tarief",F1964="Vergoeding"),SUM(O1964)*FLOOR(SUM(Q1964),0.0001),AND(O1964&lt;&gt;"",F1964&lt;&gt;"",RIGHT($N1964,6)="tarief"),SUM(O1964)*FLOOR(SUM(Q1964),0.01),S1964&gt;0,IF(F1964&lt;&gt;"",FLOOR(SUM(S1964),0.01),"")),""),""),"")</f>
        <v/>
      </c>
      <c r="V1964" s="317" t="str" cm="1">
        <f t="array" aca="1" ref="V1964" ca="1">IFERROR(IF(AA1964&lt;&gt;"ja",_xlfn.IFNA(_xlfn.IFS(AND(P1964&lt;&gt;"",R1964&lt;&gt;"",RIGHT($N1964,6)="tarief",F1964="Vergoeding"),SUM(P1964)*FLOOR(SUM(R1964),0.0001),AND(P1964&lt;&gt;"",R1964&lt;&gt;"",RIGHT($N1964,6)="tarief"),P1964*FLOOR(R1964,0.01),T1964&gt;0,FLOOR(SUM(T1964),0.01)),""),""),"")</f>
        <v/>
      </c>
      <c r="W1964" s="317" t="str" cm="1">
        <f t="array" aca="1" ref="W1964" ca="1">IFERROR(_xlfn.IFS(OR(F1964="",LEFT(Methode_Keuze,4)="Geen",Methode_Keuze=""),"",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17" t="str" cm="1">
        <f t="array" aca="1" ref="X1964" ca="1">IFERROR(_xlfn.IFS(OR(F1964="",LEFT(Methode_Keuze,4)="Geen",Methode_Keuze=""),"",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26"/>
      <c r="Z1964" s="319"/>
      <c r="AA1964" s="32" t="str" cm="1">
        <f t="array" ref="AA1964">IFERROR(IF(INDEX(SubsidieTabel!$AD$1:$AG$12,MATCH($F1964,SubsidieTabel!$AD$1:$AD$12,0),IFERROR(MATCH(Methode_Keuze,SubsidieTabel!$AD$1:$AG$1,0),2))&lt;&gt;1=TRUE,"ja",""),"")</f>
        <v/>
      </c>
    </row>
    <row r="1965" spans="1:27" x14ac:dyDescent="0.25">
      <c r="A1965" s="320"/>
      <c r="B1965" s="321" t="str">
        <f>IF(A1965&lt;&gt;"",_xlfn.MAXIFS($B$1:B1964,$A$1:A1964,A1965)+1,"")</f>
        <v/>
      </c>
      <c r="C1965" s="299"/>
      <c r="D1965" s="299"/>
      <c r="E1965" s="299"/>
      <c r="F1965" s="299"/>
      <c r="G1965" s="330"/>
      <c r="H1965" s="328"/>
      <c r="I1965" s="329"/>
      <c r="J1965" s="329"/>
      <c r="K1965" s="322"/>
      <c r="L1965" s="322"/>
      <c r="M1965" s="323" t="str">
        <f>IFERROR(VLOOKUP(H1965,Lijsten!$H$1:$I$100,2,0),"")</f>
        <v/>
      </c>
      <c r="N1965" s="323" t="str">
        <f ca="1">IFERROR(IF(VLOOKUP(F1965,Kostentypen!$A$3:$E$21,3,0)=0,"",IF(OR(F1965="Arbeidskosten",F1965="Vergoeding"),VLOOKUP(G1965,Tb_KostenTypen[],2,0),VLOOKUP(F1965,Kostentypen!$A$3:$E$20,3,0))),"")</f>
        <v/>
      </c>
      <c r="O1965" s="324"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4"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3"/>
      <c r="R1965" s="363"/>
      <c r="S1965" s="325"/>
      <c r="T1965" s="325"/>
      <c r="U1965" s="317" t="str" cm="1">
        <f t="array" aca="1" ref="U1965" ca="1">IFERROR(IF(AA1965&lt;&gt;"ja",_xlfn.IFNA(_xlfn.IFS(AND(O1965&lt;&gt;"",F1965&lt;&gt;"",RIGHT($N1965,6)="tarief",F1965="Vergoeding"),SUM(O1965)*FLOOR(SUM(Q1965),0.0001),AND(O1965&lt;&gt;"",F1965&lt;&gt;"",RIGHT($N1965,6)="tarief"),SUM(O1965)*FLOOR(SUM(Q1965),0.01),S1965&gt;0,IF(F1965&lt;&gt;"",FLOOR(SUM(S1965),0.01),"")),""),""),"")</f>
        <v/>
      </c>
      <c r="V1965" s="317" t="str" cm="1">
        <f t="array" aca="1" ref="V1965" ca="1">IFERROR(IF(AA1965&lt;&gt;"ja",_xlfn.IFNA(_xlfn.IFS(AND(P1965&lt;&gt;"",R1965&lt;&gt;"",RIGHT($N1965,6)="tarief",F1965="Vergoeding"),SUM(P1965)*FLOOR(SUM(R1965),0.0001),AND(P1965&lt;&gt;"",R1965&lt;&gt;"",RIGHT($N1965,6)="tarief"),P1965*FLOOR(R1965,0.01),T1965&gt;0,FLOOR(SUM(T1965),0.01)),""),""),"")</f>
        <v/>
      </c>
      <c r="W1965" s="317" t="str" cm="1">
        <f t="array" aca="1" ref="W1965" ca="1">IFERROR(_xlfn.IFS(OR(F1965="",LEFT(Methode_Keuze,4)="Geen",Methode_Keuze=""),"",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17" t="str" cm="1">
        <f t="array" aca="1" ref="X1965" ca="1">IFERROR(_xlfn.IFS(OR(F1965="",LEFT(Methode_Keuze,4)="Geen",Methode_Keuze=""),"",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26"/>
      <c r="Z1965" s="319"/>
      <c r="AA1965" s="32" t="str" cm="1">
        <f t="array" ref="AA1965">IFERROR(IF(INDEX(SubsidieTabel!$AD$1:$AG$12,MATCH($F1965,SubsidieTabel!$AD$1:$AD$12,0),IFERROR(MATCH(Methode_Keuze,SubsidieTabel!$AD$1:$AG$1,0),2))&lt;&gt;1=TRUE,"ja",""),"")</f>
        <v/>
      </c>
    </row>
    <row r="1966" spans="1:27" x14ac:dyDescent="0.25">
      <c r="A1966" s="320"/>
      <c r="B1966" s="321" t="str">
        <f>IF(A1966&lt;&gt;"",_xlfn.MAXIFS($B$1:B1965,$A$1:A1965,A1966)+1,"")</f>
        <v/>
      </c>
      <c r="C1966" s="299"/>
      <c r="D1966" s="299"/>
      <c r="E1966" s="299"/>
      <c r="F1966" s="299"/>
      <c r="G1966" s="330"/>
      <c r="H1966" s="328"/>
      <c r="I1966" s="329"/>
      <c r="J1966" s="329"/>
      <c r="K1966" s="322"/>
      <c r="L1966" s="322"/>
      <c r="M1966" s="323" t="str">
        <f>IFERROR(VLOOKUP(H1966,Lijsten!$H$1:$I$100,2,0),"")</f>
        <v/>
      </c>
      <c r="N1966" s="323" t="str">
        <f ca="1">IFERROR(IF(VLOOKUP(F1966,Kostentypen!$A$3:$E$21,3,0)=0,"",IF(OR(F1966="Arbeidskosten",F1966="Vergoeding"),VLOOKUP(G1966,Tb_KostenTypen[],2,0),VLOOKUP(F1966,Kostentypen!$A$3:$E$20,3,0))),"")</f>
        <v/>
      </c>
      <c r="O1966" s="324"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4"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3"/>
      <c r="R1966" s="363"/>
      <c r="S1966" s="325"/>
      <c r="T1966" s="325"/>
      <c r="U1966" s="317" t="str" cm="1">
        <f t="array" aca="1" ref="U1966" ca="1">IFERROR(IF(AA1966&lt;&gt;"ja",_xlfn.IFNA(_xlfn.IFS(AND(O1966&lt;&gt;"",F1966&lt;&gt;"",RIGHT($N1966,6)="tarief",F1966="Vergoeding"),SUM(O1966)*FLOOR(SUM(Q1966),0.0001),AND(O1966&lt;&gt;"",F1966&lt;&gt;"",RIGHT($N1966,6)="tarief"),SUM(O1966)*FLOOR(SUM(Q1966),0.01),S1966&gt;0,IF(F1966&lt;&gt;"",FLOOR(SUM(S1966),0.01),"")),""),""),"")</f>
        <v/>
      </c>
      <c r="V1966" s="317" t="str" cm="1">
        <f t="array" aca="1" ref="V1966" ca="1">IFERROR(IF(AA1966&lt;&gt;"ja",_xlfn.IFNA(_xlfn.IFS(AND(P1966&lt;&gt;"",R1966&lt;&gt;"",RIGHT($N1966,6)="tarief",F1966="Vergoeding"),SUM(P1966)*FLOOR(SUM(R1966),0.0001),AND(P1966&lt;&gt;"",R1966&lt;&gt;"",RIGHT($N1966,6)="tarief"),P1966*FLOOR(R1966,0.01),T1966&gt;0,FLOOR(SUM(T1966),0.01)),""),""),"")</f>
        <v/>
      </c>
      <c r="W1966" s="317" t="str" cm="1">
        <f t="array" aca="1" ref="W1966" ca="1">IFERROR(_xlfn.IFS(OR(F1966="",LEFT(Methode_Keuze,4)="Geen",Methode_Keuze=""),"",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17" t="str" cm="1">
        <f t="array" aca="1" ref="X1966" ca="1">IFERROR(_xlfn.IFS(OR(F1966="",LEFT(Methode_Keuze,4)="Geen",Methode_Keuze=""),"",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26"/>
      <c r="Z1966" s="319"/>
      <c r="AA1966" s="32" t="str" cm="1">
        <f t="array" ref="AA1966">IFERROR(IF(INDEX(SubsidieTabel!$AD$1:$AG$12,MATCH($F1966,SubsidieTabel!$AD$1:$AD$12,0),IFERROR(MATCH(Methode_Keuze,SubsidieTabel!$AD$1:$AG$1,0),2))&lt;&gt;1=TRUE,"ja",""),"")</f>
        <v/>
      </c>
    </row>
    <row r="1967" spans="1:27" x14ac:dyDescent="0.25">
      <c r="A1967" s="320"/>
      <c r="B1967" s="321" t="str">
        <f>IF(A1967&lt;&gt;"",_xlfn.MAXIFS($B$1:B1966,$A$1:A1966,A1967)+1,"")</f>
        <v/>
      </c>
      <c r="C1967" s="299"/>
      <c r="D1967" s="299"/>
      <c r="E1967" s="299"/>
      <c r="F1967" s="299"/>
      <c r="G1967" s="330"/>
      <c r="H1967" s="328"/>
      <c r="I1967" s="329"/>
      <c r="J1967" s="329"/>
      <c r="K1967" s="322"/>
      <c r="L1967" s="322"/>
      <c r="M1967" s="323" t="str">
        <f>IFERROR(VLOOKUP(H1967,Lijsten!$H$1:$I$100,2,0),"")</f>
        <v/>
      </c>
      <c r="N1967" s="323" t="str">
        <f ca="1">IFERROR(IF(VLOOKUP(F1967,Kostentypen!$A$3:$E$21,3,0)=0,"",IF(OR(F1967="Arbeidskosten",F1967="Vergoeding"),VLOOKUP(G1967,Tb_KostenTypen[],2,0),VLOOKUP(F1967,Kostentypen!$A$3:$E$20,3,0))),"")</f>
        <v/>
      </c>
      <c r="O1967" s="324"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4"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3"/>
      <c r="R1967" s="363"/>
      <c r="S1967" s="325"/>
      <c r="T1967" s="325"/>
      <c r="U1967" s="317" t="str" cm="1">
        <f t="array" aca="1" ref="U1967" ca="1">IFERROR(IF(AA1967&lt;&gt;"ja",_xlfn.IFNA(_xlfn.IFS(AND(O1967&lt;&gt;"",F1967&lt;&gt;"",RIGHT($N1967,6)="tarief",F1967="Vergoeding"),SUM(O1967)*FLOOR(SUM(Q1967),0.0001),AND(O1967&lt;&gt;"",F1967&lt;&gt;"",RIGHT($N1967,6)="tarief"),SUM(O1967)*FLOOR(SUM(Q1967),0.01),S1967&gt;0,IF(F1967&lt;&gt;"",FLOOR(SUM(S1967),0.01),"")),""),""),"")</f>
        <v/>
      </c>
      <c r="V1967" s="317" t="str" cm="1">
        <f t="array" aca="1" ref="V1967" ca="1">IFERROR(IF(AA1967&lt;&gt;"ja",_xlfn.IFNA(_xlfn.IFS(AND(P1967&lt;&gt;"",R1967&lt;&gt;"",RIGHT($N1967,6)="tarief",F1967="Vergoeding"),SUM(P1967)*FLOOR(SUM(R1967),0.0001),AND(P1967&lt;&gt;"",R1967&lt;&gt;"",RIGHT($N1967,6)="tarief"),P1967*FLOOR(R1967,0.01),T1967&gt;0,FLOOR(SUM(T1967),0.01)),""),""),"")</f>
        <v/>
      </c>
      <c r="W1967" s="317" t="str" cm="1">
        <f t="array" aca="1" ref="W1967" ca="1">IFERROR(_xlfn.IFS(OR(F1967="",LEFT(Methode_Keuze,4)="Geen",Methode_Keuze=""),"",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17" t="str" cm="1">
        <f t="array" aca="1" ref="X1967" ca="1">IFERROR(_xlfn.IFS(OR(F1967="",LEFT(Methode_Keuze,4)="Geen",Methode_Keuze=""),"",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26"/>
      <c r="Z1967" s="319"/>
      <c r="AA1967" s="32" t="str" cm="1">
        <f t="array" ref="AA1967">IFERROR(IF(INDEX(SubsidieTabel!$AD$1:$AG$12,MATCH($F1967,SubsidieTabel!$AD$1:$AD$12,0),IFERROR(MATCH(Methode_Keuze,SubsidieTabel!$AD$1:$AG$1,0),2))&lt;&gt;1=TRUE,"ja",""),"")</f>
        <v/>
      </c>
    </row>
    <row r="1968" spans="1:27" x14ac:dyDescent="0.25">
      <c r="A1968" s="320"/>
      <c r="B1968" s="321" t="str">
        <f>IF(A1968&lt;&gt;"",_xlfn.MAXIFS($B$1:B1967,$A$1:A1967,A1968)+1,"")</f>
        <v/>
      </c>
      <c r="C1968" s="299"/>
      <c r="D1968" s="299"/>
      <c r="E1968" s="299"/>
      <c r="F1968" s="299"/>
      <c r="G1968" s="330"/>
      <c r="H1968" s="328"/>
      <c r="I1968" s="329"/>
      <c r="J1968" s="329"/>
      <c r="K1968" s="322"/>
      <c r="L1968" s="322"/>
      <c r="M1968" s="323" t="str">
        <f>IFERROR(VLOOKUP(H1968,Lijsten!$H$1:$I$100,2,0),"")</f>
        <v/>
      </c>
      <c r="N1968" s="323" t="str">
        <f ca="1">IFERROR(IF(VLOOKUP(F1968,Kostentypen!$A$3:$E$21,3,0)=0,"",IF(OR(F1968="Arbeidskosten",F1968="Vergoeding"),VLOOKUP(G1968,Tb_KostenTypen[],2,0),VLOOKUP(F1968,Kostentypen!$A$3:$E$20,3,0))),"")</f>
        <v/>
      </c>
      <c r="O1968" s="324"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4"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3"/>
      <c r="R1968" s="363"/>
      <c r="S1968" s="325"/>
      <c r="T1968" s="325"/>
      <c r="U1968" s="317" t="str" cm="1">
        <f t="array" aca="1" ref="U1968" ca="1">IFERROR(IF(AA1968&lt;&gt;"ja",_xlfn.IFNA(_xlfn.IFS(AND(O1968&lt;&gt;"",F1968&lt;&gt;"",RIGHT($N1968,6)="tarief",F1968="Vergoeding"),SUM(O1968)*FLOOR(SUM(Q1968),0.0001),AND(O1968&lt;&gt;"",F1968&lt;&gt;"",RIGHT($N1968,6)="tarief"),SUM(O1968)*FLOOR(SUM(Q1968),0.01),S1968&gt;0,IF(F1968&lt;&gt;"",FLOOR(SUM(S1968),0.01),"")),""),""),"")</f>
        <v/>
      </c>
      <c r="V1968" s="317" t="str" cm="1">
        <f t="array" aca="1" ref="V1968" ca="1">IFERROR(IF(AA1968&lt;&gt;"ja",_xlfn.IFNA(_xlfn.IFS(AND(P1968&lt;&gt;"",R1968&lt;&gt;"",RIGHT($N1968,6)="tarief",F1968="Vergoeding"),SUM(P1968)*FLOOR(SUM(R1968),0.0001),AND(P1968&lt;&gt;"",R1968&lt;&gt;"",RIGHT($N1968,6)="tarief"),P1968*FLOOR(R1968,0.01),T1968&gt;0,FLOOR(SUM(T1968),0.01)),""),""),"")</f>
        <v/>
      </c>
      <c r="W1968" s="317" t="str" cm="1">
        <f t="array" aca="1" ref="W1968" ca="1">IFERROR(_xlfn.IFS(OR(F1968="",LEFT(Methode_Keuze,4)="Geen",Methode_Keuze=""),"",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17" t="str" cm="1">
        <f t="array" aca="1" ref="X1968" ca="1">IFERROR(_xlfn.IFS(OR(F1968="",LEFT(Methode_Keuze,4)="Geen",Methode_Keuze=""),"",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26"/>
      <c r="Z1968" s="319"/>
      <c r="AA1968" s="32" t="str" cm="1">
        <f t="array" ref="AA1968">IFERROR(IF(INDEX(SubsidieTabel!$AD$1:$AG$12,MATCH($F1968,SubsidieTabel!$AD$1:$AD$12,0),IFERROR(MATCH(Methode_Keuze,SubsidieTabel!$AD$1:$AG$1,0),2))&lt;&gt;1=TRUE,"ja",""),"")</f>
        <v/>
      </c>
    </row>
    <row r="1969" spans="1:27" x14ac:dyDescent="0.25">
      <c r="A1969" s="320"/>
      <c r="B1969" s="321" t="str">
        <f>IF(A1969&lt;&gt;"",_xlfn.MAXIFS($B$1:B1968,$A$1:A1968,A1969)+1,"")</f>
        <v/>
      </c>
      <c r="C1969" s="299"/>
      <c r="D1969" s="299"/>
      <c r="E1969" s="299"/>
      <c r="F1969" s="299"/>
      <c r="G1969" s="330"/>
      <c r="H1969" s="328"/>
      <c r="I1969" s="329"/>
      <c r="J1969" s="329"/>
      <c r="K1969" s="322"/>
      <c r="L1969" s="322"/>
      <c r="M1969" s="323" t="str">
        <f>IFERROR(VLOOKUP(H1969,Lijsten!$H$1:$I$100,2,0),"")</f>
        <v/>
      </c>
      <c r="N1969" s="323" t="str">
        <f ca="1">IFERROR(IF(VLOOKUP(F1969,Kostentypen!$A$3:$E$21,3,0)=0,"",IF(OR(F1969="Arbeidskosten",F1969="Vergoeding"),VLOOKUP(G1969,Tb_KostenTypen[],2,0),VLOOKUP(F1969,Kostentypen!$A$3:$E$20,3,0))),"")</f>
        <v/>
      </c>
      <c r="O1969" s="324"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4"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3"/>
      <c r="R1969" s="363"/>
      <c r="S1969" s="325"/>
      <c r="T1969" s="325"/>
      <c r="U1969" s="317" t="str" cm="1">
        <f t="array" aca="1" ref="U1969" ca="1">IFERROR(IF(AA1969&lt;&gt;"ja",_xlfn.IFNA(_xlfn.IFS(AND(O1969&lt;&gt;"",F1969&lt;&gt;"",RIGHT($N1969,6)="tarief",F1969="Vergoeding"),SUM(O1969)*FLOOR(SUM(Q1969),0.0001),AND(O1969&lt;&gt;"",F1969&lt;&gt;"",RIGHT($N1969,6)="tarief"),SUM(O1969)*FLOOR(SUM(Q1969),0.01),S1969&gt;0,IF(F1969&lt;&gt;"",FLOOR(SUM(S1969),0.01),"")),""),""),"")</f>
        <v/>
      </c>
      <c r="V1969" s="317" t="str" cm="1">
        <f t="array" aca="1" ref="V1969" ca="1">IFERROR(IF(AA1969&lt;&gt;"ja",_xlfn.IFNA(_xlfn.IFS(AND(P1969&lt;&gt;"",R1969&lt;&gt;"",RIGHT($N1969,6)="tarief",F1969="Vergoeding"),SUM(P1969)*FLOOR(SUM(R1969),0.0001),AND(P1969&lt;&gt;"",R1969&lt;&gt;"",RIGHT($N1969,6)="tarief"),P1969*FLOOR(R1969,0.01),T1969&gt;0,FLOOR(SUM(T1969),0.01)),""),""),"")</f>
        <v/>
      </c>
      <c r="W1969" s="317" t="str" cm="1">
        <f t="array" aca="1" ref="W1969" ca="1">IFERROR(_xlfn.IFS(OR(F1969="",LEFT(Methode_Keuze,4)="Geen",Methode_Keuze=""),"",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17" t="str" cm="1">
        <f t="array" aca="1" ref="X1969" ca="1">IFERROR(_xlfn.IFS(OR(F1969="",LEFT(Methode_Keuze,4)="Geen",Methode_Keuze=""),"",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26"/>
      <c r="Z1969" s="319"/>
      <c r="AA1969" s="32" t="str" cm="1">
        <f t="array" ref="AA1969">IFERROR(IF(INDEX(SubsidieTabel!$AD$1:$AG$12,MATCH($F1969,SubsidieTabel!$AD$1:$AD$12,0),IFERROR(MATCH(Methode_Keuze,SubsidieTabel!$AD$1:$AG$1,0),2))&lt;&gt;1=TRUE,"ja",""),"")</f>
        <v/>
      </c>
    </row>
    <row r="1970" spans="1:27" x14ac:dyDescent="0.25">
      <c r="A1970" s="320"/>
      <c r="B1970" s="321" t="str">
        <f>IF(A1970&lt;&gt;"",_xlfn.MAXIFS($B$1:B1969,$A$1:A1969,A1970)+1,"")</f>
        <v/>
      </c>
      <c r="C1970" s="299"/>
      <c r="D1970" s="299"/>
      <c r="E1970" s="299"/>
      <c r="F1970" s="299"/>
      <c r="G1970" s="330"/>
      <c r="H1970" s="328"/>
      <c r="I1970" s="329"/>
      <c r="J1970" s="329"/>
      <c r="K1970" s="322"/>
      <c r="L1970" s="322"/>
      <c r="M1970" s="323" t="str">
        <f>IFERROR(VLOOKUP(H1970,Lijsten!$H$1:$I$100,2,0),"")</f>
        <v/>
      </c>
      <c r="N1970" s="323" t="str">
        <f ca="1">IFERROR(IF(VLOOKUP(F1970,Kostentypen!$A$3:$E$21,3,0)=0,"",IF(OR(F1970="Arbeidskosten",F1970="Vergoeding"),VLOOKUP(G1970,Tb_KostenTypen[],2,0),VLOOKUP(F1970,Kostentypen!$A$3:$E$20,3,0))),"")</f>
        <v/>
      </c>
      <c r="O1970" s="324"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4"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3"/>
      <c r="R1970" s="363"/>
      <c r="S1970" s="325"/>
      <c r="T1970" s="325"/>
      <c r="U1970" s="317" t="str" cm="1">
        <f t="array" aca="1" ref="U1970" ca="1">IFERROR(IF(AA1970&lt;&gt;"ja",_xlfn.IFNA(_xlfn.IFS(AND(O1970&lt;&gt;"",F1970&lt;&gt;"",RIGHT($N1970,6)="tarief",F1970="Vergoeding"),SUM(O1970)*FLOOR(SUM(Q1970),0.0001),AND(O1970&lt;&gt;"",F1970&lt;&gt;"",RIGHT($N1970,6)="tarief"),SUM(O1970)*FLOOR(SUM(Q1970),0.01),S1970&gt;0,IF(F1970&lt;&gt;"",FLOOR(SUM(S1970),0.01),"")),""),""),"")</f>
        <v/>
      </c>
      <c r="V1970" s="317" t="str" cm="1">
        <f t="array" aca="1" ref="V1970" ca="1">IFERROR(IF(AA1970&lt;&gt;"ja",_xlfn.IFNA(_xlfn.IFS(AND(P1970&lt;&gt;"",R1970&lt;&gt;"",RIGHT($N1970,6)="tarief",F1970="Vergoeding"),SUM(P1970)*FLOOR(SUM(R1970),0.0001),AND(P1970&lt;&gt;"",R1970&lt;&gt;"",RIGHT($N1970,6)="tarief"),P1970*FLOOR(R1970,0.01),T1970&gt;0,FLOOR(SUM(T1970),0.01)),""),""),"")</f>
        <v/>
      </c>
      <c r="W1970" s="317" t="str" cm="1">
        <f t="array" aca="1" ref="W1970" ca="1">IFERROR(_xlfn.IFS(OR(F1970="",LEFT(Methode_Keuze,4)="Geen",Methode_Keuze=""),"",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17" t="str" cm="1">
        <f t="array" aca="1" ref="X1970" ca="1">IFERROR(_xlfn.IFS(OR(F1970="",LEFT(Methode_Keuze,4)="Geen",Methode_Keuze=""),"",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26"/>
      <c r="Z1970" s="319"/>
      <c r="AA1970" s="32" t="str" cm="1">
        <f t="array" ref="AA1970">IFERROR(IF(INDEX(SubsidieTabel!$AD$1:$AG$12,MATCH($F1970,SubsidieTabel!$AD$1:$AD$12,0),IFERROR(MATCH(Methode_Keuze,SubsidieTabel!$AD$1:$AG$1,0),2))&lt;&gt;1=TRUE,"ja",""),"")</f>
        <v/>
      </c>
    </row>
    <row r="1971" spans="1:27" x14ac:dyDescent="0.25">
      <c r="A1971" s="320"/>
      <c r="B1971" s="321" t="str">
        <f>IF(A1971&lt;&gt;"",_xlfn.MAXIFS($B$1:B1970,$A$1:A1970,A1971)+1,"")</f>
        <v/>
      </c>
      <c r="C1971" s="299"/>
      <c r="D1971" s="299"/>
      <c r="E1971" s="299"/>
      <c r="F1971" s="299"/>
      <c r="G1971" s="330"/>
      <c r="H1971" s="328"/>
      <c r="I1971" s="329"/>
      <c r="J1971" s="329"/>
      <c r="K1971" s="322"/>
      <c r="L1971" s="322"/>
      <c r="M1971" s="323" t="str">
        <f>IFERROR(VLOOKUP(H1971,Lijsten!$H$1:$I$100,2,0),"")</f>
        <v/>
      </c>
      <c r="N1971" s="323" t="str">
        <f ca="1">IFERROR(IF(VLOOKUP(F1971,Kostentypen!$A$3:$E$21,3,0)=0,"",IF(OR(F1971="Arbeidskosten",F1971="Vergoeding"),VLOOKUP(G1971,Tb_KostenTypen[],2,0),VLOOKUP(F1971,Kostentypen!$A$3:$E$20,3,0))),"")</f>
        <v/>
      </c>
      <c r="O1971" s="324"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4"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3"/>
      <c r="R1971" s="363"/>
      <c r="S1971" s="325"/>
      <c r="T1971" s="325"/>
      <c r="U1971" s="317" t="str" cm="1">
        <f t="array" aca="1" ref="U1971" ca="1">IFERROR(IF(AA1971&lt;&gt;"ja",_xlfn.IFNA(_xlfn.IFS(AND(O1971&lt;&gt;"",F1971&lt;&gt;"",RIGHT($N1971,6)="tarief",F1971="Vergoeding"),SUM(O1971)*FLOOR(SUM(Q1971),0.0001),AND(O1971&lt;&gt;"",F1971&lt;&gt;"",RIGHT($N1971,6)="tarief"),SUM(O1971)*FLOOR(SUM(Q1971),0.01),S1971&gt;0,IF(F1971&lt;&gt;"",FLOOR(SUM(S1971),0.01),"")),""),""),"")</f>
        <v/>
      </c>
      <c r="V1971" s="317" t="str" cm="1">
        <f t="array" aca="1" ref="V1971" ca="1">IFERROR(IF(AA1971&lt;&gt;"ja",_xlfn.IFNA(_xlfn.IFS(AND(P1971&lt;&gt;"",R1971&lt;&gt;"",RIGHT($N1971,6)="tarief",F1971="Vergoeding"),SUM(P1971)*FLOOR(SUM(R1971),0.0001),AND(P1971&lt;&gt;"",R1971&lt;&gt;"",RIGHT($N1971,6)="tarief"),P1971*FLOOR(R1971,0.01),T1971&gt;0,FLOOR(SUM(T1971),0.01)),""),""),"")</f>
        <v/>
      </c>
      <c r="W1971" s="317" t="str" cm="1">
        <f t="array" aca="1" ref="W1971" ca="1">IFERROR(_xlfn.IFS(OR(F1971="",LEFT(Methode_Keuze,4)="Geen",Methode_Keuze=""),"",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17" t="str" cm="1">
        <f t="array" aca="1" ref="X1971" ca="1">IFERROR(_xlfn.IFS(OR(F1971="",LEFT(Methode_Keuze,4)="Geen",Methode_Keuze=""),"",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26"/>
      <c r="Z1971" s="319"/>
      <c r="AA1971" s="32" t="str" cm="1">
        <f t="array" ref="AA1971">IFERROR(IF(INDEX(SubsidieTabel!$AD$1:$AG$12,MATCH($F1971,SubsidieTabel!$AD$1:$AD$12,0),IFERROR(MATCH(Methode_Keuze,SubsidieTabel!$AD$1:$AG$1,0),2))&lt;&gt;1=TRUE,"ja",""),"")</f>
        <v/>
      </c>
    </row>
    <row r="1972" spans="1:27" x14ac:dyDescent="0.25">
      <c r="A1972" s="320"/>
      <c r="B1972" s="321" t="str">
        <f>IF(A1972&lt;&gt;"",_xlfn.MAXIFS($B$1:B1971,$A$1:A1971,A1972)+1,"")</f>
        <v/>
      </c>
      <c r="C1972" s="299"/>
      <c r="D1972" s="299"/>
      <c r="E1972" s="299"/>
      <c r="F1972" s="299"/>
      <c r="G1972" s="330"/>
      <c r="H1972" s="328"/>
      <c r="I1972" s="329"/>
      <c r="J1972" s="329"/>
      <c r="K1972" s="322"/>
      <c r="L1972" s="322"/>
      <c r="M1972" s="323" t="str">
        <f>IFERROR(VLOOKUP(H1972,Lijsten!$H$1:$I$100,2,0),"")</f>
        <v/>
      </c>
      <c r="N1972" s="323" t="str">
        <f ca="1">IFERROR(IF(VLOOKUP(F1972,Kostentypen!$A$3:$E$21,3,0)=0,"",IF(OR(F1972="Arbeidskosten",F1972="Vergoeding"),VLOOKUP(G1972,Tb_KostenTypen[],2,0),VLOOKUP(F1972,Kostentypen!$A$3:$E$20,3,0))),"")</f>
        <v/>
      </c>
      <c r="O1972" s="324"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4"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3"/>
      <c r="R1972" s="363"/>
      <c r="S1972" s="325"/>
      <c r="T1972" s="325"/>
      <c r="U1972" s="317" t="str" cm="1">
        <f t="array" aca="1" ref="U1972" ca="1">IFERROR(IF(AA1972&lt;&gt;"ja",_xlfn.IFNA(_xlfn.IFS(AND(O1972&lt;&gt;"",F1972&lt;&gt;"",RIGHT($N1972,6)="tarief",F1972="Vergoeding"),SUM(O1972)*FLOOR(SUM(Q1972),0.0001),AND(O1972&lt;&gt;"",F1972&lt;&gt;"",RIGHT($N1972,6)="tarief"),SUM(O1972)*FLOOR(SUM(Q1972),0.01),S1972&gt;0,IF(F1972&lt;&gt;"",FLOOR(SUM(S1972),0.01),"")),""),""),"")</f>
        <v/>
      </c>
      <c r="V1972" s="317" t="str" cm="1">
        <f t="array" aca="1" ref="V1972" ca="1">IFERROR(IF(AA1972&lt;&gt;"ja",_xlfn.IFNA(_xlfn.IFS(AND(P1972&lt;&gt;"",R1972&lt;&gt;"",RIGHT($N1972,6)="tarief",F1972="Vergoeding"),SUM(P1972)*FLOOR(SUM(R1972),0.0001),AND(P1972&lt;&gt;"",R1972&lt;&gt;"",RIGHT($N1972,6)="tarief"),P1972*FLOOR(R1972,0.01),T1972&gt;0,FLOOR(SUM(T1972),0.01)),""),""),"")</f>
        <v/>
      </c>
      <c r="W1972" s="317" t="str" cm="1">
        <f t="array" aca="1" ref="W1972" ca="1">IFERROR(_xlfn.IFS(OR(F1972="",LEFT(Methode_Keuze,4)="Geen",Methode_Keuze=""),"",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17" t="str" cm="1">
        <f t="array" aca="1" ref="X1972" ca="1">IFERROR(_xlfn.IFS(OR(F1972="",LEFT(Methode_Keuze,4)="Geen",Methode_Keuze=""),"",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26"/>
      <c r="Z1972" s="319"/>
      <c r="AA1972" s="32" t="str" cm="1">
        <f t="array" ref="AA1972">IFERROR(IF(INDEX(SubsidieTabel!$AD$1:$AG$12,MATCH($F1972,SubsidieTabel!$AD$1:$AD$12,0),IFERROR(MATCH(Methode_Keuze,SubsidieTabel!$AD$1:$AG$1,0),2))&lt;&gt;1=TRUE,"ja",""),"")</f>
        <v/>
      </c>
    </row>
    <row r="1973" spans="1:27" x14ac:dyDescent="0.25">
      <c r="A1973" s="320"/>
      <c r="B1973" s="321" t="str">
        <f>IF(A1973&lt;&gt;"",_xlfn.MAXIFS($B$1:B1972,$A$1:A1972,A1973)+1,"")</f>
        <v/>
      </c>
      <c r="C1973" s="299"/>
      <c r="D1973" s="299"/>
      <c r="E1973" s="299"/>
      <c r="F1973" s="299"/>
      <c r="G1973" s="330"/>
      <c r="H1973" s="328"/>
      <c r="I1973" s="329"/>
      <c r="J1973" s="329"/>
      <c r="K1973" s="322"/>
      <c r="L1973" s="322"/>
      <c r="M1973" s="323" t="str">
        <f>IFERROR(VLOOKUP(H1973,Lijsten!$H$1:$I$100,2,0),"")</f>
        <v/>
      </c>
      <c r="N1973" s="323" t="str">
        <f ca="1">IFERROR(IF(VLOOKUP(F1973,Kostentypen!$A$3:$E$21,3,0)=0,"",IF(OR(F1973="Arbeidskosten",F1973="Vergoeding"),VLOOKUP(G1973,Tb_KostenTypen[],2,0),VLOOKUP(F1973,Kostentypen!$A$3:$E$20,3,0))),"")</f>
        <v/>
      </c>
      <c r="O1973" s="324"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4"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3"/>
      <c r="R1973" s="363"/>
      <c r="S1973" s="325"/>
      <c r="T1973" s="325"/>
      <c r="U1973" s="317" t="str" cm="1">
        <f t="array" aca="1" ref="U1973" ca="1">IFERROR(IF(AA1973&lt;&gt;"ja",_xlfn.IFNA(_xlfn.IFS(AND(O1973&lt;&gt;"",F1973&lt;&gt;"",RIGHT($N1973,6)="tarief",F1973="Vergoeding"),SUM(O1973)*FLOOR(SUM(Q1973),0.0001),AND(O1973&lt;&gt;"",F1973&lt;&gt;"",RIGHT($N1973,6)="tarief"),SUM(O1973)*FLOOR(SUM(Q1973),0.01),S1973&gt;0,IF(F1973&lt;&gt;"",FLOOR(SUM(S1973),0.01),"")),""),""),"")</f>
        <v/>
      </c>
      <c r="V1973" s="317" t="str" cm="1">
        <f t="array" aca="1" ref="V1973" ca="1">IFERROR(IF(AA1973&lt;&gt;"ja",_xlfn.IFNA(_xlfn.IFS(AND(P1973&lt;&gt;"",R1973&lt;&gt;"",RIGHT($N1973,6)="tarief",F1973="Vergoeding"),SUM(P1973)*FLOOR(SUM(R1973),0.0001),AND(P1973&lt;&gt;"",R1973&lt;&gt;"",RIGHT($N1973,6)="tarief"),P1973*FLOOR(R1973,0.01),T1973&gt;0,FLOOR(SUM(T1973),0.01)),""),""),"")</f>
        <v/>
      </c>
      <c r="W1973" s="317" t="str" cm="1">
        <f t="array" aca="1" ref="W1973" ca="1">IFERROR(_xlfn.IFS(OR(F1973="",LEFT(Methode_Keuze,4)="Geen",Methode_Keuze=""),"",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17" t="str" cm="1">
        <f t="array" aca="1" ref="X1973" ca="1">IFERROR(_xlfn.IFS(OR(F1973="",LEFT(Methode_Keuze,4)="Geen",Methode_Keuze=""),"",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26"/>
      <c r="Z1973" s="319"/>
      <c r="AA1973" s="32" t="str" cm="1">
        <f t="array" ref="AA1973">IFERROR(IF(INDEX(SubsidieTabel!$AD$1:$AG$12,MATCH($F1973,SubsidieTabel!$AD$1:$AD$12,0),IFERROR(MATCH(Methode_Keuze,SubsidieTabel!$AD$1:$AG$1,0),2))&lt;&gt;1=TRUE,"ja",""),"")</f>
        <v/>
      </c>
    </row>
    <row r="1974" spans="1:27" x14ac:dyDescent="0.25">
      <c r="A1974" s="320"/>
      <c r="B1974" s="321" t="str">
        <f>IF(A1974&lt;&gt;"",_xlfn.MAXIFS($B$1:B1973,$A$1:A1973,A1974)+1,"")</f>
        <v/>
      </c>
      <c r="C1974" s="299"/>
      <c r="D1974" s="299"/>
      <c r="E1974" s="299"/>
      <c r="F1974" s="299"/>
      <c r="G1974" s="330"/>
      <c r="H1974" s="328"/>
      <c r="I1974" s="329"/>
      <c r="J1974" s="329"/>
      <c r="K1974" s="322"/>
      <c r="L1974" s="322"/>
      <c r="M1974" s="323" t="str">
        <f>IFERROR(VLOOKUP(H1974,Lijsten!$H$1:$I$100,2,0),"")</f>
        <v/>
      </c>
      <c r="N1974" s="323" t="str">
        <f ca="1">IFERROR(IF(VLOOKUP(F1974,Kostentypen!$A$3:$E$21,3,0)=0,"",IF(OR(F1974="Arbeidskosten",F1974="Vergoeding"),VLOOKUP(G1974,Tb_KostenTypen[],2,0),VLOOKUP(F1974,Kostentypen!$A$3:$E$20,3,0))),"")</f>
        <v/>
      </c>
      <c r="O1974" s="324"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4"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3"/>
      <c r="R1974" s="363"/>
      <c r="S1974" s="325"/>
      <c r="T1974" s="325"/>
      <c r="U1974" s="317" t="str" cm="1">
        <f t="array" aca="1" ref="U1974" ca="1">IFERROR(IF(AA1974&lt;&gt;"ja",_xlfn.IFNA(_xlfn.IFS(AND(O1974&lt;&gt;"",F1974&lt;&gt;"",RIGHT($N1974,6)="tarief",F1974="Vergoeding"),SUM(O1974)*FLOOR(SUM(Q1974),0.0001),AND(O1974&lt;&gt;"",F1974&lt;&gt;"",RIGHT($N1974,6)="tarief"),SUM(O1974)*FLOOR(SUM(Q1974),0.01),S1974&gt;0,IF(F1974&lt;&gt;"",FLOOR(SUM(S1974),0.01),"")),""),""),"")</f>
        <v/>
      </c>
      <c r="V1974" s="317" t="str" cm="1">
        <f t="array" aca="1" ref="V1974" ca="1">IFERROR(IF(AA1974&lt;&gt;"ja",_xlfn.IFNA(_xlfn.IFS(AND(P1974&lt;&gt;"",R1974&lt;&gt;"",RIGHT($N1974,6)="tarief",F1974="Vergoeding"),SUM(P1974)*FLOOR(SUM(R1974),0.0001),AND(P1974&lt;&gt;"",R1974&lt;&gt;"",RIGHT($N1974,6)="tarief"),P1974*FLOOR(R1974,0.01),T1974&gt;0,FLOOR(SUM(T1974),0.01)),""),""),"")</f>
        <v/>
      </c>
      <c r="W1974" s="317" t="str" cm="1">
        <f t="array" aca="1" ref="W1974" ca="1">IFERROR(_xlfn.IFS(OR(F1974="",LEFT(Methode_Keuze,4)="Geen",Methode_Keuze=""),"",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17" t="str" cm="1">
        <f t="array" aca="1" ref="X1974" ca="1">IFERROR(_xlfn.IFS(OR(F1974="",LEFT(Methode_Keuze,4)="Geen",Methode_Keuze=""),"",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26"/>
      <c r="Z1974" s="319"/>
      <c r="AA1974" s="32" t="str" cm="1">
        <f t="array" ref="AA1974">IFERROR(IF(INDEX(SubsidieTabel!$AD$1:$AG$12,MATCH($F1974,SubsidieTabel!$AD$1:$AD$12,0),IFERROR(MATCH(Methode_Keuze,SubsidieTabel!$AD$1:$AG$1,0),2))&lt;&gt;1=TRUE,"ja",""),"")</f>
        <v/>
      </c>
    </row>
    <row r="1975" spans="1:27" x14ac:dyDescent="0.25">
      <c r="A1975" s="320"/>
      <c r="B1975" s="321" t="str">
        <f>IF(A1975&lt;&gt;"",_xlfn.MAXIFS($B$1:B1974,$A$1:A1974,A1975)+1,"")</f>
        <v/>
      </c>
      <c r="C1975" s="299"/>
      <c r="D1975" s="299"/>
      <c r="E1975" s="299"/>
      <c r="F1975" s="299"/>
      <c r="G1975" s="330"/>
      <c r="H1975" s="328"/>
      <c r="I1975" s="329"/>
      <c r="J1975" s="329"/>
      <c r="K1975" s="322"/>
      <c r="L1975" s="322"/>
      <c r="M1975" s="323" t="str">
        <f>IFERROR(VLOOKUP(H1975,Lijsten!$H$1:$I$100,2,0),"")</f>
        <v/>
      </c>
      <c r="N1975" s="323" t="str">
        <f ca="1">IFERROR(IF(VLOOKUP(F1975,Kostentypen!$A$3:$E$21,3,0)=0,"",IF(OR(F1975="Arbeidskosten",F1975="Vergoeding"),VLOOKUP(G1975,Tb_KostenTypen[],2,0),VLOOKUP(F1975,Kostentypen!$A$3:$E$20,3,0))),"")</f>
        <v/>
      </c>
      <c r="O1975" s="324"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4"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3"/>
      <c r="R1975" s="363"/>
      <c r="S1975" s="325"/>
      <c r="T1975" s="325"/>
      <c r="U1975" s="317" t="str" cm="1">
        <f t="array" aca="1" ref="U1975" ca="1">IFERROR(IF(AA1975&lt;&gt;"ja",_xlfn.IFNA(_xlfn.IFS(AND(O1975&lt;&gt;"",F1975&lt;&gt;"",RIGHT($N1975,6)="tarief",F1975="Vergoeding"),SUM(O1975)*FLOOR(SUM(Q1975),0.0001),AND(O1975&lt;&gt;"",F1975&lt;&gt;"",RIGHT($N1975,6)="tarief"),SUM(O1975)*FLOOR(SUM(Q1975),0.01),S1975&gt;0,IF(F1975&lt;&gt;"",FLOOR(SUM(S1975),0.01),"")),""),""),"")</f>
        <v/>
      </c>
      <c r="V1975" s="317" t="str" cm="1">
        <f t="array" aca="1" ref="V1975" ca="1">IFERROR(IF(AA1975&lt;&gt;"ja",_xlfn.IFNA(_xlfn.IFS(AND(P1975&lt;&gt;"",R1975&lt;&gt;"",RIGHT($N1975,6)="tarief",F1975="Vergoeding"),SUM(P1975)*FLOOR(SUM(R1975),0.0001),AND(P1975&lt;&gt;"",R1975&lt;&gt;"",RIGHT($N1975,6)="tarief"),P1975*FLOOR(R1975,0.01),T1975&gt;0,FLOOR(SUM(T1975),0.01)),""),""),"")</f>
        <v/>
      </c>
      <c r="W1975" s="317" t="str" cm="1">
        <f t="array" aca="1" ref="W1975" ca="1">IFERROR(_xlfn.IFS(OR(F1975="",LEFT(Methode_Keuze,4)="Geen",Methode_Keuze=""),"",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17" t="str" cm="1">
        <f t="array" aca="1" ref="X1975" ca="1">IFERROR(_xlfn.IFS(OR(F1975="",LEFT(Methode_Keuze,4)="Geen",Methode_Keuze=""),"",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26"/>
      <c r="Z1975" s="319"/>
      <c r="AA1975" s="32" t="str" cm="1">
        <f t="array" ref="AA1975">IFERROR(IF(INDEX(SubsidieTabel!$AD$1:$AG$12,MATCH($F1975,SubsidieTabel!$AD$1:$AD$12,0),IFERROR(MATCH(Methode_Keuze,SubsidieTabel!$AD$1:$AG$1,0),2))&lt;&gt;1=TRUE,"ja",""),"")</f>
        <v/>
      </c>
    </row>
    <row r="1976" spans="1:27" x14ac:dyDescent="0.25">
      <c r="A1976" s="320"/>
      <c r="B1976" s="321" t="str">
        <f>IF(A1976&lt;&gt;"",_xlfn.MAXIFS($B$1:B1975,$A$1:A1975,A1976)+1,"")</f>
        <v/>
      </c>
      <c r="C1976" s="299"/>
      <c r="D1976" s="299"/>
      <c r="E1976" s="299"/>
      <c r="F1976" s="299"/>
      <c r="G1976" s="330"/>
      <c r="H1976" s="328"/>
      <c r="I1976" s="329"/>
      <c r="J1976" s="329"/>
      <c r="K1976" s="322"/>
      <c r="L1976" s="322"/>
      <c r="M1976" s="323" t="str">
        <f>IFERROR(VLOOKUP(H1976,Lijsten!$H$1:$I$100,2,0),"")</f>
        <v/>
      </c>
      <c r="N1976" s="323" t="str">
        <f ca="1">IFERROR(IF(VLOOKUP(F1976,Kostentypen!$A$3:$E$21,3,0)=0,"",IF(OR(F1976="Arbeidskosten",F1976="Vergoeding"),VLOOKUP(G1976,Tb_KostenTypen[],2,0),VLOOKUP(F1976,Kostentypen!$A$3:$E$20,3,0))),"")</f>
        <v/>
      </c>
      <c r="O1976" s="324"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4"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3"/>
      <c r="R1976" s="363"/>
      <c r="S1976" s="325"/>
      <c r="T1976" s="325"/>
      <c r="U1976" s="317" t="str" cm="1">
        <f t="array" aca="1" ref="U1976" ca="1">IFERROR(IF(AA1976&lt;&gt;"ja",_xlfn.IFNA(_xlfn.IFS(AND(O1976&lt;&gt;"",F1976&lt;&gt;"",RIGHT($N1976,6)="tarief",F1976="Vergoeding"),SUM(O1976)*FLOOR(SUM(Q1976),0.0001),AND(O1976&lt;&gt;"",F1976&lt;&gt;"",RIGHT($N1976,6)="tarief"),SUM(O1976)*FLOOR(SUM(Q1976),0.01),S1976&gt;0,IF(F1976&lt;&gt;"",FLOOR(SUM(S1976),0.01),"")),""),""),"")</f>
        <v/>
      </c>
      <c r="V1976" s="317" t="str" cm="1">
        <f t="array" aca="1" ref="V1976" ca="1">IFERROR(IF(AA1976&lt;&gt;"ja",_xlfn.IFNA(_xlfn.IFS(AND(P1976&lt;&gt;"",R1976&lt;&gt;"",RIGHT($N1976,6)="tarief",F1976="Vergoeding"),SUM(P1976)*FLOOR(SUM(R1976),0.0001),AND(P1976&lt;&gt;"",R1976&lt;&gt;"",RIGHT($N1976,6)="tarief"),P1976*FLOOR(R1976,0.01),T1976&gt;0,FLOOR(SUM(T1976),0.01)),""),""),"")</f>
        <v/>
      </c>
      <c r="W1976" s="317" t="str" cm="1">
        <f t="array" aca="1" ref="W1976" ca="1">IFERROR(_xlfn.IFS(OR(F1976="",LEFT(Methode_Keuze,4)="Geen",Methode_Keuze=""),"",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17" t="str" cm="1">
        <f t="array" aca="1" ref="X1976" ca="1">IFERROR(_xlfn.IFS(OR(F1976="",LEFT(Methode_Keuze,4)="Geen",Methode_Keuze=""),"",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26"/>
      <c r="Z1976" s="319"/>
      <c r="AA1976" s="32" t="str" cm="1">
        <f t="array" ref="AA1976">IFERROR(IF(INDEX(SubsidieTabel!$AD$1:$AG$12,MATCH($F1976,SubsidieTabel!$AD$1:$AD$12,0),IFERROR(MATCH(Methode_Keuze,SubsidieTabel!$AD$1:$AG$1,0),2))&lt;&gt;1=TRUE,"ja",""),"")</f>
        <v/>
      </c>
    </row>
    <row r="1977" spans="1:27" x14ac:dyDescent="0.25">
      <c r="A1977" s="320"/>
      <c r="B1977" s="321" t="str">
        <f>IF(A1977&lt;&gt;"",_xlfn.MAXIFS($B$1:B1976,$A$1:A1976,A1977)+1,"")</f>
        <v/>
      </c>
      <c r="C1977" s="299"/>
      <c r="D1977" s="299"/>
      <c r="E1977" s="299"/>
      <c r="F1977" s="299"/>
      <c r="G1977" s="330"/>
      <c r="H1977" s="328"/>
      <c r="I1977" s="329"/>
      <c r="J1977" s="329"/>
      <c r="K1977" s="322"/>
      <c r="L1977" s="322"/>
      <c r="M1977" s="323" t="str">
        <f>IFERROR(VLOOKUP(H1977,Lijsten!$H$1:$I$100,2,0),"")</f>
        <v/>
      </c>
      <c r="N1977" s="323" t="str">
        <f ca="1">IFERROR(IF(VLOOKUP(F1977,Kostentypen!$A$3:$E$21,3,0)=0,"",IF(OR(F1977="Arbeidskosten",F1977="Vergoeding"),VLOOKUP(G1977,Tb_KostenTypen[],2,0),VLOOKUP(F1977,Kostentypen!$A$3:$E$20,3,0))),"")</f>
        <v/>
      </c>
      <c r="O1977" s="324"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4"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3"/>
      <c r="R1977" s="363"/>
      <c r="S1977" s="325"/>
      <c r="T1977" s="325"/>
      <c r="U1977" s="317" t="str" cm="1">
        <f t="array" aca="1" ref="U1977" ca="1">IFERROR(IF(AA1977&lt;&gt;"ja",_xlfn.IFNA(_xlfn.IFS(AND(O1977&lt;&gt;"",F1977&lt;&gt;"",RIGHT($N1977,6)="tarief",F1977="Vergoeding"),SUM(O1977)*FLOOR(SUM(Q1977),0.0001),AND(O1977&lt;&gt;"",F1977&lt;&gt;"",RIGHT($N1977,6)="tarief"),SUM(O1977)*FLOOR(SUM(Q1977),0.01),S1977&gt;0,IF(F1977&lt;&gt;"",FLOOR(SUM(S1977),0.01),"")),""),""),"")</f>
        <v/>
      </c>
      <c r="V1977" s="317" t="str" cm="1">
        <f t="array" aca="1" ref="V1977" ca="1">IFERROR(IF(AA1977&lt;&gt;"ja",_xlfn.IFNA(_xlfn.IFS(AND(P1977&lt;&gt;"",R1977&lt;&gt;"",RIGHT($N1977,6)="tarief",F1977="Vergoeding"),SUM(P1977)*FLOOR(SUM(R1977),0.0001),AND(P1977&lt;&gt;"",R1977&lt;&gt;"",RIGHT($N1977,6)="tarief"),P1977*FLOOR(R1977,0.01),T1977&gt;0,FLOOR(SUM(T1977),0.01)),""),""),"")</f>
        <v/>
      </c>
      <c r="W1977" s="317" t="str" cm="1">
        <f t="array" aca="1" ref="W1977" ca="1">IFERROR(_xlfn.IFS(OR(F1977="",LEFT(Methode_Keuze,4)="Geen",Methode_Keuze=""),"",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17" t="str" cm="1">
        <f t="array" aca="1" ref="X1977" ca="1">IFERROR(_xlfn.IFS(OR(F1977="",LEFT(Methode_Keuze,4)="Geen",Methode_Keuze=""),"",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26"/>
      <c r="Z1977" s="319"/>
      <c r="AA1977" s="32" t="str" cm="1">
        <f t="array" ref="AA1977">IFERROR(IF(INDEX(SubsidieTabel!$AD$1:$AG$12,MATCH($F1977,SubsidieTabel!$AD$1:$AD$12,0),IFERROR(MATCH(Methode_Keuze,SubsidieTabel!$AD$1:$AG$1,0),2))&lt;&gt;1=TRUE,"ja",""),"")</f>
        <v/>
      </c>
    </row>
    <row r="1978" spans="1:27" x14ac:dyDescent="0.25">
      <c r="A1978" s="320"/>
      <c r="B1978" s="321" t="str">
        <f>IF(A1978&lt;&gt;"",_xlfn.MAXIFS($B$1:B1977,$A$1:A1977,A1978)+1,"")</f>
        <v/>
      </c>
      <c r="C1978" s="299"/>
      <c r="D1978" s="299"/>
      <c r="E1978" s="299"/>
      <c r="F1978" s="299"/>
      <c r="G1978" s="330"/>
      <c r="H1978" s="328"/>
      <c r="I1978" s="329"/>
      <c r="J1978" s="329"/>
      <c r="K1978" s="322"/>
      <c r="L1978" s="322"/>
      <c r="M1978" s="323" t="str">
        <f>IFERROR(VLOOKUP(H1978,Lijsten!$H$1:$I$100,2,0),"")</f>
        <v/>
      </c>
      <c r="N1978" s="323" t="str">
        <f ca="1">IFERROR(IF(VLOOKUP(F1978,Kostentypen!$A$3:$E$21,3,0)=0,"",IF(OR(F1978="Arbeidskosten",F1978="Vergoeding"),VLOOKUP(G1978,Tb_KostenTypen[],2,0),VLOOKUP(F1978,Kostentypen!$A$3:$E$20,3,0))),"")</f>
        <v/>
      </c>
      <c r="O1978" s="324"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4"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3"/>
      <c r="R1978" s="363"/>
      <c r="S1978" s="325"/>
      <c r="T1978" s="325"/>
      <c r="U1978" s="317" t="str" cm="1">
        <f t="array" aca="1" ref="U1978" ca="1">IFERROR(IF(AA1978&lt;&gt;"ja",_xlfn.IFNA(_xlfn.IFS(AND(O1978&lt;&gt;"",F1978&lt;&gt;"",RIGHT($N1978,6)="tarief",F1978="Vergoeding"),SUM(O1978)*FLOOR(SUM(Q1978),0.0001),AND(O1978&lt;&gt;"",F1978&lt;&gt;"",RIGHT($N1978,6)="tarief"),SUM(O1978)*FLOOR(SUM(Q1978),0.01),S1978&gt;0,IF(F1978&lt;&gt;"",FLOOR(SUM(S1978),0.01),"")),""),""),"")</f>
        <v/>
      </c>
      <c r="V1978" s="317" t="str" cm="1">
        <f t="array" aca="1" ref="V1978" ca="1">IFERROR(IF(AA1978&lt;&gt;"ja",_xlfn.IFNA(_xlfn.IFS(AND(P1978&lt;&gt;"",R1978&lt;&gt;"",RIGHT($N1978,6)="tarief",F1978="Vergoeding"),SUM(P1978)*FLOOR(SUM(R1978),0.0001),AND(P1978&lt;&gt;"",R1978&lt;&gt;"",RIGHT($N1978,6)="tarief"),P1978*FLOOR(R1978,0.01),T1978&gt;0,FLOOR(SUM(T1978),0.01)),""),""),"")</f>
        <v/>
      </c>
      <c r="W1978" s="317" t="str" cm="1">
        <f t="array" aca="1" ref="W1978" ca="1">IFERROR(_xlfn.IFS(OR(F1978="",LEFT(Methode_Keuze,4)="Geen",Methode_Keuze=""),"",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17" t="str" cm="1">
        <f t="array" aca="1" ref="X1978" ca="1">IFERROR(_xlfn.IFS(OR(F1978="",LEFT(Methode_Keuze,4)="Geen",Methode_Keuze=""),"",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26"/>
      <c r="Z1978" s="319"/>
      <c r="AA1978" s="32" t="str" cm="1">
        <f t="array" ref="AA1978">IFERROR(IF(INDEX(SubsidieTabel!$AD$1:$AG$12,MATCH($F1978,SubsidieTabel!$AD$1:$AD$12,0),IFERROR(MATCH(Methode_Keuze,SubsidieTabel!$AD$1:$AG$1,0),2))&lt;&gt;1=TRUE,"ja",""),"")</f>
        <v/>
      </c>
    </row>
    <row r="1979" spans="1:27" x14ac:dyDescent="0.25">
      <c r="A1979" s="320"/>
      <c r="B1979" s="321" t="str">
        <f>IF(A1979&lt;&gt;"",_xlfn.MAXIFS($B$1:B1978,$A$1:A1978,A1979)+1,"")</f>
        <v/>
      </c>
      <c r="C1979" s="299"/>
      <c r="D1979" s="299"/>
      <c r="E1979" s="299"/>
      <c r="F1979" s="299"/>
      <c r="G1979" s="330"/>
      <c r="H1979" s="328"/>
      <c r="I1979" s="329"/>
      <c r="J1979" s="329"/>
      <c r="K1979" s="322"/>
      <c r="L1979" s="322"/>
      <c r="M1979" s="323" t="str">
        <f>IFERROR(VLOOKUP(H1979,Lijsten!$H$1:$I$100,2,0),"")</f>
        <v/>
      </c>
      <c r="N1979" s="323" t="str">
        <f ca="1">IFERROR(IF(VLOOKUP(F1979,Kostentypen!$A$3:$E$21,3,0)=0,"",IF(OR(F1979="Arbeidskosten",F1979="Vergoeding"),VLOOKUP(G1979,Tb_KostenTypen[],2,0),VLOOKUP(F1979,Kostentypen!$A$3:$E$20,3,0))),"")</f>
        <v/>
      </c>
      <c r="O1979" s="324"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4"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3"/>
      <c r="R1979" s="363"/>
      <c r="S1979" s="325"/>
      <c r="T1979" s="325"/>
      <c r="U1979" s="317" t="str" cm="1">
        <f t="array" aca="1" ref="U1979" ca="1">IFERROR(IF(AA1979&lt;&gt;"ja",_xlfn.IFNA(_xlfn.IFS(AND(O1979&lt;&gt;"",F1979&lt;&gt;"",RIGHT($N1979,6)="tarief",F1979="Vergoeding"),SUM(O1979)*FLOOR(SUM(Q1979),0.0001),AND(O1979&lt;&gt;"",F1979&lt;&gt;"",RIGHT($N1979,6)="tarief"),SUM(O1979)*FLOOR(SUM(Q1979),0.01),S1979&gt;0,IF(F1979&lt;&gt;"",FLOOR(SUM(S1979),0.01),"")),""),""),"")</f>
        <v/>
      </c>
      <c r="V1979" s="317" t="str" cm="1">
        <f t="array" aca="1" ref="V1979" ca="1">IFERROR(IF(AA1979&lt;&gt;"ja",_xlfn.IFNA(_xlfn.IFS(AND(P1979&lt;&gt;"",R1979&lt;&gt;"",RIGHT($N1979,6)="tarief",F1979="Vergoeding"),SUM(P1979)*FLOOR(SUM(R1979),0.0001),AND(P1979&lt;&gt;"",R1979&lt;&gt;"",RIGHT($N1979,6)="tarief"),P1979*FLOOR(R1979,0.01),T1979&gt;0,FLOOR(SUM(T1979),0.01)),""),""),"")</f>
        <v/>
      </c>
      <c r="W1979" s="317" t="str" cm="1">
        <f t="array" aca="1" ref="W1979" ca="1">IFERROR(_xlfn.IFS(OR(F1979="",LEFT(Methode_Keuze,4)="Geen",Methode_Keuze=""),"",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17" t="str" cm="1">
        <f t="array" aca="1" ref="X1979" ca="1">IFERROR(_xlfn.IFS(OR(F1979="",LEFT(Methode_Keuze,4)="Geen",Methode_Keuze=""),"",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26"/>
      <c r="Z1979" s="319"/>
      <c r="AA1979" s="32" t="str" cm="1">
        <f t="array" ref="AA1979">IFERROR(IF(INDEX(SubsidieTabel!$AD$1:$AG$12,MATCH($F1979,SubsidieTabel!$AD$1:$AD$12,0),IFERROR(MATCH(Methode_Keuze,SubsidieTabel!$AD$1:$AG$1,0),2))&lt;&gt;1=TRUE,"ja",""),"")</f>
        <v/>
      </c>
    </row>
    <row r="1980" spans="1:27" x14ac:dyDescent="0.25">
      <c r="A1980" s="320"/>
      <c r="B1980" s="321" t="str">
        <f>IF(A1980&lt;&gt;"",_xlfn.MAXIFS($B$1:B1979,$A$1:A1979,A1980)+1,"")</f>
        <v/>
      </c>
      <c r="C1980" s="299"/>
      <c r="D1980" s="299"/>
      <c r="E1980" s="299"/>
      <c r="F1980" s="299"/>
      <c r="G1980" s="330"/>
      <c r="H1980" s="328"/>
      <c r="I1980" s="329"/>
      <c r="J1980" s="329"/>
      <c r="K1980" s="322"/>
      <c r="L1980" s="322"/>
      <c r="M1980" s="323" t="str">
        <f>IFERROR(VLOOKUP(H1980,Lijsten!$H$1:$I$100,2,0),"")</f>
        <v/>
      </c>
      <c r="N1980" s="323" t="str">
        <f ca="1">IFERROR(IF(VLOOKUP(F1980,Kostentypen!$A$3:$E$21,3,0)=0,"",IF(OR(F1980="Arbeidskosten",F1980="Vergoeding"),VLOOKUP(G1980,Tb_KostenTypen[],2,0),VLOOKUP(F1980,Kostentypen!$A$3:$E$20,3,0))),"")</f>
        <v/>
      </c>
      <c r="O1980" s="324"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4"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3"/>
      <c r="R1980" s="363"/>
      <c r="S1980" s="325"/>
      <c r="T1980" s="325"/>
      <c r="U1980" s="317" t="str" cm="1">
        <f t="array" aca="1" ref="U1980" ca="1">IFERROR(IF(AA1980&lt;&gt;"ja",_xlfn.IFNA(_xlfn.IFS(AND(O1980&lt;&gt;"",F1980&lt;&gt;"",RIGHT($N1980,6)="tarief",F1980="Vergoeding"),SUM(O1980)*FLOOR(SUM(Q1980),0.0001),AND(O1980&lt;&gt;"",F1980&lt;&gt;"",RIGHT($N1980,6)="tarief"),SUM(O1980)*FLOOR(SUM(Q1980),0.01),S1980&gt;0,IF(F1980&lt;&gt;"",FLOOR(SUM(S1980),0.01),"")),""),""),"")</f>
        <v/>
      </c>
      <c r="V1980" s="317" t="str" cm="1">
        <f t="array" aca="1" ref="V1980" ca="1">IFERROR(IF(AA1980&lt;&gt;"ja",_xlfn.IFNA(_xlfn.IFS(AND(P1980&lt;&gt;"",R1980&lt;&gt;"",RIGHT($N1980,6)="tarief",F1980="Vergoeding"),SUM(P1980)*FLOOR(SUM(R1980),0.0001),AND(P1980&lt;&gt;"",R1980&lt;&gt;"",RIGHT($N1980,6)="tarief"),P1980*FLOOR(R1980,0.01),T1980&gt;0,FLOOR(SUM(T1980),0.01)),""),""),"")</f>
        <v/>
      </c>
      <c r="W1980" s="317" t="str" cm="1">
        <f t="array" aca="1" ref="W1980" ca="1">IFERROR(_xlfn.IFS(OR(F1980="",LEFT(Methode_Keuze,4)="Geen",Methode_Keuze=""),"",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17" t="str" cm="1">
        <f t="array" aca="1" ref="X1980" ca="1">IFERROR(_xlfn.IFS(OR(F1980="",LEFT(Methode_Keuze,4)="Geen",Methode_Keuze=""),"",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26"/>
      <c r="Z1980" s="319"/>
      <c r="AA1980" s="32" t="str" cm="1">
        <f t="array" ref="AA1980">IFERROR(IF(INDEX(SubsidieTabel!$AD$1:$AG$12,MATCH($F1980,SubsidieTabel!$AD$1:$AD$12,0),IFERROR(MATCH(Methode_Keuze,SubsidieTabel!$AD$1:$AG$1,0),2))&lt;&gt;1=TRUE,"ja",""),"")</f>
        <v/>
      </c>
    </row>
    <row r="1981" spans="1:27" x14ac:dyDescent="0.25">
      <c r="A1981" s="320"/>
      <c r="B1981" s="321" t="str">
        <f>IF(A1981&lt;&gt;"",_xlfn.MAXIFS($B$1:B1980,$A$1:A1980,A1981)+1,"")</f>
        <v/>
      </c>
      <c r="C1981" s="299"/>
      <c r="D1981" s="299"/>
      <c r="E1981" s="299"/>
      <c r="F1981" s="299"/>
      <c r="G1981" s="330"/>
      <c r="H1981" s="328"/>
      <c r="I1981" s="329"/>
      <c r="J1981" s="329"/>
      <c r="K1981" s="322"/>
      <c r="L1981" s="322"/>
      <c r="M1981" s="323" t="str">
        <f>IFERROR(VLOOKUP(H1981,Lijsten!$H$1:$I$100,2,0),"")</f>
        <v/>
      </c>
      <c r="N1981" s="323" t="str">
        <f ca="1">IFERROR(IF(VLOOKUP(F1981,Kostentypen!$A$3:$E$21,3,0)=0,"",IF(OR(F1981="Arbeidskosten",F1981="Vergoeding"),VLOOKUP(G1981,Tb_KostenTypen[],2,0),VLOOKUP(F1981,Kostentypen!$A$3:$E$20,3,0))),"")</f>
        <v/>
      </c>
      <c r="O1981" s="324"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4"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3"/>
      <c r="R1981" s="363"/>
      <c r="S1981" s="325"/>
      <c r="T1981" s="325"/>
      <c r="U1981" s="317" t="str" cm="1">
        <f t="array" aca="1" ref="U1981" ca="1">IFERROR(IF(AA1981&lt;&gt;"ja",_xlfn.IFNA(_xlfn.IFS(AND(O1981&lt;&gt;"",F1981&lt;&gt;"",RIGHT($N1981,6)="tarief",F1981="Vergoeding"),SUM(O1981)*FLOOR(SUM(Q1981),0.0001),AND(O1981&lt;&gt;"",F1981&lt;&gt;"",RIGHT($N1981,6)="tarief"),SUM(O1981)*FLOOR(SUM(Q1981),0.01),S1981&gt;0,IF(F1981&lt;&gt;"",FLOOR(SUM(S1981),0.01),"")),""),""),"")</f>
        <v/>
      </c>
      <c r="V1981" s="317" t="str" cm="1">
        <f t="array" aca="1" ref="V1981" ca="1">IFERROR(IF(AA1981&lt;&gt;"ja",_xlfn.IFNA(_xlfn.IFS(AND(P1981&lt;&gt;"",R1981&lt;&gt;"",RIGHT($N1981,6)="tarief",F1981="Vergoeding"),SUM(P1981)*FLOOR(SUM(R1981),0.0001),AND(P1981&lt;&gt;"",R1981&lt;&gt;"",RIGHT($N1981,6)="tarief"),P1981*FLOOR(R1981,0.01),T1981&gt;0,FLOOR(SUM(T1981),0.01)),""),""),"")</f>
        <v/>
      </c>
      <c r="W1981" s="317" t="str" cm="1">
        <f t="array" aca="1" ref="W1981" ca="1">IFERROR(_xlfn.IFS(OR(F1981="",LEFT(Methode_Keuze,4)="Geen",Methode_Keuze=""),"",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17" t="str" cm="1">
        <f t="array" aca="1" ref="X1981" ca="1">IFERROR(_xlfn.IFS(OR(F1981="",LEFT(Methode_Keuze,4)="Geen",Methode_Keuze=""),"",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26"/>
      <c r="Z1981" s="319"/>
      <c r="AA1981" s="32" t="str" cm="1">
        <f t="array" ref="AA1981">IFERROR(IF(INDEX(SubsidieTabel!$AD$1:$AG$12,MATCH($F1981,SubsidieTabel!$AD$1:$AD$12,0),IFERROR(MATCH(Methode_Keuze,SubsidieTabel!$AD$1:$AG$1,0),2))&lt;&gt;1=TRUE,"ja",""),"")</f>
        <v/>
      </c>
    </row>
    <row r="1982" spans="1:27" x14ac:dyDescent="0.25">
      <c r="A1982" s="320"/>
      <c r="B1982" s="321" t="str">
        <f>IF(A1982&lt;&gt;"",_xlfn.MAXIFS($B$1:B1981,$A$1:A1981,A1982)+1,"")</f>
        <v/>
      </c>
      <c r="C1982" s="299"/>
      <c r="D1982" s="299"/>
      <c r="E1982" s="299"/>
      <c r="F1982" s="299"/>
      <c r="G1982" s="330"/>
      <c r="H1982" s="328"/>
      <c r="I1982" s="329"/>
      <c r="J1982" s="329"/>
      <c r="K1982" s="322"/>
      <c r="L1982" s="322"/>
      <c r="M1982" s="323" t="str">
        <f>IFERROR(VLOOKUP(H1982,Lijsten!$H$1:$I$100,2,0),"")</f>
        <v/>
      </c>
      <c r="N1982" s="323" t="str">
        <f ca="1">IFERROR(IF(VLOOKUP(F1982,Kostentypen!$A$3:$E$21,3,0)=0,"",IF(OR(F1982="Arbeidskosten",F1982="Vergoeding"),VLOOKUP(G1982,Tb_KostenTypen[],2,0),VLOOKUP(F1982,Kostentypen!$A$3:$E$20,3,0))),"")</f>
        <v/>
      </c>
      <c r="O1982" s="324"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4"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3"/>
      <c r="R1982" s="363"/>
      <c r="S1982" s="325"/>
      <c r="T1982" s="325"/>
      <c r="U1982" s="317" t="str" cm="1">
        <f t="array" aca="1" ref="U1982" ca="1">IFERROR(IF(AA1982&lt;&gt;"ja",_xlfn.IFNA(_xlfn.IFS(AND(O1982&lt;&gt;"",F1982&lt;&gt;"",RIGHT($N1982,6)="tarief",F1982="Vergoeding"),SUM(O1982)*FLOOR(SUM(Q1982),0.0001),AND(O1982&lt;&gt;"",F1982&lt;&gt;"",RIGHT($N1982,6)="tarief"),SUM(O1982)*FLOOR(SUM(Q1982),0.01),S1982&gt;0,IF(F1982&lt;&gt;"",FLOOR(SUM(S1982),0.01),"")),""),""),"")</f>
        <v/>
      </c>
      <c r="V1982" s="317" t="str" cm="1">
        <f t="array" aca="1" ref="V1982" ca="1">IFERROR(IF(AA1982&lt;&gt;"ja",_xlfn.IFNA(_xlfn.IFS(AND(P1982&lt;&gt;"",R1982&lt;&gt;"",RIGHT($N1982,6)="tarief",F1982="Vergoeding"),SUM(P1982)*FLOOR(SUM(R1982),0.0001),AND(P1982&lt;&gt;"",R1982&lt;&gt;"",RIGHT($N1982,6)="tarief"),P1982*FLOOR(R1982,0.01),T1982&gt;0,FLOOR(SUM(T1982),0.01)),""),""),"")</f>
        <v/>
      </c>
      <c r="W1982" s="317" t="str" cm="1">
        <f t="array" aca="1" ref="W1982" ca="1">IFERROR(_xlfn.IFS(OR(F1982="",LEFT(Methode_Keuze,4)="Geen",Methode_Keuze=""),"",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17" t="str" cm="1">
        <f t="array" aca="1" ref="X1982" ca="1">IFERROR(_xlfn.IFS(OR(F1982="",LEFT(Methode_Keuze,4)="Geen",Methode_Keuze=""),"",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26"/>
      <c r="Z1982" s="319"/>
      <c r="AA1982" s="32" t="str" cm="1">
        <f t="array" ref="AA1982">IFERROR(IF(INDEX(SubsidieTabel!$AD$1:$AG$12,MATCH($F1982,SubsidieTabel!$AD$1:$AD$12,0),IFERROR(MATCH(Methode_Keuze,SubsidieTabel!$AD$1:$AG$1,0),2))&lt;&gt;1=TRUE,"ja",""),"")</f>
        <v/>
      </c>
    </row>
    <row r="1983" spans="1:27" x14ac:dyDescent="0.25">
      <c r="A1983" s="320"/>
      <c r="B1983" s="321" t="str">
        <f>IF(A1983&lt;&gt;"",_xlfn.MAXIFS($B$1:B1982,$A$1:A1982,A1983)+1,"")</f>
        <v/>
      </c>
      <c r="C1983" s="299"/>
      <c r="D1983" s="299"/>
      <c r="E1983" s="299"/>
      <c r="F1983" s="299"/>
      <c r="G1983" s="330"/>
      <c r="H1983" s="328"/>
      <c r="I1983" s="329"/>
      <c r="J1983" s="329"/>
      <c r="K1983" s="322"/>
      <c r="L1983" s="322"/>
      <c r="M1983" s="323" t="str">
        <f>IFERROR(VLOOKUP(H1983,Lijsten!$H$1:$I$100,2,0),"")</f>
        <v/>
      </c>
      <c r="N1983" s="323" t="str">
        <f ca="1">IFERROR(IF(VLOOKUP(F1983,Kostentypen!$A$3:$E$21,3,0)=0,"",IF(OR(F1983="Arbeidskosten",F1983="Vergoeding"),VLOOKUP(G1983,Tb_KostenTypen[],2,0),VLOOKUP(F1983,Kostentypen!$A$3:$E$20,3,0))),"")</f>
        <v/>
      </c>
      <c r="O1983" s="324"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4"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3"/>
      <c r="R1983" s="363"/>
      <c r="S1983" s="325"/>
      <c r="T1983" s="325"/>
      <c r="U1983" s="317" t="str" cm="1">
        <f t="array" aca="1" ref="U1983" ca="1">IFERROR(IF(AA1983&lt;&gt;"ja",_xlfn.IFNA(_xlfn.IFS(AND(O1983&lt;&gt;"",F1983&lt;&gt;"",RIGHT($N1983,6)="tarief",F1983="Vergoeding"),SUM(O1983)*FLOOR(SUM(Q1983),0.0001),AND(O1983&lt;&gt;"",F1983&lt;&gt;"",RIGHT($N1983,6)="tarief"),SUM(O1983)*FLOOR(SUM(Q1983),0.01),S1983&gt;0,IF(F1983&lt;&gt;"",FLOOR(SUM(S1983),0.01),"")),""),""),"")</f>
        <v/>
      </c>
      <c r="V1983" s="317" t="str" cm="1">
        <f t="array" aca="1" ref="V1983" ca="1">IFERROR(IF(AA1983&lt;&gt;"ja",_xlfn.IFNA(_xlfn.IFS(AND(P1983&lt;&gt;"",R1983&lt;&gt;"",RIGHT($N1983,6)="tarief",F1983="Vergoeding"),SUM(P1983)*FLOOR(SUM(R1983),0.0001),AND(P1983&lt;&gt;"",R1983&lt;&gt;"",RIGHT($N1983,6)="tarief"),P1983*FLOOR(R1983,0.01),T1983&gt;0,FLOOR(SUM(T1983),0.01)),""),""),"")</f>
        <v/>
      </c>
      <c r="W1983" s="317" t="str" cm="1">
        <f t="array" aca="1" ref="W1983" ca="1">IFERROR(_xlfn.IFS(OR(F1983="",LEFT(Methode_Keuze,4)="Geen",Methode_Keuze=""),"",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17" t="str" cm="1">
        <f t="array" aca="1" ref="X1983" ca="1">IFERROR(_xlfn.IFS(OR(F1983="",LEFT(Methode_Keuze,4)="Geen",Methode_Keuze=""),"",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26"/>
      <c r="Z1983" s="319"/>
      <c r="AA1983" s="32" t="str" cm="1">
        <f t="array" ref="AA1983">IFERROR(IF(INDEX(SubsidieTabel!$AD$1:$AG$12,MATCH($F1983,SubsidieTabel!$AD$1:$AD$12,0),IFERROR(MATCH(Methode_Keuze,SubsidieTabel!$AD$1:$AG$1,0),2))&lt;&gt;1=TRUE,"ja",""),"")</f>
        <v/>
      </c>
    </row>
    <row r="1984" spans="1:27" x14ac:dyDescent="0.25">
      <c r="A1984" s="320"/>
      <c r="B1984" s="321" t="str">
        <f>IF(A1984&lt;&gt;"",_xlfn.MAXIFS($B$1:B1983,$A$1:A1983,A1984)+1,"")</f>
        <v/>
      </c>
      <c r="C1984" s="299"/>
      <c r="D1984" s="299"/>
      <c r="E1984" s="299"/>
      <c r="F1984" s="299"/>
      <c r="G1984" s="330"/>
      <c r="H1984" s="328"/>
      <c r="I1984" s="329"/>
      <c r="J1984" s="329"/>
      <c r="K1984" s="322"/>
      <c r="L1984" s="322"/>
      <c r="M1984" s="323" t="str">
        <f>IFERROR(VLOOKUP(H1984,Lijsten!$H$1:$I$100,2,0),"")</f>
        <v/>
      </c>
      <c r="N1984" s="323" t="str">
        <f ca="1">IFERROR(IF(VLOOKUP(F1984,Kostentypen!$A$3:$E$21,3,0)=0,"",IF(OR(F1984="Arbeidskosten",F1984="Vergoeding"),VLOOKUP(G1984,Tb_KostenTypen[],2,0),VLOOKUP(F1984,Kostentypen!$A$3:$E$20,3,0))),"")</f>
        <v/>
      </c>
      <c r="O1984" s="324"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4"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3"/>
      <c r="R1984" s="363"/>
      <c r="S1984" s="325"/>
      <c r="T1984" s="325"/>
      <c r="U1984" s="317" t="str" cm="1">
        <f t="array" aca="1" ref="U1984" ca="1">IFERROR(IF(AA1984&lt;&gt;"ja",_xlfn.IFNA(_xlfn.IFS(AND(O1984&lt;&gt;"",F1984&lt;&gt;"",RIGHT($N1984,6)="tarief",F1984="Vergoeding"),SUM(O1984)*FLOOR(SUM(Q1984),0.0001),AND(O1984&lt;&gt;"",F1984&lt;&gt;"",RIGHT($N1984,6)="tarief"),SUM(O1984)*FLOOR(SUM(Q1984),0.01),S1984&gt;0,IF(F1984&lt;&gt;"",FLOOR(SUM(S1984),0.01),"")),""),""),"")</f>
        <v/>
      </c>
      <c r="V1984" s="317" t="str" cm="1">
        <f t="array" aca="1" ref="V1984" ca="1">IFERROR(IF(AA1984&lt;&gt;"ja",_xlfn.IFNA(_xlfn.IFS(AND(P1984&lt;&gt;"",R1984&lt;&gt;"",RIGHT($N1984,6)="tarief",F1984="Vergoeding"),SUM(P1984)*FLOOR(SUM(R1984),0.0001),AND(P1984&lt;&gt;"",R1984&lt;&gt;"",RIGHT($N1984,6)="tarief"),P1984*FLOOR(R1984,0.01),T1984&gt;0,FLOOR(SUM(T1984),0.01)),""),""),"")</f>
        <v/>
      </c>
      <c r="W1984" s="317" t="str" cm="1">
        <f t="array" aca="1" ref="W1984" ca="1">IFERROR(_xlfn.IFS(OR(F1984="",LEFT(Methode_Keuze,4)="Geen",Methode_Keuze=""),"",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17" t="str" cm="1">
        <f t="array" aca="1" ref="X1984" ca="1">IFERROR(_xlfn.IFS(OR(F1984="",LEFT(Methode_Keuze,4)="Geen",Methode_Keuze=""),"",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26"/>
      <c r="Z1984" s="319"/>
      <c r="AA1984" s="32" t="str" cm="1">
        <f t="array" ref="AA1984">IFERROR(IF(INDEX(SubsidieTabel!$AD$1:$AG$12,MATCH($F1984,SubsidieTabel!$AD$1:$AD$12,0),IFERROR(MATCH(Methode_Keuze,SubsidieTabel!$AD$1:$AG$1,0),2))&lt;&gt;1=TRUE,"ja",""),"")</f>
        <v/>
      </c>
    </row>
    <row r="1985" spans="1:27" x14ac:dyDescent="0.25">
      <c r="A1985" s="320"/>
      <c r="B1985" s="321" t="str">
        <f>IF(A1985&lt;&gt;"",_xlfn.MAXIFS($B$1:B1984,$A$1:A1984,A1985)+1,"")</f>
        <v/>
      </c>
      <c r="C1985" s="299"/>
      <c r="D1985" s="299"/>
      <c r="E1985" s="299"/>
      <c r="F1985" s="299"/>
      <c r="G1985" s="330"/>
      <c r="H1985" s="328"/>
      <c r="I1985" s="329"/>
      <c r="J1985" s="329"/>
      <c r="K1985" s="322"/>
      <c r="L1985" s="322"/>
      <c r="M1985" s="323" t="str">
        <f>IFERROR(VLOOKUP(H1985,Lijsten!$H$1:$I$100,2,0),"")</f>
        <v/>
      </c>
      <c r="N1985" s="323" t="str">
        <f ca="1">IFERROR(IF(VLOOKUP(F1985,Kostentypen!$A$3:$E$21,3,0)=0,"",IF(OR(F1985="Arbeidskosten",F1985="Vergoeding"),VLOOKUP(G1985,Tb_KostenTypen[],2,0),VLOOKUP(F1985,Kostentypen!$A$3:$E$20,3,0))),"")</f>
        <v/>
      </c>
      <c r="O1985" s="324"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4"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3"/>
      <c r="R1985" s="363"/>
      <c r="S1985" s="325"/>
      <c r="T1985" s="325"/>
      <c r="U1985" s="317" t="str" cm="1">
        <f t="array" aca="1" ref="U1985" ca="1">IFERROR(IF(AA1985&lt;&gt;"ja",_xlfn.IFNA(_xlfn.IFS(AND(O1985&lt;&gt;"",F1985&lt;&gt;"",RIGHT($N1985,6)="tarief",F1985="Vergoeding"),SUM(O1985)*FLOOR(SUM(Q1985),0.0001),AND(O1985&lt;&gt;"",F1985&lt;&gt;"",RIGHT($N1985,6)="tarief"),SUM(O1985)*FLOOR(SUM(Q1985),0.01),S1985&gt;0,IF(F1985&lt;&gt;"",FLOOR(SUM(S1985),0.01),"")),""),""),"")</f>
        <v/>
      </c>
      <c r="V1985" s="317" t="str" cm="1">
        <f t="array" aca="1" ref="V1985" ca="1">IFERROR(IF(AA1985&lt;&gt;"ja",_xlfn.IFNA(_xlfn.IFS(AND(P1985&lt;&gt;"",R1985&lt;&gt;"",RIGHT($N1985,6)="tarief",F1985="Vergoeding"),SUM(P1985)*FLOOR(SUM(R1985),0.0001),AND(P1985&lt;&gt;"",R1985&lt;&gt;"",RIGHT($N1985,6)="tarief"),P1985*FLOOR(R1985,0.01),T1985&gt;0,FLOOR(SUM(T1985),0.01)),""),""),"")</f>
        <v/>
      </c>
      <c r="W1985" s="317" t="str" cm="1">
        <f t="array" aca="1" ref="W1985" ca="1">IFERROR(_xlfn.IFS(OR(F1985="",LEFT(Methode_Keuze,4)="Geen",Methode_Keuze=""),"",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17" t="str" cm="1">
        <f t="array" aca="1" ref="X1985" ca="1">IFERROR(_xlfn.IFS(OR(F1985="",LEFT(Methode_Keuze,4)="Geen",Methode_Keuze=""),"",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26"/>
      <c r="Z1985" s="319"/>
      <c r="AA1985" s="32" t="str" cm="1">
        <f t="array" ref="AA1985">IFERROR(IF(INDEX(SubsidieTabel!$AD$1:$AG$12,MATCH($F1985,SubsidieTabel!$AD$1:$AD$12,0),IFERROR(MATCH(Methode_Keuze,SubsidieTabel!$AD$1:$AG$1,0),2))&lt;&gt;1=TRUE,"ja",""),"")</f>
        <v/>
      </c>
    </row>
    <row r="1986" spans="1:27" x14ac:dyDescent="0.25">
      <c r="A1986" s="320"/>
      <c r="B1986" s="321" t="str">
        <f>IF(A1986&lt;&gt;"",_xlfn.MAXIFS($B$1:B1985,$A$1:A1985,A1986)+1,"")</f>
        <v/>
      </c>
      <c r="C1986" s="299"/>
      <c r="D1986" s="299"/>
      <c r="E1986" s="299"/>
      <c r="F1986" s="299"/>
      <c r="G1986" s="330"/>
      <c r="H1986" s="328"/>
      <c r="I1986" s="329"/>
      <c r="J1986" s="329"/>
      <c r="K1986" s="322"/>
      <c r="L1986" s="322"/>
      <c r="M1986" s="323" t="str">
        <f>IFERROR(VLOOKUP(H1986,Lijsten!$H$1:$I$100,2,0),"")</f>
        <v/>
      </c>
      <c r="N1986" s="323" t="str">
        <f ca="1">IFERROR(IF(VLOOKUP(F1986,Kostentypen!$A$3:$E$21,3,0)=0,"",IF(OR(F1986="Arbeidskosten",F1986="Vergoeding"),VLOOKUP(G1986,Tb_KostenTypen[],2,0),VLOOKUP(F1986,Kostentypen!$A$3:$E$20,3,0))),"")</f>
        <v/>
      </c>
      <c r="O1986" s="324"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4"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3"/>
      <c r="R1986" s="363"/>
      <c r="S1986" s="325"/>
      <c r="T1986" s="325"/>
      <c r="U1986" s="317" t="str" cm="1">
        <f t="array" aca="1" ref="U1986" ca="1">IFERROR(IF(AA1986&lt;&gt;"ja",_xlfn.IFNA(_xlfn.IFS(AND(O1986&lt;&gt;"",F1986&lt;&gt;"",RIGHT($N1986,6)="tarief",F1986="Vergoeding"),SUM(O1986)*FLOOR(SUM(Q1986),0.0001),AND(O1986&lt;&gt;"",F1986&lt;&gt;"",RIGHT($N1986,6)="tarief"),SUM(O1986)*FLOOR(SUM(Q1986),0.01),S1986&gt;0,IF(F1986&lt;&gt;"",FLOOR(SUM(S1986),0.01),"")),""),""),"")</f>
        <v/>
      </c>
      <c r="V1986" s="317" t="str" cm="1">
        <f t="array" aca="1" ref="V1986" ca="1">IFERROR(IF(AA1986&lt;&gt;"ja",_xlfn.IFNA(_xlfn.IFS(AND(P1986&lt;&gt;"",R1986&lt;&gt;"",RIGHT($N1986,6)="tarief",F1986="Vergoeding"),SUM(P1986)*FLOOR(SUM(R1986),0.0001),AND(P1986&lt;&gt;"",R1986&lt;&gt;"",RIGHT($N1986,6)="tarief"),P1986*FLOOR(R1986,0.01),T1986&gt;0,FLOOR(SUM(T1986),0.01)),""),""),"")</f>
        <v/>
      </c>
      <c r="W1986" s="317" t="str" cm="1">
        <f t="array" aca="1" ref="W1986" ca="1">IFERROR(_xlfn.IFS(OR(F1986="",LEFT(Methode_Keuze,4)="Geen",Methode_Keuze=""),"",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17" t="str" cm="1">
        <f t="array" aca="1" ref="X1986" ca="1">IFERROR(_xlfn.IFS(OR(F1986="",LEFT(Methode_Keuze,4)="Geen",Methode_Keuze=""),"",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26"/>
      <c r="Z1986" s="319"/>
      <c r="AA1986" s="32" t="str" cm="1">
        <f t="array" ref="AA1986">IFERROR(IF(INDEX(SubsidieTabel!$AD$1:$AG$12,MATCH($F1986,SubsidieTabel!$AD$1:$AD$12,0),IFERROR(MATCH(Methode_Keuze,SubsidieTabel!$AD$1:$AG$1,0),2))&lt;&gt;1=TRUE,"ja",""),"")</f>
        <v/>
      </c>
    </row>
    <row r="1987" spans="1:27" x14ac:dyDescent="0.25">
      <c r="A1987" s="320"/>
      <c r="B1987" s="321" t="str">
        <f>IF(A1987&lt;&gt;"",_xlfn.MAXIFS($B$1:B1986,$A$1:A1986,A1987)+1,"")</f>
        <v/>
      </c>
      <c r="C1987" s="299"/>
      <c r="D1987" s="299"/>
      <c r="E1987" s="299"/>
      <c r="F1987" s="299"/>
      <c r="G1987" s="330"/>
      <c r="H1987" s="328"/>
      <c r="I1987" s="329"/>
      <c r="J1987" s="329"/>
      <c r="K1987" s="322"/>
      <c r="L1987" s="322"/>
      <c r="M1987" s="323" t="str">
        <f>IFERROR(VLOOKUP(H1987,Lijsten!$H$1:$I$100,2,0),"")</f>
        <v/>
      </c>
      <c r="N1987" s="323" t="str">
        <f ca="1">IFERROR(IF(VLOOKUP(F1987,Kostentypen!$A$3:$E$21,3,0)=0,"",IF(OR(F1987="Arbeidskosten",F1987="Vergoeding"),VLOOKUP(G1987,Tb_KostenTypen[],2,0),VLOOKUP(F1987,Kostentypen!$A$3:$E$20,3,0))),"")</f>
        <v/>
      </c>
      <c r="O1987" s="324"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4"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3"/>
      <c r="R1987" s="363"/>
      <c r="S1987" s="325"/>
      <c r="T1987" s="325"/>
      <c r="U1987" s="317" t="str" cm="1">
        <f t="array" aca="1" ref="U1987" ca="1">IFERROR(IF(AA1987&lt;&gt;"ja",_xlfn.IFNA(_xlfn.IFS(AND(O1987&lt;&gt;"",F1987&lt;&gt;"",RIGHT($N1987,6)="tarief",F1987="Vergoeding"),SUM(O1987)*FLOOR(SUM(Q1987),0.0001),AND(O1987&lt;&gt;"",F1987&lt;&gt;"",RIGHT($N1987,6)="tarief"),SUM(O1987)*FLOOR(SUM(Q1987),0.01),S1987&gt;0,IF(F1987&lt;&gt;"",FLOOR(SUM(S1987),0.01),"")),""),""),"")</f>
        <v/>
      </c>
      <c r="V1987" s="317" t="str" cm="1">
        <f t="array" aca="1" ref="V1987" ca="1">IFERROR(IF(AA1987&lt;&gt;"ja",_xlfn.IFNA(_xlfn.IFS(AND(P1987&lt;&gt;"",R1987&lt;&gt;"",RIGHT($N1987,6)="tarief",F1987="Vergoeding"),SUM(P1987)*FLOOR(SUM(R1987),0.0001),AND(P1987&lt;&gt;"",R1987&lt;&gt;"",RIGHT($N1987,6)="tarief"),P1987*FLOOR(R1987,0.01),T1987&gt;0,FLOOR(SUM(T1987),0.01)),""),""),"")</f>
        <v/>
      </c>
      <c r="W1987" s="317" t="str" cm="1">
        <f t="array" aca="1" ref="W1987" ca="1">IFERROR(_xlfn.IFS(OR(F1987="",LEFT(Methode_Keuze,4)="Geen",Methode_Keuze=""),"",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17" t="str" cm="1">
        <f t="array" aca="1" ref="X1987" ca="1">IFERROR(_xlfn.IFS(OR(F1987="",LEFT(Methode_Keuze,4)="Geen",Methode_Keuze=""),"",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26"/>
      <c r="Z1987" s="319"/>
      <c r="AA1987" s="32" t="str" cm="1">
        <f t="array" ref="AA1987">IFERROR(IF(INDEX(SubsidieTabel!$AD$1:$AG$12,MATCH($F1987,SubsidieTabel!$AD$1:$AD$12,0),IFERROR(MATCH(Methode_Keuze,SubsidieTabel!$AD$1:$AG$1,0),2))&lt;&gt;1=TRUE,"ja",""),"")</f>
        <v/>
      </c>
    </row>
    <row r="1988" spans="1:27" x14ac:dyDescent="0.25">
      <c r="A1988" s="320"/>
      <c r="B1988" s="321" t="str">
        <f>IF(A1988&lt;&gt;"",_xlfn.MAXIFS($B$1:B1987,$A$1:A1987,A1988)+1,"")</f>
        <v/>
      </c>
      <c r="C1988" s="299"/>
      <c r="D1988" s="299"/>
      <c r="E1988" s="299"/>
      <c r="F1988" s="299"/>
      <c r="G1988" s="330"/>
      <c r="H1988" s="328"/>
      <c r="I1988" s="329"/>
      <c r="J1988" s="329"/>
      <c r="K1988" s="322"/>
      <c r="L1988" s="322"/>
      <c r="M1988" s="323" t="str">
        <f>IFERROR(VLOOKUP(H1988,Lijsten!$H$1:$I$100,2,0),"")</f>
        <v/>
      </c>
      <c r="N1988" s="323" t="str">
        <f ca="1">IFERROR(IF(VLOOKUP(F1988,Kostentypen!$A$3:$E$21,3,0)=0,"",IF(OR(F1988="Arbeidskosten",F1988="Vergoeding"),VLOOKUP(G1988,Tb_KostenTypen[],2,0),VLOOKUP(F1988,Kostentypen!$A$3:$E$20,3,0))),"")</f>
        <v/>
      </c>
      <c r="O1988" s="324"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4"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3"/>
      <c r="R1988" s="363"/>
      <c r="S1988" s="325"/>
      <c r="T1988" s="325"/>
      <c r="U1988" s="317" t="str" cm="1">
        <f t="array" aca="1" ref="U1988" ca="1">IFERROR(IF(AA1988&lt;&gt;"ja",_xlfn.IFNA(_xlfn.IFS(AND(O1988&lt;&gt;"",F1988&lt;&gt;"",RIGHT($N1988,6)="tarief",F1988="Vergoeding"),SUM(O1988)*FLOOR(SUM(Q1988),0.0001),AND(O1988&lt;&gt;"",F1988&lt;&gt;"",RIGHT($N1988,6)="tarief"),SUM(O1988)*FLOOR(SUM(Q1988),0.01),S1988&gt;0,IF(F1988&lt;&gt;"",FLOOR(SUM(S1988),0.01),"")),""),""),"")</f>
        <v/>
      </c>
      <c r="V1988" s="317" t="str" cm="1">
        <f t="array" aca="1" ref="V1988" ca="1">IFERROR(IF(AA1988&lt;&gt;"ja",_xlfn.IFNA(_xlfn.IFS(AND(P1988&lt;&gt;"",R1988&lt;&gt;"",RIGHT($N1988,6)="tarief",F1988="Vergoeding"),SUM(P1988)*FLOOR(SUM(R1988),0.0001),AND(P1988&lt;&gt;"",R1988&lt;&gt;"",RIGHT($N1988,6)="tarief"),P1988*FLOOR(R1988,0.01),T1988&gt;0,FLOOR(SUM(T1988),0.01)),""),""),"")</f>
        <v/>
      </c>
      <c r="W1988" s="317" t="str" cm="1">
        <f t="array" aca="1" ref="W1988" ca="1">IFERROR(_xlfn.IFS(OR(F1988="",LEFT(Methode_Keuze,4)="Geen",Methode_Keuze=""),"",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17" t="str" cm="1">
        <f t="array" aca="1" ref="X1988" ca="1">IFERROR(_xlfn.IFS(OR(F1988="",LEFT(Methode_Keuze,4)="Geen",Methode_Keuze=""),"",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26"/>
      <c r="Z1988" s="319"/>
      <c r="AA1988" s="32" t="str" cm="1">
        <f t="array" ref="AA1988">IFERROR(IF(INDEX(SubsidieTabel!$AD$1:$AG$12,MATCH($F1988,SubsidieTabel!$AD$1:$AD$12,0),IFERROR(MATCH(Methode_Keuze,SubsidieTabel!$AD$1:$AG$1,0),2))&lt;&gt;1=TRUE,"ja",""),"")</f>
        <v/>
      </c>
    </row>
    <row r="1989" spans="1:27" x14ac:dyDescent="0.25">
      <c r="A1989" s="320"/>
      <c r="B1989" s="321" t="str">
        <f>IF(A1989&lt;&gt;"",_xlfn.MAXIFS($B$1:B1988,$A$1:A1988,A1989)+1,"")</f>
        <v/>
      </c>
      <c r="C1989" s="299"/>
      <c r="D1989" s="299"/>
      <c r="E1989" s="299"/>
      <c r="F1989" s="299"/>
      <c r="G1989" s="330"/>
      <c r="H1989" s="328"/>
      <c r="I1989" s="329"/>
      <c r="J1989" s="329"/>
      <c r="K1989" s="322"/>
      <c r="L1989" s="322"/>
      <c r="M1989" s="323" t="str">
        <f>IFERROR(VLOOKUP(H1989,Lijsten!$H$1:$I$100,2,0),"")</f>
        <v/>
      </c>
      <c r="N1989" s="323" t="str">
        <f ca="1">IFERROR(IF(VLOOKUP(F1989,Kostentypen!$A$3:$E$21,3,0)=0,"",IF(OR(F1989="Arbeidskosten",F1989="Vergoeding"),VLOOKUP(G1989,Tb_KostenTypen[],2,0),VLOOKUP(F1989,Kostentypen!$A$3:$E$20,3,0))),"")</f>
        <v/>
      </c>
      <c r="O1989" s="324"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4"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3"/>
      <c r="R1989" s="363"/>
      <c r="S1989" s="325"/>
      <c r="T1989" s="325"/>
      <c r="U1989" s="317" t="str" cm="1">
        <f t="array" aca="1" ref="U1989" ca="1">IFERROR(IF(AA1989&lt;&gt;"ja",_xlfn.IFNA(_xlfn.IFS(AND(O1989&lt;&gt;"",F1989&lt;&gt;"",RIGHT($N1989,6)="tarief",F1989="Vergoeding"),SUM(O1989)*FLOOR(SUM(Q1989),0.0001),AND(O1989&lt;&gt;"",F1989&lt;&gt;"",RIGHT($N1989,6)="tarief"),SUM(O1989)*FLOOR(SUM(Q1989),0.01),S1989&gt;0,IF(F1989&lt;&gt;"",FLOOR(SUM(S1989),0.01),"")),""),""),"")</f>
        <v/>
      </c>
      <c r="V1989" s="317" t="str" cm="1">
        <f t="array" aca="1" ref="V1989" ca="1">IFERROR(IF(AA1989&lt;&gt;"ja",_xlfn.IFNA(_xlfn.IFS(AND(P1989&lt;&gt;"",R1989&lt;&gt;"",RIGHT($N1989,6)="tarief",F1989="Vergoeding"),SUM(P1989)*FLOOR(SUM(R1989),0.0001),AND(P1989&lt;&gt;"",R1989&lt;&gt;"",RIGHT($N1989,6)="tarief"),P1989*FLOOR(R1989,0.01),T1989&gt;0,FLOOR(SUM(T1989),0.01)),""),""),"")</f>
        <v/>
      </c>
      <c r="W1989" s="317" t="str" cm="1">
        <f t="array" aca="1" ref="W1989" ca="1">IFERROR(_xlfn.IFS(OR(F1989="",LEFT(Methode_Keuze,4)="Geen",Methode_Keuze=""),"",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17" t="str" cm="1">
        <f t="array" aca="1" ref="X1989" ca="1">IFERROR(_xlfn.IFS(OR(F1989="",LEFT(Methode_Keuze,4)="Geen",Methode_Keuze=""),"",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26"/>
      <c r="Z1989" s="319"/>
      <c r="AA1989" s="32" t="str" cm="1">
        <f t="array" ref="AA1989">IFERROR(IF(INDEX(SubsidieTabel!$AD$1:$AG$12,MATCH($F1989,SubsidieTabel!$AD$1:$AD$12,0),IFERROR(MATCH(Methode_Keuze,SubsidieTabel!$AD$1:$AG$1,0),2))&lt;&gt;1=TRUE,"ja",""),"")</f>
        <v/>
      </c>
    </row>
    <row r="1990" spans="1:27" x14ac:dyDescent="0.25">
      <c r="A1990" s="320"/>
      <c r="B1990" s="321" t="str">
        <f>IF(A1990&lt;&gt;"",_xlfn.MAXIFS($B$1:B1989,$A$1:A1989,A1990)+1,"")</f>
        <v/>
      </c>
      <c r="C1990" s="299"/>
      <c r="D1990" s="299"/>
      <c r="E1990" s="299"/>
      <c r="F1990" s="299"/>
      <c r="G1990" s="330"/>
      <c r="H1990" s="328"/>
      <c r="I1990" s="329"/>
      <c r="J1990" s="329"/>
      <c r="K1990" s="322"/>
      <c r="L1990" s="322"/>
      <c r="M1990" s="323" t="str">
        <f>IFERROR(VLOOKUP(H1990,Lijsten!$H$1:$I$100,2,0),"")</f>
        <v/>
      </c>
      <c r="N1990" s="323" t="str">
        <f ca="1">IFERROR(IF(VLOOKUP(F1990,Kostentypen!$A$3:$E$21,3,0)=0,"",IF(OR(F1990="Arbeidskosten",F1990="Vergoeding"),VLOOKUP(G1990,Tb_KostenTypen[],2,0),VLOOKUP(F1990,Kostentypen!$A$3:$E$20,3,0))),"")</f>
        <v/>
      </c>
      <c r="O1990" s="324"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4"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3"/>
      <c r="R1990" s="363"/>
      <c r="S1990" s="325"/>
      <c r="T1990" s="325"/>
      <c r="U1990" s="317" t="str" cm="1">
        <f t="array" aca="1" ref="U1990" ca="1">IFERROR(IF(AA1990&lt;&gt;"ja",_xlfn.IFNA(_xlfn.IFS(AND(O1990&lt;&gt;"",F1990&lt;&gt;"",RIGHT($N1990,6)="tarief",F1990="Vergoeding"),SUM(O1990)*FLOOR(SUM(Q1990),0.0001),AND(O1990&lt;&gt;"",F1990&lt;&gt;"",RIGHT($N1990,6)="tarief"),SUM(O1990)*FLOOR(SUM(Q1990),0.01),S1990&gt;0,IF(F1990&lt;&gt;"",FLOOR(SUM(S1990),0.01),"")),""),""),"")</f>
        <v/>
      </c>
      <c r="V1990" s="317" t="str" cm="1">
        <f t="array" aca="1" ref="V1990" ca="1">IFERROR(IF(AA1990&lt;&gt;"ja",_xlfn.IFNA(_xlfn.IFS(AND(P1990&lt;&gt;"",R1990&lt;&gt;"",RIGHT($N1990,6)="tarief",F1990="Vergoeding"),SUM(P1990)*FLOOR(SUM(R1990),0.0001),AND(P1990&lt;&gt;"",R1990&lt;&gt;"",RIGHT($N1990,6)="tarief"),P1990*FLOOR(R1990,0.01),T1990&gt;0,FLOOR(SUM(T1990),0.01)),""),""),"")</f>
        <v/>
      </c>
      <c r="W1990" s="317" t="str" cm="1">
        <f t="array" aca="1" ref="W1990" ca="1">IFERROR(_xlfn.IFS(OR(F1990="",LEFT(Methode_Keuze,4)="Geen",Methode_Keuze=""),"",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17" t="str" cm="1">
        <f t="array" aca="1" ref="X1990" ca="1">IFERROR(_xlfn.IFS(OR(F1990="",LEFT(Methode_Keuze,4)="Geen",Methode_Keuze=""),"",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26"/>
      <c r="Z1990" s="319"/>
      <c r="AA1990" s="32" t="str" cm="1">
        <f t="array" ref="AA1990">IFERROR(IF(INDEX(SubsidieTabel!$AD$1:$AG$12,MATCH($F1990,SubsidieTabel!$AD$1:$AD$12,0),IFERROR(MATCH(Methode_Keuze,SubsidieTabel!$AD$1:$AG$1,0),2))&lt;&gt;1=TRUE,"ja",""),"")</f>
        <v/>
      </c>
    </row>
    <row r="1991" spans="1:27" x14ac:dyDescent="0.25">
      <c r="A1991" s="320"/>
      <c r="B1991" s="321" t="str">
        <f>IF(A1991&lt;&gt;"",_xlfn.MAXIFS($B$1:B1990,$A$1:A1990,A1991)+1,"")</f>
        <v/>
      </c>
      <c r="C1991" s="299"/>
      <c r="D1991" s="299"/>
      <c r="E1991" s="299"/>
      <c r="F1991" s="299"/>
      <c r="G1991" s="330"/>
      <c r="H1991" s="328"/>
      <c r="I1991" s="329"/>
      <c r="J1991" s="329"/>
      <c r="K1991" s="322"/>
      <c r="L1991" s="322"/>
      <c r="M1991" s="323" t="str">
        <f>IFERROR(VLOOKUP(H1991,Lijsten!$H$1:$I$100,2,0),"")</f>
        <v/>
      </c>
      <c r="N1991" s="323" t="str">
        <f ca="1">IFERROR(IF(VLOOKUP(F1991,Kostentypen!$A$3:$E$21,3,0)=0,"",IF(OR(F1991="Arbeidskosten",F1991="Vergoeding"),VLOOKUP(G1991,Tb_KostenTypen[],2,0),VLOOKUP(F1991,Kostentypen!$A$3:$E$20,3,0))),"")</f>
        <v/>
      </c>
      <c r="O1991" s="324"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4"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3"/>
      <c r="R1991" s="363"/>
      <c r="S1991" s="325"/>
      <c r="T1991" s="325"/>
      <c r="U1991" s="317" t="str" cm="1">
        <f t="array" aca="1" ref="U1991" ca="1">IFERROR(IF(AA1991&lt;&gt;"ja",_xlfn.IFNA(_xlfn.IFS(AND(O1991&lt;&gt;"",F1991&lt;&gt;"",RIGHT($N1991,6)="tarief",F1991="Vergoeding"),SUM(O1991)*FLOOR(SUM(Q1991),0.0001),AND(O1991&lt;&gt;"",F1991&lt;&gt;"",RIGHT($N1991,6)="tarief"),SUM(O1991)*FLOOR(SUM(Q1991),0.01),S1991&gt;0,IF(F1991&lt;&gt;"",FLOOR(SUM(S1991),0.01),"")),""),""),"")</f>
        <v/>
      </c>
      <c r="V1991" s="317" t="str" cm="1">
        <f t="array" aca="1" ref="V1991" ca="1">IFERROR(IF(AA1991&lt;&gt;"ja",_xlfn.IFNA(_xlfn.IFS(AND(P1991&lt;&gt;"",R1991&lt;&gt;"",RIGHT($N1991,6)="tarief",F1991="Vergoeding"),SUM(P1991)*FLOOR(SUM(R1991),0.0001),AND(P1991&lt;&gt;"",R1991&lt;&gt;"",RIGHT($N1991,6)="tarief"),P1991*FLOOR(R1991,0.01),T1991&gt;0,FLOOR(SUM(T1991),0.01)),""),""),"")</f>
        <v/>
      </c>
      <c r="W1991" s="317" t="str" cm="1">
        <f t="array" aca="1" ref="W1991" ca="1">IFERROR(_xlfn.IFS(OR(F1991="",LEFT(Methode_Keuze,4)="Geen",Methode_Keuze=""),"",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17" t="str" cm="1">
        <f t="array" aca="1" ref="X1991" ca="1">IFERROR(_xlfn.IFS(OR(F1991="",LEFT(Methode_Keuze,4)="Geen",Methode_Keuze=""),"",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26"/>
      <c r="Z1991" s="319"/>
      <c r="AA1991" s="32" t="str" cm="1">
        <f t="array" ref="AA1991">IFERROR(IF(INDEX(SubsidieTabel!$AD$1:$AG$12,MATCH($F1991,SubsidieTabel!$AD$1:$AD$12,0),IFERROR(MATCH(Methode_Keuze,SubsidieTabel!$AD$1:$AG$1,0),2))&lt;&gt;1=TRUE,"ja",""),"")</f>
        <v/>
      </c>
    </row>
    <row r="1992" spans="1:27" x14ac:dyDescent="0.25">
      <c r="A1992" s="320"/>
      <c r="B1992" s="321" t="str">
        <f>IF(A1992&lt;&gt;"",_xlfn.MAXIFS($B$1:B1991,$A$1:A1991,A1992)+1,"")</f>
        <v/>
      </c>
      <c r="C1992" s="299"/>
      <c r="D1992" s="299"/>
      <c r="E1992" s="299"/>
      <c r="F1992" s="299"/>
      <c r="G1992" s="330"/>
      <c r="H1992" s="328"/>
      <c r="I1992" s="329"/>
      <c r="J1992" s="329"/>
      <c r="K1992" s="322"/>
      <c r="L1992" s="322"/>
      <c r="M1992" s="323" t="str">
        <f>IFERROR(VLOOKUP(H1992,Lijsten!$H$1:$I$100,2,0),"")</f>
        <v/>
      </c>
      <c r="N1992" s="323" t="str">
        <f ca="1">IFERROR(IF(VLOOKUP(F1992,Kostentypen!$A$3:$E$21,3,0)=0,"",IF(OR(F1992="Arbeidskosten",F1992="Vergoeding"),VLOOKUP(G1992,Tb_KostenTypen[],2,0),VLOOKUP(F1992,Kostentypen!$A$3:$E$20,3,0))),"")</f>
        <v/>
      </c>
      <c r="O1992" s="324"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4"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3"/>
      <c r="R1992" s="363"/>
      <c r="S1992" s="325"/>
      <c r="T1992" s="325"/>
      <c r="U1992" s="317" t="str" cm="1">
        <f t="array" aca="1" ref="U1992" ca="1">IFERROR(IF(AA1992&lt;&gt;"ja",_xlfn.IFNA(_xlfn.IFS(AND(O1992&lt;&gt;"",F1992&lt;&gt;"",RIGHT($N1992,6)="tarief",F1992="Vergoeding"),SUM(O1992)*FLOOR(SUM(Q1992),0.0001),AND(O1992&lt;&gt;"",F1992&lt;&gt;"",RIGHT($N1992,6)="tarief"),SUM(O1992)*FLOOR(SUM(Q1992),0.01),S1992&gt;0,IF(F1992&lt;&gt;"",FLOOR(SUM(S1992),0.01),"")),""),""),"")</f>
        <v/>
      </c>
      <c r="V1992" s="317" t="str" cm="1">
        <f t="array" aca="1" ref="V1992" ca="1">IFERROR(IF(AA1992&lt;&gt;"ja",_xlfn.IFNA(_xlfn.IFS(AND(P1992&lt;&gt;"",R1992&lt;&gt;"",RIGHT($N1992,6)="tarief",F1992="Vergoeding"),SUM(P1992)*FLOOR(SUM(R1992),0.0001),AND(P1992&lt;&gt;"",R1992&lt;&gt;"",RIGHT($N1992,6)="tarief"),P1992*FLOOR(R1992,0.01),T1992&gt;0,FLOOR(SUM(T1992),0.01)),""),""),"")</f>
        <v/>
      </c>
      <c r="W1992" s="317" t="str" cm="1">
        <f t="array" aca="1" ref="W1992" ca="1">IFERROR(_xlfn.IFS(OR(F1992="",LEFT(Methode_Keuze,4)="Geen",Methode_Keuze=""),"",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17" t="str" cm="1">
        <f t="array" aca="1" ref="X1992" ca="1">IFERROR(_xlfn.IFS(OR(F1992="",LEFT(Methode_Keuze,4)="Geen",Methode_Keuze=""),"",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26"/>
      <c r="Z1992" s="319"/>
      <c r="AA1992" s="32" t="str" cm="1">
        <f t="array" ref="AA1992">IFERROR(IF(INDEX(SubsidieTabel!$AD$1:$AG$12,MATCH($F1992,SubsidieTabel!$AD$1:$AD$12,0),IFERROR(MATCH(Methode_Keuze,SubsidieTabel!$AD$1:$AG$1,0),2))&lt;&gt;1=TRUE,"ja",""),"")</f>
        <v/>
      </c>
    </row>
    <row r="1993" spans="1:27" x14ac:dyDescent="0.25">
      <c r="A1993" s="320"/>
      <c r="B1993" s="321" t="str">
        <f>IF(A1993&lt;&gt;"",_xlfn.MAXIFS($B$1:B1992,$A$1:A1992,A1993)+1,"")</f>
        <v/>
      </c>
      <c r="C1993" s="299"/>
      <c r="D1993" s="299"/>
      <c r="E1993" s="299"/>
      <c r="F1993" s="299"/>
      <c r="G1993" s="330"/>
      <c r="H1993" s="328"/>
      <c r="I1993" s="329"/>
      <c r="J1993" s="329"/>
      <c r="K1993" s="322"/>
      <c r="L1993" s="322"/>
      <c r="M1993" s="323" t="str">
        <f>IFERROR(VLOOKUP(H1993,Lijsten!$H$1:$I$100,2,0),"")</f>
        <v/>
      </c>
      <c r="N1993" s="323" t="str">
        <f ca="1">IFERROR(IF(VLOOKUP(F1993,Kostentypen!$A$3:$E$21,3,0)=0,"",IF(OR(F1993="Arbeidskosten",F1993="Vergoeding"),VLOOKUP(G1993,Tb_KostenTypen[],2,0),VLOOKUP(F1993,Kostentypen!$A$3:$E$20,3,0))),"")</f>
        <v/>
      </c>
      <c r="O1993" s="324"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4"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3"/>
      <c r="R1993" s="363"/>
      <c r="S1993" s="325"/>
      <c r="T1993" s="325"/>
      <c r="U1993" s="317" t="str" cm="1">
        <f t="array" aca="1" ref="U1993" ca="1">IFERROR(IF(AA1993&lt;&gt;"ja",_xlfn.IFNA(_xlfn.IFS(AND(O1993&lt;&gt;"",F1993&lt;&gt;"",RIGHT($N1993,6)="tarief",F1993="Vergoeding"),SUM(O1993)*FLOOR(SUM(Q1993),0.0001),AND(O1993&lt;&gt;"",F1993&lt;&gt;"",RIGHT($N1993,6)="tarief"),SUM(O1993)*FLOOR(SUM(Q1993),0.01),S1993&gt;0,IF(F1993&lt;&gt;"",FLOOR(SUM(S1993),0.01),"")),""),""),"")</f>
        <v/>
      </c>
      <c r="V1993" s="317" t="str" cm="1">
        <f t="array" aca="1" ref="V1993" ca="1">IFERROR(IF(AA1993&lt;&gt;"ja",_xlfn.IFNA(_xlfn.IFS(AND(P1993&lt;&gt;"",R1993&lt;&gt;"",RIGHT($N1993,6)="tarief",F1993="Vergoeding"),SUM(P1993)*FLOOR(SUM(R1993),0.0001),AND(P1993&lt;&gt;"",R1993&lt;&gt;"",RIGHT($N1993,6)="tarief"),P1993*FLOOR(R1993,0.01),T1993&gt;0,FLOOR(SUM(T1993),0.01)),""),""),"")</f>
        <v/>
      </c>
      <c r="W1993" s="317" t="str" cm="1">
        <f t="array" aca="1" ref="W1993" ca="1">IFERROR(_xlfn.IFS(OR(F1993="",LEFT(Methode_Keuze,4)="Geen",Methode_Keuze=""),"",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17" t="str" cm="1">
        <f t="array" aca="1" ref="X1993" ca="1">IFERROR(_xlfn.IFS(OR(F1993="",LEFT(Methode_Keuze,4)="Geen",Methode_Keuze=""),"",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26"/>
      <c r="Z1993" s="319"/>
      <c r="AA1993" s="32" t="str" cm="1">
        <f t="array" ref="AA1993">IFERROR(IF(INDEX(SubsidieTabel!$AD$1:$AG$12,MATCH($F1993,SubsidieTabel!$AD$1:$AD$12,0),IFERROR(MATCH(Methode_Keuze,SubsidieTabel!$AD$1:$AG$1,0),2))&lt;&gt;1=TRUE,"ja",""),"")</f>
        <v/>
      </c>
    </row>
    <row r="1994" spans="1:27" x14ac:dyDescent="0.25">
      <c r="A1994" s="320"/>
      <c r="B1994" s="321" t="str">
        <f>IF(A1994&lt;&gt;"",_xlfn.MAXIFS($B$1:B1993,$A$1:A1993,A1994)+1,"")</f>
        <v/>
      </c>
      <c r="C1994" s="299"/>
      <c r="D1994" s="299"/>
      <c r="E1994" s="299"/>
      <c r="F1994" s="299"/>
      <c r="G1994" s="330"/>
      <c r="H1994" s="328"/>
      <c r="I1994" s="329"/>
      <c r="J1994" s="329"/>
      <c r="K1994" s="322"/>
      <c r="L1994" s="322"/>
      <c r="M1994" s="323" t="str">
        <f>IFERROR(VLOOKUP(H1994,Lijsten!$H$1:$I$100,2,0),"")</f>
        <v/>
      </c>
      <c r="N1994" s="323" t="str">
        <f ca="1">IFERROR(IF(VLOOKUP(F1994,Kostentypen!$A$3:$E$21,3,0)=0,"",IF(OR(F1994="Arbeidskosten",F1994="Vergoeding"),VLOOKUP(G1994,Tb_KostenTypen[],2,0),VLOOKUP(F1994,Kostentypen!$A$3:$E$20,3,0))),"")</f>
        <v/>
      </c>
      <c r="O1994" s="324"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4"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3"/>
      <c r="R1994" s="363"/>
      <c r="S1994" s="325"/>
      <c r="T1994" s="325"/>
      <c r="U1994" s="317" t="str" cm="1">
        <f t="array" aca="1" ref="U1994" ca="1">IFERROR(IF(AA1994&lt;&gt;"ja",_xlfn.IFNA(_xlfn.IFS(AND(O1994&lt;&gt;"",F1994&lt;&gt;"",RIGHT($N1994,6)="tarief",F1994="Vergoeding"),SUM(O1994)*FLOOR(SUM(Q1994),0.0001),AND(O1994&lt;&gt;"",F1994&lt;&gt;"",RIGHT($N1994,6)="tarief"),SUM(O1994)*FLOOR(SUM(Q1994),0.01),S1994&gt;0,IF(F1994&lt;&gt;"",FLOOR(SUM(S1994),0.01),"")),""),""),"")</f>
        <v/>
      </c>
      <c r="V1994" s="317" t="str" cm="1">
        <f t="array" aca="1" ref="V1994" ca="1">IFERROR(IF(AA1994&lt;&gt;"ja",_xlfn.IFNA(_xlfn.IFS(AND(P1994&lt;&gt;"",R1994&lt;&gt;"",RIGHT($N1994,6)="tarief",F1994="Vergoeding"),SUM(P1994)*FLOOR(SUM(R1994),0.0001),AND(P1994&lt;&gt;"",R1994&lt;&gt;"",RIGHT($N1994,6)="tarief"),P1994*FLOOR(R1994,0.01),T1994&gt;0,FLOOR(SUM(T1994),0.01)),""),""),"")</f>
        <v/>
      </c>
      <c r="W1994" s="317" t="str" cm="1">
        <f t="array" aca="1" ref="W1994" ca="1">IFERROR(_xlfn.IFS(OR(F1994="",LEFT(Methode_Keuze,4)="Geen",Methode_Keuze=""),"",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17" t="str" cm="1">
        <f t="array" aca="1" ref="X1994" ca="1">IFERROR(_xlfn.IFS(OR(F1994="",LEFT(Methode_Keuze,4)="Geen",Methode_Keuze=""),"",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26"/>
      <c r="Z1994" s="319"/>
      <c r="AA1994" s="32" t="str" cm="1">
        <f t="array" ref="AA1994">IFERROR(IF(INDEX(SubsidieTabel!$AD$1:$AG$12,MATCH($F1994,SubsidieTabel!$AD$1:$AD$12,0),IFERROR(MATCH(Methode_Keuze,SubsidieTabel!$AD$1:$AG$1,0),2))&lt;&gt;1=TRUE,"ja",""),"")</f>
        <v/>
      </c>
    </row>
    <row r="1995" spans="1:27" x14ac:dyDescent="0.25">
      <c r="A1995" s="320"/>
      <c r="B1995" s="321" t="str">
        <f>IF(A1995&lt;&gt;"",_xlfn.MAXIFS($B$1:B1994,$A$1:A1994,A1995)+1,"")</f>
        <v/>
      </c>
      <c r="C1995" s="299"/>
      <c r="D1995" s="299"/>
      <c r="E1995" s="299"/>
      <c r="F1995" s="299"/>
      <c r="G1995" s="330"/>
      <c r="H1995" s="328"/>
      <c r="I1995" s="329"/>
      <c r="J1995" s="329"/>
      <c r="K1995" s="322"/>
      <c r="L1995" s="322"/>
      <c r="M1995" s="323" t="str">
        <f>IFERROR(VLOOKUP(H1995,Lijsten!$H$1:$I$100,2,0),"")</f>
        <v/>
      </c>
      <c r="N1995" s="323" t="str">
        <f ca="1">IFERROR(IF(VLOOKUP(F1995,Kostentypen!$A$3:$E$21,3,0)=0,"",IF(OR(F1995="Arbeidskosten",F1995="Vergoeding"),VLOOKUP(G1995,Tb_KostenTypen[],2,0),VLOOKUP(F1995,Kostentypen!$A$3:$E$20,3,0))),"")</f>
        <v/>
      </c>
      <c r="O1995" s="324"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4"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3"/>
      <c r="R1995" s="363"/>
      <c r="S1995" s="325"/>
      <c r="T1995" s="325"/>
      <c r="U1995" s="317" t="str" cm="1">
        <f t="array" aca="1" ref="U1995" ca="1">IFERROR(IF(AA1995&lt;&gt;"ja",_xlfn.IFNA(_xlfn.IFS(AND(O1995&lt;&gt;"",F1995&lt;&gt;"",RIGHT($N1995,6)="tarief",F1995="Vergoeding"),SUM(O1995)*FLOOR(SUM(Q1995),0.0001),AND(O1995&lt;&gt;"",F1995&lt;&gt;"",RIGHT($N1995,6)="tarief"),SUM(O1995)*FLOOR(SUM(Q1995),0.01),S1995&gt;0,IF(F1995&lt;&gt;"",FLOOR(SUM(S1995),0.01),"")),""),""),"")</f>
        <v/>
      </c>
      <c r="V1995" s="317" t="str" cm="1">
        <f t="array" aca="1" ref="V1995" ca="1">IFERROR(IF(AA1995&lt;&gt;"ja",_xlfn.IFNA(_xlfn.IFS(AND(P1995&lt;&gt;"",R1995&lt;&gt;"",RIGHT($N1995,6)="tarief",F1995="Vergoeding"),SUM(P1995)*FLOOR(SUM(R1995),0.0001),AND(P1995&lt;&gt;"",R1995&lt;&gt;"",RIGHT($N1995,6)="tarief"),P1995*FLOOR(R1995,0.01),T1995&gt;0,FLOOR(SUM(T1995),0.01)),""),""),"")</f>
        <v/>
      </c>
      <c r="W1995" s="317" t="str" cm="1">
        <f t="array" aca="1" ref="W1995" ca="1">IFERROR(_xlfn.IFS(OR(F1995="",LEFT(Methode_Keuze,4)="Geen",Methode_Keuze=""),"",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17" t="str" cm="1">
        <f t="array" aca="1" ref="X1995" ca="1">IFERROR(_xlfn.IFS(OR(F1995="",LEFT(Methode_Keuze,4)="Geen",Methode_Keuze=""),"",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26"/>
      <c r="Z1995" s="319"/>
      <c r="AA1995" s="32" t="str" cm="1">
        <f t="array" ref="AA1995">IFERROR(IF(INDEX(SubsidieTabel!$AD$1:$AG$12,MATCH($F1995,SubsidieTabel!$AD$1:$AD$12,0),IFERROR(MATCH(Methode_Keuze,SubsidieTabel!$AD$1:$AG$1,0),2))&lt;&gt;1=TRUE,"ja",""),"")</f>
        <v/>
      </c>
    </row>
    <row r="1996" spans="1:27" x14ac:dyDescent="0.25">
      <c r="A1996" s="320"/>
      <c r="B1996" s="321" t="str">
        <f>IF(A1996&lt;&gt;"",_xlfn.MAXIFS($B$1:B1995,$A$1:A1995,A1996)+1,"")</f>
        <v/>
      </c>
      <c r="C1996" s="299"/>
      <c r="D1996" s="299"/>
      <c r="E1996" s="299"/>
      <c r="F1996" s="299"/>
      <c r="G1996" s="330"/>
      <c r="H1996" s="328"/>
      <c r="I1996" s="329"/>
      <c r="J1996" s="329"/>
      <c r="K1996" s="322"/>
      <c r="L1996" s="322"/>
      <c r="M1996" s="323" t="str">
        <f>IFERROR(VLOOKUP(H1996,Lijsten!$H$1:$I$100,2,0),"")</f>
        <v/>
      </c>
      <c r="N1996" s="323" t="str">
        <f ca="1">IFERROR(IF(VLOOKUP(F1996,Kostentypen!$A$3:$E$21,3,0)=0,"",IF(OR(F1996="Arbeidskosten",F1996="Vergoeding"),VLOOKUP(G1996,Tb_KostenTypen[],2,0),VLOOKUP(F1996,Kostentypen!$A$3:$E$20,3,0))),"")</f>
        <v/>
      </c>
      <c r="O1996" s="324"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4"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3"/>
      <c r="R1996" s="363"/>
      <c r="S1996" s="325"/>
      <c r="T1996" s="325"/>
      <c r="U1996" s="317" t="str" cm="1">
        <f t="array" aca="1" ref="U1996" ca="1">IFERROR(IF(AA1996&lt;&gt;"ja",_xlfn.IFNA(_xlfn.IFS(AND(O1996&lt;&gt;"",F1996&lt;&gt;"",RIGHT($N1996,6)="tarief",F1996="Vergoeding"),SUM(O1996)*FLOOR(SUM(Q1996),0.0001),AND(O1996&lt;&gt;"",F1996&lt;&gt;"",RIGHT($N1996,6)="tarief"),SUM(O1996)*FLOOR(SUM(Q1996),0.01),S1996&gt;0,IF(F1996&lt;&gt;"",FLOOR(SUM(S1996),0.01),"")),""),""),"")</f>
        <v/>
      </c>
      <c r="V1996" s="317" t="str" cm="1">
        <f t="array" aca="1" ref="V1996" ca="1">IFERROR(IF(AA1996&lt;&gt;"ja",_xlfn.IFNA(_xlfn.IFS(AND(P1996&lt;&gt;"",R1996&lt;&gt;"",RIGHT($N1996,6)="tarief",F1996="Vergoeding"),SUM(P1996)*FLOOR(SUM(R1996),0.0001),AND(P1996&lt;&gt;"",R1996&lt;&gt;"",RIGHT($N1996,6)="tarief"),P1996*FLOOR(R1996,0.01),T1996&gt;0,FLOOR(SUM(T1996),0.01)),""),""),"")</f>
        <v/>
      </c>
      <c r="W1996" s="317" t="str" cm="1">
        <f t="array" aca="1" ref="W1996" ca="1">IFERROR(_xlfn.IFS(OR(F1996="",LEFT(Methode_Keuze,4)="Geen",Methode_Keuze=""),"",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17" t="str" cm="1">
        <f t="array" aca="1" ref="X1996" ca="1">IFERROR(_xlfn.IFS(OR(F1996="",LEFT(Methode_Keuze,4)="Geen",Methode_Keuze=""),"",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26"/>
      <c r="Z1996" s="319"/>
      <c r="AA1996" s="32" t="str" cm="1">
        <f t="array" ref="AA1996">IFERROR(IF(INDEX(SubsidieTabel!$AD$1:$AG$12,MATCH($F1996,SubsidieTabel!$AD$1:$AD$12,0),IFERROR(MATCH(Methode_Keuze,SubsidieTabel!$AD$1:$AG$1,0),2))&lt;&gt;1=TRUE,"ja",""),"")</f>
        <v/>
      </c>
    </row>
    <row r="1997" spans="1:27" x14ac:dyDescent="0.25">
      <c r="A1997" s="320"/>
      <c r="B1997" s="321" t="str">
        <f>IF(A1997&lt;&gt;"",_xlfn.MAXIFS($B$1:B1996,$A$1:A1996,A1997)+1,"")</f>
        <v/>
      </c>
      <c r="C1997" s="299"/>
      <c r="D1997" s="299"/>
      <c r="E1997" s="299"/>
      <c r="F1997" s="299"/>
      <c r="G1997" s="330"/>
      <c r="H1997" s="328"/>
      <c r="I1997" s="329"/>
      <c r="J1997" s="329"/>
      <c r="K1997" s="322"/>
      <c r="L1997" s="322"/>
      <c r="M1997" s="323" t="str">
        <f>IFERROR(VLOOKUP(H1997,Lijsten!$H$1:$I$100,2,0),"")</f>
        <v/>
      </c>
      <c r="N1997" s="323" t="str">
        <f ca="1">IFERROR(IF(VLOOKUP(F1997,Kostentypen!$A$3:$E$21,3,0)=0,"",IF(OR(F1997="Arbeidskosten",F1997="Vergoeding"),VLOOKUP(G1997,Tb_KostenTypen[],2,0),VLOOKUP(F1997,Kostentypen!$A$3:$E$20,3,0))),"")</f>
        <v/>
      </c>
      <c r="O1997" s="324"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4"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3"/>
      <c r="R1997" s="363"/>
      <c r="S1997" s="325"/>
      <c r="T1997" s="325"/>
      <c r="U1997" s="317" t="str" cm="1">
        <f t="array" aca="1" ref="U1997" ca="1">IFERROR(IF(AA1997&lt;&gt;"ja",_xlfn.IFNA(_xlfn.IFS(AND(O1997&lt;&gt;"",F1997&lt;&gt;"",RIGHT($N1997,6)="tarief",F1997="Vergoeding"),SUM(O1997)*FLOOR(SUM(Q1997),0.0001),AND(O1997&lt;&gt;"",F1997&lt;&gt;"",RIGHT($N1997,6)="tarief"),SUM(O1997)*FLOOR(SUM(Q1997),0.01),S1997&gt;0,IF(F1997&lt;&gt;"",FLOOR(SUM(S1997),0.01),"")),""),""),"")</f>
        <v/>
      </c>
      <c r="V1997" s="317" t="str" cm="1">
        <f t="array" aca="1" ref="V1997" ca="1">IFERROR(IF(AA1997&lt;&gt;"ja",_xlfn.IFNA(_xlfn.IFS(AND(P1997&lt;&gt;"",R1997&lt;&gt;"",RIGHT($N1997,6)="tarief",F1997="Vergoeding"),SUM(P1997)*FLOOR(SUM(R1997),0.0001),AND(P1997&lt;&gt;"",R1997&lt;&gt;"",RIGHT($N1997,6)="tarief"),P1997*FLOOR(R1997,0.01),T1997&gt;0,FLOOR(SUM(T1997),0.01)),""),""),"")</f>
        <v/>
      </c>
      <c r="W1997" s="317" t="str" cm="1">
        <f t="array" aca="1" ref="W1997" ca="1">IFERROR(_xlfn.IFS(OR(F1997="",LEFT(Methode_Keuze,4)="Geen",Methode_Keuze=""),"",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17" t="str" cm="1">
        <f t="array" aca="1" ref="X1997" ca="1">IFERROR(_xlfn.IFS(OR(F1997="",LEFT(Methode_Keuze,4)="Geen",Methode_Keuze=""),"",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26"/>
      <c r="Z1997" s="319"/>
      <c r="AA1997" s="32" t="str" cm="1">
        <f t="array" ref="AA1997">IFERROR(IF(INDEX(SubsidieTabel!$AD$1:$AG$12,MATCH($F1997,SubsidieTabel!$AD$1:$AD$12,0),IFERROR(MATCH(Methode_Keuze,SubsidieTabel!$AD$1:$AG$1,0),2))&lt;&gt;1=TRUE,"ja",""),"")</f>
        <v/>
      </c>
    </row>
    <row r="1998" spans="1:27" x14ac:dyDescent="0.25">
      <c r="A1998" s="320"/>
      <c r="B1998" s="321" t="str">
        <f>IF(A1998&lt;&gt;"",_xlfn.MAXIFS($B$1:B1997,$A$1:A1997,A1998)+1,"")</f>
        <v/>
      </c>
      <c r="C1998" s="299"/>
      <c r="D1998" s="299"/>
      <c r="E1998" s="299"/>
      <c r="F1998" s="299"/>
      <c r="G1998" s="330"/>
      <c r="H1998" s="328"/>
      <c r="I1998" s="329"/>
      <c r="J1998" s="329"/>
      <c r="K1998" s="322"/>
      <c r="L1998" s="322"/>
      <c r="M1998" s="323" t="str">
        <f>IFERROR(VLOOKUP(H1998,Lijsten!$H$1:$I$100,2,0),"")</f>
        <v/>
      </c>
      <c r="N1998" s="323" t="str">
        <f ca="1">IFERROR(IF(VLOOKUP(F1998,Kostentypen!$A$3:$E$21,3,0)=0,"",IF(OR(F1998="Arbeidskosten",F1998="Vergoeding"),VLOOKUP(G1998,Tb_KostenTypen[],2,0),VLOOKUP(F1998,Kostentypen!$A$3:$E$20,3,0))),"")</f>
        <v/>
      </c>
      <c r="O1998" s="324"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4"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3"/>
      <c r="R1998" s="363"/>
      <c r="S1998" s="325"/>
      <c r="T1998" s="325"/>
      <c r="U1998" s="317" t="str" cm="1">
        <f t="array" aca="1" ref="U1998" ca="1">IFERROR(IF(AA1998&lt;&gt;"ja",_xlfn.IFNA(_xlfn.IFS(AND(O1998&lt;&gt;"",F1998&lt;&gt;"",RIGHT($N1998,6)="tarief",F1998="Vergoeding"),SUM(O1998)*FLOOR(SUM(Q1998),0.0001),AND(O1998&lt;&gt;"",F1998&lt;&gt;"",RIGHT($N1998,6)="tarief"),SUM(O1998)*FLOOR(SUM(Q1998),0.01),S1998&gt;0,IF(F1998&lt;&gt;"",FLOOR(SUM(S1998),0.01),"")),""),""),"")</f>
        <v/>
      </c>
      <c r="V1998" s="317" t="str" cm="1">
        <f t="array" aca="1" ref="V1998" ca="1">IFERROR(IF(AA1998&lt;&gt;"ja",_xlfn.IFNA(_xlfn.IFS(AND(P1998&lt;&gt;"",R1998&lt;&gt;"",RIGHT($N1998,6)="tarief",F1998="Vergoeding"),SUM(P1998)*FLOOR(SUM(R1998),0.0001),AND(P1998&lt;&gt;"",R1998&lt;&gt;"",RIGHT($N1998,6)="tarief"),P1998*FLOOR(R1998,0.01),T1998&gt;0,FLOOR(SUM(T1998),0.01)),""),""),"")</f>
        <v/>
      </c>
      <c r="W1998" s="317" t="str" cm="1">
        <f t="array" aca="1" ref="W1998" ca="1">IFERROR(_xlfn.IFS(OR(F1998="",LEFT(Methode_Keuze,4)="Geen",Methode_Keuze=""),"",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17" t="str" cm="1">
        <f t="array" aca="1" ref="X1998" ca="1">IFERROR(_xlfn.IFS(OR(F1998="",LEFT(Methode_Keuze,4)="Geen",Methode_Keuze=""),"",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26"/>
      <c r="Z1998" s="319"/>
      <c r="AA1998" s="32" t="str" cm="1">
        <f t="array" ref="AA1998">IFERROR(IF(INDEX(SubsidieTabel!$AD$1:$AG$12,MATCH($F1998,SubsidieTabel!$AD$1:$AD$12,0),IFERROR(MATCH(Methode_Keuze,SubsidieTabel!$AD$1:$AG$1,0),2))&lt;&gt;1=TRUE,"ja",""),"")</f>
        <v/>
      </c>
    </row>
    <row r="1999" spans="1:27" x14ac:dyDescent="0.25">
      <c r="A1999" s="320"/>
      <c r="B1999" s="321" t="str">
        <f>IF(A1999&lt;&gt;"",_xlfn.MAXIFS($B$1:B1998,$A$1:A1998,A1999)+1,"")</f>
        <v/>
      </c>
      <c r="C1999" s="299"/>
      <c r="D1999" s="299"/>
      <c r="E1999" s="299"/>
      <c r="F1999" s="299"/>
      <c r="G1999" s="330"/>
      <c r="H1999" s="328"/>
      <c r="I1999" s="329"/>
      <c r="J1999" s="329"/>
      <c r="K1999" s="322"/>
      <c r="L1999" s="322"/>
      <c r="M1999" s="323" t="str">
        <f>IFERROR(VLOOKUP(H1999,Lijsten!$H$1:$I$100,2,0),"")</f>
        <v/>
      </c>
      <c r="N1999" s="323" t="str">
        <f ca="1">IFERROR(IF(VLOOKUP(F1999,Kostentypen!$A$3:$E$21,3,0)=0,"",IF(OR(F1999="Arbeidskosten",F1999="Vergoeding"),VLOOKUP(G1999,Tb_KostenTypen[],2,0),VLOOKUP(F1999,Kostentypen!$A$3:$E$20,3,0))),"")</f>
        <v/>
      </c>
      <c r="O1999" s="324"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4"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3"/>
      <c r="R1999" s="363"/>
      <c r="S1999" s="325"/>
      <c r="T1999" s="325"/>
      <c r="U1999" s="317" t="str" cm="1">
        <f t="array" aca="1" ref="U1999" ca="1">IFERROR(IF(AA1999&lt;&gt;"ja",_xlfn.IFNA(_xlfn.IFS(AND(O1999&lt;&gt;"",F1999&lt;&gt;"",RIGHT($N1999,6)="tarief",F1999="Vergoeding"),SUM(O1999)*FLOOR(SUM(Q1999),0.0001),AND(O1999&lt;&gt;"",F1999&lt;&gt;"",RIGHT($N1999,6)="tarief"),SUM(O1999)*FLOOR(SUM(Q1999),0.01),S1999&gt;0,IF(F1999&lt;&gt;"",FLOOR(SUM(S1999),0.01),"")),""),""),"")</f>
        <v/>
      </c>
      <c r="V1999" s="317" t="str" cm="1">
        <f t="array" aca="1" ref="V1999" ca="1">IFERROR(IF(AA1999&lt;&gt;"ja",_xlfn.IFNA(_xlfn.IFS(AND(P1999&lt;&gt;"",R1999&lt;&gt;"",RIGHT($N1999,6)="tarief",F1999="Vergoeding"),SUM(P1999)*FLOOR(SUM(R1999),0.0001),AND(P1999&lt;&gt;"",R1999&lt;&gt;"",RIGHT($N1999,6)="tarief"),P1999*FLOOR(R1999,0.01),T1999&gt;0,FLOOR(SUM(T1999),0.01)),""),""),"")</f>
        <v/>
      </c>
      <c r="W1999" s="317" t="str" cm="1">
        <f t="array" aca="1" ref="W1999" ca="1">IFERROR(_xlfn.IFS(OR(F1999="",LEFT(Methode_Keuze,4)="Geen",Methode_Keuze=""),"",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17" t="str" cm="1">
        <f t="array" aca="1" ref="X1999" ca="1">IFERROR(_xlfn.IFS(OR(F1999="",LEFT(Methode_Keuze,4)="Geen",Methode_Keuze=""),"",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26"/>
      <c r="Z1999" s="319"/>
      <c r="AA1999" s="32" t="str" cm="1">
        <f t="array" ref="AA1999">IFERROR(IF(INDEX(SubsidieTabel!$AD$1:$AG$12,MATCH($F1999,SubsidieTabel!$AD$1:$AD$12,0),IFERROR(MATCH(Methode_Keuze,SubsidieTabel!$AD$1:$AG$1,0),2))&lt;&gt;1=TRUE,"ja",""),"")</f>
        <v/>
      </c>
    </row>
    <row r="2000" spans="1:27" x14ac:dyDescent="0.25">
      <c r="A2000" s="320"/>
      <c r="B2000" s="321" t="str">
        <f>IF(A2000&lt;&gt;"",_xlfn.MAXIFS($B$1:B1999,$A$1:A1999,A2000)+1,"")</f>
        <v/>
      </c>
      <c r="C2000" s="299"/>
      <c r="D2000" s="299"/>
      <c r="E2000" s="299"/>
      <c r="F2000" s="299"/>
      <c r="G2000" s="330"/>
      <c r="H2000" s="328"/>
      <c r="I2000" s="329"/>
      <c r="J2000" s="329"/>
      <c r="K2000" s="322"/>
      <c r="L2000" s="322"/>
      <c r="M2000" s="323" t="str">
        <f>IFERROR(VLOOKUP(H2000,Lijsten!$H$1:$I$100,2,0),"")</f>
        <v/>
      </c>
      <c r="N2000" s="323" t="str">
        <f ca="1">IFERROR(IF(VLOOKUP(F2000,Kostentypen!$A$3:$E$21,3,0)=0,"",IF(OR(F2000="Arbeidskosten",F2000="Vergoeding"),VLOOKUP(G2000,Tb_KostenTypen[],2,0),VLOOKUP(F2000,Kostentypen!$A$3:$E$20,3,0))),"")</f>
        <v/>
      </c>
      <c r="O2000" s="324"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4"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3"/>
      <c r="R2000" s="363"/>
      <c r="S2000" s="325"/>
      <c r="T2000" s="325"/>
      <c r="U2000" s="317" t="str" cm="1">
        <f t="array" aca="1" ref="U2000" ca="1">IFERROR(IF(AA2000&lt;&gt;"ja",_xlfn.IFNA(_xlfn.IFS(AND(O2000&lt;&gt;"",F2000&lt;&gt;"",RIGHT($N2000,6)="tarief",F2000="Vergoeding"),SUM(O2000)*FLOOR(SUM(Q2000),0.0001),AND(O2000&lt;&gt;"",F2000&lt;&gt;"",RIGHT($N2000,6)="tarief"),SUM(O2000)*FLOOR(SUM(Q2000),0.01),S2000&gt;0,IF(F2000&lt;&gt;"",FLOOR(SUM(S2000),0.01),"")),""),""),"")</f>
        <v/>
      </c>
      <c r="V2000" s="317" t="str" cm="1">
        <f t="array" aca="1" ref="V2000" ca="1">IFERROR(IF(AA2000&lt;&gt;"ja",_xlfn.IFNA(_xlfn.IFS(AND(P2000&lt;&gt;"",R2000&lt;&gt;"",RIGHT($N2000,6)="tarief",F2000="Vergoeding"),SUM(P2000)*FLOOR(SUM(R2000),0.0001),AND(P2000&lt;&gt;"",R2000&lt;&gt;"",RIGHT($N2000,6)="tarief"),P2000*FLOOR(R2000,0.01),T2000&gt;0,FLOOR(SUM(T2000),0.01)),""),""),"")</f>
        <v/>
      </c>
      <c r="W2000" s="317" t="str" cm="1">
        <f t="array" aca="1" ref="W2000" ca="1">IFERROR(_xlfn.IFS(OR(F2000="",LEFT(Methode_Keuze,4)="Geen",Methode_Keuze=""),"",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17" t="str" cm="1">
        <f t="array" aca="1" ref="X2000" ca="1">IFERROR(_xlfn.IFS(OR(F2000="",LEFT(Methode_Keuze,4)="Geen",Methode_Keuze=""),"",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26"/>
      <c r="Z2000" s="319"/>
      <c r="AA2000" s="32" t="str" cm="1">
        <f t="array" ref="AA2000">IFERROR(IF(INDEX(SubsidieTabel!$AD$1:$AG$12,MATCH($F2000,SubsidieTabel!$AD$1:$AD$12,0),IFERROR(MATCH(Methode_Keuze,SubsidieTabel!$AD$1:$AG$1,0),2))&lt;&gt;1=TRUE,"ja",""),"")</f>
        <v/>
      </c>
    </row>
    <row r="2001" spans="1:27" x14ac:dyDescent="0.25">
      <c r="A2001" s="320"/>
      <c r="B2001" s="321" t="str">
        <f>IF(A2001&lt;&gt;"",_xlfn.MAXIFS($B$1:B2000,$A$1:A2000,A2001)+1,"")</f>
        <v/>
      </c>
      <c r="C2001" s="299"/>
      <c r="D2001" s="299"/>
      <c r="E2001" s="299"/>
      <c r="F2001" s="299"/>
      <c r="G2001" s="330"/>
      <c r="H2001" s="328"/>
      <c r="I2001" s="329"/>
      <c r="J2001" s="329"/>
      <c r="K2001" s="322"/>
      <c r="L2001" s="322"/>
      <c r="M2001" s="323" t="str">
        <f>IFERROR(VLOOKUP(H2001,Lijsten!$H$1:$I$100,2,0),"")</f>
        <v/>
      </c>
      <c r="N2001" s="323" t="str">
        <f ca="1">IFERROR(IF(VLOOKUP(F2001,Kostentypen!$A$3:$E$21,3,0)=0,"",IF(OR(F2001="Arbeidskosten",F2001="Vergoeding"),VLOOKUP(G2001,Tb_KostenTypen[],2,0),VLOOKUP(F2001,Kostentypen!$A$3:$E$20,3,0))),"")</f>
        <v/>
      </c>
      <c r="O2001" s="324"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4"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3"/>
      <c r="R2001" s="363"/>
      <c r="S2001" s="325"/>
      <c r="T2001" s="325"/>
      <c r="U2001" s="317" t="str" cm="1">
        <f t="array" aca="1" ref="U2001" ca="1">IFERROR(IF(AA2001&lt;&gt;"ja",_xlfn.IFNA(_xlfn.IFS(AND(O2001&lt;&gt;"",F2001&lt;&gt;"",RIGHT($N2001,6)="tarief",F2001="Vergoeding"),SUM(O2001)*FLOOR(SUM(Q2001),0.0001),AND(O2001&lt;&gt;"",F2001&lt;&gt;"",RIGHT($N2001,6)="tarief"),SUM(O2001)*FLOOR(SUM(Q2001),0.01),S2001&gt;0,IF(F2001&lt;&gt;"",FLOOR(SUM(S2001),0.01),"")),""),""),"")</f>
        <v/>
      </c>
      <c r="V2001" s="317" t="str" cm="1">
        <f t="array" aca="1" ref="V2001" ca="1">IFERROR(IF(AA2001&lt;&gt;"ja",_xlfn.IFNA(_xlfn.IFS(AND(P2001&lt;&gt;"",R2001&lt;&gt;"",RIGHT($N2001,6)="tarief",F2001="Vergoeding"),SUM(P2001)*FLOOR(SUM(R2001),0.0001),AND(P2001&lt;&gt;"",R2001&lt;&gt;"",RIGHT($N2001,6)="tarief"),P2001*FLOOR(R2001,0.01),T2001&gt;0,FLOOR(SUM(T2001),0.01)),""),""),"")</f>
        <v/>
      </c>
      <c r="W2001" s="317" t="str" cm="1">
        <f t="array" aca="1" ref="W2001" ca="1">IFERROR(_xlfn.IFS(OR(F2001="",LEFT(Methode_Keuze,4)="Geen",Methode_Keuze=""),"",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17" t="str" cm="1">
        <f t="array" aca="1" ref="X2001" ca="1">IFERROR(_xlfn.IFS(OR(F2001="",LEFT(Methode_Keuze,4)="Geen",Methode_Keuze=""),"",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26"/>
      <c r="Z2001" s="319"/>
      <c r="AA2001" s="32" t="str" cm="1">
        <f t="array" ref="AA2001">IFERROR(IF(INDEX(SubsidieTabel!$AD$1:$AG$12,MATCH($F2001,SubsidieTabel!$AD$1:$AD$12,0),IFERROR(MATCH(Methode_Keuze,SubsidieTabel!$AD$1:$AG$1,0),2))&lt;&gt;1=TRUE,"ja",""),"")</f>
        <v/>
      </c>
    </row>
    <row r="2002" spans="1:27" ht="15" customHeight="1" x14ac:dyDescent="0.25">
      <c r="C2002" s="24"/>
    </row>
  </sheetData>
  <sheetProtection algorithmName="SHA-512" hashValue="ZTLznVjQO9mHWlbANpevLa+WZzuoKfbtcJWEGlA/lUCoxrCvsTyPaLAJrrG7nipGk4gzEJoBiV2hFadjiEIEIw==" saltValue="7SdyoWqMhuG0K5uwTDdZZg==" spinCount="100000" sheet="1" objects="1" scenarios="1"/>
  <dataConsolidate/>
  <phoneticPr fontId="4"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 type="custom" allowBlank="1" showInputMessage="1" showErrorMessage="1" errorTitle="Getal met maximaal 2 cijfers" error="Er is geen decimaal getal ingevoerd met maximaal 2 cijfers achter de komma." sqref="T2:T2001 S2:S12 S14:S2001 S13" xr:uid="{FD431D5B-388E-49F3-938D-71A85518B172}">
      <formula1>LEN(S2)-LEN(INT(S2))&lt;=3</formula1>
    </dataValidation>
    <dataValidation type="custom" allowBlank="1" showInputMessage="1" showErrorMessage="1" sqref="Q2:R2001" xr:uid="{B854EFB5-05CB-42F5-A95B-F4CD1946138B}">
      <formula1>IF(COUNTIF($F2,"*Vergoeding")&gt;0,LEN(Q2)-LEN(INT(Q2))&lt;=5,LEN(Q2)-LEN(INT(Q2))&lt;=3)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71</v>
      </c>
      <c r="C2" s="472" t="str">
        <f>IF('1. Aanvraaggegevens'!C2&lt;&gt;"",'1. Aanvraaggegevens'!C2,"")</f>
        <v>Samenwerken aan innovatie (EIP) Digitalisering en Robotisering</v>
      </c>
      <c r="D2" s="473"/>
      <c r="E2" s="474"/>
    </row>
    <row r="3" spans="2:14" ht="15" customHeight="1" x14ac:dyDescent="0.25">
      <c r="B3" s="17" t="s">
        <v>16</v>
      </c>
      <c r="C3" s="475" t="str">
        <f>IF('1. Aanvraaggegevens'!C3&lt;&gt;"",'1. Aanvraaggegevens'!C3,"")</f>
        <v/>
      </c>
      <c r="D3" s="476"/>
      <c r="E3" s="477"/>
    </row>
    <row r="4" spans="2:14" ht="15" customHeight="1" x14ac:dyDescent="0.25">
      <c r="B4" s="17" t="s">
        <v>17</v>
      </c>
      <c r="C4" s="475" t="str">
        <f>IF('1. Aanvraaggegevens'!C4&lt;&gt;"",'1. Aanvraaggegevens'!C4,"")</f>
        <v/>
      </c>
      <c r="D4" s="476"/>
      <c r="E4" s="477"/>
    </row>
    <row r="5" spans="2:14" ht="15" customHeight="1" x14ac:dyDescent="0.25">
      <c r="B5" s="17" t="s">
        <v>18</v>
      </c>
      <c r="C5" s="475" t="str">
        <f>IF('1. Aanvraaggegevens'!C5&lt;&gt;"",'1. Aanvraaggegevens'!C5,"")</f>
        <v/>
      </c>
      <c r="D5" s="476"/>
      <c r="E5" s="477"/>
    </row>
    <row r="6" spans="2:14" ht="15" customHeight="1" x14ac:dyDescent="0.25">
      <c r="B6" s="5"/>
      <c r="C6" s="478" t="str">
        <f>IF('1. Aanvraaggegevens'!C6&lt;&gt;"",'1. Aanvraaggegevens'!C6,"")</f>
        <v>Heeft u een specifieke vraag over de regeling of het aanvraagproces?
🔗 Test de EIP Subsidie Buddy via https://abs.techletes.ai/subsidie-buddy-eip</v>
      </c>
      <c r="D6" s="479"/>
      <c r="E6" s="480"/>
    </row>
    <row r="7" spans="2:14" ht="3" customHeight="1" x14ac:dyDescent="0.25">
      <c r="B7" s="40"/>
      <c r="C7" s="40"/>
      <c r="D7" s="41"/>
      <c r="E7" s="26"/>
    </row>
    <row r="8" spans="2:14" ht="15" customHeight="1" x14ac:dyDescent="0.25">
      <c r="B8" s="149" t="s">
        <v>105</v>
      </c>
      <c r="C8" s="481" t="str">
        <f>IF('1. Aanvraaggegevens'!C8&lt;&gt;"",'1. Aanvraaggegevens'!C8,"")</f>
        <v/>
      </c>
      <c r="D8" s="482"/>
      <c r="E8" s="483"/>
    </row>
    <row r="9" spans="2:14" ht="3" customHeight="1" x14ac:dyDescent="0.25">
      <c r="B9" s="40"/>
      <c r="C9" s="40"/>
      <c r="D9" s="41"/>
    </row>
    <row r="10" spans="2:14" ht="15" customHeight="1" x14ac:dyDescent="0.25">
      <c r="B10" s="75" t="s">
        <v>153</v>
      </c>
      <c r="C10" s="463"/>
      <c r="D10" s="464"/>
      <c r="E10" s="465"/>
    </row>
    <row r="11" spans="2:14" ht="15" customHeight="1" x14ac:dyDescent="0.25">
      <c r="B11" s="75" t="s">
        <v>224</v>
      </c>
      <c r="C11" s="466"/>
      <c r="D11" s="467"/>
      <c r="E11" s="468"/>
    </row>
    <row r="12" spans="2:14" ht="15" customHeight="1" x14ac:dyDescent="0.25">
      <c r="B12" s="75" t="s">
        <v>112</v>
      </c>
      <c r="C12" s="469"/>
      <c r="D12" s="470"/>
      <c r="E12" s="471"/>
    </row>
    <row r="13" spans="2:14" ht="15" customHeight="1" x14ac:dyDescent="0.25">
      <c r="B13" s="75" t="s">
        <v>104</v>
      </c>
      <c r="C13" s="466"/>
      <c r="D13" s="467"/>
      <c r="E13" s="468"/>
    </row>
    <row r="14" spans="2:14" ht="21.75" customHeight="1" x14ac:dyDescent="0.25">
      <c r="B14" s="40"/>
      <c r="C14" s="40"/>
      <c r="D14" s="41"/>
      <c r="E14" s="175" t="str">
        <f>IF(Keuze_DB_Nr&lt;&gt;"","Totale uitgaven huidig betaalverzoek per subsidiabele activiteit --&gt;", "")</f>
        <v/>
      </c>
    </row>
    <row r="15" spans="2:14" ht="45" customHeight="1" x14ac:dyDescent="0.25">
      <c r="B15" s="162" t="s">
        <v>0</v>
      </c>
      <c r="C15" s="166" t="s">
        <v>225</v>
      </c>
      <c r="D15" s="166" t="str">
        <f>"Totale uitgaven huidig betaalverzoek ("&amp;Keuze_DB_Nr&amp;")"</f>
        <v>Totale uitgaven huidig betaalverzoek ()</v>
      </c>
      <c r="E15" s="161" t="str" cm="1">
        <f t="array" aca="1" ref="E15" ca="1">IFERROR(TRANSPOSE(Activiteiten_Uniek_DB),"")</f>
        <v/>
      </c>
      <c r="F15" s="161"/>
      <c r="G15" s="161"/>
      <c r="H15" s="161"/>
      <c r="I15" s="161"/>
      <c r="J15" s="161"/>
      <c r="K15" s="161"/>
      <c r="L15" s="161"/>
      <c r="M15" s="161"/>
      <c r="N15" s="161"/>
    </row>
    <row r="16" spans="2:14" ht="15" customHeight="1" x14ac:dyDescent="0.25">
      <c r="B16" s="198" t="str" cm="1">
        <f t="array" aca="1" ref="B16:B21" ca="1">IFERROR(Posten_Uniek,"")</f>
        <v>Arbeidskosten</v>
      </c>
      <c r="C16" s="103">
        <f ca="1">IF(B16="","",SUMIFS('8. Uitgaven betaalverzoek'!U:U,'8. Uitgaven betaalverzoek'!F:F,B16,'8. Uitgaven betaalverzoek'!A:A,"&lt;&gt;"""))</f>
        <v>0</v>
      </c>
      <c r="D16" s="103">
        <f ca="1">IF(B16="","",IF(B16&lt;&gt;"",SUMIF(Tb_DBKosten[],B16,Tb_DBKosten[Deelbetaling_Aanvraag]),0))</f>
        <v>0</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198" t="str">
        <f ca="1"/>
        <v>Arbeidskosten op basis van IKS</v>
      </c>
      <c r="C17" s="103">
        <f ca="1">IF(B17="","",SUMIFS('8. Uitgaven betaalverzoek'!U:U,'8. Uitgaven betaalverzoek'!F:F,B17,'8. Uitgaven betaalverzoek'!A:A,"&lt;&gt;"""))</f>
        <v>0</v>
      </c>
      <c r="D17" s="103">
        <f ca="1">IF(B17="","",IF(B17&lt;&gt;"",SUMIF(Tb_DBKosten[],B17,Tb_DBKosten[Deelbetaling_Aanvraag]),0))</f>
        <v>0</v>
      </c>
      <c r="E17" s="103" t="str">
        <f ca="1">IF(AND($C17&lt;&gt;0,E$15&lt;&gt;"",$C17&lt;&gt;""),IF(Keuze_DB_Nr&lt;&gt;"",SUMIFS(SubsidieTabel_DB!$L:$L,SubsidieTabel_DB!$A:$A,E$15,SubsidieTabel_DB!$B:$B,$B17),""),"")</f>
        <v/>
      </c>
      <c r="F17" s="103" t="str">
        <f ca="1">IF(AND($C17&lt;&gt;0,F$15&lt;&gt;"",$C17&lt;&gt;""),IF(Keuze_DB_Nr&lt;&gt;"",SUMIFS(SubsidieTabel_DB!$L:$L,SubsidieTabel_DB!$A:$A,F$15,SubsidieTabel_DB!$B:$B,$B17),""),"")</f>
        <v/>
      </c>
      <c r="G17" s="103" t="str">
        <f ca="1">IF(AND($C17&lt;&gt;0,G$15&lt;&gt;"",$C17&lt;&gt;""),IF(Keuze_DB_Nr&lt;&gt;"",SUMIFS(SubsidieTabel_DB!$L:$L,SubsidieTabel_DB!$A:$A,G$15,SubsidieTabel_DB!$B:$B,$B17),""),"")</f>
        <v/>
      </c>
      <c r="H17" s="103" t="str">
        <f ca="1">IF(AND($C17&lt;&gt;0,H$15&lt;&gt;"",$C17&lt;&gt;""),IF(Keuze_DB_Nr&lt;&gt;"",SUMIFS(SubsidieTabel_DB!$L:$L,SubsidieTabel_DB!$A:$A,H$15,SubsidieTabel_DB!$B:$B,$B17),""),"")</f>
        <v/>
      </c>
      <c r="I17" s="103" t="str">
        <f ca="1">IF(AND($C17&lt;&gt;0,I$15&lt;&gt;"",$C17&lt;&gt;""),IF(Keuze_DB_Nr&lt;&gt;"",SUMIFS(SubsidieTabel_DB!$L:$L,SubsidieTabel_DB!$A:$A,I$15,SubsidieTabel_DB!$B:$B,$B17),""),"")</f>
        <v/>
      </c>
      <c r="J17" s="103" t="str">
        <f ca="1">IF(AND($C17&lt;&gt;0,J$15&lt;&gt;"",$C17&lt;&gt;""),IF(Keuze_DB_Nr&lt;&gt;"",SUMIFS(SubsidieTabel_DB!$L:$L,SubsidieTabel_DB!$A:$A,J$15,SubsidieTabel_DB!$B:$B,$B17),""),"")</f>
        <v/>
      </c>
      <c r="K17" s="103" t="str">
        <f ca="1">IF(AND($C17&lt;&gt;0,K$15&lt;&gt;"",$C17&lt;&gt;""),IF(Keuze_DB_Nr&lt;&gt;"",SUMIFS(SubsidieTabel_DB!$L:$L,SubsidieTabel_DB!$A:$A,K$15,SubsidieTabel_DB!$B:$B,$B17),""),"")</f>
        <v/>
      </c>
      <c r="L17" s="103" t="str">
        <f ca="1">IF(AND($C17&lt;&gt;0,L$15&lt;&gt;"",$C17&lt;&gt;""),IF(Keuze_DB_Nr&lt;&gt;"",SUMIFS(SubsidieTabel_DB!$L:$L,SubsidieTabel_DB!$A:$A,L$15,SubsidieTabel_DB!$B:$B,$B17),""),"")</f>
        <v/>
      </c>
      <c r="M17" s="103" t="str">
        <f ca="1">IF(AND($C17&lt;&gt;0,M$15&lt;&gt;"",$C17&lt;&gt;""),IF(Keuze_DB_Nr&lt;&gt;"",SUMIFS(SubsidieTabel_DB!$L:$L,SubsidieTabel_DB!$A:$A,M$15,SubsidieTabel_DB!$B:$B,$B17),""),"")</f>
        <v/>
      </c>
      <c r="N17" s="103" t="str">
        <f ca="1">IF(AND($C17&lt;&gt;0,N$15&lt;&gt;"",$C17&lt;&gt;""),IF(Keuze_DB_Nr&lt;&gt;"",SUMIFS(SubsidieTabel_DB!$L:$L,SubsidieTabel_DB!$A:$A,N$15,SubsidieTabel_DB!$B:$B,$B17),""),"")</f>
        <v/>
      </c>
    </row>
    <row r="18" spans="2:14" ht="15" customHeight="1" x14ac:dyDescent="0.25">
      <c r="B18" s="6" t="str">
        <f ca="1"/>
        <v>Kosten derden exclusief btw</v>
      </c>
      <c r="C18" s="103">
        <f ca="1">IF(B18="","",SUMIFS('8. Uitgaven betaalverzoek'!U:U,'8. Uitgaven betaalverzoek'!F:F,B18,'8. Uitgaven betaalverzoek'!A:A,"&lt;&gt;"""))</f>
        <v>0</v>
      </c>
      <c r="D18" s="103">
        <f ca="1">IF(B18="","",IF(B18&lt;&gt;"",SUMIF(Tb_DBKosten[],B18,Tb_DBKosten[Deelbetaling_Aanvraag]),0))</f>
        <v>0</v>
      </c>
      <c r="E18" s="103" t="str">
        <f ca="1">IF(AND($C18&lt;&gt;0,E$15&lt;&gt;"",$C18&lt;&gt;""),IF(Keuze_DB_Nr&lt;&gt;"",SUMIFS(SubsidieTabel_DB!$L:$L,SubsidieTabel_DB!$A:$A,E$15,SubsidieTabel_DB!$B:$B,$B18),""),"")</f>
        <v/>
      </c>
      <c r="F18" s="103" t="str">
        <f ca="1">IF(AND($C18&lt;&gt;0,F$15&lt;&gt;"",$C18&lt;&gt;""),IF(Keuze_DB_Nr&lt;&gt;"",SUMIFS(SubsidieTabel_DB!$L:$L,SubsidieTabel_DB!$A:$A,F$15,SubsidieTabel_DB!$B:$B,$B18),""),"")</f>
        <v/>
      </c>
      <c r="G18" s="103" t="str">
        <f ca="1">IF(AND($C18&lt;&gt;0,G$15&lt;&gt;"",$C18&lt;&gt;""),IF(Keuze_DB_Nr&lt;&gt;"",SUMIFS(SubsidieTabel_DB!$L:$L,SubsidieTabel_DB!$A:$A,G$15,SubsidieTabel_DB!$B:$B,$B18),""),"")</f>
        <v/>
      </c>
      <c r="H18" s="103" t="str">
        <f ca="1">IF(AND($C18&lt;&gt;0,H$15&lt;&gt;"",$C18&lt;&gt;""),IF(Keuze_DB_Nr&lt;&gt;"",SUMIFS(SubsidieTabel_DB!$L:$L,SubsidieTabel_DB!$A:$A,H$15,SubsidieTabel_DB!$B:$B,$B18),""),"")</f>
        <v/>
      </c>
      <c r="I18" s="103" t="str">
        <f ca="1">IF(AND($C18&lt;&gt;0,I$15&lt;&gt;"",$C18&lt;&gt;""),IF(Keuze_DB_Nr&lt;&gt;"",SUMIFS(SubsidieTabel_DB!$L:$L,SubsidieTabel_DB!$A:$A,I$15,SubsidieTabel_DB!$B:$B,$B18),""),"")</f>
        <v/>
      </c>
      <c r="J18" s="103" t="str">
        <f ca="1">IF(AND($C18&lt;&gt;0,J$15&lt;&gt;"",$C18&lt;&gt;""),IF(Keuze_DB_Nr&lt;&gt;"",SUMIFS(SubsidieTabel_DB!$L:$L,SubsidieTabel_DB!$A:$A,J$15,SubsidieTabel_DB!$B:$B,$B18),""),"")</f>
        <v/>
      </c>
      <c r="K18" s="103" t="str">
        <f ca="1">IF(AND($C18&lt;&gt;0,K$15&lt;&gt;"",$C18&lt;&gt;""),IF(Keuze_DB_Nr&lt;&gt;"",SUMIFS(SubsidieTabel_DB!$L:$L,SubsidieTabel_DB!$A:$A,K$15,SubsidieTabel_DB!$B:$B,$B18),""),"")</f>
        <v/>
      </c>
      <c r="L18" s="103" t="str">
        <f ca="1">IF(AND($C18&lt;&gt;0,L$15&lt;&gt;"",$C18&lt;&gt;""),IF(Keuze_DB_Nr&lt;&gt;"",SUMIFS(SubsidieTabel_DB!$L:$L,SubsidieTabel_DB!$A:$A,L$15,SubsidieTabel_DB!$B:$B,$B18),""),"")</f>
        <v/>
      </c>
      <c r="M18" s="103" t="str">
        <f ca="1">IF(AND($C18&lt;&gt;0,M$15&lt;&gt;"",$C18&lt;&gt;""),IF(Keuze_DB_Nr&lt;&gt;"",SUMIFS(SubsidieTabel_DB!$L:$L,SubsidieTabel_DB!$A:$A,M$15,SubsidieTabel_DB!$B:$B,$B18),""),"")</f>
        <v/>
      </c>
      <c r="N18" s="103" t="str">
        <f ca="1">IF(AND($C18&lt;&gt;0,N$15&lt;&gt;"",$C18&lt;&gt;""),IF(Keuze_DB_Nr&lt;&gt;"",SUMIFS(SubsidieTabel_DB!$L:$L,SubsidieTabel_DB!$A:$A,N$15,SubsidieTabel_DB!$B:$B,$B18),""),"")</f>
        <v/>
      </c>
    </row>
    <row r="19" spans="2:14" ht="15" customHeight="1" x14ac:dyDescent="0.25">
      <c r="B19" s="6" t="str">
        <f ca="1"/>
        <v>Bijdrage in natura (overige)</v>
      </c>
      <c r="C19" s="103">
        <f ca="1">IF(B19="","",SUMIFS('8. Uitgaven betaalverzoek'!U:U,'8. Uitgaven betaalverzoek'!F:F,B19,'8. Uitgaven betaalverzoek'!A:A,"&lt;&gt;"""))</f>
        <v>0</v>
      </c>
      <c r="D19" s="103">
        <f ca="1">IF(B19="","",IF(B19&lt;&gt;"",SUMIF(Tb_DBKosten[],B19,Tb_DBKosten[Deelbetaling_Aanvraag]),0))</f>
        <v>0</v>
      </c>
      <c r="E19" s="103" t="str">
        <f ca="1">IF(AND($C19&lt;&gt;0,E$15&lt;&gt;"",$C19&lt;&gt;""),IF(Keuze_DB_Nr&lt;&gt;"",SUMIFS(SubsidieTabel_DB!$L:$L,SubsidieTabel_DB!$A:$A,E$15,SubsidieTabel_DB!$B:$B,$B19),""),"")</f>
        <v/>
      </c>
      <c r="F19" s="103" t="str">
        <f ca="1">IF(AND($C19&lt;&gt;0,F$15&lt;&gt;"",$C19&lt;&gt;""),IF(Keuze_DB_Nr&lt;&gt;"",SUMIFS(SubsidieTabel_DB!$L:$L,SubsidieTabel_DB!$A:$A,F$15,SubsidieTabel_DB!$B:$B,$B19),""),"")</f>
        <v/>
      </c>
      <c r="G19" s="103" t="str">
        <f ca="1">IF(AND($C19&lt;&gt;0,G$15&lt;&gt;"",$C19&lt;&gt;""),IF(Keuze_DB_Nr&lt;&gt;"",SUMIFS(SubsidieTabel_DB!$L:$L,SubsidieTabel_DB!$A:$A,G$15,SubsidieTabel_DB!$B:$B,$B19),""),"")</f>
        <v/>
      </c>
      <c r="H19" s="103" t="str">
        <f ca="1">IF(AND($C19&lt;&gt;0,H$15&lt;&gt;"",$C19&lt;&gt;""),IF(Keuze_DB_Nr&lt;&gt;"",SUMIFS(SubsidieTabel_DB!$L:$L,SubsidieTabel_DB!$A:$A,H$15,SubsidieTabel_DB!$B:$B,$B19),""),"")</f>
        <v/>
      </c>
      <c r="I19" s="103" t="str">
        <f ca="1">IF(AND($C19&lt;&gt;0,I$15&lt;&gt;"",$C19&lt;&gt;""),IF(Keuze_DB_Nr&lt;&gt;"",SUMIFS(SubsidieTabel_DB!$L:$L,SubsidieTabel_DB!$A:$A,I$15,SubsidieTabel_DB!$B:$B,$B19),""),"")</f>
        <v/>
      </c>
      <c r="J19" s="103" t="str">
        <f ca="1">IF(AND($C19&lt;&gt;0,J$15&lt;&gt;"",$C19&lt;&gt;""),IF(Keuze_DB_Nr&lt;&gt;"",SUMIFS(SubsidieTabel_DB!$L:$L,SubsidieTabel_DB!$A:$A,J$15,SubsidieTabel_DB!$B:$B,$B19),""),"")</f>
        <v/>
      </c>
      <c r="K19" s="103" t="str">
        <f ca="1">IF(AND($C19&lt;&gt;0,K$15&lt;&gt;"",$C19&lt;&gt;""),IF(Keuze_DB_Nr&lt;&gt;"",SUMIFS(SubsidieTabel_DB!$L:$L,SubsidieTabel_DB!$A:$A,K$15,SubsidieTabel_DB!$B:$B,$B19),""),"")</f>
        <v/>
      </c>
      <c r="L19" s="103" t="str">
        <f ca="1">IF(AND($C19&lt;&gt;0,L$15&lt;&gt;"",$C19&lt;&gt;""),IF(Keuze_DB_Nr&lt;&gt;"",SUMIFS(SubsidieTabel_DB!$L:$L,SubsidieTabel_DB!$A:$A,L$15,SubsidieTabel_DB!$B:$B,$B19),""),"")</f>
        <v/>
      </c>
      <c r="M19" s="103" t="str">
        <f ca="1">IF(AND($C19&lt;&gt;0,M$15&lt;&gt;"",$C19&lt;&gt;""),IF(Keuze_DB_Nr&lt;&gt;"",SUMIFS(SubsidieTabel_DB!$L:$L,SubsidieTabel_DB!$A:$A,M$15,SubsidieTabel_DB!$B:$B,$B19),""),"")</f>
        <v/>
      </c>
      <c r="N19" s="103" t="str">
        <f ca="1">IF(AND($C19&lt;&gt;0,N$15&lt;&gt;"",$C19&lt;&gt;""),IF(Keuze_DB_Nr&lt;&gt;"",SUMIFS(SubsidieTabel_DB!$L:$L,SubsidieTabel_DB!$A:$A,N$15,SubsidieTabel_DB!$B:$B,$B19),""),"")</f>
        <v/>
      </c>
    </row>
    <row r="20" spans="2:14" ht="15" customHeight="1" x14ac:dyDescent="0.25">
      <c r="B20" s="6" t="str">
        <f ca="1"/>
        <v>Afschrijvingskosten</v>
      </c>
      <c r="C20" s="103">
        <f ca="1">IF(B20="","",SUMIFS('8. Uitgaven betaalverzoek'!U:U,'8. Uitgaven betaalverzoek'!F:F,B20,'8. Uitgaven betaalverzoek'!A:A,"&lt;&gt;"""))</f>
        <v>0</v>
      </c>
      <c r="D20" s="103">
        <f ca="1">IF(B20="","",IF(B20&lt;&gt;"",SUMIF(Tb_DBKosten[],B20,Tb_DBKosten[Deelbetaling_Aanvraag]),0))</f>
        <v>0</v>
      </c>
      <c r="E20" s="103" t="str">
        <f ca="1">IF(AND($C20&lt;&gt;0,E$15&lt;&gt;"",$C20&lt;&gt;""),IF(Keuze_DB_Nr&lt;&gt;"",SUMIFS(SubsidieTabel_DB!$L:$L,SubsidieTabel_DB!$A:$A,E$15,SubsidieTabel_DB!$B:$B,$B20),""),"")</f>
        <v/>
      </c>
      <c r="F20" s="103" t="str">
        <f ca="1">IF(AND($C20&lt;&gt;0,F$15&lt;&gt;"",$C20&lt;&gt;""),IF(Keuze_DB_Nr&lt;&gt;"",SUMIFS(SubsidieTabel_DB!$L:$L,SubsidieTabel_DB!$A:$A,F$15,SubsidieTabel_DB!$B:$B,$B20),""),"")</f>
        <v/>
      </c>
      <c r="G20" s="103" t="str">
        <f ca="1">IF(AND($C20&lt;&gt;0,G$15&lt;&gt;"",$C20&lt;&gt;""),IF(Keuze_DB_Nr&lt;&gt;"",SUMIFS(SubsidieTabel_DB!$L:$L,SubsidieTabel_DB!$A:$A,G$15,SubsidieTabel_DB!$B:$B,$B20),""),"")</f>
        <v/>
      </c>
      <c r="H20" s="103" t="str">
        <f ca="1">IF(AND($C20&lt;&gt;0,H$15&lt;&gt;"",$C20&lt;&gt;""),IF(Keuze_DB_Nr&lt;&gt;"",SUMIFS(SubsidieTabel_DB!$L:$L,SubsidieTabel_DB!$A:$A,H$15,SubsidieTabel_DB!$B:$B,$B20),""),"")</f>
        <v/>
      </c>
      <c r="I20" s="103" t="str">
        <f ca="1">IF(AND($C20&lt;&gt;0,I$15&lt;&gt;"",$C20&lt;&gt;""),IF(Keuze_DB_Nr&lt;&gt;"",SUMIFS(SubsidieTabel_DB!$L:$L,SubsidieTabel_DB!$A:$A,I$15,SubsidieTabel_DB!$B:$B,$B20),""),"")</f>
        <v/>
      </c>
      <c r="J20" s="103" t="str">
        <f ca="1">IF(AND($C20&lt;&gt;0,J$15&lt;&gt;"",$C20&lt;&gt;""),IF(Keuze_DB_Nr&lt;&gt;"",SUMIFS(SubsidieTabel_DB!$L:$L,SubsidieTabel_DB!$A:$A,J$15,SubsidieTabel_DB!$B:$B,$B20),""),"")</f>
        <v/>
      </c>
      <c r="K20" s="103" t="str">
        <f ca="1">IF(AND($C20&lt;&gt;0,K$15&lt;&gt;"",$C20&lt;&gt;""),IF(Keuze_DB_Nr&lt;&gt;"",SUMIFS(SubsidieTabel_DB!$L:$L,SubsidieTabel_DB!$A:$A,K$15,SubsidieTabel_DB!$B:$B,$B20),""),"")</f>
        <v/>
      </c>
      <c r="L20" s="103" t="str">
        <f ca="1">IF(AND($C20&lt;&gt;0,L$15&lt;&gt;"",$C20&lt;&gt;""),IF(Keuze_DB_Nr&lt;&gt;"",SUMIFS(SubsidieTabel_DB!$L:$L,SubsidieTabel_DB!$A:$A,L$15,SubsidieTabel_DB!$B:$B,$B20),""),"")</f>
        <v/>
      </c>
      <c r="M20" s="103" t="str">
        <f ca="1">IF(AND($C20&lt;&gt;0,M$15&lt;&gt;"",$C20&lt;&gt;""),IF(Keuze_DB_Nr&lt;&gt;"",SUMIFS(SubsidieTabel_DB!$L:$L,SubsidieTabel_DB!$A:$A,M$15,SubsidieTabel_DB!$B:$B,$B20),""),"")</f>
        <v/>
      </c>
      <c r="N20" s="103" t="str">
        <f ca="1">IF(AND($C20&lt;&gt;0,N$15&lt;&gt;"",$C20&lt;&gt;""),IF(Keuze_DB_Nr&lt;&gt;"",SUMIFS(SubsidieTabel_DB!$L:$L,SubsidieTabel_DB!$A:$A,N$15,SubsidieTabel_DB!$B:$B,$B20),""),"")</f>
        <v/>
      </c>
    </row>
    <row r="21" spans="2:14" ht="15" customHeight="1" x14ac:dyDescent="0.25">
      <c r="B21" s="6" t="str">
        <f ca="1"/>
        <v>Niet verrekenbare btw</v>
      </c>
      <c r="C21" s="103">
        <f ca="1">IF(B21="","",SUMIFS('8. Uitgaven betaalverzoek'!U:U,'8. Uitgaven betaalverzoek'!F:F,B21,'8. Uitgaven betaalverzoek'!A:A,"&lt;&gt;"""))</f>
        <v>0</v>
      </c>
      <c r="D21" s="103">
        <f ca="1">IF(B21="","",IF(B21&lt;&gt;"",SUMIF(Tb_DBKosten[],B21,Tb_DBKosten[Deelbetaling_Aanvraag]),0))</f>
        <v>0</v>
      </c>
      <c r="E21" s="103" t="str">
        <f ca="1">IF(AND($C21&lt;&gt;0,E$15&lt;&gt;"",$C21&lt;&gt;""),IF(Keuze_DB_Nr&lt;&gt;"",SUMIFS(SubsidieTabel_DB!$L:$L,SubsidieTabel_DB!$A:$A,E$15,SubsidieTabel_DB!$B:$B,$B21),""),"")</f>
        <v/>
      </c>
      <c r="F21" s="103" t="str">
        <f ca="1">IF(AND($C21&lt;&gt;0,F$15&lt;&gt;"",$C21&lt;&gt;""),IF(Keuze_DB_Nr&lt;&gt;"",SUMIFS(SubsidieTabel_DB!$L:$L,SubsidieTabel_DB!$A:$A,F$15,SubsidieTabel_DB!$B:$B,$B21),""),"")</f>
        <v/>
      </c>
      <c r="G21" s="103" t="str">
        <f ca="1">IF(AND($C21&lt;&gt;0,G$15&lt;&gt;"",$C21&lt;&gt;""),IF(Keuze_DB_Nr&lt;&gt;"",SUMIFS(SubsidieTabel_DB!$L:$L,SubsidieTabel_DB!$A:$A,G$15,SubsidieTabel_DB!$B:$B,$B21),""),"")</f>
        <v/>
      </c>
      <c r="H21" s="103" t="str">
        <f ca="1">IF(AND($C21&lt;&gt;0,H$15&lt;&gt;"",$C21&lt;&gt;""),IF(Keuze_DB_Nr&lt;&gt;"",SUMIFS(SubsidieTabel_DB!$L:$L,SubsidieTabel_DB!$A:$A,H$15,SubsidieTabel_DB!$B:$B,$B21),""),"")</f>
        <v/>
      </c>
      <c r="I21" s="103" t="str">
        <f ca="1">IF(AND($C21&lt;&gt;0,I$15&lt;&gt;"",$C21&lt;&gt;""),IF(Keuze_DB_Nr&lt;&gt;"",SUMIFS(SubsidieTabel_DB!$L:$L,SubsidieTabel_DB!$A:$A,I$15,SubsidieTabel_DB!$B:$B,$B21),""),"")</f>
        <v/>
      </c>
      <c r="J21" s="103" t="str">
        <f ca="1">IF(AND($C21&lt;&gt;0,J$15&lt;&gt;"",$C21&lt;&gt;""),IF(Keuze_DB_Nr&lt;&gt;"",SUMIFS(SubsidieTabel_DB!$L:$L,SubsidieTabel_DB!$A:$A,J$15,SubsidieTabel_DB!$B:$B,$B21),""),"")</f>
        <v/>
      </c>
      <c r="K21" s="103" t="str">
        <f ca="1">IF(AND($C21&lt;&gt;0,K$15&lt;&gt;"",$C21&lt;&gt;""),IF(Keuze_DB_Nr&lt;&gt;"",SUMIFS(SubsidieTabel_DB!$L:$L,SubsidieTabel_DB!$A:$A,K$15,SubsidieTabel_DB!$B:$B,$B21),""),"")</f>
        <v/>
      </c>
      <c r="L21" s="103" t="str">
        <f ca="1">IF(AND($C21&lt;&gt;0,L$15&lt;&gt;"",$C21&lt;&gt;""),IF(Keuze_DB_Nr&lt;&gt;"",SUMIFS(SubsidieTabel_DB!$L:$L,SubsidieTabel_DB!$A:$A,L$15,SubsidieTabel_DB!$B:$B,$B21),""),"")</f>
        <v/>
      </c>
      <c r="M21" s="103" t="str">
        <f ca="1">IF(AND($C21&lt;&gt;0,M$15&lt;&gt;"",$C21&lt;&gt;""),IF(Keuze_DB_Nr&lt;&gt;"",SUMIFS(SubsidieTabel_DB!$L:$L,SubsidieTabel_DB!$A:$A,M$15,SubsidieTabel_DB!$B:$B,$B21),""),"")</f>
        <v/>
      </c>
      <c r="N21" s="103" t="str">
        <f ca="1">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103</v>
      </c>
      <c r="C27" s="141">
        <f ca="1">ROUND(SUM(C16:C26),2)</f>
        <v>0</v>
      </c>
      <c r="D27" s="265">
        <f ca="1">SUM(D16:D26)</f>
        <v>0</v>
      </c>
      <c r="E27" s="160" t="str">
        <f ca="1">IF(SUM(E16:E26)=0,"",SUM(E16:E26))</f>
        <v/>
      </c>
      <c r="F27" s="160" t="str">
        <f t="shared" ref="F27:M27" ca="1" si="0">IF(SUM(F16:F26)=0,"",SUM(F16:F26))</f>
        <v/>
      </c>
      <c r="G27" s="160" t="str">
        <f t="shared" ca="1" si="0"/>
        <v/>
      </c>
      <c r="H27" s="160" t="str">
        <f t="shared" ca="1" si="0"/>
        <v/>
      </c>
      <c r="I27" s="160" t="str">
        <f t="shared" ca="1" si="0"/>
        <v/>
      </c>
      <c r="J27" s="160" t="str">
        <f t="shared" ca="1" si="0"/>
        <v/>
      </c>
      <c r="K27" s="160" t="str">
        <f t="shared" ca="1" si="0"/>
        <v/>
      </c>
      <c r="L27" s="160" t="str">
        <f t="shared" ca="1" si="0"/>
        <v/>
      </c>
      <c r="M27" s="160" t="str">
        <f t="shared" ca="1" si="0"/>
        <v/>
      </c>
      <c r="N27" s="160" t="str">
        <f ca="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39" t="s">
        <v>79</v>
      </c>
      <c r="C29" s="141">
        <f ca="1">SUM(C27:C28)</f>
        <v>0</v>
      </c>
      <c r="D29" s="141">
        <f ca="1">SUM(D27:D28)</f>
        <v>0</v>
      </c>
      <c r="E29" s="160" t="str">
        <f ca="1">IF(SUM(E27:E28)=0,"",SUM(E27:E28))</f>
        <v/>
      </c>
      <c r="F29" s="160" t="str">
        <f t="shared" ref="F29:M29" ca="1" si="1">IF(SUM(F27:F28)=0,"",SUM(F27:F28))</f>
        <v/>
      </c>
      <c r="G29" s="160" t="str">
        <f t="shared" ca="1" si="1"/>
        <v/>
      </c>
      <c r="H29" s="160" t="str">
        <f t="shared" ca="1" si="1"/>
        <v/>
      </c>
      <c r="I29" s="160" t="str">
        <f t="shared" ca="1" si="1"/>
        <v/>
      </c>
      <c r="J29" s="160" t="str">
        <f t="shared" ca="1" si="1"/>
        <v/>
      </c>
      <c r="K29" s="160" t="str">
        <f t="shared" ca="1" si="1"/>
        <v/>
      </c>
      <c r="L29" s="160" t="str">
        <f t="shared" ca="1" si="1"/>
        <v/>
      </c>
      <c r="M29" s="160" t="str">
        <f t="shared" ca="1" si="1"/>
        <v/>
      </c>
      <c r="N29" s="160" t="str">
        <f ca="1">IF(SUM(N27:N28)=0,"",SUM(N27:N28))</f>
        <v/>
      </c>
    </row>
    <row r="30" spans="2:14" s="26" customFormat="1" ht="6" customHeight="1" x14ac:dyDescent="0.25">
      <c r="B30" s="37"/>
    </row>
    <row r="31" spans="2:14" s="26" customFormat="1" ht="6" customHeight="1" x14ac:dyDescent="0.25">
      <c r="B31" s="37"/>
      <c r="C31" s="39"/>
      <c r="D31" s="143"/>
    </row>
    <row r="32" spans="2:14" ht="6" customHeight="1" x14ac:dyDescent="0.25">
      <c r="B32" s="40"/>
      <c r="C32" s="40"/>
      <c r="D32" s="41"/>
    </row>
    <row r="33" spans="2:6" s="26" customFormat="1" ht="15" customHeight="1" x14ac:dyDescent="0.25">
      <c r="B33" s="94" t="s">
        <v>152</v>
      </c>
      <c r="C33" s="94" t="s">
        <v>157</v>
      </c>
      <c r="D33" s="94" t="s">
        <v>1</v>
      </c>
      <c r="E33" s="94" t="s">
        <v>130</v>
      </c>
    </row>
    <row r="34" spans="2:6" x14ac:dyDescent="0.25">
      <c r="B34" s="372"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2"/>
      <c r="C35" s="89" t="str">
        <f>IF(B35&lt;&gt;"",SUMIFS(SubsidieTabel_DB!$L:$L,SubsidieTabel_DB!$A:$A,B35)+SUMIFS(SubsidieTabel_DB!$N:$N,SubsidieTabel_DB!$A:$A,B35),"")</f>
        <v/>
      </c>
      <c r="D35" s="90" t="str">
        <f>IFERROR(VLOOKUP(B35,Lijsten!$AK:$AL,2,0),"")</f>
        <v/>
      </c>
      <c r="E35" s="89" t="str">
        <f t="shared" ref="E35:E43" si="2">IF(PRODUCT(C35,D35)&lt;&gt;0,PRODUCT(C35,D35),"")</f>
        <v/>
      </c>
    </row>
    <row r="36" spans="2:6" x14ac:dyDescent="0.25">
      <c r="B36" s="372"/>
      <c r="C36" s="89" t="str">
        <f>IF(B36&lt;&gt;"",SUMIFS(SubsidieTabel_DB!$L:$L,SubsidieTabel_DB!$A:$A,B36)+SUMIFS(SubsidieTabel_DB!$N:$N,SubsidieTabel_DB!$A:$A,B36),"")</f>
        <v/>
      </c>
      <c r="D36" s="90" t="str">
        <f>IFERROR(VLOOKUP(B36,Lijsten!$AK:$AL,2,0),"")</f>
        <v/>
      </c>
      <c r="E36" s="89" t="str">
        <f t="shared" si="2"/>
        <v/>
      </c>
    </row>
    <row r="37" spans="2:6" x14ac:dyDescent="0.25">
      <c r="B37" s="372"/>
      <c r="C37" s="89" t="str">
        <f>IF(B37&lt;&gt;"",SUMIFS(SubsidieTabel_DB!$L:$L,SubsidieTabel_DB!$A:$A,B37)+SUMIFS(SubsidieTabel_DB!$N:$N,SubsidieTabel_DB!$A:$A,B37),"")</f>
        <v/>
      </c>
      <c r="D37" s="90" t="str">
        <f>IFERROR(VLOOKUP(B37,Lijsten!$AK:$AL,2,0),"")</f>
        <v/>
      </c>
      <c r="E37" s="89" t="str">
        <f t="shared" si="2"/>
        <v/>
      </c>
    </row>
    <row r="38" spans="2:6" x14ac:dyDescent="0.25">
      <c r="B38" s="372"/>
      <c r="C38" s="89" t="str">
        <f>IF(B38&lt;&gt;"",SUMIFS(SubsidieTabel_DB!$L:$L,SubsidieTabel_DB!$A:$A,B38)+SUMIFS(SubsidieTabel_DB!$N:$N,SubsidieTabel_DB!$A:$A,B38),"")</f>
        <v/>
      </c>
      <c r="D38" s="90" t="str">
        <f>IFERROR(VLOOKUP(B38,Lijsten!$AK:$AL,2,0),"")</f>
        <v/>
      </c>
      <c r="E38" s="89" t="str">
        <f t="shared" si="2"/>
        <v/>
      </c>
    </row>
    <row r="39" spans="2:6" x14ac:dyDescent="0.25">
      <c r="B39" s="372"/>
      <c r="C39" s="89" t="str">
        <f>IF(B39&lt;&gt;"",SUMIFS(SubsidieTabel_DB!$L:$L,SubsidieTabel_DB!$A:$A,B39)+SUMIFS(SubsidieTabel_DB!$N:$N,SubsidieTabel_DB!$A:$A,B39),"")</f>
        <v/>
      </c>
      <c r="D39" s="90" t="str">
        <f>IFERROR(VLOOKUP(B39,Lijsten!$AK:$AL,2,0),"")</f>
        <v/>
      </c>
      <c r="E39" s="89" t="str">
        <f t="shared" si="2"/>
        <v/>
      </c>
    </row>
    <row r="40" spans="2:6" x14ac:dyDescent="0.25">
      <c r="B40" s="372"/>
      <c r="C40" s="89" t="str">
        <f>IF(B40&lt;&gt;"",SUMIFS(SubsidieTabel_DB!$L:$L,SubsidieTabel_DB!$A:$A,B40)+SUMIFS(SubsidieTabel_DB!$N:$N,SubsidieTabel_DB!$A:$A,B40),"")</f>
        <v/>
      </c>
      <c r="D40" s="90" t="str">
        <f>IFERROR(VLOOKUP(B40,Lijsten!$AK:$AL,2,0),"")</f>
        <v/>
      </c>
      <c r="E40" s="89" t="str">
        <f t="shared" si="2"/>
        <v/>
      </c>
    </row>
    <row r="41" spans="2:6" x14ac:dyDescent="0.25">
      <c r="B41" s="372"/>
      <c r="C41" s="89" t="str">
        <f>IF(B41&lt;&gt;"",SUMIFS(SubsidieTabel_DB!$L:$L,SubsidieTabel_DB!$A:$A,B41)+SUMIFS(SubsidieTabel_DB!$N:$N,SubsidieTabel_DB!$A:$A,B41),"")</f>
        <v/>
      </c>
      <c r="D41" s="90" t="str">
        <f>IFERROR(VLOOKUP(B41,Lijsten!$AK:$AL,2,0),"")</f>
        <v/>
      </c>
      <c r="E41" s="89" t="str">
        <f t="shared" si="2"/>
        <v/>
      </c>
    </row>
    <row r="42" spans="2:6" x14ac:dyDescent="0.25">
      <c r="B42" s="372"/>
      <c r="C42" s="89" t="str">
        <f>IF(B42&lt;&gt;"",SUMIFS(SubsidieTabel_DB!$L:$L,SubsidieTabel_DB!$A:$A,B42)+SUMIFS(SubsidieTabel_DB!$N:$N,SubsidieTabel_DB!$A:$A,B42),"")</f>
        <v/>
      </c>
      <c r="D42" s="90" t="str">
        <f>IFERROR(VLOOKUP(B42,Lijsten!$AK:$AL,2,0),"")</f>
        <v/>
      </c>
      <c r="E42" s="89" t="str">
        <f t="shared" si="2"/>
        <v/>
      </c>
    </row>
    <row r="43" spans="2:6" x14ac:dyDescent="0.25">
      <c r="B43" s="372"/>
      <c r="C43" s="89" t="str">
        <f>IF(B43&lt;&gt;"",SUMIFS(SubsidieTabel_DB!$L:$L,SubsidieTabel_DB!$A:$A,B43)+SUMIFS(SubsidieTabel_DB!$N:$N,SubsidieTabel_DB!$A:$A,B43),"")</f>
        <v/>
      </c>
      <c r="D43" s="90" t="str">
        <f>IFERROR(VLOOKUP(B43,Lijsten!$AK:$AL,2,0),"")</f>
        <v/>
      </c>
      <c r="E43" s="89" t="str">
        <f t="shared" si="2"/>
        <v/>
      </c>
    </row>
    <row r="44" spans="2:6" ht="15" customHeight="1" x14ac:dyDescent="0.25">
      <c r="B44" s="94"/>
      <c r="C44" s="94"/>
      <c r="D44" s="94"/>
      <c r="E44" s="94"/>
    </row>
    <row r="45" spans="2:6" ht="15" customHeight="1" x14ac:dyDescent="0.25">
      <c r="D45" s="108" t="s">
        <v>131</v>
      </c>
      <c r="E45" s="89">
        <f ca="1">IFERROR(FLOOR(SUMPRODUCT(D34:D43,C34:C43),0.01),0)</f>
        <v>0</v>
      </c>
      <c r="F45" s="25" t="s">
        <v>199</v>
      </c>
    </row>
    <row r="46" spans="2:6" ht="15" customHeight="1" x14ac:dyDescent="0.2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71</v>
      </c>
      <c r="C2" s="472" t="str">
        <f>IF('1. Aanvraaggegevens'!C2&lt;&gt;"",'1. Aanvraaggegevens'!C2,"")</f>
        <v>Samenwerken aan innovatie (EIP) Digitalisering en Robotisering</v>
      </c>
      <c r="D2" s="473"/>
      <c r="E2" s="474"/>
      <c r="F2" s="37"/>
      <c r="G2" s="37"/>
      <c r="H2" s="37"/>
      <c r="I2" s="37"/>
      <c r="J2" s="37"/>
      <c r="K2" s="37"/>
      <c r="L2" s="37"/>
      <c r="M2" s="37"/>
      <c r="N2" s="37"/>
      <c r="O2" s="37"/>
      <c r="P2" s="37"/>
      <c r="Q2" s="37"/>
      <c r="R2" s="37"/>
      <c r="S2" s="37"/>
    </row>
    <row r="3" spans="1:19" ht="15" customHeight="1" x14ac:dyDescent="0.25">
      <c r="A3" s="37"/>
      <c r="B3" s="17" t="s">
        <v>16</v>
      </c>
      <c r="C3" s="475" t="str">
        <f>IF('1. Aanvraaggegevens'!C3&lt;&gt;"",'1. Aanvraaggegevens'!C3,"")</f>
        <v/>
      </c>
      <c r="D3" s="476"/>
      <c r="E3" s="477"/>
      <c r="F3" s="37"/>
      <c r="G3" s="37"/>
      <c r="H3" s="37"/>
      <c r="I3" s="37"/>
      <c r="J3" s="37"/>
      <c r="K3" s="37"/>
      <c r="L3" s="37"/>
      <c r="M3" s="37"/>
      <c r="N3" s="37"/>
      <c r="O3" s="37"/>
      <c r="P3" s="37"/>
      <c r="Q3" s="37"/>
      <c r="R3" s="37"/>
      <c r="S3" s="37"/>
    </row>
    <row r="4" spans="1:19" ht="15" customHeight="1" x14ac:dyDescent="0.25">
      <c r="A4" s="37"/>
      <c r="B4" s="17" t="s">
        <v>17</v>
      </c>
      <c r="C4" s="475" t="str">
        <f>IF('1. Aanvraaggegevens'!C4&lt;&gt;"",'1. Aanvraaggegevens'!C4,"")</f>
        <v/>
      </c>
      <c r="D4" s="476"/>
      <c r="E4" s="477"/>
      <c r="F4" s="37"/>
      <c r="G4" s="37"/>
      <c r="H4" s="37"/>
      <c r="I4" s="37"/>
      <c r="J4" s="37"/>
      <c r="K4" s="37"/>
      <c r="L4" s="37"/>
      <c r="M4" s="37"/>
      <c r="N4" s="37"/>
      <c r="O4" s="37"/>
      <c r="P4" s="37"/>
      <c r="Q4" s="37"/>
      <c r="R4" s="37"/>
      <c r="S4" s="37"/>
    </row>
    <row r="5" spans="1:19" ht="15" customHeight="1" x14ac:dyDescent="0.25">
      <c r="A5" s="37"/>
      <c r="B5" s="17" t="s">
        <v>18</v>
      </c>
      <c r="C5" s="475" t="str">
        <f>IF('1. Aanvraaggegevens'!C5&lt;&gt;"",'1. Aanvraaggegevens'!C5,"")</f>
        <v/>
      </c>
      <c r="D5" s="476"/>
      <c r="E5" s="477"/>
      <c r="F5" s="37"/>
      <c r="G5" s="37"/>
      <c r="H5" s="37"/>
      <c r="I5" s="37"/>
      <c r="J5" s="37"/>
      <c r="K5" s="37"/>
      <c r="L5" s="37"/>
      <c r="M5" s="37"/>
      <c r="N5" s="37"/>
      <c r="O5" s="37"/>
      <c r="P5" s="37"/>
      <c r="Q5" s="37"/>
      <c r="R5" s="37"/>
      <c r="S5" s="37"/>
    </row>
    <row r="6" spans="1:19" ht="15" customHeight="1" x14ac:dyDescent="0.25">
      <c r="A6" s="37"/>
      <c r="B6" s="5"/>
      <c r="C6" s="478" t="str">
        <f>IF('1. Aanvraaggegevens'!C6&lt;&gt;"",'1. Aanvraaggegevens'!C6,"")</f>
        <v>Heeft u een specifieke vraag over de regeling of het aanvraagproces?
🔗 Test de EIP Subsidie Buddy via https://abs.techletes.ai/subsidie-buddy-eip</v>
      </c>
      <c r="D6" s="479"/>
      <c r="E6" s="480"/>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49" t="s">
        <v>105</v>
      </c>
      <c r="C8" s="481" t="str">
        <f>IF('1. Aanvraaggegevens'!C8&lt;&gt;"",'1. Aanvraaggegevens'!C8,"")</f>
        <v/>
      </c>
      <c r="D8" s="482"/>
      <c r="E8" s="483"/>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153</v>
      </c>
      <c r="C10" s="489" t="str">
        <f>IF(Keuze_DB_Nr="","",Keuze_DB_Nr)</f>
        <v/>
      </c>
      <c r="D10" s="490"/>
      <c r="E10" s="491"/>
      <c r="F10" s="37"/>
      <c r="G10" s="37"/>
      <c r="H10" s="37"/>
      <c r="I10" s="37"/>
      <c r="J10" s="37"/>
      <c r="K10" s="37"/>
      <c r="L10" s="37"/>
      <c r="M10" s="37"/>
      <c r="N10" s="37"/>
      <c r="O10" s="37"/>
      <c r="P10" s="37"/>
      <c r="Q10" s="37"/>
      <c r="R10" s="37"/>
      <c r="S10" s="37"/>
    </row>
    <row r="11" spans="1:19" ht="15" customHeight="1" x14ac:dyDescent="0.25">
      <c r="A11" s="37"/>
      <c r="B11" s="75" t="s">
        <v>117</v>
      </c>
      <c r="C11" s="492" t="str">
        <f>IF(Keuze_OntvangstDatum&lt;&gt;"",Keuze_OntvangstDatum,"")</f>
        <v/>
      </c>
      <c r="D11" s="493"/>
      <c r="E11" s="494"/>
      <c r="F11" s="37"/>
      <c r="G11" s="37"/>
      <c r="H11" s="37"/>
      <c r="I11" s="37"/>
      <c r="J11" s="37"/>
      <c r="K11" s="37"/>
      <c r="L11" s="37"/>
      <c r="M11" s="37"/>
      <c r="N11" s="37"/>
      <c r="O11" s="37"/>
      <c r="P11" s="37"/>
      <c r="Q11" s="37"/>
      <c r="R11" s="37"/>
      <c r="S11" s="37"/>
    </row>
    <row r="12" spans="1:19" ht="15" customHeight="1" x14ac:dyDescent="0.25">
      <c r="A12" s="37"/>
      <c r="B12" s="75" t="s">
        <v>112</v>
      </c>
      <c r="C12" s="492" t="str">
        <f>IF(Keuze_Zaak_Nr&lt;&gt;"",Keuze_Zaak_Nr,"")</f>
        <v/>
      </c>
      <c r="D12" s="493"/>
      <c r="E12" s="494"/>
      <c r="F12" s="37"/>
      <c r="G12" s="37"/>
      <c r="H12" s="37"/>
      <c r="I12" s="37"/>
      <c r="J12" s="37"/>
      <c r="K12" s="37"/>
      <c r="L12" s="37"/>
      <c r="M12" s="37"/>
      <c r="N12" s="37"/>
      <c r="O12" s="37"/>
      <c r="P12" s="37"/>
      <c r="Q12" s="37"/>
      <c r="R12" s="37"/>
      <c r="S12" s="37"/>
    </row>
    <row r="13" spans="1:19" ht="15" customHeight="1" x14ac:dyDescent="0.25">
      <c r="A13" s="37"/>
      <c r="B13" s="75" t="s">
        <v>104</v>
      </c>
      <c r="C13" s="492" t="str">
        <f>IF(Keuze_EindDatum&lt;&gt;"",Keuze_EindDatum,"")</f>
        <v/>
      </c>
      <c r="D13" s="493"/>
      <c r="E13" s="494"/>
      <c r="F13" s="37"/>
      <c r="G13" s="487" t="str">
        <f>"BEOORDELING BETAALVERZOEK "&amp; "("&amp;Keuze_DB_Nr_BEO&amp;")"</f>
        <v>BEOORDELING BETAALVERZOEK ()</v>
      </c>
      <c r="H13" s="488"/>
      <c r="I13" s="188"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2" t="s">
        <v>0</v>
      </c>
      <c r="C15" s="166" t="s">
        <v>486</v>
      </c>
      <c r="D15" s="166" t="s">
        <v>334</v>
      </c>
      <c r="E15" s="166" t="s">
        <v>231</v>
      </c>
      <c r="F15" s="166" t="s">
        <v>230</v>
      </c>
      <c r="G15" s="166" t="str">
        <f>"Totale uitgaven aangevraagd betaalverzoek ("&amp;Keuze_DB_Nr_BEO&amp;")"</f>
        <v>Totale uitgaven aangevraagd betaalverzoek ()</v>
      </c>
      <c r="H15" s="166" t="str">
        <f>"Totale uitgaven beoordeeld betaalverzoek ("&amp;Keuze_DB_Nr_BEO&amp;")"</f>
        <v>Totale uitgaven beoordeeld betaalverzoek ()</v>
      </c>
      <c r="I15" s="189" t="str" cm="1">
        <f t="array" aca="1" ref="I15" ca="1">IFERROR(TRANSPOSE(Activiteiten_Uniek_DB),"")</f>
        <v/>
      </c>
      <c r="J15" s="189"/>
      <c r="K15" s="189"/>
      <c r="L15" s="189"/>
      <c r="M15" s="189"/>
      <c r="N15" s="189"/>
      <c r="O15" s="189"/>
      <c r="P15" s="189"/>
      <c r="Q15" s="189"/>
      <c r="R15" s="189"/>
      <c r="S15" s="189"/>
    </row>
    <row r="16" spans="1:19" ht="15" customHeight="1" x14ac:dyDescent="0.25">
      <c r="A16" s="37"/>
      <c r="B16" s="198" t="str" cm="1">
        <f t="array" aca="1" ref="B16:B21" ca="1">IFERROR(Posten_Uniek,"")</f>
        <v>Arbeidskosten</v>
      </c>
      <c r="C16" s="190">
        <f ca="1">IF(B16="","",SUMIF(Tb_ProjectKosten[Begroting],'6. Begrotingsoverzicht'!B11,Tb_ProjectKosten[Kosten_Beoordeeld]))</f>
        <v>0</v>
      </c>
      <c r="D16" s="190">
        <f ca="1">'Beoordeeld begrotingsoverzicht'!E11</f>
        <v>0</v>
      </c>
      <c r="E16" s="190">
        <f ca="1">IF(B16="","",SUMIFS('8. Uitgaven betaalverzoek'!U:U,'8. Uitgaven betaalverzoek'!F:F,B16,'8. Uitgaven betaalverzoek'!A:A,"&lt;&gt;"""))</f>
        <v>0</v>
      </c>
      <c r="F16" s="190">
        <f ca="1">IF(B16="","",SUMIFS('8. Uitgaven betaalverzoek'!V:V,'8. Uitgaven betaalverzoek'!F:F,B16,'8. Uitgaven betaalverzoek'!A:A,"&lt;&gt;"""))</f>
        <v>0</v>
      </c>
      <c r="G16" s="190">
        <f ca="1">IF(B16&lt;&gt;"",SUMIF(Tb_DBKostenBEO[],B16,Tb_DBKostenBEO[Deelbetaling_Aanvraag]),"")</f>
        <v>0</v>
      </c>
      <c r="H16" s="190">
        <f ca="1">IF(B16&lt;&gt;"",SUMIF(Tb_DBKostenBEO[],B16,Tb_DBKostenBEO[Deelbetaling_Beoordeeld]),"")</f>
        <v>0</v>
      </c>
      <c r="I16" s="190" t="str">
        <f ca="1">IF(AND($E16&lt;&gt;0,I$15&lt;&gt;"",$E16&lt;&gt;""),IF($C$10&lt;&gt;"",SUMIFS(SubsidieTabel_DB!$S:$S,SubsidieTabel_DB!$A:$A,I$15,SubsidieTabel_DB!$B:$B,$B16),SUMIFS(SubsidieTabel_DB!$F:$F,SubsidieTabel_DB!$A:$A,I$15,SubsidieTabel_DB!$B:$B,$B16)),"")</f>
        <v/>
      </c>
      <c r="J16" s="190" t="str">
        <f ca="1">IF(AND($E16&lt;&gt;0,J$15&lt;&gt;"",$E16&lt;&gt;""),IF($C$10&lt;&gt;"",SUMIFS(SubsidieTabel_DB!$S:$S,SubsidieTabel_DB!$A:$A,J$15,SubsidieTabel_DB!$B:$B,$B16),SUMIFS(SubsidieTabel_DB!$F:$F,SubsidieTabel_DB!$A:$A,J$15,SubsidieTabel_DB!$B:$B,$B16)),"")</f>
        <v/>
      </c>
      <c r="K16" s="190" t="str">
        <f ca="1">IF(AND($E16&lt;&gt;0,K$15&lt;&gt;"",$E16&lt;&gt;""),IF($C$10&lt;&gt;"",SUMIFS(SubsidieTabel_DB!$S:$S,SubsidieTabel_DB!$A:$A,K$15,SubsidieTabel_DB!$B:$B,$B16),SUMIFS(SubsidieTabel_DB!$F:$F,SubsidieTabel_DB!$A:$A,K$15,SubsidieTabel_DB!$B:$B,$B16)),"")</f>
        <v/>
      </c>
      <c r="L16" s="190" t="str">
        <f ca="1">IF(AND($E16&lt;&gt;0,L$15&lt;&gt;"",$E16&lt;&gt;""),IF($C$10&lt;&gt;"",SUMIFS(SubsidieTabel_DB!$S:$S,SubsidieTabel_DB!$A:$A,L$15,SubsidieTabel_DB!$B:$B,$B16),SUMIFS(SubsidieTabel_DB!$F:$F,SubsidieTabel_DB!$A:$A,L$15,SubsidieTabel_DB!$B:$B,$B16)),"")</f>
        <v/>
      </c>
      <c r="M16" s="190" t="str">
        <f ca="1">IF(AND($E16&lt;&gt;0,M$15&lt;&gt;"",$E16&lt;&gt;""),IF($C$10&lt;&gt;"",SUMIFS(SubsidieTabel_DB!$S:$S,SubsidieTabel_DB!$A:$A,M$15,SubsidieTabel_DB!$B:$B,$B16),SUMIFS(SubsidieTabel_DB!$F:$F,SubsidieTabel_DB!$A:$A,M$15,SubsidieTabel_DB!$B:$B,$B16)),"")</f>
        <v/>
      </c>
      <c r="N16" s="190" t="str">
        <f ca="1">IF(AND($E16&lt;&gt;0,N$15&lt;&gt;"",$E16&lt;&gt;""),IF($C$10&lt;&gt;"",SUMIFS(SubsidieTabel_DB!$S:$S,SubsidieTabel_DB!$A:$A,N$15,SubsidieTabel_DB!$B:$B,$B16),SUMIFS(SubsidieTabel_DB!$F:$F,SubsidieTabel_DB!$A:$A,N$15,SubsidieTabel_DB!$B:$B,$B16)),"")</f>
        <v/>
      </c>
      <c r="O16" s="190" t="str">
        <f ca="1">IF(AND($E16&lt;&gt;0,O$15&lt;&gt;"",$E16&lt;&gt;""),IF($C$10&lt;&gt;"",SUMIFS(SubsidieTabel_DB!$S:$S,SubsidieTabel_DB!$A:$A,O$15,SubsidieTabel_DB!$B:$B,$B16),SUMIFS(SubsidieTabel_DB!$F:$F,SubsidieTabel_DB!$A:$A,O$15,SubsidieTabel_DB!$B:$B,$B16)),"")</f>
        <v/>
      </c>
      <c r="P16" s="190" t="str">
        <f ca="1">IF(AND($E16&lt;&gt;0,P$15&lt;&gt;"",$E16&lt;&gt;""),IF($C$10&lt;&gt;"",SUMIFS(SubsidieTabel_DB!$S:$S,SubsidieTabel_DB!$A:$A,P$15,SubsidieTabel_DB!$B:$B,$B16),SUMIFS(SubsidieTabel_DB!$F:$F,SubsidieTabel_DB!$A:$A,P$15,SubsidieTabel_DB!$B:$B,$B16)),"")</f>
        <v/>
      </c>
      <c r="Q16" s="190" t="str">
        <f ca="1">IF(AND($E16&lt;&gt;0,Q$15&lt;&gt;"",$E16&lt;&gt;""),IF($C$10&lt;&gt;"",SUMIFS(SubsidieTabel_DB!$S:$S,SubsidieTabel_DB!$A:$A,Q$15,SubsidieTabel_DB!$B:$B,$B16),SUMIFS(SubsidieTabel_DB!$F:$F,SubsidieTabel_DB!$A:$A,Q$15,SubsidieTabel_DB!$B:$B,$B16)),"")</f>
        <v/>
      </c>
      <c r="R16" s="190" t="str">
        <f ca="1">IF(AND($E16&lt;&gt;0,R$15&lt;&gt;"",$E16&lt;&gt;""),IF($C$10&lt;&gt;"",SUMIFS(SubsidieTabel_DB!$S:$S,SubsidieTabel_DB!$A:$A,R$15,SubsidieTabel_DB!$B:$B,$B16),SUMIFS(SubsidieTabel_DB!$F:$F,SubsidieTabel_DB!$A:$A,R$15,SubsidieTabel_DB!$B:$B,$B16)),"")</f>
        <v/>
      </c>
      <c r="S16" s="190"/>
    </row>
    <row r="17" spans="1:19" ht="15" customHeight="1" x14ac:dyDescent="0.25">
      <c r="A17" s="37"/>
      <c r="B17" s="198" t="str">
        <f ca="1"/>
        <v>Arbeidskosten op basis van IKS</v>
      </c>
      <c r="C17" s="190">
        <f ca="1">IF(B17="","",SUMIF(Tb_ProjectKosten[Begroting],'6. Begrotingsoverzicht'!B12,Tb_ProjectKosten[Kosten_Beoordeeld]))</f>
        <v>0</v>
      </c>
      <c r="D17" s="190">
        <f ca="1">'Beoordeeld begrotingsoverzicht'!E12</f>
        <v>0</v>
      </c>
      <c r="E17" s="190">
        <f ca="1">IF(B17="","",SUMIFS('8. Uitgaven betaalverzoek'!U:U,'8. Uitgaven betaalverzoek'!F:F,B17,'8. Uitgaven betaalverzoek'!A:A,"&lt;&gt;"""))</f>
        <v>0</v>
      </c>
      <c r="F17" s="190">
        <f ca="1">IF(B17="","",SUMIFS('8. Uitgaven betaalverzoek'!V:V,'8. Uitgaven betaalverzoek'!F:F,B17,'8. Uitgaven betaalverzoek'!A:A,"&lt;&gt;"""))</f>
        <v>0</v>
      </c>
      <c r="G17" s="190">
        <f ca="1">IF(B17&lt;&gt;"",SUMIF(Tb_DBKostenBEO[],B17,Tb_DBKostenBEO[Deelbetaling_Aanvraag]),"")</f>
        <v>0</v>
      </c>
      <c r="H17" s="190">
        <f ca="1">IF(B17&lt;&gt;"",SUMIF(Tb_DBKostenBEO[],B17,Tb_DBKostenBEO[Deelbetaling_Beoordeeld]),"")</f>
        <v>0</v>
      </c>
      <c r="I17" s="190" t="str">
        <f ca="1">IF(AND($E17&lt;&gt;0,I$15&lt;&gt;"",$E17&lt;&gt;""),IF($C$10&lt;&gt;"",SUMIFS(SubsidieTabel_DB!$S:$S,SubsidieTabel_DB!$A:$A,I$15,SubsidieTabel_DB!$B:$B,$B17),SUMIFS(SubsidieTabel_DB!$F:$F,SubsidieTabel_DB!$A:$A,I$15,SubsidieTabel_DB!$B:$B,$B17)),"")</f>
        <v/>
      </c>
      <c r="J17" s="190" t="str">
        <f ca="1">IF(AND($E17&lt;&gt;0,J$15&lt;&gt;"",$E17&lt;&gt;""),IF($C$10&lt;&gt;"",SUMIFS(SubsidieTabel_DB!$S:$S,SubsidieTabel_DB!$A:$A,J$15,SubsidieTabel_DB!$B:$B,$B17),SUMIFS(SubsidieTabel_DB!$F:$F,SubsidieTabel_DB!$A:$A,J$15,SubsidieTabel_DB!$B:$B,$B17)),"")</f>
        <v/>
      </c>
      <c r="K17" s="190" t="str">
        <f ca="1">IF(AND($E17&lt;&gt;0,K$15&lt;&gt;"",$E17&lt;&gt;""),IF($C$10&lt;&gt;"",SUMIFS(SubsidieTabel_DB!$S:$S,SubsidieTabel_DB!$A:$A,K$15,SubsidieTabel_DB!$B:$B,$B17),SUMIFS(SubsidieTabel_DB!$F:$F,SubsidieTabel_DB!$A:$A,K$15,SubsidieTabel_DB!$B:$B,$B17)),"")</f>
        <v/>
      </c>
      <c r="L17" s="190" t="str">
        <f ca="1">IF(AND($E17&lt;&gt;0,L$15&lt;&gt;"",$E17&lt;&gt;""),IF($C$10&lt;&gt;"",SUMIFS(SubsidieTabel_DB!$S:$S,SubsidieTabel_DB!$A:$A,L$15,SubsidieTabel_DB!$B:$B,$B17),SUMIFS(SubsidieTabel_DB!$F:$F,SubsidieTabel_DB!$A:$A,L$15,SubsidieTabel_DB!$B:$B,$B17)),"")</f>
        <v/>
      </c>
      <c r="M17" s="190" t="str">
        <f ca="1">IF(AND($E17&lt;&gt;0,M$15&lt;&gt;"",$E17&lt;&gt;""),IF($C$10&lt;&gt;"",SUMIFS(SubsidieTabel_DB!$S:$S,SubsidieTabel_DB!$A:$A,M$15,SubsidieTabel_DB!$B:$B,$B17),SUMIFS(SubsidieTabel_DB!$F:$F,SubsidieTabel_DB!$A:$A,M$15,SubsidieTabel_DB!$B:$B,$B17)),"")</f>
        <v/>
      </c>
      <c r="N17" s="190" t="str">
        <f ca="1">IF(AND($E17&lt;&gt;0,N$15&lt;&gt;"",$E17&lt;&gt;""),IF($C$10&lt;&gt;"",SUMIFS(SubsidieTabel_DB!$S:$S,SubsidieTabel_DB!$A:$A,N$15,SubsidieTabel_DB!$B:$B,$B17),SUMIFS(SubsidieTabel_DB!$F:$F,SubsidieTabel_DB!$A:$A,N$15,SubsidieTabel_DB!$B:$B,$B17)),"")</f>
        <v/>
      </c>
      <c r="O17" s="190" t="str">
        <f ca="1">IF(AND($E17&lt;&gt;0,O$15&lt;&gt;"",$E17&lt;&gt;""),IF($C$10&lt;&gt;"",SUMIFS(SubsidieTabel_DB!$S:$S,SubsidieTabel_DB!$A:$A,O$15,SubsidieTabel_DB!$B:$B,$B17),SUMIFS(SubsidieTabel_DB!$F:$F,SubsidieTabel_DB!$A:$A,O$15,SubsidieTabel_DB!$B:$B,$B17)),"")</f>
        <v/>
      </c>
      <c r="P17" s="190" t="str">
        <f ca="1">IF(AND($E17&lt;&gt;0,P$15&lt;&gt;"",$E17&lt;&gt;""),IF($C$10&lt;&gt;"",SUMIFS(SubsidieTabel_DB!$S:$S,SubsidieTabel_DB!$A:$A,P$15,SubsidieTabel_DB!$B:$B,$B17),SUMIFS(SubsidieTabel_DB!$F:$F,SubsidieTabel_DB!$A:$A,P$15,SubsidieTabel_DB!$B:$B,$B17)),"")</f>
        <v/>
      </c>
      <c r="Q17" s="190" t="str">
        <f ca="1">IF(AND($E17&lt;&gt;0,Q$15&lt;&gt;"",$E17&lt;&gt;""),IF($C$10&lt;&gt;"",SUMIFS(SubsidieTabel_DB!$S:$S,SubsidieTabel_DB!$A:$A,Q$15,SubsidieTabel_DB!$B:$B,$B17),SUMIFS(SubsidieTabel_DB!$F:$F,SubsidieTabel_DB!$A:$A,Q$15,SubsidieTabel_DB!$B:$B,$B17)),"")</f>
        <v/>
      </c>
      <c r="R17" s="190" t="str">
        <f ca="1">IF(AND($E17&lt;&gt;0,R$15&lt;&gt;"",$E17&lt;&gt;""),IF($C$10&lt;&gt;"",SUMIFS(SubsidieTabel_DB!$S:$S,SubsidieTabel_DB!$A:$A,R$15,SubsidieTabel_DB!$B:$B,$B17),SUMIFS(SubsidieTabel_DB!$F:$F,SubsidieTabel_DB!$A:$A,R$15,SubsidieTabel_DB!$B:$B,$B17)),"")</f>
        <v/>
      </c>
      <c r="S17" s="190"/>
    </row>
    <row r="18" spans="1:19" ht="15" customHeight="1" x14ac:dyDescent="0.25">
      <c r="A18" s="37"/>
      <c r="B18" s="6" t="str">
        <f ca="1"/>
        <v>Kosten derden exclusief btw</v>
      </c>
      <c r="C18" s="190">
        <f ca="1">IF(B18="","",SUMIF(Tb_ProjectKosten[Begroting],'6. Begrotingsoverzicht'!B13,Tb_ProjectKosten[Kosten_Beoordeeld]))</f>
        <v>0</v>
      </c>
      <c r="D18" s="190">
        <f ca="1">'Beoordeeld begrotingsoverzicht'!E13</f>
        <v>0</v>
      </c>
      <c r="E18" s="190">
        <f ca="1">IF(B18="","",SUMIFS('8. Uitgaven betaalverzoek'!U:U,'8. Uitgaven betaalverzoek'!F:F,B18,'8. Uitgaven betaalverzoek'!A:A,"&lt;&gt;"""))</f>
        <v>0</v>
      </c>
      <c r="F18" s="190">
        <f ca="1">IF(B18="","",SUMIFS('8. Uitgaven betaalverzoek'!V:V,'8. Uitgaven betaalverzoek'!F:F,B18,'8. Uitgaven betaalverzoek'!A:A,"&lt;&gt;"""))</f>
        <v>0</v>
      </c>
      <c r="G18" s="190">
        <f ca="1">IF(B18&lt;&gt;"",SUMIF(Tb_DBKostenBEO[],B18,Tb_DBKostenBEO[Deelbetaling_Aanvraag]),"")</f>
        <v>0</v>
      </c>
      <c r="H18" s="190">
        <f ca="1">IF(B18&lt;&gt;"",SUMIF(Tb_DBKostenBEO[],B18,Tb_DBKostenBEO[Deelbetaling_Beoordeeld]),"")</f>
        <v>0</v>
      </c>
      <c r="I18" s="190" t="str">
        <f ca="1">IF(AND($E18&lt;&gt;0,I$15&lt;&gt;"",$E18&lt;&gt;""),IF($C$10&lt;&gt;"",SUMIFS(SubsidieTabel_DB!$S:$S,SubsidieTabel_DB!$A:$A,I$15,SubsidieTabel_DB!$B:$B,$B18),SUMIFS(SubsidieTabel_DB!$F:$F,SubsidieTabel_DB!$A:$A,I$15,SubsidieTabel_DB!$B:$B,$B18)),"")</f>
        <v/>
      </c>
      <c r="J18" s="190" t="str">
        <f ca="1">IF(AND($E18&lt;&gt;0,J$15&lt;&gt;"",$E18&lt;&gt;""),IF($C$10&lt;&gt;"",SUMIFS(SubsidieTabel_DB!$S:$S,SubsidieTabel_DB!$A:$A,J$15,SubsidieTabel_DB!$B:$B,$B18),SUMIFS(SubsidieTabel_DB!$F:$F,SubsidieTabel_DB!$A:$A,J$15,SubsidieTabel_DB!$B:$B,$B18)),"")</f>
        <v/>
      </c>
      <c r="K18" s="190" t="str">
        <f ca="1">IF(AND($E18&lt;&gt;0,K$15&lt;&gt;"",$E18&lt;&gt;""),IF($C$10&lt;&gt;"",SUMIFS(SubsidieTabel_DB!$S:$S,SubsidieTabel_DB!$A:$A,K$15,SubsidieTabel_DB!$B:$B,$B18),SUMIFS(SubsidieTabel_DB!$F:$F,SubsidieTabel_DB!$A:$A,K$15,SubsidieTabel_DB!$B:$B,$B18)),"")</f>
        <v/>
      </c>
      <c r="L18" s="190" t="str">
        <f ca="1">IF(AND($E18&lt;&gt;0,L$15&lt;&gt;"",$E18&lt;&gt;""),IF($C$10&lt;&gt;"",SUMIFS(SubsidieTabel_DB!$S:$S,SubsidieTabel_DB!$A:$A,L$15,SubsidieTabel_DB!$B:$B,$B18),SUMIFS(SubsidieTabel_DB!$F:$F,SubsidieTabel_DB!$A:$A,L$15,SubsidieTabel_DB!$B:$B,$B18)),"")</f>
        <v/>
      </c>
      <c r="M18" s="190" t="str">
        <f ca="1">IF(AND($E18&lt;&gt;0,M$15&lt;&gt;"",$E18&lt;&gt;""),IF($C$10&lt;&gt;"",SUMIFS(SubsidieTabel_DB!$S:$S,SubsidieTabel_DB!$A:$A,M$15,SubsidieTabel_DB!$B:$B,$B18),SUMIFS(SubsidieTabel_DB!$F:$F,SubsidieTabel_DB!$A:$A,M$15,SubsidieTabel_DB!$B:$B,$B18)),"")</f>
        <v/>
      </c>
      <c r="N18" s="190" t="str">
        <f ca="1">IF(AND($E18&lt;&gt;0,N$15&lt;&gt;"",$E18&lt;&gt;""),IF($C$10&lt;&gt;"",SUMIFS(SubsidieTabel_DB!$S:$S,SubsidieTabel_DB!$A:$A,N$15,SubsidieTabel_DB!$B:$B,$B18),SUMIFS(SubsidieTabel_DB!$F:$F,SubsidieTabel_DB!$A:$A,N$15,SubsidieTabel_DB!$B:$B,$B18)),"")</f>
        <v/>
      </c>
      <c r="O18" s="190" t="str">
        <f ca="1">IF(AND($E18&lt;&gt;0,O$15&lt;&gt;"",$E18&lt;&gt;""),IF($C$10&lt;&gt;"",SUMIFS(SubsidieTabel_DB!$S:$S,SubsidieTabel_DB!$A:$A,O$15,SubsidieTabel_DB!$B:$B,$B18),SUMIFS(SubsidieTabel_DB!$F:$F,SubsidieTabel_DB!$A:$A,O$15,SubsidieTabel_DB!$B:$B,$B18)),"")</f>
        <v/>
      </c>
      <c r="P18" s="190" t="str">
        <f ca="1">IF(AND($E18&lt;&gt;0,P$15&lt;&gt;"",$E18&lt;&gt;""),IF($C$10&lt;&gt;"",SUMIFS(SubsidieTabel_DB!$S:$S,SubsidieTabel_DB!$A:$A,P$15,SubsidieTabel_DB!$B:$B,$B18),SUMIFS(SubsidieTabel_DB!$F:$F,SubsidieTabel_DB!$A:$A,P$15,SubsidieTabel_DB!$B:$B,$B18)),"")</f>
        <v/>
      </c>
      <c r="Q18" s="190" t="str">
        <f ca="1">IF(AND($E18&lt;&gt;0,Q$15&lt;&gt;"",$E18&lt;&gt;""),IF($C$10&lt;&gt;"",SUMIFS(SubsidieTabel_DB!$S:$S,SubsidieTabel_DB!$A:$A,Q$15,SubsidieTabel_DB!$B:$B,$B18),SUMIFS(SubsidieTabel_DB!$F:$F,SubsidieTabel_DB!$A:$A,Q$15,SubsidieTabel_DB!$B:$B,$B18)),"")</f>
        <v/>
      </c>
      <c r="R18" s="190" t="str">
        <f ca="1">IF(AND($E18&lt;&gt;0,R$15&lt;&gt;"",$E18&lt;&gt;""),IF($C$10&lt;&gt;"",SUMIFS(SubsidieTabel_DB!$S:$S,SubsidieTabel_DB!$A:$A,R$15,SubsidieTabel_DB!$B:$B,$B18),SUMIFS(SubsidieTabel_DB!$F:$F,SubsidieTabel_DB!$A:$A,R$15,SubsidieTabel_DB!$B:$B,$B18)),"")</f>
        <v/>
      </c>
      <c r="S18" s="190"/>
    </row>
    <row r="19" spans="1:19" ht="15" customHeight="1" x14ac:dyDescent="0.25">
      <c r="A19" s="37"/>
      <c r="B19" s="6" t="str">
        <f ca="1"/>
        <v>Bijdrage in natura (overige)</v>
      </c>
      <c r="C19" s="190">
        <f ca="1">IF(B19="","",SUMIF(Tb_ProjectKosten[Begroting],'6. Begrotingsoverzicht'!B14,Tb_ProjectKosten[Kosten_Beoordeeld]))</f>
        <v>0</v>
      </c>
      <c r="D19" s="190">
        <f ca="1">'Beoordeeld begrotingsoverzicht'!E14</f>
        <v>0</v>
      </c>
      <c r="E19" s="190">
        <f ca="1">IF(B19="","",SUMIFS('8. Uitgaven betaalverzoek'!U:U,'8. Uitgaven betaalverzoek'!F:F,B19,'8. Uitgaven betaalverzoek'!A:A,"&lt;&gt;"""))</f>
        <v>0</v>
      </c>
      <c r="F19" s="190">
        <f ca="1">IF(B19="","",SUMIFS('8. Uitgaven betaalverzoek'!V:V,'8. Uitgaven betaalverzoek'!F:F,B19,'8. Uitgaven betaalverzoek'!A:A,"&lt;&gt;"""))</f>
        <v>0</v>
      </c>
      <c r="G19" s="190">
        <f ca="1">IF(B19&lt;&gt;"",SUMIF(Tb_DBKostenBEO[],B19,Tb_DBKostenBEO[Deelbetaling_Aanvraag]),"")</f>
        <v>0</v>
      </c>
      <c r="H19" s="190">
        <f ca="1">IF(B19&lt;&gt;"",SUMIF(Tb_DBKostenBEO[],B19,Tb_DBKostenBEO[Deelbetaling_Beoordeeld]),"")</f>
        <v>0</v>
      </c>
      <c r="I19" s="190" t="str">
        <f ca="1">IF(AND($E19&lt;&gt;0,I$15&lt;&gt;"",$E19&lt;&gt;""),IF($C$10&lt;&gt;"",SUMIFS(SubsidieTabel_DB!$S:$S,SubsidieTabel_DB!$A:$A,I$15,SubsidieTabel_DB!$B:$B,$B19),SUMIFS(SubsidieTabel_DB!$F:$F,SubsidieTabel_DB!$A:$A,I$15,SubsidieTabel_DB!$B:$B,$B19)),"")</f>
        <v/>
      </c>
      <c r="J19" s="190" t="str">
        <f ca="1">IF(AND($E19&lt;&gt;0,J$15&lt;&gt;"",$E19&lt;&gt;""),IF($C$10&lt;&gt;"",SUMIFS(SubsidieTabel_DB!$S:$S,SubsidieTabel_DB!$A:$A,J$15,SubsidieTabel_DB!$B:$B,$B19),SUMIFS(SubsidieTabel_DB!$F:$F,SubsidieTabel_DB!$A:$A,J$15,SubsidieTabel_DB!$B:$B,$B19)),"")</f>
        <v/>
      </c>
      <c r="K19" s="190" t="str">
        <f ca="1">IF(AND($E19&lt;&gt;0,K$15&lt;&gt;"",$E19&lt;&gt;""),IF($C$10&lt;&gt;"",SUMIFS(SubsidieTabel_DB!$S:$S,SubsidieTabel_DB!$A:$A,K$15,SubsidieTabel_DB!$B:$B,$B19),SUMIFS(SubsidieTabel_DB!$F:$F,SubsidieTabel_DB!$A:$A,K$15,SubsidieTabel_DB!$B:$B,$B19)),"")</f>
        <v/>
      </c>
      <c r="L19" s="190" t="str">
        <f ca="1">IF(AND($E19&lt;&gt;0,L$15&lt;&gt;"",$E19&lt;&gt;""),IF($C$10&lt;&gt;"",SUMIFS(SubsidieTabel_DB!$S:$S,SubsidieTabel_DB!$A:$A,L$15,SubsidieTabel_DB!$B:$B,$B19),SUMIFS(SubsidieTabel_DB!$F:$F,SubsidieTabel_DB!$A:$A,L$15,SubsidieTabel_DB!$B:$B,$B19)),"")</f>
        <v/>
      </c>
      <c r="M19" s="190" t="str">
        <f ca="1">IF(AND($E19&lt;&gt;0,M$15&lt;&gt;"",$E19&lt;&gt;""),IF($C$10&lt;&gt;"",SUMIFS(SubsidieTabel_DB!$S:$S,SubsidieTabel_DB!$A:$A,M$15,SubsidieTabel_DB!$B:$B,$B19),SUMIFS(SubsidieTabel_DB!$F:$F,SubsidieTabel_DB!$A:$A,M$15,SubsidieTabel_DB!$B:$B,$B19)),"")</f>
        <v/>
      </c>
      <c r="N19" s="190" t="str">
        <f ca="1">IF(AND($E19&lt;&gt;0,N$15&lt;&gt;"",$E19&lt;&gt;""),IF($C$10&lt;&gt;"",SUMIFS(SubsidieTabel_DB!$S:$S,SubsidieTabel_DB!$A:$A,N$15,SubsidieTabel_DB!$B:$B,$B19),SUMIFS(SubsidieTabel_DB!$F:$F,SubsidieTabel_DB!$A:$A,N$15,SubsidieTabel_DB!$B:$B,$B19)),"")</f>
        <v/>
      </c>
      <c r="O19" s="190" t="str">
        <f ca="1">IF(AND($E19&lt;&gt;0,O$15&lt;&gt;"",$E19&lt;&gt;""),IF($C$10&lt;&gt;"",SUMIFS(SubsidieTabel_DB!$S:$S,SubsidieTabel_DB!$A:$A,O$15,SubsidieTabel_DB!$B:$B,$B19),SUMIFS(SubsidieTabel_DB!$F:$F,SubsidieTabel_DB!$A:$A,O$15,SubsidieTabel_DB!$B:$B,$B19)),"")</f>
        <v/>
      </c>
      <c r="P19" s="190" t="str">
        <f ca="1">IF(AND($E19&lt;&gt;0,P$15&lt;&gt;"",$E19&lt;&gt;""),IF($C$10&lt;&gt;"",SUMIFS(SubsidieTabel_DB!$S:$S,SubsidieTabel_DB!$A:$A,P$15,SubsidieTabel_DB!$B:$B,$B19),SUMIFS(SubsidieTabel_DB!$F:$F,SubsidieTabel_DB!$A:$A,P$15,SubsidieTabel_DB!$B:$B,$B19)),"")</f>
        <v/>
      </c>
      <c r="Q19" s="190" t="str">
        <f ca="1">IF(AND($E19&lt;&gt;0,Q$15&lt;&gt;"",$E19&lt;&gt;""),IF($C$10&lt;&gt;"",SUMIFS(SubsidieTabel_DB!$S:$S,SubsidieTabel_DB!$A:$A,Q$15,SubsidieTabel_DB!$B:$B,$B19),SUMIFS(SubsidieTabel_DB!$F:$F,SubsidieTabel_DB!$A:$A,Q$15,SubsidieTabel_DB!$B:$B,$B19)),"")</f>
        <v/>
      </c>
      <c r="R19" s="190" t="str">
        <f ca="1">IF(AND($E19&lt;&gt;0,R$15&lt;&gt;"",$E19&lt;&gt;""),IF($C$10&lt;&gt;"",SUMIFS(SubsidieTabel_DB!$S:$S,SubsidieTabel_DB!$A:$A,R$15,SubsidieTabel_DB!$B:$B,$B19),SUMIFS(SubsidieTabel_DB!$F:$F,SubsidieTabel_DB!$A:$A,R$15,SubsidieTabel_DB!$B:$B,$B19)),"")</f>
        <v/>
      </c>
      <c r="S19" s="190"/>
    </row>
    <row r="20" spans="1:19" ht="15" customHeight="1" x14ac:dyDescent="0.25">
      <c r="A20" s="37"/>
      <c r="B20" s="6" t="str">
        <f ca="1"/>
        <v>Afschrijvingskosten</v>
      </c>
      <c r="C20" s="190">
        <f ca="1">IF(B20="","",SUMIF(Tb_ProjectKosten[Begroting],'6. Begrotingsoverzicht'!B15,Tb_ProjectKosten[Kosten_Beoordeeld]))</f>
        <v>0</v>
      </c>
      <c r="D20" s="190">
        <f ca="1">'Beoordeeld begrotingsoverzicht'!E15</f>
        <v>0</v>
      </c>
      <c r="E20" s="190">
        <f ca="1">IF(B20="","",SUMIFS('8. Uitgaven betaalverzoek'!U:U,'8. Uitgaven betaalverzoek'!F:F,B20,'8. Uitgaven betaalverzoek'!A:A,"&lt;&gt;"""))</f>
        <v>0</v>
      </c>
      <c r="F20" s="190">
        <f ca="1">IF(B20="","",SUMIFS('8. Uitgaven betaalverzoek'!V:V,'8. Uitgaven betaalverzoek'!F:F,B20,'8. Uitgaven betaalverzoek'!A:A,"&lt;&gt;"""))</f>
        <v>0</v>
      </c>
      <c r="G20" s="190">
        <f ca="1">IF(B20&lt;&gt;"",SUMIF(Tb_DBKostenBEO[],B20,Tb_DBKostenBEO[Deelbetaling_Aanvraag]),"")</f>
        <v>0</v>
      </c>
      <c r="H20" s="190">
        <f ca="1">IF(B20&lt;&gt;"",SUMIF(Tb_DBKostenBEO[],B20,Tb_DBKostenBEO[Deelbetaling_Beoordeeld]),"")</f>
        <v>0</v>
      </c>
      <c r="I20" s="190" t="str">
        <f ca="1">IF(AND($E20&lt;&gt;0,I$15&lt;&gt;"",$E20&lt;&gt;""),IF($C$10&lt;&gt;"",SUMIFS(SubsidieTabel_DB!$S:$S,SubsidieTabel_DB!$A:$A,I$15,SubsidieTabel_DB!$B:$B,$B20),SUMIFS(SubsidieTabel_DB!$F:$F,SubsidieTabel_DB!$A:$A,I$15,SubsidieTabel_DB!$B:$B,$B20)),"")</f>
        <v/>
      </c>
      <c r="J20" s="190" t="str">
        <f ca="1">IF(AND($E20&lt;&gt;0,J$15&lt;&gt;"",$E20&lt;&gt;""),IF($C$10&lt;&gt;"",SUMIFS(SubsidieTabel_DB!$S:$S,SubsidieTabel_DB!$A:$A,J$15,SubsidieTabel_DB!$B:$B,$B20),SUMIFS(SubsidieTabel_DB!$F:$F,SubsidieTabel_DB!$A:$A,J$15,SubsidieTabel_DB!$B:$B,$B20)),"")</f>
        <v/>
      </c>
      <c r="K20" s="190" t="str">
        <f ca="1">IF(AND($E20&lt;&gt;0,K$15&lt;&gt;"",$E20&lt;&gt;""),IF($C$10&lt;&gt;"",SUMIFS(SubsidieTabel_DB!$S:$S,SubsidieTabel_DB!$A:$A,K$15,SubsidieTabel_DB!$B:$B,$B20),SUMIFS(SubsidieTabel_DB!$F:$F,SubsidieTabel_DB!$A:$A,K$15,SubsidieTabel_DB!$B:$B,$B20)),"")</f>
        <v/>
      </c>
      <c r="L20" s="190" t="str">
        <f ca="1">IF(AND($E20&lt;&gt;0,L$15&lt;&gt;"",$E20&lt;&gt;""),IF($C$10&lt;&gt;"",SUMIFS(SubsidieTabel_DB!$S:$S,SubsidieTabel_DB!$A:$A,L$15,SubsidieTabel_DB!$B:$B,$B20),SUMIFS(SubsidieTabel_DB!$F:$F,SubsidieTabel_DB!$A:$A,L$15,SubsidieTabel_DB!$B:$B,$B20)),"")</f>
        <v/>
      </c>
      <c r="M20" s="190" t="str">
        <f ca="1">IF(AND($E20&lt;&gt;0,M$15&lt;&gt;"",$E20&lt;&gt;""),IF($C$10&lt;&gt;"",SUMIFS(SubsidieTabel_DB!$S:$S,SubsidieTabel_DB!$A:$A,M$15,SubsidieTabel_DB!$B:$B,$B20),SUMIFS(SubsidieTabel_DB!$F:$F,SubsidieTabel_DB!$A:$A,M$15,SubsidieTabel_DB!$B:$B,$B20)),"")</f>
        <v/>
      </c>
      <c r="N20" s="190" t="str">
        <f ca="1">IF(AND($E20&lt;&gt;0,N$15&lt;&gt;"",$E20&lt;&gt;""),IF($C$10&lt;&gt;"",SUMIFS(SubsidieTabel_DB!$S:$S,SubsidieTabel_DB!$A:$A,N$15,SubsidieTabel_DB!$B:$B,$B20),SUMIFS(SubsidieTabel_DB!$F:$F,SubsidieTabel_DB!$A:$A,N$15,SubsidieTabel_DB!$B:$B,$B20)),"")</f>
        <v/>
      </c>
      <c r="O20" s="190" t="str">
        <f ca="1">IF(AND($E20&lt;&gt;0,O$15&lt;&gt;"",$E20&lt;&gt;""),IF($C$10&lt;&gt;"",SUMIFS(SubsidieTabel_DB!$S:$S,SubsidieTabel_DB!$A:$A,O$15,SubsidieTabel_DB!$B:$B,$B20),SUMIFS(SubsidieTabel_DB!$F:$F,SubsidieTabel_DB!$A:$A,O$15,SubsidieTabel_DB!$B:$B,$B20)),"")</f>
        <v/>
      </c>
      <c r="P20" s="190" t="str">
        <f ca="1">IF(AND($E20&lt;&gt;0,P$15&lt;&gt;"",$E20&lt;&gt;""),IF($C$10&lt;&gt;"",SUMIFS(SubsidieTabel_DB!$S:$S,SubsidieTabel_DB!$A:$A,P$15,SubsidieTabel_DB!$B:$B,$B20),SUMIFS(SubsidieTabel_DB!$F:$F,SubsidieTabel_DB!$A:$A,P$15,SubsidieTabel_DB!$B:$B,$B20)),"")</f>
        <v/>
      </c>
      <c r="Q20" s="190" t="str">
        <f ca="1">IF(AND($E20&lt;&gt;0,Q$15&lt;&gt;"",$E20&lt;&gt;""),IF($C$10&lt;&gt;"",SUMIFS(SubsidieTabel_DB!$S:$S,SubsidieTabel_DB!$A:$A,Q$15,SubsidieTabel_DB!$B:$B,$B20),SUMIFS(SubsidieTabel_DB!$F:$F,SubsidieTabel_DB!$A:$A,Q$15,SubsidieTabel_DB!$B:$B,$B20)),"")</f>
        <v/>
      </c>
      <c r="R20" s="190" t="str">
        <f ca="1">IF(AND($E20&lt;&gt;0,R$15&lt;&gt;"",$E20&lt;&gt;""),IF($C$10&lt;&gt;"",SUMIFS(SubsidieTabel_DB!$S:$S,SubsidieTabel_DB!$A:$A,R$15,SubsidieTabel_DB!$B:$B,$B20),SUMIFS(SubsidieTabel_DB!$F:$F,SubsidieTabel_DB!$A:$A,R$15,SubsidieTabel_DB!$B:$B,$B20)),"")</f>
        <v/>
      </c>
      <c r="S20" s="190"/>
    </row>
    <row r="21" spans="1:19" ht="15" customHeight="1" x14ac:dyDescent="0.25">
      <c r="A21" s="37"/>
      <c r="B21" s="6" t="str">
        <f ca="1"/>
        <v>Niet verrekenbare btw</v>
      </c>
      <c r="C21" s="190">
        <f ca="1">IF(B21="","",SUMIF(Tb_ProjectKosten[Begroting],'6. Begrotingsoverzicht'!B16,Tb_ProjectKosten[Kosten_Beoordeeld]))</f>
        <v>0</v>
      </c>
      <c r="D21" s="190">
        <f ca="1">'Beoordeeld begrotingsoverzicht'!E16</f>
        <v>0</v>
      </c>
      <c r="E21" s="190">
        <f ca="1">IF(B21="","",SUMIFS('8. Uitgaven betaalverzoek'!U:U,'8. Uitgaven betaalverzoek'!F:F,B21,'8. Uitgaven betaalverzoek'!A:A,"&lt;&gt;"""))</f>
        <v>0</v>
      </c>
      <c r="F21" s="190">
        <f ca="1">IF(B21="","",SUMIFS('8. Uitgaven betaalverzoek'!V:V,'8. Uitgaven betaalverzoek'!F:F,B21,'8. Uitgaven betaalverzoek'!A:A,"&lt;&gt;"""))</f>
        <v>0</v>
      </c>
      <c r="G21" s="190">
        <f ca="1">IF(B21&lt;&gt;"",SUMIF(Tb_DBKostenBEO[],B21,Tb_DBKostenBEO[Deelbetaling_Aanvraag]),"")</f>
        <v>0</v>
      </c>
      <c r="H21" s="190">
        <f ca="1">IF(B21&lt;&gt;"",SUMIF(Tb_DBKostenBEO[],B21,Tb_DBKostenBEO[Deelbetaling_Beoordeeld]),"")</f>
        <v>0</v>
      </c>
      <c r="I21" s="190" t="str">
        <f ca="1">IF(AND($E21&lt;&gt;0,I$15&lt;&gt;"",$E21&lt;&gt;""),IF($C$10&lt;&gt;"",SUMIFS(SubsidieTabel_DB!$S:$S,SubsidieTabel_DB!$A:$A,I$15,SubsidieTabel_DB!$B:$B,$B21),SUMIFS(SubsidieTabel_DB!$F:$F,SubsidieTabel_DB!$A:$A,I$15,SubsidieTabel_DB!$B:$B,$B21)),"")</f>
        <v/>
      </c>
      <c r="J21" s="190" t="str">
        <f ca="1">IF(AND($E21&lt;&gt;0,J$15&lt;&gt;"",$E21&lt;&gt;""),IF($C$10&lt;&gt;"",SUMIFS(SubsidieTabel_DB!$S:$S,SubsidieTabel_DB!$A:$A,J$15,SubsidieTabel_DB!$B:$B,$B21),SUMIFS(SubsidieTabel_DB!$F:$F,SubsidieTabel_DB!$A:$A,J$15,SubsidieTabel_DB!$B:$B,$B21)),"")</f>
        <v/>
      </c>
      <c r="K21" s="190" t="str">
        <f ca="1">IF(AND($E21&lt;&gt;0,K$15&lt;&gt;"",$E21&lt;&gt;""),IF($C$10&lt;&gt;"",SUMIFS(SubsidieTabel_DB!$S:$S,SubsidieTabel_DB!$A:$A,K$15,SubsidieTabel_DB!$B:$B,$B21),SUMIFS(SubsidieTabel_DB!$F:$F,SubsidieTabel_DB!$A:$A,K$15,SubsidieTabel_DB!$B:$B,$B21)),"")</f>
        <v/>
      </c>
      <c r="L21" s="190" t="str">
        <f ca="1">IF(AND($E21&lt;&gt;0,L$15&lt;&gt;"",$E21&lt;&gt;""),IF($C$10&lt;&gt;"",SUMIFS(SubsidieTabel_DB!$S:$S,SubsidieTabel_DB!$A:$A,L$15,SubsidieTabel_DB!$B:$B,$B21),SUMIFS(SubsidieTabel_DB!$F:$F,SubsidieTabel_DB!$A:$A,L$15,SubsidieTabel_DB!$B:$B,$B21)),"")</f>
        <v/>
      </c>
      <c r="M21" s="190" t="str">
        <f ca="1">IF(AND($E21&lt;&gt;0,M$15&lt;&gt;"",$E21&lt;&gt;""),IF($C$10&lt;&gt;"",SUMIFS(SubsidieTabel_DB!$S:$S,SubsidieTabel_DB!$A:$A,M$15,SubsidieTabel_DB!$B:$B,$B21),SUMIFS(SubsidieTabel_DB!$F:$F,SubsidieTabel_DB!$A:$A,M$15,SubsidieTabel_DB!$B:$B,$B21)),"")</f>
        <v/>
      </c>
      <c r="N21" s="190" t="str">
        <f ca="1">IF(AND($E21&lt;&gt;0,N$15&lt;&gt;"",$E21&lt;&gt;""),IF($C$10&lt;&gt;"",SUMIFS(SubsidieTabel_DB!$S:$S,SubsidieTabel_DB!$A:$A,N$15,SubsidieTabel_DB!$B:$B,$B21),SUMIFS(SubsidieTabel_DB!$F:$F,SubsidieTabel_DB!$A:$A,N$15,SubsidieTabel_DB!$B:$B,$B21)),"")</f>
        <v/>
      </c>
      <c r="O21" s="190" t="str">
        <f ca="1">IF(AND($E21&lt;&gt;0,O$15&lt;&gt;"",$E21&lt;&gt;""),IF($C$10&lt;&gt;"",SUMIFS(SubsidieTabel_DB!$S:$S,SubsidieTabel_DB!$A:$A,O$15,SubsidieTabel_DB!$B:$B,$B21),SUMIFS(SubsidieTabel_DB!$F:$F,SubsidieTabel_DB!$A:$A,O$15,SubsidieTabel_DB!$B:$B,$B21)),"")</f>
        <v/>
      </c>
      <c r="P21" s="190" t="str">
        <f ca="1">IF(AND($E21&lt;&gt;0,P$15&lt;&gt;"",$E21&lt;&gt;""),IF($C$10&lt;&gt;"",SUMIFS(SubsidieTabel_DB!$S:$S,SubsidieTabel_DB!$A:$A,P$15,SubsidieTabel_DB!$B:$B,$B21),SUMIFS(SubsidieTabel_DB!$F:$F,SubsidieTabel_DB!$A:$A,P$15,SubsidieTabel_DB!$B:$B,$B21)),"")</f>
        <v/>
      </c>
      <c r="Q21" s="190" t="str">
        <f ca="1">IF(AND($E21&lt;&gt;0,Q$15&lt;&gt;"",$E21&lt;&gt;""),IF($C$10&lt;&gt;"",SUMIFS(SubsidieTabel_DB!$S:$S,SubsidieTabel_DB!$A:$A,Q$15,SubsidieTabel_DB!$B:$B,$B21),SUMIFS(SubsidieTabel_DB!$F:$F,SubsidieTabel_DB!$A:$A,Q$15,SubsidieTabel_DB!$B:$B,$B21)),"")</f>
        <v/>
      </c>
      <c r="R21" s="190" t="str">
        <f ca="1">IF(AND($E21&lt;&gt;0,R$15&lt;&gt;"",$E21&lt;&gt;""),IF($C$10&lt;&gt;"",SUMIFS(SubsidieTabel_DB!$S:$S,SubsidieTabel_DB!$A:$A,R$15,SubsidieTabel_DB!$B:$B,$B21),SUMIFS(SubsidieTabel_DB!$F:$F,SubsidieTabel_DB!$A:$A,R$15,SubsidieTabel_DB!$B:$B,$B21)),"")</f>
        <v/>
      </c>
      <c r="S21" s="190"/>
    </row>
    <row r="22" spans="1:19" ht="15" customHeight="1" x14ac:dyDescent="0.25">
      <c r="A22" s="37"/>
      <c r="B22" s="6"/>
      <c r="C22" s="190" t="str">
        <f>IF(B22="","",SUMIF(Tb_ProjectKosten[Begroting],'6. Begrotingsoverzicht'!B17,Tb_ProjectKosten[Kosten_Beoordeeld]))</f>
        <v/>
      </c>
      <c r="D22" s="190" t="str">
        <f>'Beoordeeld begrotingsoverzicht'!E17</f>
        <v/>
      </c>
      <c r="E22" s="190" t="str">
        <f>IF(B22="","",SUMIFS('8. Uitgaven betaalverzoek'!U:U,'8. Uitgaven betaalverzoek'!F:F,B22,'8. Uitgaven betaalverzoek'!A:A,"&lt;&gt;"""))</f>
        <v/>
      </c>
      <c r="F22" s="190" t="str">
        <f>IF(B22="","",SUMIFS('8. Uitgaven betaalverzoek'!V:V,'8. Uitgaven betaalverzoek'!F:F,B22,'8. Uitgaven betaalverzoek'!A:A,"&lt;&gt;"""))</f>
        <v/>
      </c>
      <c r="G22" s="190" t="str">
        <f>IF(B22&lt;&gt;"",SUMIF(Tb_DBKostenBEO[],B22,Tb_DBKostenBEO[Deelbetaling_Aanvraag]),"")</f>
        <v/>
      </c>
      <c r="H22" s="190" t="str">
        <f>IF(B22&lt;&gt;"",SUMIF(Tb_DBKostenBEO[],B22,Tb_DBKostenBEO[Deelbetaling_Beoordeeld]),"")</f>
        <v/>
      </c>
      <c r="I22" s="190" t="str">
        <f ca="1">IF(AND($E22&lt;&gt;0,I$15&lt;&gt;"",$E22&lt;&gt;""),IF($C$10&lt;&gt;"",SUMIFS(SubsidieTabel_DB!$S:$S,SubsidieTabel_DB!$A:$A,I$15,SubsidieTabel_DB!$B:$B,$B22),SUMIFS(SubsidieTabel_DB!$F:$F,SubsidieTabel_DB!$A:$A,I$15,SubsidieTabel_DB!$B:$B,$B22)),"")</f>
        <v/>
      </c>
      <c r="J22" s="190" t="str">
        <f>IF(AND($E22&lt;&gt;0,J$15&lt;&gt;"",$E22&lt;&gt;""),IF($C$10&lt;&gt;"",SUMIFS(SubsidieTabel_DB!$S:$S,SubsidieTabel_DB!$A:$A,J$15,SubsidieTabel_DB!$B:$B,$B22),SUMIFS(SubsidieTabel_DB!$F:$F,SubsidieTabel_DB!$A:$A,J$15,SubsidieTabel_DB!$B:$B,$B22)),"")</f>
        <v/>
      </c>
      <c r="K22" s="190" t="str">
        <f>IF(AND($E22&lt;&gt;0,K$15&lt;&gt;"",$E22&lt;&gt;""),IF($C$10&lt;&gt;"",SUMIFS(SubsidieTabel_DB!$S:$S,SubsidieTabel_DB!$A:$A,K$15,SubsidieTabel_DB!$B:$B,$B22),SUMIFS(SubsidieTabel_DB!$F:$F,SubsidieTabel_DB!$A:$A,K$15,SubsidieTabel_DB!$B:$B,$B22)),"")</f>
        <v/>
      </c>
      <c r="L22" s="190" t="str">
        <f>IF(AND($E22&lt;&gt;0,L$15&lt;&gt;"",$E22&lt;&gt;""),IF($C$10&lt;&gt;"",SUMIFS(SubsidieTabel_DB!$S:$S,SubsidieTabel_DB!$A:$A,L$15,SubsidieTabel_DB!$B:$B,$B22),SUMIFS(SubsidieTabel_DB!$F:$F,SubsidieTabel_DB!$A:$A,L$15,SubsidieTabel_DB!$B:$B,$B22)),"")</f>
        <v/>
      </c>
      <c r="M22" s="190" t="str">
        <f>IF(AND($E22&lt;&gt;0,M$15&lt;&gt;"",$E22&lt;&gt;""),IF($C$10&lt;&gt;"",SUMIFS(SubsidieTabel_DB!$S:$S,SubsidieTabel_DB!$A:$A,M$15,SubsidieTabel_DB!$B:$B,$B22),SUMIFS(SubsidieTabel_DB!$F:$F,SubsidieTabel_DB!$A:$A,M$15,SubsidieTabel_DB!$B:$B,$B22)),"")</f>
        <v/>
      </c>
      <c r="N22" s="190" t="str">
        <f>IF(AND($E22&lt;&gt;0,N$15&lt;&gt;"",$E22&lt;&gt;""),IF($C$10&lt;&gt;"",SUMIFS(SubsidieTabel_DB!$S:$S,SubsidieTabel_DB!$A:$A,N$15,SubsidieTabel_DB!$B:$B,$B22),SUMIFS(SubsidieTabel_DB!$F:$F,SubsidieTabel_DB!$A:$A,N$15,SubsidieTabel_DB!$B:$B,$B22)),"")</f>
        <v/>
      </c>
      <c r="O22" s="190" t="str">
        <f>IF(AND($E22&lt;&gt;0,O$15&lt;&gt;"",$E22&lt;&gt;""),IF($C$10&lt;&gt;"",SUMIFS(SubsidieTabel_DB!$S:$S,SubsidieTabel_DB!$A:$A,O$15,SubsidieTabel_DB!$B:$B,$B22),SUMIFS(SubsidieTabel_DB!$F:$F,SubsidieTabel_DB!$A:$A,O$15,SubsidieTabel_DB!$B:$B,$B22)),"")</f>
        <v/>
      </c>
      <c r="P22" s="190" t="str">
        <f>IF(AND($E22&lt;&gt;0,P$15&lt;&gt;"",$E22&lt;&gt;""),IF($C$10&lt;&gt;"",SUMIFS(SubsidieTabel_DB!$S:$S,SubsidieTabel_DB!$A:$A,P$15,SubsidieTabel_DB!$B:$B,$B22),SUMIFS(SubsidieTabel_DB!$F:$F,SubsidieTabel_DB!$A:$A,P$15,SubsidieTabel_DB!$B:$B,$B22)),"")</f>
        <v/>
      </c>
      <c r="Q22" s="190" t="str">
        <f>IF(AND($E22&lt;&gt;0,Q$15&lt;&gt;"",$E22&lt;&gt;""),IF($C$10&lt;&gt;"",SUMIFS(SubsidieTabel_DB!$S:$S,SubsidieTabel_DB!$A:$A,Q$15,SubsidieTabel_DB!$B:$B,$B22),SUMIFS(SubsidieTabel_DB!$F:$F,SubsidieTabel_DB!$A:$A,Q$15,SubsidieTabel_DB!$B:$B,$B22)),"")</f>
        <v/>
      </c>
      <c r="R22" s="190" t="str">
        <f>IF(AND($E22&lt;&gt;0,R$15&lt;&gt;"",$E22&lt;&gt;""),IF($C$10&lt;&gt;"",SUMIFS(SubsidieTabel_DB!$S:$S,SubsidieTabel_DB!$A:$A,R$15,SubsidieTabel_DB!$B:$B,$B22),SUMIFS(SubsidieTabel_DB!$F:$F,SubsidieTabel_DB!$A:$A,R$15,SubsidieTabel_DB!$B:$B,$B22)),"")</f>
        <v/>
      </c>
      <c r="S22" s="190"/>
    </row>
    <row r="23" spans="1:19" ht="15" customHeight="1" x14ac:dyDescent="0.25">
      <c r="A23" s="37"/>
      <c r="B23" s="6"/>
      <c r="C23" s="190" t="str">
        <f>IF(B23="","",SUMIF(Tb_ProjectKosten[Begroting],'6. Begrotingsoverzicht'!B18,Tb_ProjectKosten[Kosten_Beoordeeld]))</f>
        <v/>
      </c>
      <c r="D23" s="190" t="str">
        <f>'Beoordeeld begrotingsoverzicht'!E18</f>
        <v/>
      </c>
      <c r="E23" s="190" t="str">
        <f>IF(B23="","",SUMIFS('8. Uitgaven betaalverzoek'!U:U,'8. Uitgaven betaalverzoek'!F:F,B23,'8. Uitgaven betaalverzoek'!A:A,"&lt;&gt;"""))</f>
        <v/>
      </c>
      <c r="F23" s="190" t="str">
        <f>IF(B23="","",SUMIFS('8. Uitgaven betaalverzoek'!V:V,'8. Uitgaven betaalverzoek'!F:F,B23,'8. Uitgaven betaalverzoek'!A:A,"&lt;&gt;"""))</f>
        <v/>
      </c>
      <c r="G23" s="190" t="str">
        <f>IF(B23&lt;&gt;"",SUMIF(Tb_DBKostenBEO[],B23,Tb_DBKostenBEO[Deelbetaling_Aanvraag]),"")</f>
        <v/>
      </c>
      <c r="H23" s="190" t="str">
        <f>IF(B23&lt;&gt;"",SUMIF(Tb_DBKostenBEO[],B23,Tb_DBKostenBEO[Deelbetaling_Beoordeeld]),"")</f>
        <v/>
      </c>
      <c r="I23" s="190" t="str">
        <f ca="1">IF(AND($E23&lt;&gt;0,I$15&lt;&gt;"",$E23&lt;&gt;""),IF($C$10&lt;&gt;"",SUMIFS(SubsidieTabel_DB!$S:$S,SubsidieTabel_DB!$A:$A,I$15,SubsidieTabel_DB!$B:$B,$B23),SUMIFS(SubsidieTabel_DB!$F:$F,SubsidieTabel_DB!$A:$A,I$15,SubsidieTabel_DB!$B:$B,$B23)),"")</f>
        <v/>
      </c>
      <c r="J23" s="190" t="str">
        <f>IF(AND($E23&lt;&gt;0,J$15&lt;&gt;"",$E23&lt;&gt;""),IF($C$10&lt;&gt;"",SUMIFS(SubsidieTabel_DB!$S:$S,SubsidieTabel_DB!$A:$A,J$15,SubsidieTabel_DB!$B:$B,$B23),SUMIFS(SubsidieTabel_DB!$F:$F,SubsidieTabel_DB!$A:$A,J$15,SubsidieTabel_DB!$B:$B,$B23)),"")</f>
        <v/>
      </c>
      <c r="K23" s="190" t="str">
        <f>IF(AND($E23&lt;&gt;0,K$15&lt;&gt;"",$E23&lt;&gt;""),IF($C$10&lt;&gt;"",SUMIFS(SubsidieTabel_DB!$S:$S,SubsidieTabel_DB!$A:$A,K$15,SubsidieTabel_DB!$B:$B,$B23),SUMIFS(SubsidieTabel_DB!$F:$F,SubsidieTabel_DB!$A:$A,K$15,SubsidieTabel_DB!$B:$B,$B23)),"")</f>
        <v/>
      </c>
      <c r="L23" s="190" t="str">
        <f>IF(AND($E23&lt;&gt;0,L$15&lt;&gt;"",$E23&lt;&gt;""),IF($C$10&lt;&gt;"",SUMIFS(SubsidieTabel_DB!$S:$S,SubsidieTabel_DB!$A:$A,L$15,SubsidieTabel_DB!$B:$B,$B23),SUMIFS(SubsidieTabel_DB!$F:$F,SubsidieTabel_DB!$A:$A,L$15,SubsidieTabel_DB!$B:$B,$B23)),"")</f>
        <v/>
      </c>
      <c r="M23" s="190" t="str">
        <f>IF(AND($E23&lt;&gt;0,M$15&lt;&gt;"",$E23&lt;&gt;""),IF($C$10&lt;&gt;"",SUMIFS(SubsidieTabel_DB!$S:$S,SubsidieTabel_DB!$A:$A,M$15,SubsidieTabel_DB!$B:$B,$B23),SUMIFS(SubsidieTabel_DB!$F:$F,SubsidieTabel_DB!$A:$A,M$15,SubsidieTabel_DB!$B:$B,$B23)),"")</f>
        <v/>
      </c>
      <c r="N23" s="190" t="str">
        <f>IF(AND($E23&lt;&gt;0,N$15&lt;&gt;"",$E23&lt;&gt;""),IF($C$10&lt;&gt;"",SUMIFS(SubsidieTabel_DB!$S:$S,SubsidieTabel_DB!$A:$A,N$15,SubsidieTabel_DB!$B:$B,$B23),SUMIFS(SubsidieTabel_DB!$F:$F,SubsidieTabel_DB!$A:$A,N$15,SubsidieTabel_DB!$B:$B,$B23)),"")</f>
        <v/>
      </c>
      <c r="O23" s="190" t="str">
        <f>IF(AND($E23&lt;&gt;0,O$15&lt;&gt;"",$E23&lt;&gt;""),IF($C$10&lt;&gt;"",SUMIFS(SubsidieTabel_DB!$S:$S,SubsidieTabel_DB!$A:$A,O$15,SubsidieTabel_DB!$B:$B,$B23),SUMIFS(SubsidieTabel_DB!$F:$F,SubsidieTabel_DB!$A:$A,O$15,SubsidieTabel_DB!$B:$B,$B23)),"")</f>
        <v/>
      </c>
      <c r="P23" s="190" t="str">
        <f>IF(AND($E23&lt;&gt;0,P$15&lt;&gt;"",$E23&lt;&gt;""),IF($C$10&lt;&gt;"",SUMIFS(SubsidieTabel_DB!$S:$S,SubsidieTabel_DB!$A:$A,P$15,SubsidieTabel_DB!$B:$B,$B23),SUMIFS(SubsidieTabel_DB!$F:$F,SubsidieTabel_DB!$A:$A,P$15,SubsidieTabel_DB!$B:$B,$B23)),"")</f>
        <v/>
      </c>
      <c r="Q23" s="190" t="str">
        <f>IF(AND($E23&lt;&gt;0,Q$15&lt;&gt;"",$E23&lt;&gt;""),IF($C$10&lt;&gt;"",SUMIFS(SubsidieTabel_DB!$S:$S,SubsidieTabel_DB!$A:$A,Q$15,SubsidieTabel_DB!$B:$B,$B23),SUMIFS(SubsidieTabel_DB!$F:$F,SubsidieTabel_DB!$A:$A,Q$15,SubsidieTabel_DB!$B:$B,$B23)),"")</f>
        <v/>
      </c>
      <c r="R23" s="190" t="str">
        <f>IF(AND($E23&lt;&gt;0,R$15&lt;&gt;"",$E23&lt;&gt;""),IF($C$10&lt;&gt;"",SUMIFS(SubsidieTabel_DB!$S:$S,SubsidieTabel_DB!$A:$A,R$15,SubsidieTabel_DB!$B:$B,$B23),SUMIFS(SubsidieTabel_DB!$F:$F,SubsidieTabel_DB!$A:$A,R$15,SubsidieTabel_DB!$B:$B,$B23)),"")</f>
        <v/>
      </c>
      <c r="S23" s="190"/>
    </row>
    <row r="24" spans="1:19" ht="15" customHeight="1" x14ac:dyDescent="0.25">
      <c r="A24" s="37"/>
      <c r="B24" s="6"/>
      <c r="C24" s="190" t="str">
        <f>IF(B24="","",SUMIF(Tb_ProjectKosten[Begroting],'6. Begrotingsoverzicht'!B19,Tb_ProjectKosten[Kosten_Beoordeeld]))</f>
        <v/>
      </c>
      <c r="D24" s="190" t="str">
        <f>'Beoordeeld begrotingsoverzicht'!E19</f>
        <v/>
      </c>
      <c r="E24" s="190" t="str">
        <f>IF(B24="","",SUMIFS('8. Uitgaven betaalverzoek'!U:U,'8. Uitgaven betaalverzoek'!F:F,B24,'8. Uitgaven betaalverzoek'!A:A,"&lt;&gt;"""))</f>
        <v/>
      </c>
      <c r="F24" s="190" t="str">
        <f>IF(B24="","",SUMIFS('8. Uitgaven betaalverzoek'!V:V,'8. Uitgaven betaalverzoek'!F:F,B24,'8. Uitgaven betaalverzoek'!A:A,"&lt;&gt;"""))</f>
        <v/>
      </c>
      <c r="G24" s="190" t="str">
        <f>IF(B24&lt;&gt;"",SUMIF(Tb_DBKostenBEO[],B24,Tb_DBKostenBEO[Deelbetaling_Aanvraag]),"")</f>
        <v/>
      </c>
      <c r="H24" s="190" t="str">
        <f>IF(B24&lt;&gt;"",SUMIF(Tb_DBKostenBEO[],B24,Tb_DBKostenBEO[Deelbetaling_Beoordeeld]),"")</f>
        <v/>
      </c>
      <c r="I24" s="190" t="str">
        <f ca="1">IF(AND($E24&lt;&gt;0,I$15&lt;&gt;"",$E24&lt;&gt;""),IF($C$10&lt;&gt;"",SUMIFS(SubsidieTabel_DB!$S:$S,SubsidieTabel_DB!$A:$A,I$15,SubsidieTabel_DB!$B:$B,$B24),SUMIFS(SubsidieTabel_DB!$F:$F,SubsidieTabel_DB!$A:$A,I$15,SubsidieTabel_DB!$B:$B,$B24)),"")</f>
        <v/>
      </c>
      <c r="J24" s="190" t="str">
        <f>IF(AND($E24&lt;&gt;0,J$15&lt;&gt;"",$E24&lt;&gt;""),IF($C$10&lt;&gt;"",SUMIFS(SubsidieTabel_DB!$S:$S,SubsidieTabel_DB!$A:$A,J$15,SubsidieTabel_DB!$B:$B,$B24),SUMIFS(SubsidieTabel_DB!$F:$F,SubsidieTabel_DB!$A:$A,J$15,SubsidieTabel_DB!$B:$B,$B24)),"")</f>
        <v/>
      </c>
      <c r="K24" s="190" t="str">
        <f>IF(AND($E24&lt;&gt;0,K$15&lt;&gt;"",$E24&lt;&gt;""),IF($C$10&lt;&gt;"",SUMIFS(SubsidieTabel_DB!$S:$S,SubsidieTabel_DB!$A:$A,K$15,SubsidieTabel_DB!$B:$B,$B24),SUMIFS(SubsidieTabel_DB!$F:$F,SubsidieTabel_DB!$A:$A,K$15,SubsidieTabel_DB!$B:$B,$B24)),"")</f>
        <v/>
      </c>
      <c r="L24" s="190" t="str">
        <f>IF(AND($E24&lt;&gt;0,L$15&lt;&gt;"",$E24&lt;&gt;""),IF($C$10&lt;&gt;"",SUMIFS(SubsidieTabel_DB!$S:$S,SubsidieTabel_DB!$A:$A,L$15,SubsidieTabel_DB!$B:$B,$B24),SUMIFS(SubsidieTabel_DB!$F:$F,SubsidieTabel_DB!$A:$A,L$15,SubsidieTabel_DB!$B:$B,$B24)),"")</f>
        <v/>
      </c>
      <c r="M24" s="190" t="str">
        <f>IF(AND($E24&lt;&gt;0,M$15&lt;&gt;"",$E24&lt;&gt;""),IF($C$10&lt;&gt;"",SUMIFS(SubsidieTabel_DB!$S:$S,SubsidieTabel_DB!$A:$A,M$15,SubsidieTabel_DB!$B:$B,$B24),SUMIFS(SubsidieTabel_DB!$F:$F,SubsidieTabel_DB!$A:$A,M$15,SubsidieTabel_DB!$B:$B,$B24)),"")</f>
        <v/>
      </c>
      <c r="N24" s="190" t="str">
        <f>IF(AND($E24&lt;&gt;0,N$15&lt;&gt;"",$E24&lt;&gt;""),IF($C$10&lt;&gt;"",SUMIFS(SubsidieTabel_DB!$S:$S,SubsidieTabel_DB!$A:$A,N$15,SubsidieTabel_DB!$B:$B,$B24),SUMIFS(SubsidieTabel_DB!$F:$F,SubsidieTabel_DB!$A:$A,N$15,SubsidieTabel_DB!$B:$B,$B24)),"")</f>
        <v/>
      </c>
      <c r="O24" s="190" t="str">
        <f>IF(AND($E24&lt;&gt;0,O$15&lt;&gt;"",$E24&lt;&gt;""),IF($C$10&lt;&gt;"",SUMIFS(SubsidieTabel_DB!$S:$S,SubsidieTabel_DB!$A:$A,O$15,SubsidieTabel_DB!$B:$B,$B24),SUMIFS(SubsidieTabel_DB!$F:$F,SubsidieTabel_DB!$A:$A,O$15,SubsidieTabel_DB!$B:$B,$B24)),"")</f>
        <v/>
      </c>
      <c r="P24" s="190" t="str">
        <f>IF(AND($E24&lt;&gt;0,P$15&lt;&gt;"",$E24&lt;&gt;""),IF($C$10&lt;&gt;"",SUMIFS(SubsidieTabel_DB!$S:$S,SubsidieTabel_DB!$A:$A,P$15,SubsidieTabel_DB!$B:$B,$B24),SUMIFS(SubsidieTabel_DB!$F:$F,SubsidieTabel_DB!$A:$A,P$15,SubsidieTabel_DB!$B:$B,$B24)),"")</f>
        <v/>
      </c>
      <c r="Q24" s="190" t="str">
        <f>IF(AND($E24&lt;&gt;0,Q$15&lt;&gt;"",$E24&lt;&gt;""),IF($C$10&lt;&gt;"",SUMIFS(SubsidieTabel_DB!$S:$S,SubsidieTabel_DB!$A:$A,Q$15,SubsidieTabel_DB!$B:$B,$B24),SUMIFS(SubsidieTabel_DB!$F:$F,SubsidieTabel_DB!$A:$A,Q$15,SubsidieTabel_DB!$B:$B,$B24)),"")</f>
        <v/>
      </c>
      <c r="R24" s="190" t="str">
        <f>IF(AND($E24&lt;&gt;0,R$15&lt;&gt;"",$E24&lt;&gt;""),IF($C$10&lt;&gt;"",SUMIFS(SubsidieTabel_DB!$S:$S,SubsidieTabel_DB!$A:$A,R$15,SubsidieTabel_DB!$B:$B,$B24),SUMIFS(SubsidieTabel_DB!$F:$F,SubsidieTabel_DB!$A:$A,R$15,SubsidieTabel_DB!$B:$B,$B24)),"")</f>
        <v/>
      </c>
      <c r="S24" s="190"/>
    </row>
    <row r="25" spans="1:19" ht="15" customHeight="1" x14ac:dyDescent="0.25">
      <c r="A25" s="37"/>
      <c r="B25" s="6"/>
      <c r="C25" s="190" t="str">
        <f>IF(B25="","",SUMIF(Tb_ProjectKosten[Begroting],'6. Begrotingsoverzicht'!B20,Tb_ProjectKosten[Kosten_Beoordeeld]))</f>
        <v/>
      </c>
      <c r="D25" s="190" t="str">
        <f>'Beoordeeld begrotingsoverzicht'!E20</f>
        <v/>
      </c>
      <c r="E25" s="190" t="str">
        <f>IF(B25="","",SUMIFS('8. Uitgaven betaalverzoek'!U:U,'8. Uitgaven betaalverzoek'!F:F,B25,'8. Uitgaven betaalverzoek'!A:A,"&lt;&gt;"""))</f>
        <v/>
      </c>
      <c r="F25" s="190" t="str">
        <f>IF(B25="","",SUMIFS('8. Uitgaven betaalverzoek'!V:V,'8. Uitgaven betaalverzoek'!F:F,B25,'8. Uitgaven betaalverzoek'!A:A,"&lt;&gt;"""))</f>
        <v/>
      </c>
      <c r="G25" s="190" t="str">
        <f>IF(B25&lt;&gt;"",SUMIF(Tb_DBKostenBEO[],B25,Tb_DBKostenBEO[Deelbetaling_Aanvraag]),"")</f>
        <v/>
      </c>
      <c r="H25" s="190" t="str">
        <f>IF(B25&lt;&gt;"",SUMIF(Tb_DBKostenBEO[],B25,Tb_DBKostenBEO[Deelbetaling_Beoordeeld]),"")</f>
        <v/>
      </c>
      <c r="I25" s="190" t="str">
        <f ca="1">IF(AND($E25&lt;&gt;0,I$15&lt;&gt;"",$E25&lt;&gt;""),IF($C$10&lt;&gt;"",SUMIFS(SubsidieTabel_DB!$S:$S,SubsidieTabel_DB!$A:$A,I$15,SubsidieTabel_DB!$B:$B,$B25),SUMIFS(SubsidieTabel_DB!$F:$F,SubsidieTabel_DB!$A:$A,I$15,SubsidieTabel_DB!$B:$B,$B25)),"")</f>
        <v/>
      </c>
      <c r="J25" s="190" t="str">
        <f>IF(AND($E25&lt;&gt;0,J$15&lt;&gt;"",$E25&lt;&gt;""),IF($C$10&lt;&gt;"",SUMIFS(SubsidieTabel_DB!$S:$S,SubsidieTabel_DB!$A:$A,J$15,SubsidieTabel_DB!$B:$B,$B25),SUMIFS(SubsidieTabel_DB!$F:$F,SubsidieTabel_DB!$A:$A,J$15,SubsidieTabel_DB!$B:$B,$B25)),"")</f>
        <v/>
      </c>
      <c r="K25" s="190" t="str">
        <f>IF(AND($E25&lt;&gt;0,K$15&lt;&gt;"",$E25&lt;&gt;""),IF($C$10&lt;&gt;"",SUMIFS(SubsidieTabel_DB!$S:$S,SubsidieTabel_DB!$A:$A,K$15,SubsidieTabel_DB!$B:$B,$B25),SUMIFS(SubsidieTabel_DB!$F:$F,SubsidieTabel_DB!$A:$A,K$15,SubsidieTabel_DB!$B:$B,$B25)),"")</f>
        <v/>
      </c>
      <c r="L25" s="190" t="str">
        <f>IF(AND($E25&lt;&gt;0,L$15&lt;&gt;"",$E25&lt;&gt;""),IF($C$10&lt;&gt;"",SUMIFS(SubsidieTabel_DB!$S:$S,SubsidieTabel_DB!$A:$A,L$15,SubsidieTabel_DB!$B:$B,$B25),SUMIFS(SubsidieTabel_DB!$F:$F,SubsidieTabel_DB!$A:$A,L$15,SubsidieTabel_DB!$B:$B,$B25)),"")</f>
        <v/>
      </c>
      <c r="M25" s="190" t="str">
        <f>IF(AND($E25&lt;&gt;0,M$15&lt;&gt;"",$E25&lt;&gt;""),IF($C$10&lt;&gt;"",SUMIFS(SubsidieTabel_DB!$S:$S,SubsidieTabel_DB!$A:$A,M$15,SubsidieTabel_DB!$B:$B,$B25),SUMIFS(SubsidieTabel_DB!$F:$F,SubsidieTabel_DB!$A:$A,M$15,SubsidieTabel_DB!$B:$B,$B25)),"")</f>
        <v/>
      </c>
      <c r="N25" s="190" t="str">
        <f>IF(AND($E25&lt;&gt;0,N$15&lt;&gt;"",$E25&lt;&gt;""),IF($C$10&lt;&gt;"",SUMIFS(SubsidieTabel_DB!$S:$S,SubsidieTabel_DB!$A:$A,N$15,SubsidieTabel_DB!$B:$B,$B25),SUMIFS(SubsidieTabel_DB!$F:$F,SubsidieTabel_DB!$A:$A,N$15,SubsidieTabel_DB!$B:$B,$B25)),"")</f>
        <v/>
      </c>
      <c r="O25" s="190" t="str">
        <f>IF(AND($E25&lt;&gt;0,O$15&lt;&gt;"",$E25&lt;&gt;""),IF($C$10&lt;&gt;"",SUMIFS(SubsidieTabel_DB!$S:$S,SubsidieTabel_DB!$A:$A,O$15,SubsidieTabel_DB!$B:$B,$B25),SUMIFS(SubsidieTabel_DB!$F:$F,SubsidieTabel_DB!$A:$A,O$15,SubsidieTabel_DB!$B:$B,$B25)),"")</f>
        <v/>
      </c>
      <c r="P25" s="190" t="str">
        <f>IF(AND($E25&lt;&gt;0,P$15&lt;&gt;"",$E25&lt;&gt;""),IF($C$10&lt;&gt;"",SUMIFS(SubsidieTabel_DB!$S:$S,SubsidieTabel_DB!$A:$A,P$15,SubsidieTabel_DB!$B:$B,$B25),SUMIFS(SubsidieTabel_DB!$F:$F,SubsidieTabel_DB!$A:$A,P$15,SubsidieTabel_DB!$B:$B,$B25)),"")</f>
        <v/>
      </c>
      <c r="Q25" s="190" t="str">
        <f>IF(AND($E25&lt;&gt;0,Q$15&lt;&gt;"",$E25&lt;&gt;""),IF($C$10&lt;&gt;"",SUMIFS(SubsidieTabel_DB!$S:$S,SubsidieTabel_DB!$A:$A,Q$15,SubsidieTabel_DB!$B:$B,$B25),SUMIFS(SubsidieTabel_DB!$F:$F,SubsidieTabel_DB!$A:$A,Q$15,SubsidieTabel_DB!$B:$B,$B25)),"")</f>
        <v/>
      </c>
      <c r="R25" s="190" t="str">
        <f>IF(AND($E25&lt;&gt;0,R$15&lt;&gt;"",$E25&lt;&gt;""),IF($C$10&lt;&gt;"",SUMIFS(SubsidieTabel_DB!$S:$S,SubsidieTabel_DB!$A:$A,R$15,SubsidieTabel_DB!$B:$B,$B25),SUMIFS(SubsidieTabel_DB!$F:$F,SubsidieTabel_DB!$A:$A,R$15,SubsidieTabel_DB!$B:$B,$B25)),"")</f>
        <v/>
      </c>
      <c r="S25" s="190"/>
    </row>
    <row r="26" spans="1:19" ht="15" customHeight="1" x14ac:dyDescent="0.25">
      <c r="A26" s="37"/>
      <c r="B26" s="6"/>
      <c r="C26" s="190" t="str">
        <f>IF(B26="","",SUMIF(Tb_ProjectKosten[Begroting],'6. Begrotingsoverzicht'!B21,Tb_ProjectKosten[Kosten_Beoordeeld]))</f>
        <v/>
      </c>
      <c r="D26" s="190" t="str">
        <f>'Beoordeeld begrotingsoverzicht'!E21</f>
        <v/>
      </c>
      <c r="E26" s="190" t="str">
        <f>IF(B26="","",SUMIFS('8. Uitgaven betaalverzoek'!U:U,'8. Uitgaven betaalverzoek'!F:F,B26,'8. Uitgaven betaalverzoek'!A:A,"&lt;&gt;"""))</f>
        <v/>
      </c>
      <c r="F26" s="190" t="str">
        <f>IF(B26="","",SUMIFS('8. Uitgaven betaalverzoek'!V:V,'8. Uitgaven betaalverzoek'!F:F,B26,'8. Uitgaven betaalverzoek'!A:A,"&lt;&gt;"""))</f>
        <v/>
      </c>
      <c r="G26" s="190" t="str">
        <f>IF(B26&lt;&gt;"",SUMIF(Tb_DBKostenBEO[],B26,Tb_DBKostenBEO[Deelbetaling_Aanvraag]),"")</f>
        <v/>
      </c>
      <c r="H26" s="190" t="str">
        <f>IF(B26&lt;&gt;"",SUMIF(Tb_DBKostenBEO[],B26,Tb_DBKostenBEO[Deelbetaling_Beoordeeld]),"")</f>
        <v/>
      </c>
      <c r="I26" s="190" t="str">
        <f ca="1">IF(AND($E26&lt;&gt;0,I$15&lt;&gt;"",$E26&lt;&gt;""),IF($C$10&lt;&gt;"",SUMIFS(SubsidieTabel_DB!$S:$S,SubsidieTabel_DB!$A:$A,I$15,SubsidieTabel_DB!$B:$B,$B26),SUMIFS(SubsidieTabel_DB!$F:$F,SubsidieTabel_DB!$A:$A,I$15,SubsidieTabel_DB!$B:$B,$B26)),"")</f>
        <v/>
      </c>
      <c r="J26" s="190" t="str">
        <f>IF(AND($E26&lt;&gt;0,J$15&lt;&gt;"",$E26&lt;&gt;""),IF($C$10&lt;&gt;"",SUMIFS(SubsidieTabel_DB!$S:$S,SubsidieTabel_DB!$A:$A,J$15,SubsidieTabel_DB!$B:$B,$B26),SUMIFS(SubsidieTabel_DB!$F:$F,SubsidieTabel_DB!$A:$A,J$15,SubsidieTabel_DB!$B:$B,$B26)),"")</f>
        <v/>
      </c>
      <c r="K26" s="190" t="str">
        <f>IF(AND($E26&lt;&gt;0,K$15&lt;&gt;"",$E26&lt;&gt;""),IF($C$10&lt;&gt;"",SUMIFS(SubsidieTabel_DB!$S:$S,SubsidieTabel_DB!$A:$A,K$15,SubsidieTabel_DB!$B:$B,$B26),SUMIFS(SubsidieTabel_DB!$F:$F,SubsidieTabel_DB!$A:$A,K$15,SubsidieTabel_DB!$B:$B,$B26)),"")</f>
        <v/>
      </c>
      <c r="L26" s="190" t="str">
        <f>IF(AND($E26&lt;&gt;0,L$15&lt;&gt;"",$E26&lt;&gt;""),IF($C$10&lt;&gt;"",SUMIFS(SubsidieTabel_DB!$S:$S,SubsidieTabel_DB!$A:$A,L$15,SubsidieTabel_DB!$B:$B,$B26),SUMIFS(SubsidieTabel_DB!$F:$F,SubsidieTabel_DB!$A:$A,L$15,SubsidieTabel_DB!$B:$B,$B26)),"")</f>
        <v/>
      </c>
      <c r="M26" s="190" t="str">
        <f>IF(AND($E26&lt;&gt;0,M$15&lt;&gt;"",$E26&lt;&gt;""),IF($C$10&lt;&gt;"",SUMIFS(SubsidieTabel_DB!$S:$S,SubsidieTabel_DB!$A:$A,M$15,SubsidieTabel_DB!$B:$B,$B26),SUMIFS(SubsidieTabel_DB!$F:$F,SubsidieTabel_DB!$A:$A,M$15,SubsidieTabel_DB!$B:$B,$B26)),"")</f>
        <v/>
      </c>
      <c r="N26" s="190" t="str">
        <f>IF(AND($E26&lt;&gt;0,N$15&lt;&gt;"",$E26&lt;&gt;""),IF($C$10&lt;&gt;"",SUMIFS(SubsidieTabel_DB!$S:$S,SubsidieTabel_DB!$A:$A,N$15,SubsidieTabel_DB!$B:$B,$B26),SUMIFS(SubsidieTabel_DB!$F:$F,SubsidieTabel_DB!$A:$A,N$15,SubsidieTabel_DB!$B:$B,$B26)),"")</f>
        <v/>
      </c>
      <c r="O26" s="190" t="str">
        <f>IF(AND($E26&lt;&gt;0,O$15&lt;&gt;"",$E26&lt;&gt;""),IF($C$10&lt;&gt;"",SUMIFS(SubsidieTabel_DB!$S:$S,SubsidieTabel_DB!$A:$A,O$15,SubsidieTabel_DB!$B:$B,$B26),SUMIFS(SubsidieTabel_DB!$F:$F,SubsidieTabel_DB!$A:$A,O$15,SubsidieTabel_DB!$B:$B,$B26)),"")</f>
        <v/>
      </c>
      <c r="P26" s="190" t="str">
        <f>IF(AND($E26&lt;&gt;0,P$15&lt;&gt;"",$E26&lt;&gt;""),IF($C$10&lt;&gt;"",SUMIFS(SubsidieTabel_DB!$S:$S,SubsidieTabel_DB!$A:$A,P$15,SubsidieTabel_DB!$B:$B,$B26),SUMIFS(SubsidieTabel_DB!$F:$F,SubsidieTabel_DB!$A:$A,P$15,SubsidieTabel_DB!$B:$B,$B26)),"")</f>
        <v/>
      </c>
      <c r="Q26" s="190" t="str">
        <f>IF(AND($E26&lt;&gt;0,Q$15&lt;&gt;"",$E26&lt;&gt;""),IF($C$10&lt;&gt;"",SUMIFS(SubsidieTabel_DB!$S:$S,SubsidieTabel_DB!$A:$A,Q$15,SubsidieTabel_DB!$B:$B,$B26),SUMIFS(SubsidieTabel_DB!$F:$F,SubsidieTabel_DB!$A:$A,Q$15,SubsidieTabel_DB!$B:$B,$B26)),"")</f>
        <v/>
      </c>
      <c r="R26" s="190" t="str">
        <f>IF(AND($E26&lt;&gt;0,R$15&lt;&gt;"",$E26&lt;&gt;""),IF($C$10&lt;&gt;"",SUMIFS(SubsidieTabel_DB!$S:$S,SubsidieTabel_DB!$A:$A,R$15,SubsidieTabel_DB!$B:$B,$B26),SUMIFS(SubsidieTabel_DB!$F:$F,SubsidieTabel_DB!$A:$A,R$15,SubsidieTabel_DB!$B:$B,$B26)),"")</f>
        <v/>
      </c>
      <c r="S26" s="190"/>
    </row>
    <row r="27" spans="1:19" ht="15" customHeight="1" x14ac:dyDescent="0.25">
      <c r="A27" s="37"/>
      <c r="B27" s="7" t="s">
        <v>103</v>
      </c>
      <c r="C27" s="141">
        <f ca="1">SUM(C16:C26)</f>
        <v>0</v>
      </c>
      <c r="D27" s="141">
        <f ca="1">ROUND(SUM(D16:D26),2)</f>
        <v>0</v>
      </c>
      <c r="E27" s="141">
        <f ca="1">ROUND(SUM(E16:E26),2)</f>
        <v>0</v>
      </c>
      <c r="F27" s="141">
        <f ca="1">ROUND(SUM(F16:F26),2)</f>
        <v>0</v>
      </c>
      <c r="G27" s="265">
        <f ca="1">SUM(G16:G26)</f>
        <v>0</v>
      </c>
      <c r="H27" s="265">
        <f ca="1">SUM(H16:H26)</f>
        <v>0</v>
      </c>
      <c r="I27" s="191" t="str">
        <f ca="1">IF(SUM(I16:I26)=0,"",SUM(I16:I26))</f>
        <v/>
      </c>
      <c r="J27" s="191" t="str">
        <f t="shared" ref="J27:R27" ca="1" si="0">IF(SUM(J16:J26)=0,"",SUM(J16:J26))</f>
        <v/>
      </c>
      <c r="K27" s="191" t="str">
        <f t="shared" ca="1" si="0"/>
        <v/>
      </c>
      <c r="L27" s="191" t="str">
        <f t="shared" ca="1" si="0"/>
        <v/>
      </c>
      <c r="M27" s="191" t="str">
        <f t="shared" ca="1" si="0"/>
        <v/>
      </c>
      <c r="N27" s="191" t="str">
        <f t="shared" ca="1" si="0"/>
        <v/>
      </c>
      <c r="O27" s="191" t="str">
        <f t="shared" ca="1" si="0"/>
        <v/>
      </c>
      <c r="P27" s="191" t="str">
        <f t="shared" ca="1" si="0"/>
        <v/>
      </c>
      <c r="Q27" s="191" t="str">
        <f t="shared" ca="1" si="0"/>
        <v/>
      </c>
      <c r="R27" s="191" t="str">
        <f t="shared" ca="1" si="0"/>
        <v/>
      </c>
      <c r="S27" s="190"/>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0" t="str">
        <f ca="1">IF(AND($E28&lt;&gt;"",I$15&lt;&gt;""),IF($C$10&lt;&gt;"",SUMIFS(SubsidieTabel_DB!$U:$U,SubsidieTabel_DB!$A:$A,I$15),ROUND(SUMIFS(SubsidieTabel_DB!$H:$H,SubsidieTabel_DB!$A:$A,I$15),2)),"")</f>
        <v/>
      </c>
      <c r="J28" s="190" t="str">
        <f ca="1">IF(AND($E28&lt;&gt;"",J$15&lt;&gt;""),IF($C$10&lt;&gt;"",SUMIFS(SubsidieTabel_DB!$U:$U,SubsidieTabel_DB!$A:$A,J$15),ROUND(SUMIFS(SubsidieTabel_DB!$H:$H,SubsidieTabel_DB!$A:$A,J$15),2)),"")</f>
        <v/>
      </c>
      <c r="K28" s="190" t="str">
        <f ca="1">IF(AND($E28&lt;&gt;"",K$15&lt;&gt;""),IF($C$10&lt;&gt;"",SUMIFS(SubsidieTabel_DB!$U:$U,SubsidieTabel_DB!$A:$A,K$15),ROUND(SUMIFS(SubsidieTabel_DB!$H:$H,SubsidieTabel_DB!$A:$A,K$15),2)),"")</f>
        <v/>
      </c>
      <c r="L28" s="190" t="str">
        <f ca="1">IF(AND($E28&lt;&gt;"",L$15&lt;&gt;""),IF($C$10&lt;&gt;"",SUMIFS(SubsidieTabel_DB!$U:$U,SubsidieTabel_DB!$A:$A,L$15),ROUND(SUMIFS(SubsidieTabel_DB!$H:$H,SubsidieTabel_DB!$A:$A,L$15),2)),"")</f>
        <v/>
      </c>
      <c r="M28" s="190" t="str">
        <f ca="1">IF(AND($E28&lt;&gt;"",M$15&lt;&gt;""),IF($C$10&lt;&gt;"",SUMIFS(SubsidieTabel_DB!$U:$U,SubsidieTabel_DB!$A:$A,M$15),ROUND(SUMIFS(SubsidieTabel_DB!$H:$H,SubsidieTabel_DB!$A:$A,M$15),2)),"")</f>
        <v/>
      </c>
      <c r="N28" s="190" t="str">
        <f ca="1">IF(AND($E28&lt;&gt;"",N$15&lt;&gt;""),IF($C$10&lt;&gt;"",SUMIFS(SubsidieTabel_DB!$U:$U,SubsidieTabel_DB!$A:$A,N$15),ROUND(SUMIFS(SubsidieTabel_DB!$H:$H,SubsidieTabel_DB!$A:$A,N$15),2)),"")</f>
        <v/>
      </c>
      <c r="O28" s="190" t="str">
        <f ca="1">IF(AND($E28&lt;&gt;"",O$15&lt;&gt;""),IF($C$10&lt;&gt;"",SUMIFS(SubsidieTabel_DB!$U:$U,SubsidieTabel_DB!$A:$A,O$15),ROUND(SUMIFS(SubsidieTabel_DB!$H:$H,SubsidieTabel_DB!$A:$A,O$15),2)),"")</f>
        <v/>
      </c>
      <c r="P28" s="190" t="str">
        <f ca="1">IF(AND($E28&lt;&gt;"",P$15&lt;&gt;""),IF($C$10&lt;&gt;"",SUMIFS(SubsidieTabel_DB!$U:$U,SubsidieTabel_DB!$A:$A,P$15),ROUND(SUMIFS(SubsidieTabel_DB!$H:$H,SubsidieTabel_DB!$A:$A,P$15),2)),"")</f>
        <v/>
      </c>
      <c r="Q28" s="190" t="str">
        <f ca="1">IF(AND($E28&lt;&gt;"",Q$15&lt;&gt;""),IF($C$10&lt;&gt;"",SUMIFS(SubsidieTabel_DB!$U:$U,SubsidieTabel_DB!$A:$A,Q$15),ROUND(SUMIFS(SubsidieTabel_DB!$H:$H,SubsidieTabel_DB!$A:$A,Q$15),2)),"")</f>
        <v/>
      </c>
      <c r="R28" s="190" t="str">
        <f ca="1">IF(AND($E28&lt;&gt;"",R$15&lt;&gt;""),IF($C$10&lt;&gt;"",SUMIFS(SubsidieTabel_DB!$U:$U,SubsidieTabel_DB!$A:$A,R$15),ROUND(SUMIFS(SubsidieTabel_DB!$H:$H,SubsidieTabel_DB!$A:$A,R$15),2)),"")</f>
        <v/>
      </c>
      <c r="S28" s="190"/>
    </row>
    <row r="29" spans="1:19" s="26" customFormat="1" ht="15" customHeight="1" x14ac:dyDescent="0.25">
      <c r="A29" s="40"/>
      <c r="B29" s="139" t="s">
        <v>79</v>
      </c>
      <c r="C29" s="141">
        <f t="shared" ref="C29:H29" ca="1" si="1">SUM(C27:C28)</f>
        <v>0</v>
      </c>
      <c r="D29" s="141">
        <f t="shared" ca="1" si="1"/>
        <v>0</v>
      </c>
      <c r="E29" s="141">
        <f t="shared" ca="1" si="1"/>
        <v>0</v>
      </c>
      <c r="F29" s="141">
        <f t="shared" ca="1" si="1"/>
        <v>0</v>
      </c>
      <c r="G29" s="141">
        <f t="shared" ca="1" si="1"/>
        <v>0</v>
      </c>
      <c r="H29" s="141">
        <f t="shared" ca="1" si="1"/>
        <v>0</v>
      </c>
      <c r="I29" s="191" t="str">
        <f ca="1">IF(SUM(I27:I28)=0,"",SUM(I27:I28))</f>
        <v/>
      </c>
      <c r="J29" s="191" t="str">
        <f t="shared" ref="J29:R29" ca="1" si="2">IF(SUM(J27:J28)=0,"",SUM(J27:J28))</f>
        <v/>
      </c>
      <c r="K29" s="191" t="str">
        <f t="shared" ca="1" si="2"/>
        <v/>
      </c>
      <c r="L29" s="191" t="str">
        <f t="shared" ca="1" si="2"/>
        <v/>
      </c>
      <c r="M29" s="191" t="str">
        <f t="shared" ca="1" si="2"/>
        <v/>
      </c>
      <c r="N29" s="191" t="str">
        <f t="shared" ca="1" si="2"/>
        <v/>
      </c>
      <c r="O29" s="191" t="str">
        <f t="shared" ca="1" si="2"/>
        <v/>
      </c>
      <c r="P29" s="191" t="str">
        <f t="shared" ca="1" si="2"/>
        <v/>
      </c>
      <c r="Q29" s="191" t="str">
        <f t="shared" ca="1" si="2"/>
        <v/>
      </c>
      <c r="R29" s="191" t="str">
        <f t="shared" ca="1" si="2"/>
        <v/>
      </c>
      <c r="S29" s="191"/>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3"/>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84" t="str">
        <f>"TOTALE BEOORDEELDE UITGAVEN AANGEVRAAGD BETAALVERZOEK ("&amp;Keuze_DB_Nr&amp;")"</f>
        <v>TOTALE BEOORDEELDE UITGAVEN AANGEVRAAGD BETAALVERZOEK ()</v>
      </c>
      <c r="C33" s="485"/>
      <c r="D33" s="485"/>
      <c r="E33" s="486"/>
      <c r="F33" s="37"/>
      <c r="G33" s="37"/>
      <c r="H33" s="37"/>
      <c r="I33" s="37"/>
      <c r="J33" s="37"/>
      <c r="K33" s="37"/>
      <c r="L33" s="37"/>
      <c r="M33" s="37"/>
      <c r="N33" s="37"/>
      <c r="O33" s="37"/>
      <c r="P33" s="37"/>
      <c r="Q33" s="37"/>
      <c r="R33" s="37"/>
      <c r="S33" s="37"/>
    </row>
    <row r="34" spans="1:19" s="26" customFormat="1" ht="15" customHeight="1" x14ac:dyDescent="0.25">
      <c r="A34" s="40"/>
      <c r="B34" s="192" t="s">
        <v>152</v>
      </c>
      <c r="C34" s="193" t="s">
        <v>188</v>
      </c>
      <c r="D34" s="193" t="s">
        <v>1</v>
      </c>
      <c r="E34" s="193" t="s">
        <v>130</v>
      </c>
      <c r="F34" s="40"/>
      <c r="G34" s="40"/>
      <c r="H34" s="40"/>
      <c r="I34" s="40"/>
      <c r="J34" s="40"/>
      <c r="K34" s="40"/>
      <c r="L34" s="40"/>
      <c r="M34" s="40"/>
      <c r="N34" s="40"/>
      <c r="O34" s="40"/>
      <c r="P34" s="40"/>
      <c r="Q34" s="40"/>
      <c r="R34" s="40"/>
      <c r="S34" s="40"/>
    </row>
    <row r="35" spans="1:19" ht="15" customHeight="1" x14ac:dyDescent="0.25">
      <c r="A35" s="37"/>
      <c r="B35" s="372"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2"/>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2"/>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2"/>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2"/>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2"/>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2"/>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2"/>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2"/>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2"/>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4" t="s">
        <v>235</v>
      </c>
      <c r="C46" s="195">
        <f ca="1">FLOOR(SUM(C35:C44),0.01)</f>
        <v>0</v>
      </c>
      <c r="D46" s="108" t="s">
        <v>236</v>
      </c>
      <c r="E46" s="89">
        <f ca="1">IFERROR(FLOOR(SUMPRODUCT(D35:D44,C35:C44),0.01),0)</f>
        <v>0</v>
      </c>
      <c r="F46" s="37" t="s">
        <v>189</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84" t="s">
        <v>233</v>
      </c>
      <c r="C48" s="485"/>
      <c r="D48" s="485"/>
      <c r="E48" s="486"/>
      <c r="F48" s="37"/>
      <c r="G48" s="37"/>
      <c r="H48" s="37"/>
      <c r="I48" s="37"/>
      <c r="J48" s="37"/>
      <c r="K48" s="37"/>
      <c r="L48" s="37"/>
      <c r="M48" s="37"/>
      <c r="N48" s="37"/>
      <c r="O48" s="37"/>
      <c r="P48" s="37"/>
      <c r="Q48" s="37"/>
      <c r="R48" s="37"/>
      <c r="S48" s="37"/>
    </row>
    <row r="49" spans="1:19" ht="15" customHeight="1" x14ac:dyDescent="0.25">
      <c r="A49" s="40"/>
      <c r="B49" s="192" t="s">
        <v>152</v>
      </c>
      <c r="C49" s="193" t="s">
        <v>188</v>
      </c>
      <c r="D49" s="193" t="s">
        <v>1</v>
      </c>
      <c r="E49" s="193" t="s">
        <v>130</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4" t="s">
        <v>235</v>
      </c>
      <c r="C61" s="195">
        <f ca="1">FLOOR(SUM(C50:C59),0.01)</f>
        <v>0</v>
      </c>
      <c r="D61" s="108" t="s">
        <v>236</v>
      </c>
      <c r="E61" s="89">
        <f ca="1">IFERROR(FLOOR(SUMPRODUCT(D50:D59,C50:C59),0.01),0)</f>
        <v>0</v>
      </c>
      <c r="F61" s="37" t="s">
        <v>232</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JickigjiqN//ePCkJ6wkNCllI/wHcWyzVfkj7CtDg2TMges+pOsrixE0G/yT2o+TUr7jtW4ooBpNKXThS7xIFQ==" saltValue="t8cqup7zTMQMngBYO6HUlg=="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topLeftCell="F1" workbookViewId="0">
      <selection activeCell="F6" sqref="F6"/>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16" t="s">
        <v>361</v>
      </c>
      <c r="M1" s="216" t="s">
        <v>362</v>
      </c>
    </row>
    <row r="2" spans="1:53" ht="3" customHeight="1" x14ac:dyDescent="0.25"/>
    <row r="3" spans="1:53" ht="60" x14ac:dyDescent="0.25">
      <c r="A3" s="25" t="s">
        <v>80</v>
      </c>
      <c r="B3" s="237" t="s">
        <v>75</v>
      </c>
      <c r="C3" s="25" t="s">
        <v>190</v>
      </c>
      <c r="D3" s="25" t="s">
        <v>158</v>
      </c>
      <c r="E3" s="25" t="s">
        <v>159</v>
      </c>
      <c r="F3" s="25" t="s">
        <v>73</v>
      </c>
      <c r="G3" s="25" t="s">
        <v>74</v>
      </c>
      <c r="H3" s="26" t="s">
        <v>337</v>
      </c>
      <c r="I3" s="291" t="s">
        <v>343</v>
      </c>
      <c r="J3" s="291" t="s">
        <v>340</v>
      </c>
      <c r="K3" s="291" t="s">
        <v>341</v>
      </c>
      <c r="M3" s="131" t="s">
        <v>80</v>
      </c>
      <c r="N3" s="131" t="s">
        <v>228</v>
      </c>
      <c r="O3" s="131" t="s">
        <v>254</v>
      </c>
      <c r="P3" s="217" t="s">
        <v>8</v>
      </c>
      <c r="Q3" s="236" t="s">
        <v>82</v>
      </c>
      <c r="R3" s="235" t="s">
        <v>28</v>
      </c>
      <c r="S3" s="235" t="s">
        <v>27</v>
      </c>
      <c r="T3" s="235" t="s">
        <v>11</v>
      </c>
      <c r="U3" s="235" t="s">
        <v>96</v>
      </c>
      <c r="V3" s="235" t="s">
        <v>95</v>
      </c>
      <c r="W3" s="235" t="s">
        <v>3</v>
      </c>
      <c r="X3" s="235" t="s">
        <v>309</v>
      </c>
      <c r="Y3" s="274" t="s">
        <v>319</v>
      </c>
      <c r="Z3" s="235" t="s">
        <v>50</v>
      </c>
      <c r="AA3" s="217" t="s">
        <v>7</v>
      </c>
      <c r="AB3" s="217" t="s">
        <v>5</v>
      </c>
      <c r="AC3" s="274" t="s">
        <v>52</v>
      </c>
      <c r="AD3" s="274" t="s">
        <v>242</v>
      </c>
      <c r="AE3" s="274" t="s">
        <v>53</v>
      </c>
      <c r="AF3" s="274" t="s">
        <v>43</v>
      </c>
      <c r="AG3" s="279" t="s">
        <v>344</v>
      </c>
      <c r="AH3" s="279" t="s">
        <v>338</v>
      </c>
      <c r="AI3" s="279" t="s">
        <v>339</v>
      </c>
      <c r="AJ3" s="279" t="s">
        <v>342</v>
      </c>
      <c r="AK3" s="217" t="s">
        <v>200</v>
      </c>
      <c r="AL3" s="217" t="s">
        <v>201</v>
      </c>
      <c r="AM3" s="131" t="s">
        <v>202</v>
      </c>
      <c r="AN3" s="131" t="s">
        <v>203</v>
      </c>
      <c r="AO3" s="131" t="s">
        <v>204</v>
      </c>
      <c r="AP3" s="131" t="s">
        <v>245</v>
      </c>
      <c r="AQ3" s="131" t="s">
        <v>139</v>
      </c>
      <c r="AR3" s="131" t="s">
        <v>140</v>
      </c>
      <c r="AS3" s="131" t="s">
        <v>141</v>
      </c>
      <c r="AT3" s="131" t="s">
        <v>142</v>
      </c>
      <c r="AU3" s="131" t="s">
        <v>143</v>
      </c>
      <c r="AV3" s="131" t="s">
        <v>144</v>
      </c>
      <c r="AW3" s="131" t="s">
        <v>145</v>
      </c>
      <c r="AX3" s="131" t="s">
        <v>146</v>
      </c>
      <c r="AY3" s="131" t="s">
        <v>306</v>
      </c>
      <c r="AZ3" s="274" t="s">
        <v>307</v>
      </c>
      <c r="BA3" s="131" t="s">
        <v>308</v>
      </c>
    </row>
    <row r="4" spans="1:53" x14ac:dyDescent="0.25">
      <c r="A4" s="231" t="s">
        <v>548</v>
      </c>
      <c r="B4">
        <v>1</v>
      </c>
      <c r="C4">
        <v>1</v>
      </c>
      <c r="D4">
        <v>1</v>
      </c>
      <c r="E4">
        <v>1</v>
      </c>
      <c r="F4" s="64">
        <v>125000</v>
      </c>
      <c r="G4" s="64">
        <v>500000</v>
      </c>
      <c r="H4" s="278">
        <v>0.1</v>
      </c>
      <c r="I4" s="278">
        <v>0.25</v>
      </c>
      <c r="J4" s="278">
        <v>0.1</v>
      </c>
      <c r="K4" s="278">
        <v>0.25</v>
      </c>
      <c r="M4" s="231" t="s">
        <v>548</v>
      </c>
      <c r="N4" s="137" t="s">
        <v>549</v>
      </c>
      <c r="O4" s="56">
        <v>1</v>
      </c>
      <c r="P4">
        <v>1</v>
      </c>
      <c r="Q4">
        <f>IFERROR(IF(VLOOKUP(Tb_Activiteiten[[#This Row],[Openstelling]],Tb_Openstelling[],2,0)=1,1,""),"")</f>
        <v>1</v>
      </c>
      <c r="R4">
        <v>1</v>
      </c>
      <c r="S4">
        <v>1</v>
      </c>
      <c r="T4">
        <v>0</v>
      </c>
      <c r="U4">
        <v>1</v>
      </c>
      <c r="V4">
        <v>0</v>
      </c>
      <c r="W4">
        <v>0</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1"/>
      <c r="F5" s="64"/>
      <c r="G5" s="64"/>
      <c r="H5" s="278"/>
      <c r="I5" s="278"/>
      <c r="J5" s="278"/>
      <c r="K5" s="278"/>
      <c r="M5" s="231" t="s">
        <v>548</v>
      </c>
      <c r="N5" s="137" t="s">
        <v>258</v>
      </c>
      <c r="O5" s="56">
        <v>1</v>
      </c>
      <c r="P5">
        <v>1</v>
      </c>
      <c r="Q5">
        <f>IFERROR(IF(VLOOKUP(Tb_Activiteiten[[#This Row],[Openstelling]],Tb_Openstelling[],2,0)=1,1,""),"")</f>
        <v>1</v>
      </c>
      <c r="R5">
        <v>1</v>
      </c>
      <c r="S5">
        <v>1</v>
      </c>
      <c r="T5">
        <v>0</v>
      </c>
      <c r="U5">
        <v>1</v>
      </c>
      <c r="V5">
        <v>0</v>
      </c>
      <c r="W5">
        <v>0</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1"/>
      <c r="F6" s="64"/>
      <c r="G6" s="64"/>
      <c r="H6" s="278"/>
      <c r="I6" s="278"/>
      <c r="J6" s="278"/>
      <c r="K6" s="278"/>
      <c r="M6" s="231" t="s">
        <v>548</v>
      </c>
      <c r="N6" t="s">
        <v>550</v>
      </c>
      <c r="O6" s="56">
        <v>0.4</v>
      </c>
      <c r="P6">
        <v>1</v>
      </c>
      <c r="Q6">
        <f>IFERROR(IF(VLOOKUP(Tb_Activiteiten[[#This Row],[Openstelling]],Tb_Openstelling[],2,0)=1,1,""),"")</f>
        <v>1</v>
      </c>
      <c r="R6">
        <v>1</v>
      </c>
      <c r="S6">
        <v>1</v>
      </c>
      <c r="T6">
        <v>0</v>
      </c>
      <c r="U6">
        <v>1</v>
      </c>
      <c r="V6">
        <v>0</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1"/>
      <c r="F7" s="64"/>
      <c r="G7" s="64"/>
      <c r="H7" s="278"/>
      <c r="I7" s="278"/>
      <c r="J7" s="278"/>
      <c r="K7" s="278"/>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1"/>
      <c r="F8" s="64"/>
      <c r="G8" s="64"/>
      <c r="H8" s="278"/>
      <c r="I8" s="278"/>
      <c r="J8" s="278"/>
      <c r="K8" s="278"/>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1"/>
      <c r="F9" s="64"/>
      <c r="G9" s="64"/>
      <c r="H9" s="278"/>
      <c r="I9" s="278"/>
      <c r="J9" s="278"/>
      <c r="K9" s="278"/>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1"/>
      <c r="F10" s="64"/>
      <c r="G10" s="64"/>
      <c r="H10" s="278"/>
      <c r="I10" s="278"/>
      <c r="J10" s="278"/>
      <c r="K10" s="278"/>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1"/>
      <c r="F11" s="64"/>
      <c r="G11" s="64"/>
      <c r="H11" s="278"/>
      <c r="I11" s="278"/>
      <c r="J11" s="278"/>
      <c r="K11" s="278"/>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1"/>
      <c r="F12" s="64"/>
      <c r="G12" s="64"/>
      <c r="H12" s="278"/>
      <c r="I12" s="278"/>
      <c r="J12" s="278"/>
      <c r="K12" s="278"/>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1"/>
      <c r="F13" s="64"/>
      <c r="G13" s="64"/>
      <c r="H13" s="278"/>
      <c r="I13" s="278"/>
      <c r="J13" s="278"/>
      <c r="K13" s="278"/>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1"/>
      <c r="F14" s="64"/>
      <c r="G14" s="64"/>
      <c r="H14" s="278"/>
      <c r="I14" s="278"/>
      <c r="J14" s="278"/>
      <c r="K14" s="278"/>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1"/>
      <c r="F15" s="64"/>
      <c r="G15" s="64"/>
      <c r="H15" s="278"/>
      <c r="I15" s="278"/>
      <c r="J15" s="278"/>
      <c r="K15" s="278"/>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1"/>
      <c r="F16" s="64"/>
      <c r="G16" s="64"/>
      <c r="H16" s="278"/>
      <c r="I16" s="278"/>
      <c r="J16" s="278"/>
      <c r="K16" s="278"/>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1"/>
      <c r="F17" s="64"/>
      <c r="G17" s="64"/>
      <c r="H17" s="278"/>
      <c r="I17" s="278"/>
      <c r="J17" s="278"/>
      <c r="K17" s="278"/>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1"/>
      <c r="F18" s="64"/>
      <c r="G18" s="64"/>
      <c r="H18" s="278"/>
      <c r="I18" s="278"/>
      <c r="J18" s="278"/>
      <c r="K18" s="278"/>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1"/>
      <c r="F19" s="64"/>
      <c r="G19" s="64"/>
      <c r="H19" s="278"/>
      <c r="I19" s="278"/>
      <c r="J19" s="278"/>
      <c r="K19" s="278"/>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1"/>
      <c r="F20" s="64"/>
      <c r="G20" s="64"/>
      <c r="H20" s="278"/>
      <c r="I20" s="278"/>
      <c r="J20" s="278"/>
      <c r="K20" s="278"/>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1"/>
      <c r="F21" s="64"/>
      <c r="G21" s="64"/>
      <c r="H21" s="278"/>
      <c r="I21" s="278"/>
      <c r="J21" s="278"/>
      <c r="K21" s="278"/>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1"/>
      <c r="F22" s="64"/>
      <c r="G22" s="64"/>
      <c r="H22" s="278"/>
      <c r="I22" s="278"/>
      <c r="J22" s="278"/>
      <c r="K22" s="278"/>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1"/>
      <c r="F23" s="64"/>
      <c r="G23" s="64"/>
      <c r="H23" s="278"/>
      <c r="I23" s="278"/>
      <c r="J23" s="278"/>
      <c r="K23" s="278"/>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1"/>
      <c r="F24" s="64"/>
      <c r="G24" s="64"/>
      <c r="H24" s="278"/>
      <c r="I24" s="278"/>
      <c r="J24" s="278"/>
      <c r="K24" s="278"/>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1"/>
      <c r="F25" s="64"/>
      <c r="G25" s="64"/>
      <c r="H25" s="278"/>
      <c r="I25" s="278"/>
      <c r="J25" s="278"/>
      <c r="K25" s="278"/>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1"/>
      <c r="F26" s="64"/>
      <c r="G26" s="64"/>
      <c r="H26" s="278"/>
      <c r="I26" s="278"/>
      <c r="J26" s="278"/>
      <c r="K26" s="278"/>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1"/>
      <c r="F27" s="64"/>
      <c r="G27" s="64"/>
      <c r="H27" s="278"/>
      <c r="I27" s="278"/>
      <c r="J27" s="278"/>
      <c r="K27" s="278"/>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1"/>
      <c r="F28" s="64"/>
      <c r="G28" s="64"/>
      <c r="H28" s="278"/>
      <c r="I28" s="278"/>
      <c r="J28" s="278"/>
      <c r="K28" s="278"/>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1"/>
      <c r="F29" s="64"/>
      <c r="G29" s="64"/>
      <c r="H29" s="278"/>
      <c r="I29" s="278"/>
      <c r="J29" s="278"/>
      <c r="K29" s="278"/>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1"/>
      <c r="F30" s="64"/>
      <c r="G30" s="64"/>
      <c r="H30" s="278"/>
      <c r="I30" s="278"/>
      <c r="J30" s="278"/>
      <c r="K30" s="278"/>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1"/>
      <c r="F31" s="64"/>
      <c r="G31" s="64"/>
      <c r="H31" s="278"/>
      <c r="I31" s="278"/>
      <c r="J31" s="278"/>
      <c r="K31" s="278"/>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1"/>
      <c r="F32" s="64"/>
      <c r="G32" s="64"/>
      <c r="H32" s="278"/>
      <c r="I32" s="278"/>
      <c r="J32" s="278"/>
      <c r="K32" s="278"/>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1"/>
      <c r="F33" s="64"/>
      <c r="G33" s="64"/>
      <c r="H33" s="278"/>
      <c r="I33" s="278"/>
      <c r="J33" s="278"/>
      <c r="K33" s="278"/>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1"/>
      <c r="F34" s="64"/>
      <c r="G34" s="64"/>
      <c r="H34" s="278"/>
      <c r="I34" s="278"/>
      <c r="J34" s="278"/>
      <c r="K34" s="278"/>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1"/>
      <c r="F35" s="64"/>
      <c r="G35" s="64"/>
      <c r="H35" s="278"/>
      <c r="I35" s="278"/>
      <c r="J35" s="278"/>
      <c r="K35" s="278"/>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1"/>
      <c r="F36" s="64"/>
      <c r="G36" s="64"/>
      <c r="H36" s="278"/>
      <c r="I36" s="278"/>
      <c r="J36" s="278"/>
      <c r="K36" s="278"/>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1"/>
      <c r="F37" s="64"/>
      <c r="G37" s="64"/>
      <c r="H37" s="278"/>
      <c r="I37" s="278"/>
      <c r="J37" s="278"/>
      <c r="K37" s="278"/>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1"/>
      <c r="F38" s="64"/>
      <c r="G38" s="64"/>
      <c r="H38" s="278"/>
      <c r="I38" s="278"/>
      <c r="J38" s="278"/>
      <c r="K38" s="278"/>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1"/>
      <c r="F39" s="64"/>
      <c r="G39" s="64"/>
      <c r="H39" s="278"/>
      <c r="I39" s="278"/>
      <c r="J39" s="278"/>
      <c r="K39" s="278"/>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1"/>
      <c r="F40" s="64"/>
      <c r="G40" s="64"/>
      <c r="H40" s="278"/>
      <c r="I40" s="278"/>
      <c r="J40" s="278"/>
      <c r="K40" s="278"/>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1"/>
      <c r="F41" s="64"/>
      <c r="G41" s="64"/>
      <c r="H41" s="278"/>
      <c r="I41" s="278"/>
      <c r="J41" s="278"/>
      <c r="K41" s="278"/>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1"/>
      <c r="F42" s="64"/>
      <c r="G42" s="64"/>
      <c r="H42" s="278"/>
      <c r="I42" s="278"/>
      <c r="J42" s="278"/>
      <c r="K42" s="278"/>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1"/>
      <c r="F43" s="64"/>
      <c r="G43" s="64"/>
      <c r="H43" s="278"/>
      <c r="I43" s="278"/>
      <c r="J43" s="278"/>
      <c r="K43" s="278"/>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1"/>
      <c r="F44" s="64"/>
      <c r="G44" s="64"/>
      <c r="H44" s="278"/>
      <c r="I44" s="278"/>
      <c r="J44" s="278"/>
      <c r="K44" s="278"/>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1"/>
      <c r="F45" s="64"/>
      <c r="G45" s="64"/>
      <c r="H45" s="278"/>
      <c r="I45" s="278"/>
      <c r="J45" s="278"/>
      <c r="K45" s="278"/>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1"/>
      <c r="F46" s="64"/>
      <c r="G46" s="64"/>
      <c r="H46" s="278"/>
      <c r="I46" s="278"/>
      <c r="J46" s="278"/>
      <c r="K46" s="278"/>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1"/>
      <c r="F47" s="64"/>
      <c r="G47" s="64"/>
      <c r="H47" s="278"/>
      <c r="I47" s="278"/>
      <c r="J47" s="278"/>
      <c r="K47" s="278"/>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1"/>
      <c r="F48" s="64"/>
      <c r="G48" s="64"/>
      <c r="H48" s="278"/>
      <c r="I48" s="278"/>
      <c r="J48" s="278"/>
      <c r="K48" s="278"/>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1"/>
      <c r="F49" s="64"/>
      <c r="G49" s="64"/>
      <c r="H49" s="278"/>
      <c r="I49" s="278"/>
      <c r="J49" s="278"/>
      <c r="K49" s="278"/>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1"/>
      <c r="F50" s="64"/>
      <c r="G50" s="64"/>
      <c r="H50" s="278"/>
      <c r="I50" s="278"/>
      <c r="J50" s="278"/>
      <c r="K50" s="278"/>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1"/>
      <c r="F51" s="64"/>
      <c r="G51" s="64"/>
      <c r="H51" s="278"/>
      <c r="I51" s="278"/>
      <c r="J51" s="278"/>
      <c r="K51" s="278"/>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1"/>
      <c r="F52" s="64"/>
      <c r="G52" s="64"/>
      <c r="H52" s="278"/>
      <c r="I52" s="278"/>
      <c r="J52" s="278"/>
      <c r="K52" s="278"/>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1"/>
      <c r="F53" s="64"/>
      <c r="G53" s="64"/>
      <c r="H53" s="278"/>
      <c r="I53" s="278"/>
      <c r="J53" s="278"/>
      <c r="K53" s="278"/>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1"/>
      <c r="F54" s="64"/>
      <c r="G54" s="64"/>
      <c r="H54" s="278"/>
      <c r="I54" s="278"/>
      <c r="J54" s="278"/>
      <c r="K54" s="278"/>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1"/>
      <c r="F55" s="64"/>
      <c r="G55" s="64"/>
      <c r="H55" s="278"/>
      <c r="I55" s="278"/>
      <c r="J55" s="278"/>
      <c r="K55" s="278"/>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1"/>
      <c r="F56" s="64"/>
      <c r="G56" s="64"/>
      <c r="H56" s="278"/>
      <c r="I56" s="278"/>
      <c r="J56" s="278"/>
      <c r="K56" s="278"/>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1"/>
      <c r="F57" s="64"/>
      <c r="G57" s="64"/>
      <c r="H57" s="278"/>
      <c r="I57" s="278"/>
      <c r="J57" s="278"/>
      <c r="K57" s="278"/>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1"/>
      <c r="F58" s="64"/>
      <c r="G58" s="64"/>
      <c r="H58" s="278"/>
      <c r="I58" s="278"/>
      <c r="J58" s="278"/>
      <c r="K58" s="278"/>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1"/>
      <c r="F59" s="64"/>
      <c r="G59" s="64"/>
      <c r="H59" s="278"/>
      <c r="I59" s="278"/>
      <c r="J59" s="278"/>
      <c r="K59" s="278"/>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1"/>
      <c r="F60" s="64"/>
      <c r="G60" s="64"/>
      <c r="H60" s="278"/>
      <c r="I60" s="278"/>
      <c r="J60" s="278"/>
      <c r="K60" s="278"/>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1"/>
      <c r="F61" s="64"/>
      <c r="G61" s="64"/>
      <c r="H61" s="278"/>
      <c r="I61" s="278"/>
      <c r="J61" s="278"/>
      <c r="K61" s="278"/>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1"/>
      <c r="F62" s="64"/>
      <c r="G62" s="64"/>
      <c r="H62" s="278"/>
      <c r="I62" s="278"/>
      <c r="J62" s="278"/>
      <c r="K62" s="278"/>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1"/>
      <c r="F63" s="64"/>
      <c r="G63" s="64"/>
      <c r="H63" s="278"/>
      <c r="I63" s="278"/>
      <c r="J63" s="278"/>
      <c r="K63" s="278"/>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1"/>
      <c r="F64" s="64"/>
      <c r="G64" s="64"/>
      <c r="H64" s="278"/>
      <c r="I64" s="278"/>
      <c r="J64" s="278"/>
      <c r="K64" s="278"/>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1"/>
      <c r="F65" s="64"/>
      <c r="G65" s="64"/>
      <c r="H65" s="278"/>
      <c r="I65" s="278"/>
      <c r="J65" s="278"/>
      <c r="K65" s="278"/>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1"/>
      <c r="F66" s="64"/>
      <c r="G66" s="64"/>
      <c r="H66" s="278"/>
      <c r="I66" s="278"/>
      <c r="J66" s="278"/>
      <c r="K66" s="278"/>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1"/>
      <c r="F67" s="64"/>
      <c r="G67" s="64"/>
      <c r="H67" s="278"/>
      <c r="I67" s="278"/>
      <c r="J67" s="278"/>
      <c r="K67" s="278"/>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1"/>
      <c r="F68" s="64"/>
      <c r="G68" s="64"/>
      <c r="H68" s="278"/>
      <c r="I68" s="278"/>
      <c r="J68" s="278"/>
      <c r="K68" s="278"/>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1"/>
      <c r="F69" s="64"/>
      <c r="G69" s="64"/>
      <c r="H69" s="278"/>
      <c r="I69" s="278"/>
      <c r="J69" s="278"/>
      <c r="K69" s="278"/>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1"/>
      <c r="F70" s="64"/>
      <c r="G70" s="64"/>
      <c r="H70" s="278"/>
      <c r="I70" s="278"/>
      <c r="J70" s="278"/>
      <c r="K70" s="278"/>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1"/>
      <c r="F71" s="64"/>
      <c r="G71" s="64"/>
      <c r="H71" s="278"/>
      <c r="I71" s="278"/>
      <c r="J71" s="278"/>
      <c r="K71" s="278"/>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1"/>
      <c r="F72" s="64"/>
      <c r="G72" s="64"/>
      <c r="H72" s="278"/>
      <c r="I72" s="278"/>
      <c r="J72" s="278"/>
      <c r="K72" s="278"/>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1"/>
      <c r="F73" s="64"/>
      <c r="G73" s="64"/>
      <c r="H73" s="278"/>
      <c r="I73" s="278"/>
      <c r="J73" s="278"/>
      <c r="K73" s="278"/>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1"/>
      <c r="F74" s="64"/>
      <c r="G74" s="64"/>
      <c r="H74" s="278"/>
      <c r="I74" s="278"/>
      <c r="J74" s="278"/>
      <c r="K74" s="278"/>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1"/>
      <c r="F75" s="64"/>
      <c r="G75" s="64"/>
      <c r="H75" s="278"/>
      <c r="I75" s="278"/>
      <c r="J75" s="278"/>
      <c r="K75" s="278"/>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1"/>
      <c r="F76" s="64"/>
      <c r="G76" s="64"/>
      <c r="H76" s="278"/>
      <c r="I76" s="278"/>
      <c r="J76" s="278"/>
      <c r="K76" s="278"/>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1"/>
      <c r="F77" s="64"/>
      <c r="G77" s="64"/>
      <c r="H77" s="278"/>
      <c r="I77" s="278"/>
      <c r="J77" s="278"/>
      <c r="K77" s="278"/>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1"/>
      <c r="F78" s="64"/>
      <c r="G78" s="64"/>
      <c r="H78" s="278"/>
      <c r="I78" s="278"/>
      <c r="J78" s="278"/>
      <c r="K78" s="278"/>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1"/>
      <c r="F79" s="64"/>
      <c r="G79" s="64"/>
      <c r="H79" s="278"/>
      <c r="I79" s="278"/>
      <c r="J79" s="278"/>
      <c r="K79" s="278"/>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1"/>
      <c r="F80" s="64"/>
      <c r="G80" s="64"/>
      <c r="H80" s="278"/>
      <c r="I80" s="278"/>
      <c r="J80" s="278"/>
      <c r="K80" s="278"/>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1"/>
      <c r="F81" s="64"/>
      <c r="G81" s="64"/>
      <c r="H81" s="278"/>
      <c r="I81" s="278"/>
      <c r="J81" s="278"/>
      <c r="K81" s="278"/>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1"/>
      <c r="F82" s="64"/>
      <c r="G82" s="64"/>
      <c r="H82" s="278"/>
      <c r="I82" s="278"/>
      <c r="J82" s="278"/>
      <c r="K82" s="278"/>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1"/>
      <c r="F83" s="64"/>
      <c r="G83" s="64"/>
      <c r="H83" s="278"/>
      <c r="I83" s="278"/>
      <c r="J83" s="278"/>
      <c r="K83" s="278"/>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1"/>
      <c r="F84" s="64"/>
      <c r="G84" s="64"/>
      <c r="H84" s="278"/>
      <c r="I84" s="278"/>
      <c r="J84" s="278"/>
      <c r="K84" s="278"/>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1"/>
      <c r="F85" s="64"/>
      <c r="G85" s="64"/>
      <c r="H85" s="278"/>
      <c r="I85" s="278"/>
      <c r="J85" s="278"/>
      <c r="K85" s="278"/>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1"/>
      <c r="F86" s="64"/>
      <c r="G86" s="64"/>
      <c r="H86" s="278"/>
      <c r="I86" s="278"/>
      <c r="J86" s="278"/>
      <c r="K86" s="278"/>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1"/>
      <c r="F87" s="64"/>
      <c r="G87" s="64"/>
      <c r="H87" s="278"/>
      <c r="I87" s="278"/>
      <c r="J87" s="278"/>
      <c r="K87" s="278"/>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1"/>
      <c r="F88" s="64"/>
      <c r="G88" s="64"/>
      <c r="H88" s="278"/>
      <c r="I88" s="278"/>
      <c r="J88" s="278"/>
      <c r="K88" s="278"/>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1"/>
      <c r="F89" s="64"/>
      <c r="G89" s="64"/>
      <c r="H89" s="278"/>
      <c r="I89" s="278"/>
      <c r="J89" s="278"/>
      <c r="K89" s="278"/>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1"/>
      <c r="F90" s="64"/>
      <c r="G90" s="64"/>
      <c r="H90" s="278"/>
      <c r="I90" s="278"/>
      <c r="J90" s="278"/>
      <c r="K90" s="278"/>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1"/>
      <c r="F91" s="64"/>
      <c r="G91" s="64"/>
      <c r="H91" s="278"/>
      <c r="I91" s="278"/>
      <c r="J91" s="278"/>
      <c r="K91" s="278"/>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1"/>
      <c r="F92" s="64"/>
      <c r="G92" s="64"/>
      <c r="H92" s="278"/>
      <c r="I92" s="278"/>
      <c r="J92" s="278"/>
      <c r="K92" s="278"/>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1"/>
      <c r="F93" s="64"/>
      <c r="G93" s="64"/>
      <c r="H93" s="278"/>
      <c r="I93" s="278"/>
      <c r="J93" s="278"/>
      <c r="K93" s="278"/>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1"/>
      <c r="F94" s="64"/>
      <c r="G94" s="64"/>
      <c r="H94" s="278"/>
      <c r="I94" s="278"/>
      <c r="J94" s="278"/>
      <c r="K94" s="278"/>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1"/>
      <c r="F95" s="64"/>
      <c r="G95" s="64"/>
      <c r="H95" s="278"/>
      <c r="I95" s="278"/>
      <c r="J95" s="278"/>
      <c r="K95" s="278"/>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1"/>
      <c r="F96" s="64"/>
      <c r="G96" s="64"/>
      <c r="H96" s="278"/>
      <c r="I96" s="278"/>
      <c r="J96" s="278"/>
      <c r="K96" s="278"/>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1"/>
      <c r="F97" s="64"/>
      <c r="G97" s="64"/>
      <c r="H97" s="278"/>
      <c r="I97" s="278"/>
      <c r="J97" s="278"/>
      <c r="K97" s="278"/>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1"/>
      <c r="F98" s="64"/>
      <c r="G98" s="64"/>
      <c r="H98" s="278"/>
      <c r="I98" s="278"/>
      <c r="J98" s="278"/>
      <c r="K98" s="278"/>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1"/>
      <c r="F99" s="64"/>
      <c r="G99" s="64"/>
      <c r="H99" s="278"/>
      <c r="I99" s="278"/>
      <c r="J99" s="278"/>
      <c r="K99" s="278"/>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1"/>
      <c r="F100" s="64"/>
      <c r="G100" s="64"/>
      <c r="H100" s="278"/>
      <c r="I100" s="278"/>
      <c r="J100" s="278"/>
      <c r="K100" s="278"/>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1"/>
      <c r="F101" s="64"/>
      <c r="G101" s="64"/>
      <c r="H101" s="278"/>
      <c r="I101" s="278"/>
      <c r="J101" s="278"/>
      <c r="K101" s="278"/>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1"/>
      <c r="F102" s="64"/>
      <c r="G102" s="64"/>
      <c r="H102" s="278"/>
      <c r="I102" s="278"/>
      <c r="J102" s="278"/>
      <c r="K102" s="278"/>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1"/>
      <c r="F103" s="64"/>
      <c r="G103" s="64"/>
      <c r="H103" s="278"/>
      <c r="I103" s="278"/>
      <c r="J103" s="278"/>
      <c r="K103" s="278"/>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1"/>
      <c r="F104" s="64"/>
      <c r="G104" s="64"/>
      <c r="H104" s="278"/>
      <c r="I104" s="278"/>
      <c r="J104" s="278"/>
      <c r="K104" s="278"/>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1"/>
      <c r="F105" s="64"/>
      <c r="G105" s="64"/>
      <c r="H105" s="278"/>
      <c r="I105" s="278"/>
      <c r="J105" s="278"/>
      <c r="K105" s="278"/>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1"/>
      <c r="F106" s="64"/>
      <c r="G106" s="64"/>
      <c r="H106" s="278"/>
      <c r="I106" s="278"/>
      <c r="J106" s="278"/>
      <c r="K106" s="278"/>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1"/>
      <c r="F107" s="64"/>
      <c r="G107" s="64"/>
      <c r="H107" s="278"/>
      <c r="I107" s="278"/>
      <c r="J107" s="278"/>
      <c r="K107" s="278"/>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1"/>
      <c r="F108" s="64"/>
      <c r="G108" s="64"/>
      <c r="H108" s="278"/>
      <c r="I108" s="278"/>
      <c r="J108" s="278"/>
      <c r="K108" s="278"/>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1"/>
      <c r="F109" s="64"/>
      <c r="G109" s="64"/>
      <c r="H109" s="278"/>
      <c r="I109" s="278"/>
      <c r="J109" s="278"/>
      <c r="K109" s="278"/>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1"/>
      <c r="F110" s="64"/>
      <c r="G110" s="64"/>
      <c r="H110" s="278"/>
      <c r="I110" s="278"/>
      <c r="J110" s="278"/>
      <c r="K110" s="278"/>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1"/>
      <c r="F111" s="64"/>
      <c r="G111" s="64"/>
      <c r="H111" s="278"/>
      <c r="I111" s="278"/>
      <c r="J111" s="278"/>
      <c r="K111" s="278"/>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1"/>
      <c r="F112" s="64"/>
      <c r="G112" s="64"/>
      <c r="H112" s="278"/>
      <c r="I112" s="278"/>
      <c r="J112" s="278"/>
      <c r="K112" s="278"/>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1"/>
      <c r="F113" s="64"/>
      <c r="G113" s="64"/>
      <c r="H113" s="278"/>
      <c r="I113" s="278"/>
      <c r="J113" s="278"/>
      <c r="K113" s="278"/>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1"/>
      <c r="F114" s="64"/>
      <c r="G114" s="64"/>
      <c r="H114" s="278"/>
      <c r="I114" s="278"/>
      <c r="J114" s="278"/>
      <c r="K114" s="278"/>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1"/>
      <c r="F115" s="64"/>
      <c r="G115" s="64"/>
      <c r="H115" s="278"/>
      <c r="I115" s="278"/>
      <c r="J115" s="278"/>
      <c r="K115" s="278"/>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1"/>
      <c r="F116" s="64"/>
      <c r="G116" s="64"/>
      <c r="H116" s="278"/>
      <c r="I116" s="278"/>
      <c r="J116" s="278"/>
      <c r="K116" s="278"/>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1"/>
      <c r="F117" s="64"/>
      <c r="G117" s="64"/>
      <c r="H117" s="278"/>
      <c r="I117" s="278"/>
      <c r="J117" s="278"/>
      <c r="K117" s="278"/>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1"/>
      <c r="F118" s="64"/>
      <c r="G118" s="64"/>
      <c r="H118" s="278"/>
      <c r="I118" s="278"/>
      <c r="J118" s="278"/>
      <c r="K118" s="278"/>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1"/>
      <c r="F119" s="64"/>
      <c r="G119" s="64"/>
      <c r="H119" s="278"/>
      <c r="I119" s="278"/>
      <c r="J119" s="278"/>
      <c r="K119" s="278"/>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1"/>
      <c r="F120" s="64"/>
      <c r="G120" s="64"/>
      <c r="H120" s="278"/>
      <c r="I120" s="278"/>
      <c r="J120" s="278"/>
      <c r="K120" s="278"/>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1"/>
      <c r="F121" s="64"/>
      <c r="G121" s="64"/>
      <c r="H121" s="278"/>
      <c r="I121" s="278"/>
      <c r="J121" s="278"/>
      <c r="K121" s="278"/>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1"/>
      <c r="F122" s="64"/>
      <c r="G122" s="64"/>
      <c r="H122" s="278"/>
      <c r="I122" s="278"/>
      <c r="J122" s="278"/>
      <c r="K122" s="278"/>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1"/>
      <c r="F123" s="64"/>
      <c r="G123" s="64"/>
      <c r="H123" s="278"/>
      <c r="I123" s="278"/>
      <c r="J123" s="278"/>
      <c r="K123" s="278"/>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1"/>
      <c r="F124" s="64"/>
      <c r="G124" s="64"/>
      <c r="H124" s="278"/>
      <c r="I124" s="278"/>
      <c r="J124" s="278"/>
      <c r="K124" s="278"/>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1"/>
      <c r="F125" s="64"/>
      <c r="G125" s="64"/>
      <c r="H125" s="278"/>
      <c r="I125" s="278"/>
      <c r="J125" s="278"/>
      <c r="K125" s="278"/>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1"/>
      <c r="F126" s="64"/>
      <c r="G126" s="64"/>
      <c r="H126" s="278"/>
      <c r="I126" s="278"/>
      <c r="J126" s="278"/>
      <c r="K126" s="278"/>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1"/>
      <c r="F127" s="64"/>
      <c r="G127" s="64"/>
      <c r="H127" s="278"/>
      <c r="I127" s="278"/>
      <c r="J127" s="278"/>
      <c r="K127" s="278"/>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1"/>
      <c r="F128" s="64"/>
      <c r="G128" s="64"/>
      <c r="H128" s="278"/>
      <c r="I128" s="278"/>
      <c r="J128" s="278"/>
      <c r="K128" s="278"/>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1"/>
      <c r="F129" s="64"/>
      <c r="G129" s="64"/>
      <c r="H129" s="278"/>
      <c r="I129" s="278"/>
      <c r="J129" s="278"/>
      <c r="K129" s="278"/>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1"/>
      <c r="F130" s="64"/>
      <c r="G130" s="64"/>
      <c r="H130" s="278"/>
      <c r="I130" s="278"/>
      <c r="J130" s="278"/>
      <c r="K130" s="278"/>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1"/>
      <c r="F131" s="64"/>
      <c r="G131" s="64"/>
      <c r="H131" s="278"/>
      <c r="I131" s="278"/>
      <c r="J131" s="278"/>
      <c r="K131" s="278"/>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1"/>
      <c r="F132" s="64"/>
      <c r="G132" s="64"/>
      <c r="H132" s="278"/>
      <c r="I132" s="278"/>
      <c r="J132" s="278"/>
      <c r="K132" s="278"/>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1"/>
      <c r="F133" s="64"/>
      <c r="G133" s="64"/>
      <c r="H133" s="278"/>
      <c r="I133" s="278"/>
      <c r="J133" s="278"/>
      <c r="K133" s="278"/>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1"/>
      <c r="F134" s="64"/>
      <c r="G134" s="64"/>
      <c r="H134" s="278"/>
      <c r="I134" s="278"/>
      <c r="J134" s="278"/>
      <c r="K134" s="278"/>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1"/>
      <c r="F135" s="64"/>
      <c r="G135" s="64"/>
      <c r="H135" s="278"/>
      <c r="I135" s="278"/>
      <c r="J135" s="278"/>
      <c r="K135" s="278"/>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1"/>
      <c r="F136" s="64"/>
      <c r="G136" s="64"/>
      <c r="H136" s="278"/>
      <c r="I136" s="278"/>
      <c r="J136" s="278"/>
      <c r="K136" s="278"/>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1"/>
      <c r="F137" s="64"/>
      <c r="G137" s="64"/>
      <c r="H137" s="278"/>
      <c r="I137" s="278"/>
      <c r="J137" s="278"/>
      <c r="K137" s="278"/>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1"/>
      <c r="F138" s="64"/>
      <c r="G138" s="64"/>
      <c r="H138" s="278"/>
      <c r="I138" s="278"/>
      <c r="J138" s="278"/>
      <c r="K138" s="278"/>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1"/>
      <c r="F139" s="64"/>
      <c r="G139" s="64"/>
      <c r="H139" s="278"/>
      <c r="I139" s="278"/>
      <c r="J139" s="278"/>
      <c r="K139" s="278"/>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1"/>
      <c r="F140" s="64"/>
      <c r="G140" s="64"/>
      <c r="H140" s="278"/>
      <c r="I140" s="278"/>
      <c r="J140" s="278"/>
      <c r="K140" s="278"/>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1"/>
      <c r="F141" s="64"/>
      <c r="G141" s="64"/>
      <c r="H141" s="278"/>
      <c r="I141" s="278"/>
      <c r="J141" s="278"/>
      <c r="K141" s="278"/>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1"/>
      <c r="F142" s="64"/>
      <c r="G142" s="64"/>
      <c r="H142" s="278"/>
      <c r="I142" s="278"/>
      <c r="J142" s="278"/>
      <c r="K142" s="278"/>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1"/>
      <c r="F143" s="64"/>
      <c r="G143" s="64"/>
      <c r="H143" s="278"/>
      <c r="I143" s="278"/>
      <c r="J143" s="278"/>
      <c r="K143" s="278"/>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1"/>
      <c r="F144" s="64"/>
      <c r="G144" s="64"/>
      <c r="H144" s="278"/>
      <c r="I144" s="278"/>
      <c r="J144" s="278"/>
      <c r="K144" s="278"/>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1"/>
      <c r="F145" s="64"/>
      <c r="G145" s="64"/>
      <c r="H145" s="278"/>
      <c r="I145" s="278"/>
      <c r="J145" s="278"/>
      <c r="K145" s="278"/>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1"/>
      <c r="F146" s="64"/>
      <c r="G146" s="64"/>
      <c r="H146" s="278"/>
      <c r="I146" s="278"/>
      <c r="J146" s="278"/>
      <c r="K146" s="278"/>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1"/>
      <c r="F147" s="64"/>
      <c r="G147" s="64"/>
      <c r="H147" s="278"/>
      <c r="I147" s="278"/>
      <c r="J147" s="278"/>
      <c r="K147" s="278"/>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1"/>
      <c r="F148" s="64"/>
      <c r="G148" s="64"/>
      <c r="H148" s="278"/>
      <c r="I148" s="278"/>
      <c r="J148" s="278"/>
      <c r="K148" s="278"/>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1"/>
      <c r="F149" s="64"/>
      <c r="G149" s="64"/>
      <c r="H149" s="278"/>
      <c r="I149" s="278"/>
      <c r="J149" s="278"/>
      <c r="K149" s="278"/>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1"/>
      <c r="F150" s="64"/>
      <c r="G150" s="64"/>
      <c r="H150" s="278"/>
      <c r="I150" s="278"/>
      <c r="J150" s="278"/>
      <c r="K150" s="278"/>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1"/>
      <c r="F151" s="64"/>
      <c r="G151" s="64"/>
      <c r="H151" s="278"/>
      <c r="I151" s="278"/>
      <c r="J151" s="278"/>
      <c r="K151" s="278"/>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1"/>
      <c r="F152" s="64"/>
      <c r="G152" s="64"/>
      <c r="H152" s="278"/>
      <c r="I152" s="278"/>
      <c r="J152" s="278"/>
      <c r="K152" s="278"/>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1"/>
      <c r="F153" s="64"/>
      <c r="G153" s="64"/>
      <c r="H153" s="278"/>
      <c r="I153" s="278"/>
      <c r="J153" s="278"/>
      <c r="K153" s="278"/>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1"/>
      <c r="F154" s="64"/>
      <c r="G154" s="64"/>
      <c r="H154" s="278"/>
      <c r="I154" s="278"/>
      <c r="J154" s="278"/>
      <c r="K154" s="278"/>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1"/>
      <c r="F155" s="64"/>
      <c r="G155" s="64"/>
      <c r="H155" s="278"/>
      <c r="I155" s="278"/>
      <c r="J155" s="278"/>
      <c r="K155" s="278"/>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1"/>
      <c r="F156" s="64"/>
      <c r="G156" s="64"/>
      <c r="H156" s="278"/>
      <c r="I156" s="278"/>
      <c r="J156" s="278"/>
      <c r="K156" s="278"/>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1"/>
      <c r="F157" s="64"/>
      <c r="G157" s="64"/>
      <c r="H157" s="278"/>
      <c r="I157" s="278"/>
      <c r="J157" s="278"/>
      <c r="K157" s="278"/>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1"/>
      <c r="F158" s="64"/>
      <c r="G158" s="64"/>
      <c r="H158" s="278"/>
      <c r="I158" s="278"/>
      <c r="J158" s="278"/>
      <c r="K158" s="278"/>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1"/>
      <c r="F159" s="64"/>
      <c r="G159" s="64"/>
      <c r="H159" s="278"/>
      <c r="I159" s="278"/>
      <c r="J159" s="278"/>
      <c r="K159" s="278"/>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1"/>
      <c r="F160" s="64"/>
      <c r="G160" s="64"/>
      <c r="H160" s="278"/>
      <c r="I160" s="278"/>
      <c r="J160" s="278"/>
      <c r="K160" s="278"/>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1"/>
      <c r="F161" s="64"/>
      <c r="G161" s="64"/>
      <c r="H161" s="278"/>
      <c r="I161" s="278"/>
      <c r="J161" s="278"/>
      <c r="K161" s="278"/>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1"/>
      <c r="F162" s="64"/>
      <c r="G162" s="64"/>
      <c r="H162" s="278"/>
      <c r="I162" s="278"/>
      <c r="J162" s="278"/>
      <c r="K162" s="278"/>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1"/>
      <c r="F163" s="64"/>
      <c r="G163" s="64"/>
      <c r="H163" s="278"/>
      <c r="I163" s="278"/>
      <c r="J163" s="278"/>
      <c r="K163" s="278"/>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1"/>
      <c r="F164" s="64"/>
      <c r="G164" s="64"/>
      <c r="H164" s="278"/>
      <c r="I164" s="278"/>
      <c r="J164" s="278"/>
      <c r="K164" s="278"/>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1"/>
      <c r="F165" s="64"/>
      <c r="G165" s="64"/>
      <c r="H165" s="278"/>
      <c r="I165" s="278"/>
      <c r="J165" s="278"/>
      <c r="K165" s="278"/>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1"/>
      <c r="F166" s="64"/>
      <c r="G166" s="64"/>
      <c r="H166" s="278"/>
      <c r="I166" s="278"/>
      <c r="J166" s="278"/>
      <c r="K166" s="278"/>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1"/>
      <c r="F167" s="64"/>
      <c r="G167" s="64"/>
      <c r="H167" s="278"/>
      <c r="I167" s="278"/>
      <c r="J167" s="278"/>
      <c r="K167" s="278"/>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1"/>
      <c r="F168" s="64"/>
      <c r="G168" s="64"/>
      <c r="H168" s="278"/>
      <c r="I168" s="278"/>
      <c r="J168" s="278"/>
      <c r="K168" s="278"/>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1"/>
      <c r="F169" s="64"/>
      <c r="G169" s="64"/>
      <c r="H169" s="278"/>
      <c r="I169" s="278"/>
      <c r="J169" s="278"/>
      <c r="K169" s="278"/>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1"/>
      <c r="F170" s="64"/>
      <c r="G170" s="64"/>
      <c r="H170" s="278"/>
      <c r="I170" s="278"/>
      <c r="J170" s="278"/>
      <c r="K170" s="278"/>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1"/>
      <c r="F171" s="64"/>
      <c r="G171" s="64"/>
      <c r="H171" s="278"/>
      <c r="I171" s="278"/>
      <c r="J171" s="278"/>
      <c r="K171" s="278"/>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1"/>
      <c r="F172" s="64"/>
      <c r="G172" s="64"/>
      <c r="H172" s="278"/>
      <c r="I172" s="278"/>
      <c r="J172" s="278"/>
      <c r="K172" s="278"/>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1"/>
      <c r="F173" s="64"/>
      <c r="G173" s="64"/>
      <c r="H173" s="278"/>
      <c r="I173" s="278"/>
      <c r="J173" s="278"/>
      <c r="K173" s="278"/>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1"/>
      <c r="F174" s="64"/>
      <c r="G174" s="64"/>
      <c r="H174" s="278"/>
      <c r="I174" s="278"/>
      <c r="J174" s="278"/>
      <c r="K174" s="278"/>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1"/>
      <c r="F175" s="64"/>
      <c r="G175" s="64"/>
      <c r="H175" s="278"/>
      <c r="I175" s="278"/>
      <c r="J175" s="278"/>
      <c r="K175" s="278"/>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1"/>
      <c r="F176" s="64"/>
      <c r="G176" s="64"/>
      <c r="H176" s="278"/>
      <c r="I176" s="278"/>
      <c r="J176" s="278"/>
      <c r="K176" s="278"/>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1"/>
      <c r="F177" s="64"/>
      <c r="G177" s="64"/>
      <c r="H177" s="278"/>
      <c r="I177" s="278"/>
      <c r="J177" s="278"/>
      <c r="K177" s="278"/>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1"/>
      <c r="F178" s="64"/>
      <c r="G178" s="64"/>
      <c r="H178" s="278"/>
      <c r="I178" s="278"/>
      <c r="J178" s="278"/>
      <c r="K178" s="278"/>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1"/>
      <c r="F179" s="64"/>
      <c r="G179" s="64"/>
      <c r="H179" s="278"/>
      <c r="I179" s="278"/>
      <c r="J179" s="278"/>
      <c r="K179" s="278"/>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1"/>
      <c r="F180" s="64"/>
      <c r="G180" s="64"/>
      <c r="H180" s="278"/>
      <c r="I180" s="278"/>
      <c r="J180" s="278"/>
      <c r="K180" s="278"/>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1"/>
      <c r="F181" s="64"/>
      <c r="G181" s="64"/>
      <c r="H181" s="278"/>
      <c r="I181" s="278"/>
      <c r="J181" s="278"/>
      <c r="K181" s="278"/>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1"/>
      <c r="F182" s="64"/>
      <c r="G182" s="64"/>
      <c r="H182" s="278"/>
      <c r="I182" s="278"/>
      <c r="J182" s="278"/>
      <c r="K182" s="278"/>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1"/>
      <c r="F183" s="64"/>
      <c r="G183" s="64"/>
      <c r="H183" s="278"/>
      <c r="I183" s="278"/>
      <c r="J183" s="278"/>
      <c r="K183" s="278"/>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1"/>
      <c r="F184" s="64"/>
      <c r="G184" s="64"/>
      <c r="H184" s="278"/>
      <c r="I184" s="278"/>
      <c r="J184" s="278"/>
      <c r="K184" s="278"/>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1"/>
      <c r="F185" s="64"/>
      <c r="G185" s="64"/>
      <c r="H185" s="278"/>
      <c r="I185" s="278"/>
      <c r="J185" s="278"/>
      <c r="K185" s="278"/>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1"/>
      <c r="F186" s="64"/>
      <c r="G186" s="64"/>
      <c r="H186" s="278"/>
      <c r="I186" s="278"/>
      <c r="J186" s="278"/>
      <c r="K186" s="278"/>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1"/>
      <c r="F187" s="64"/>
      <c r="G187" s="64"/>
      <c r="H187" s="278"/>
      <c r="I187" s="278"/>
      <c r="J187" s="278"/>
      <c r="K187" s="278"/>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1"/>
      <c r="F188" s="64"/>
      <c r="G188" s="64"/>
      <c r="H188" s="278"/>
      <c r="I188" s="278"/>
      <c r="J188" s="278"/>
      <c r="K188" s="278"/>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1"/>
      <c r="F189" s="64"/>
      <c r="G189" s="64"/>
      <c r="H189" s="278"/>
      <c r="I189" s="278"/>
      <c r="J189" s="278"/>
      <c r="K189" s="278"/>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1"/>
      <c r="F190" s="64"/>
      <c r="G190" s="64"/>
      <c r="H190" s="278"/>
      <c r="I190" s="278"/>
      <c r="J190" s="278"/>
      <c r="K190" s="278"/>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1"/>
      <c r="F191" s="64"/>
      <c r="G191" s="64"/>
      <c r="H191" s="278"/>
      <c r="I191" s="278"/>
      <c r="J191" s="278"/>
      <c r="K191" s="278"/>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1"/>
      <c r="F192" s="64"/>
      <c r="G192" s="64"/>
      <c r="H192" s="278"/>
      <c r="I192" s="278"/>
      <c r="J192" s="278"/>
      <c r="K192" s="278"/>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1"/>
      <c r="F193" s="64"/>
      <c r="G193" s="64"/>
      <c r="H193" s="278"/>
      <c r="I193" s="278"/>
      <c r="J193" s="278"/>
      <c r="K193" s="278"/>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1"/>
      <c r="F194" s="64"/>
      <c r="G194" s="64"/>
      <c r="H194" s="278"/>
      <c r="I194" s="278"/>
      <c r="J194" s="278"/>
      <c r="K194" s="278"/>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1"/>
      <c r="F195" s="64"/>
      <c r="G195" s="64"/>
      <c r="H195" s="278"/>
      <c r="I195" s="278"/>
      <c r="J195" s="278"/>
      <c r="K195" s="278"/>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1"/>
      <c r="F196" s="64"/>
      <c r="G196" s="64"/>
      <c r="H196" s="278"/>
      <c r="I196" s="278"/>
      <c r="J196" s="278"/>
      <c r="K196" s="278"/>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1"/>
      <c r="F197" s="64"/>
      <c r="G197" s="64"/>
      <c r="H197" s="278"/>
      <c r="I197" s="278"/>
      <c r="J197" s="278"/>
      <c r="K197" s="278"/>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1"/>
      <c r="F198" s="64"/>
      <c r="G198" s="64"/>
      <c r="H198" s="278"/>
      <c r="I198" s="278"/>
      <c r="J198" s="278"/>
      <c r="K198" s="278"/>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1"/>
      <c r="F199" s="64"/>
      <c r="G199" s="64"/>
      <c r="H199" s="278"/>
      <c r="I199" s="278"/>
      <c r="J199" s="278"/>
      <c r="K199" s="278"/>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1"/>
      <c r="F200" s="64"/>
      <c r="G200" s="64"/>
      <c r="H200" s="278"/>
      <c r="I200" s="278"/>
      <c r="J200" s="278"/>
      <c r="K200" s="278"/>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1"/>
      <c r="F201" s="64"/>
      <c r="G201" s="64"/>
      <c r="H201" s="278"/>
      <c r="I201" s="278"/>
      <c r="J201" s="278"/>
      <c r="K201" s="278"/>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1"/>
      <c r="F202" s="64"/>
      <c r="G202" s="64"/>
      <c r="H202" s="278"/>
      <c r="I202" s="278"/>
      <c r="J202" s="278"/>
      <c r="K202" s="278"/>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1"/>
      <c r="F203" s="64"/>
      <c r="G203" s="64"/>
      <c r="H203" s="278"/>
      <c r="I203" s="278"/>
      <c r="J203" s="278"/>
      <c r="K203" s="278"/>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1"/>
      <c r="F204" s="64"/>
      <c r="G204" s="64"/>
      <c r="H204" s="278"/>
      <c r="I204" s="278"/>
      <c r="J204" s="278"/>
      <c r="K204" s="278"/>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1"/>
      <c r="F205" s="64"/>
      <c r="G205" s="64"/>
      <c r="H205" s="278"/>
      <c r="I205" s="278"/>
      <c r="J205" s="278"/>
      <c r="K205" s="278"/>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1"/>
      <c r="F206" s="64"/>
      <c r="G206" s="64"/>
      <c r="H206" s="278"/>
      <c r="I206" s="278"/>
      <c r="J206" s="278"/>
      <c r="K206" s="278"/>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1"/>
      <c r="F207" s="64"/>
      <c r="G207" s="64"/>
      <c r="H207" s="278"/>
      <c r="I207" s="278"/>
      <c r="J207" s="278"/>
      <c r="K207" s="278"/>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1"/>
      <c r="F208" s="64"/>
      <c r="G208" s="64"/>
      <c r="H208" s="278"/>
      <c r="I208" s="278"/>
      <c r="J208" s="278"/>
      <c r="K208" s="278"/>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1"/>
      <c r="F209" s="64"/>
      <c r="G209" s="64"/>
      <c r="H209" s="278"/>
      <c r="I209" s="278"/>
      <c r="J209" s="278"/>
      <c r="K209" s="278"/>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1"/>
      <c r="F210" s="64"/>
      <c r="G210" s="64"/>
      <c r="H210" s="278"/>
      <c r="I210" s="278"/>
      <c r="J210" s="278"/>
      <c r="K210" s="278"/>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1"/>
      <c r="F211" s="64"/>
      <c r="G211" s="64"/>
      <c r="H211" s="278"/>
      <c r="I211" s="278"/>
      <c r="J211" s="278"/>
      <c r="K211" s="278"/>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1"/>
      <c r="F212" s="64"/>
      <c r="G212" s="64"/>
      <c r="H212" s="278"/>
      <c r="I212" s="278"/>
      <c r="J212" s="278"/>
      <c r="K212" s="278"/>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1"/>
      <c r="F213" s="64"/>
      <c r="G213" s="64"/>
      <c r="H213" s="278"/>
      <c r="I213" s="278"/>
      <c r="J213" s="278"/>
      <c r="K213" s="278"/>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1"/>
      <c r="F214" s="64"/>
      <c r="G214" s="64"/>
      <c r="H214" s="278"/>
      <c r="I214" s="278"/>
      <c r="J214" s="278"/>
      <c r="K214" s="278"/>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1"/>
      <c r="F215" s="64"/>
      <c r="G215" s="64"/>
      <c r="H215" s="278"/>
      <c r="I215" s="278"/>
      <c r="J215" s="278"/>
      <c r="K215" s="278"/>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1"/>
      <c r="F216" s="64"/>
      <c r="G216" s="64"/>
      <c r="H216" s="278"/>
      <c r="I216" s="278"/>
      <c r="J216" s="278"/>
      <c r="K216" s="278"/>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1"/>
      <c r="F217" s="64"/>
      <c r="G217" s="64"/>
      <c r="H217" s="278"/>
      <c r="I217" s="278"/>
      <c r="J217" s="278"/>
      <c r="K217" s="278"/>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1"/>
      <c r="F218" s="64"/>
      <c r="G218" s="64"/>
      <c r="H218" s="278"/>
      <c r="I218" s="278"/>
      <c r="J218" s="278"/>
      <c r="K218" s="278"/>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1"/>
      <c r="F219" s="64"/>
      <c r="G219" s="64"/>
      <c r="H219" s="278"/>
      <c r="I219" s="278"/>
      <c r="J219" s="278"/>
      <c r="K219" s="278"/>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1"/>
      <c r="F220" s="64"/>
      <c r="G220" s="64"/>
      <c r="H220" s="278"/>
      <c r="I220" s="278"/>
      <c r="J220" s="278"/>
      <c r="K220" s="278"/>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1"/>
      <c r="F221" s="64"/>
      <c r="G221" s="64"/>
      <c r="H221" s="278"/>
      <c r="I221" s="278"/>
      <c r="J221" s="278"/>
      <c r="K221" s="278"/>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1"/>
      <c r="F222" s="64"/>
      <c r="G222" s="64"/>
      <c r="H222" s="278"/>
      <c r="I222" s="278"/>
      <c r="J222" s="278"/>
      <c r="K222" s="278"/>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1"/>
      <c r="F223" s="64"/>
      <c r="G223" s="64"/>
      <c r="H223" s="278"/>
      <c r="I223" s="278"/>
      <c r="J223" s="278"/>
      <c r="K223" s="278"/>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1"/>
      <c r="F224" s="64"/>
      <c r="G224" s="64"/>
      <c r="H224" s="278"/>
      <c r="I224" s="278"/>
      <c r="J224" s="278"/>
      <c r="K224" s="278"/>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1"/>
      <c r="F225" s="64"/>
      <c r="G225" s="64"/>
      <c r="H225" s="278"/>
      <c r="I225" s="278"/>
      <c r="J225" s="278"/>
      <c r="K225" s="278"/>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1"/>
      <c r="F226" s="64"/>
      <c r="G226" s="64"/>
      <c r="H226" s="278"/>
      <c r="I226" s="278"/>
      <c r="J226" s="278"/>
      <c r="K226" s="278"/>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1"/>
      <c r="F227" s="64"/>
      <c r="G227" s="64"/>
      <c r="H227" s="278"/>
      <c r="I227" s="278"/>
      <c r="J227" s="278"/>
      <c r="K227" s="278"/>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1"/>
      <c r="F228" s="64"/>
      <c r="G228" s="64"/>
      <c r="H228" s="278"/>
      <c r="I228" s="278"/>
      <c r="J228" s="278"/>
      <c r="K228" s="278"/>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1"/>
      <c r="F229" s="64"/>
      <c r="G229" s="64"/>
      <c r="H229" s="278"/>
      <c r="I229" s="278"/>
      <c r="J229" s="278"/>
      <c r="K229" s="278"/>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1"/>
      <c r="F230" s="64"/>
      <c r="G230" s="64"/>
      <c r="H230" s="278"/>
      <c r="I230" s="278"/>
      <c r="J230" s="278"/>
      <c r="K230" s="278"/>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1"/>
      <c r="F231" s="64"/>
      <c r="G231" s="64"/>
      <c r="H231" s="278"/>
      <c r="I231" s="278"/>
      <c r="J231" s="278"/>
      <c r="K231" s="278"/>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1"/>
      <c r="F232" s="64"/>
      <c r="G232" s="64"/>
      <c r="H232" s="278"/>
      <c r="I232" s="278"/>
      <c r="J232" s="278"/>
      <c r="K232" s="278"/>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1"/>
      <c r="F233" s="64"/>
      <c r="G233" s="64"/>
      <c r="H233" s="278"/>
      <c r="I233" s="278"/>
      <c r="J233" s="278"/>
      <c r="K233" s="278"/>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1"/>
      <c r="F234" s="64"/>
      <c r="G234" s="64"/>
      <c r="H234" s="278"/>
      <c r="I234" s="278"/>
      <c r="J234" s="278"/>
      <c r="K234" s="278"/>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1"/>
      <c r="F235" s="64"/>
      <c r="G235" s="64"/>
      <c r="H235" s="278"/>
      <c r="I235" s="278"/>
      <c r="J235" s="278"/>
      <c r="K235" s="278"/>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1"/>
      <c r="F236" s="64"/>
      <c r="G236" s="64"/>
      <c r="H236" s="278"/>
      <c r="I236" s="278"/>
      <c r="J236" s="278"/>
      <c r="K236" s="278"/>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1"/>
      <c r="F237" s="64"/>
      <c r="G237" s="64"/>
      <c r="H237" s="278"/>
      <c r="I237" s="278"/>
      <c r="J237" s="278"/>
      <c r="K237" s="278"/>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1"/>
      <c r="F238" s="64"/>
      <c r="G238" s="64"/>
      <c r="H238" s="278"/>
      <c r="I238" s="278"/>
      <c r="J238" s="278"/>
      <c r="K238" s="278"/>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1"/>
      <c r="F239" s="64"/>
      <c r="G239" s="64"/>
      <c r="H239" s="278"/>
      <c r="I239" s="278"/>
      <c r="J239" s="278"/>
      <c r="K239" s="278"/>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1"/>
      <c r="F240" s="64"/>
      <c r="G240" s="64"/>
      <c r="H240" s="278"/>
      <c r="I240" s="278"/>
      <c r="J240" s="278"/>
      <c r="K240" s="278"/>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1"/>
      <c r="F241" s="64"/>
      <c r="G241" s="64"/>
      <c r="H241" s="278"/>
      <c r="I241" s="278"/>
      <c r="J241" s="278"/>
      <c r="K241" s="278"/>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1"/>
      <c r="F242" s="64"/>
      <c r="G242" s="64"/>
      <c r="H242" s="278"/>
      <c r="I242" s="278"/>
      <c r="J242" s="278"/>
      <c r="K242" s="278"/>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1"/>
      <c r="F243" s="64"/>
      <c r="G243" s="64"/>
      <c r="H243" s="278"/>
      <c r="I243" s="278"/>
      <c r="J243" s="278"/>
      <c r="K243" s="278"/>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1"/>
      <c r="F244" s="64"/>
      <c r="G244" s="64"/>
      <c r="H244" s="278"/>
      <c r="I244" s="278"/>
      <c r="J244" s="278"/>
      <c r="K244" s="278"/>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1"/>
      <c r="F245" s="64"/>
      <c r="G245" s="64"/>
      <c r="H245" s="278"/>
      <c r="I245" s="278"/>
      <c r="J245" s="278"/>
      <c r="K245" s="278"/>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1"/>
      <c r="F246" s="64"/>
      <c r="G246" s="64"/>
      <c r="H246" s="278"/>
      <c r="I246" s="278"/>
      <c r="J246" s="278"/>
      <c r="K246" s="278"/>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1"/>
      <c r="F247" s="64"/>
      <c r="G247" s="64"/>
      <c r="H247" s="278"/>
      <c r="I247" s="278"/>
      <c r="J247" s="278"/>
      <c r="K247" s="278"/>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1"/>
      <c r="F248" s="64"/>
      <c r="G248" s="64"/>
      <c r="H248" s="278"/>
      <c r="I248" s="278"/>
      <c r="J248" s="278"/>
      <c r="K248" s="278"/>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1"/>
      <c r="F249" s="64"/>
      <c r="G249" s="64"/>
      <c r="H249" s="278"/>
      <c r="I249" s="278"/>
      <c r="J249" s="278"/>
      <c r="K249" s="278"/>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1"/>
      <c r="F250" s="64"/>
      <c r="G250" s="64"/>
      <c r="H250" s="278"/>
      <c r="I250" s="278"/>
      <c r="J250" s="278"/>
      <c r="K250" s="278"/>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1"/>
      <c r="F251" s="64"/>
      <c r="G251" s="64"/>
      <c r="H251" s="278"/>
      <c r="I251" s="278"/>
      <c r="J251" s="278"/>
      <c r="K251" s="278"/>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1"/>
      <c r="F252" s="64"/>
      <c r="G252" s="64"/>
      <c r="H252" s="278"/>
      <c r="I252" s="278"/>
      <c r="J252" s="278"/>
      <c r="K252" s="278"/>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1"/>
      <c r="F253" s="64"/>
      <c r="G253" s="64"/>
      <c r="H253" s="278"/>
      <c r="I253" s="278"/>
      <c r="J253" s="278"/>
      <c r="K253" s="278"/>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1"/>
      <c r="F254" s="64"/>
      <c r="G254" s="64"/>
      <c r="H254" s="278"/>
      <c r="I254" s="278"/>
      <c r="J254" s="278"/>
      <c r="K254" s="278"/>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1"/>
      <c r="F255" s="64"/>
      <c r="G255" s="64"/>
      <c r="H255" s="278"/>
      <c r="I255" s="278"/>
      <c r="J255" s="278"/>
      <c r="K255" s="278"/>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1"/>
      <c r="F256" s="64"/>
      <c r="G256" s="64"/>
      <c r="H256" s="278"/>
      <c r="I256" s="278"/>
      <c r="J256" s="278"/>
      <c r="K256" s="278"/>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1"/>
      <c r="F257" s="64"/>
      <c r="G257" s="64"/>
      <c r="H257" s="278"/>
      <c r="I257" s="278"/>
      <c r="J257" s="278"/>
      <c r="K257" s="278"/>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1"/>
      <c r="F258" s="64"/>
      <c r="G258" s="64"/>
      <c r="H258" s="278"/>
      <c r="I258" s="278"/>
      <c r="J258" s="278"/>
      <c r="K258" s="278"/>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1"/>
      <c r="F259" s="64"/>
      <c r="G259" s="64"/>
      <c r="H259" s="278"/>
      <c r="I259" s="278"/>
      <c r="J259" s="278"/>
      <c r="K259" s="278"/>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1"/>
      <c r="F260" s="64"/>
      <c r="G260" s="64"/>
      <c r="H260" s="278"/>
      <c r="I260" s="278"/>
      <c r="J260" s="278"/>
      <c r="K260" s="278"/>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1"/>
      <c r="F261" s="64"/>
      <c r="G261" s="64"/>
      <c r="H261" s="278"/>
      <c r="I261" s="278"/>
      <c r="J261" s="278"/>
      <c r="K261" s="278"/>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1"/>
      <c r="F262" s="64"/>
      <c r="G262" s="64"/>
      <c r="H262" s="278"/>
      <c r="I262" s="278"/>
      <c r="J262" s="278"/>
      <c r="K262" s="278"/>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1"/>
      <c r="F263" s="64"/>
      <c r="G263" s="64"/>
      <c r="H263" s="278"/>
      <c r="I263" s="278"/>
      <c r="J263" s="278"/>
      <c r="K263" s="278"/>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1"/>
      <c r="F264" s="64"/>
      <c r="G264" s="64"/>
      <c r="H264" s="278"/>
      <c r="I264" s="278"/>
      <c r="J264" s="278"/>
      <c r="K264" s="278"/>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1"/>
      <c r="F265" s="64"/>
      <c r="G265" s="64"/>
      <c r="H265" s="278"/>
      <c r="I265" s="278"/>
      <c r="J265" s="278"/>
      <c r="K265" s="278"/>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1"/>
      <c r="F266" s="64"/>
      <c r="G266" s="64"/>
      <c r="H266" s="278"/>
      <c r="I266" s="278"/>
      <c r="J266" s="278"/>
      <c r="K266" s="278"/>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1"/>
      <c r="F267" s="64"/>
      <c r="G267" s="64"/>
      <c r="H267" s="278"/>
      <c r="I267" s="278"/>
      <c r="J267" s="278"/>
      <c r="K267" s="278"/>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1"/>
      <c r="F268" s="64"/>
      <c r="G268" s="64"/>
      <c r="H268" s="278"/>
      <c r="I268" s="278"/>
      <c r="J268" s="278"/>
      <c r="K268" s="278"/>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1"/>
      <c r="F269" s="64"/>
      <c r="G269" s="64"/>
      <c r="H269" s="278"/>
      <c r="I269" s="278"/>
      <c r="J269" s="278"/>
      <c r="K269" s="278"/>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1"/>
      <c r="F270" s="64"/>
      <c r="G270" s="64"/>
      <c r="H270" s="278"/>
      <c r="I270" s="278"/>
      <c r="J270" s="278"/>
      <c r="K270" s="278"/>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1"/>
      <c r="F271" s="64"/>
      <c r="G271" s="64"/>
      <c r="H271" s="278"/>
      <c r="I271" s="278"/>
      <c r="J271" s="278"/>
      <c r="K271" s="278"/>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1"/>
      <c r="F272" s="64"/>
      <c r="G272" s="64"/>
      <c r="H272" s="278"/>
      <c r="I272" s="278"/>
      <c r="J272" s="278"/>
      <c r="K272" s="278"/>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1"/>
      <c r="F273" s="64"/>
      <c r="G273" s="64"/>
      <c r="H273" s="278"/>
      <c r="I273" s="278"/>
      <c r="J273" s="278"/>
      <c r="K273" s="278"/>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1"/>
      <c r="F274" s="64"/>
      <c r="G274" s="64"/>
      <c r="H274" s="278"/>
      <c r="I274" s="278"/>
      <c r="J274" s="278"/>
      <c r="K274" s="278"/>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1"/>
      <c r="F275" s="64"/>
      <c r="G275" s="64"/>
      <c r="H275" s="278"/>
      <c r="I275" s="278"/>
      <c r="J275" s="278"/>
      <c r="K275" s="278"/>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1"/>
      <c r="F276" s="64"/>
      <c r="G276" s="64"/>
      <c r="H276" s="278"/>
      <c r="I276" s="278"/>
      <c r="J276" s="278"/>
      <c r="K276" s="278"/>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1"/>
      <c r="F277" s="64"/>
      <c r="G277" s="64"/>
      <c r="H277" s="278"/>
      <c r="I277" s="278"/>
      <c r="J277" s="278"/>
      <c r="K277" s="278"/>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1"/>
      <c r="F278" s="64"/>
      <c r="G278" s="64"/>
      <c r="H278" s="278"/>
      <c r="I278" s="278"/>
      <c r="J278" s="278"/>
      <c r="K278" s="278"/>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1"/>
      <c r="F279" s="64"/>
      <c r="G279" s="64"/>
      <c r="H279" s="278"/>
      <c r="I279" s="278"/>
      <c r="J279" s="278"/>
      <c r="K279" s="278"/>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1"/>
      <c r="F280" s="64"/>
      <c r="G280" s="64"/>
      <c r="H280" s="278"/>
      <c r="I280" s="278"/>
      <c r="J280" s="278"/>
      <c r="K280" s="278"/>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1"/>
      <c r="F281" s="64"/>
      <c r="G281" s="64"/>
      <c r="H281" s="278"/>
      <c r="I281" s="278"/>
      <c r="J281" s="278"/>
      <c r="K281" s="278"/>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1"/>
      <c r="F282" s="64"/>
      <c r="G282" s="64"/>
      <c r="H282" s="278"/>
      <c r="I282" s="278"/>
      <c r="J282" s="278"/>
      <c r="K282" s="278"/>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1"/>
      <c r="F283" s="64"/>
      <c r="G283" s="64"/>
      <c r="H283" s="278"/>
      <c r="I283" s="278"/>
      <c r="J283" s="278"/>
      <c r="K283" s="278"/>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1"/>
      <c r="F284" s="64"/>
      <c r="G284" s="64"/>
      <c r="H284" s="278"/>
      <c r="I284" s="278"/>
      <c r="J284" s="278"/>
      <c r="K284" s="278"/>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1"/>
      <c r="F285" s="64"/>
      <c r="G285" s="64"/>
      <c r="H285" s="278"/>
      <c r="I285" s="278"/>
      <c r="J285" s="278"/>
      <c r="K285" s="278"/>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1"/>
      <c r="F286" s="64"/>
      <c r="G286" s="64"/>
      <c r="H286" s="278"/>
      <c r="I286" s="278"/>
      <c r="J286" s="278"/>
      <c r="K286" s="278"/>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1"/>
      <c r="F287" s="64"/>
      <c r="G287" s="64"/>
      <c r="H287" s="278"/>
      <c r="I287" s="278"/>
      <c r="J287" s="278"/>
      <c r="K287" s="278"/>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1"/>
      <c r="F288" s="64"/>
      <c r="G288" s="64"/>
      <c r="H288" s="278"/>
      <c r="I288" s="278"/>
      <c r="J288" s="278"/>
      <c r="K288" s="278"/>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1"/>
      <c r="F289" s="64"/>
      <c r="G289" s="64"/>
      <c r="H289" s="278"/>
      <c r="I289" s="278"/>
      <c r="J289" s="278"/>
      <c r="K289" s="278"/>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1"/>
      <c r="F290" s="64"/>
      <c r="G290" s="64"/>
      <c r="H290" s="278"/>
      <c r="I290" s="278"/>
      <c r="J290" s="278"/>
      <c r="K290" s="278"/>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1"/>
      <c r="F291" s="64"/>
      <c r="G291" s="64"/>
      <c r="H291" s="278"/>
      <c r="I291" s="278"/>
      <c r="J291" s="278"/>
      <c r="K291" s="278"/>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1"/>
      <c r="F292" s="64"/>
      <c r="G292" s="64"/>
      <c r="H292" s="278"/>
      <c r="I292" s="278"/>
      <c r="J292" s="278"/>
      <c r="K292" s="278"/>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1"/>
      <c r="F293" s="64"/>
      <c r="G293" s="64"/>
      <c r="H293" s="278"/>
      <c r="I293" s="278"/>
      <c r="J293" s="278"/>
      <c r="K293" s="278"/>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1"/>
      <c r="F294" s="64"/>
      <c r="G294" s="64"/>
      <c r="H294" s="278"/>
      <c r="I294" s="278"/>
      <c r="J294" s="278"/>
      <c r="K294" s="278"/>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1"/>
      <c r="F295" s="64"/>
      <c r="G295" s="64"/>
      <c r="H295" s="278"/>
      <c r="I295" s="278"/>
      <c r="J295" s="278"/>
      <c r="K295" s="278"/>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1"/>
      <c r="F296" s="64"/>
      <c r="G296" s="64"/>
      <c r="H296" s="278"/>
      <c r="I296" s="278"/>
      <c r="J296" s="278"/>
      <c r="K296" s="278"/>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1"/>
      <c r="F297" s="64"/>
      <c r="G297" s="64"/>
      <c r="H297" s="278"/>
      <c r="I297" s="278"/>
      <c r="J297" s="278"/>
      <c r="K297" s="278"/>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1"/>
      <c r="F298" s="64"/>
      <c r="G298" s="64"/>
      <c r="H298" s="278"/>
      <c r="I298" s="278"/>
      <c r="J298" s="278"/>
      <c r="K298" s="278"/>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1"/>
      <c r="F299" s="64"/>
      <c r="G299" s="64"/>
      <c r="H299" s="278"/>
      <c r="I299" s="278"/>
      <c r="J299" s="278"/>
      <c r="K299" s="278"/>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1"/>
      <c r="F300" s="64"/>
      <c r="G300" s="64"/>
      <c r="H300" s="278"/>
      <c r="I300" s="278"/>
      <c r="J300" s="278"/>
      <c r="K300" s="278"/>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1"/>
      <c r="F301" s="64"/>
      <c r="G301" s="64"/>
      <c r="H301" s="278"/>
      <c r="I301" s="278"/>
      <c r="J301" s="278"/>
      <c r="K301" s="278"/>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1"/>
      <c r="F302" s="64"/>
      <c r="G302" s="64"/>
      <c r="H302" s="278"/>
      <c r="I302" s="278"/>
      <c r="J302" s="278"/>
      <c r="K302" s="278"/>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1"/>
      <c r="F303" s="64"/>
      <c r="G303" s="64"/>
      <c r="H303" s="278"/>
      <c r="I303" s="278"/>
      <c r="J303" s="278"/>
      <c r="K303" s="278"/>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1"/>
      <c r="F304" s="64"/>
      <c r="G304" s="64"/>
      <c r="H304" s="278"/>
      <c r="I304" s="278"/>
      <c r="J304" s="278"/>
      <c r="K304" s="278"/>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1"/>
      <c r="F305" s="64"/>
      <c r="G305" s="64"/>
      <c r="H305" s="278"/>
      <c r="I305" s="278"/>
      <c r="J305" s="278"/>
      <c r="K305" s="278"/>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1"/>
      <c r="F306" s="64"/>
      <c r="G306" s="64"/>
      <c r="H306" s="278"/>
      <c r="I306" s="278"/>
      <c r="J306" s="278"/>
      <c r="K306" s="278"/>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1"/>
      <c r="F307" s="64"/>
      <c r="G307" s="64"/>
      <c r="H307" s="278"/>
      <c r="I307" s="278"/>
      <c r="J307" s="278"/>
      <c r="K307" s="278"/>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1"/>
      <c r="F308" s="64"/>
      <c r="G308" s="64"/>
      <c r="H308" s="278"/>
      <c r="I308" s="278"/>
      <c r="J308" s="278"/>
      <c r="K308" s="278"/>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1"/>
      <c r="F309" s="64"/>
      <c r="G309" s="64"/>
      <c r="H309" s="278"/>
      <c r="I309" s="278"/>
      <c r="J309" s="278"/>
      <c r="K309" s="278"/>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1"/>
      <c r="F310" s="64"/>
      <c r="G310" s="64"/>
      <c r="H310" s="278"/>
      <c r="I310" s="278"/>
      <c r="J310" s="278"/>
      <c r="K310" s="278"/>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1"/>
      <c r="F311" s="64"/>
      <c r="G311" s="64"/>
      <c r="H311" s="278"/>
      <c r="I311" s="278"/>
      <c r="J311" s="278"/>
      <c r="K311" s="278"/>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1"/>
      <c r="F312" s="64"/>
      <c r="G312" s="64"/>
      <c r="H312" s="278"/>
      <c r="I312" s="278"/>
      <c r="J312" s="278"/>
      <c r="K312" s="278"/>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1"/>
      <c r="F313" s="64"/>
      <c r="G313" s="64"/>
      <c r="H313" s="278"/>
      <c r="I313" s="278"/>
      <c r="J313" s="278"/>
      <c r="K313" s="278"/>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1"/>
      <c r="F314" s="64"/>
      <c r="G314" s="64"/>
      <c r="H314" s="278"/>
      <c r="I314" s="278"/>
      <c r="J314" s="278"/>
      <c r="K314" s="278"/>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1"/>
      <c r="F315" s="64"/>
      <c r="G315" s="64"/>
      <c r="H315" s="278"/>
      <c r="I315" s="278"/>
      <c r="J315" s="278"/>
      <c r="K315" s="278"/>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1"/>
      <c r="F316" s="64"/>
      <c r="G316" s="64"/>
      <c r="H316" s="278"/>
      <c r="I316" s="278"/>
      <c r="J316" s="278"/>
      <c r="K316" s="278"/>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1"/>
      <c r="F317" s="64"/>
      <c r="G317" s="64"/>
      <c r="H317" s="278"/>
      <c r="I317" s="278"/>
      <c r="J317" s="278"/>
      <c r="K317" s="278"/>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1"/>
      <c r="F318" s="64"/>
      <c r="G318" s="64"/>
      <c r="H318" s="278"/>
      <c r="I318" s="278"/>
      <c r="J318" s="278"/>
      <c r="K318" s="278"/>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1"/>
      <c r="F319" s="64"/>
      <c r="G319" s="64"/>
      <c r="H319" s="278"/>
      <c r="I319" s="278"/>
      <c r="J319" s="278"/>
      <c r="K319" s="278"/>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1"/>
      <c r="F320" s="64"/>
      <c r="G320" s="64"/>
      <c r="H320" s="278"/>
      <c r="I320" s="278"/>
      <c r="J320" s="278"/>
      <c r="K320" s="278"/>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1"/>
      <c r="F321" s="64"/>
      <c r="G321" s="64"/>
      <c r="H321" s="278"/>
      <c r="I321" s="278"/>
      <c r="J321" s="278"/>
      <c r="K321" s="278"/>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1"/>
      <c r="F322" s="64"/>
      <c r="G322" s="64"/>
      <c r="H322" s="278"/>
      <c r="I322" s="278"/>
      <c r="J322" s="278"/>
      <c r="K322" s="278"/>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1"/>
      <c r="F323" s="64"/>
      <c r="G323" s="64"/>
      <c r="H323" s="278"/>
      <c r="I323" s="278"/>
      <c r="J323" s="278"/>
      <c r="K323" s="278"/>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1"/>
      <c r="F324" s="64"/>
      <c r="G324" s="64"/>
      <c r="H324" s="278"/>
      <c r="I324" s="278"/>
      <c r="J324" s="278"/>
      <c r="K324" s="278"/>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1"/>
      <c r="F325" s="64"/>
      <c r="G325" s="64"/>
      <c r="H325" s="278"/>
      <c r="I325" s="278"/>
      <c r="J325" s="278"/>
      <c r="K325" s="278"/>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1"/>
      <c r="F326" s="64"/>
      <c r="G326" s="64"/>
      <c r="H326" s="278"/>
      <c r="I326" s="278"/>
      <c r="J326" s="278"/>
      <c r="K326" s="278"/>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1"/>
      <c r="F327" s="64"/>
      <c r="G327" s="64"/>
      <c r="H327" s="278"/>
      <c r="I327" s="278"/>
      <c r="J327" s="278"/>
      <c r="K327" s="278"/>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1"/>
      <c r="F328" s="64"/>
      <c r="G328" s="64"/>
      <c r="H328" s="278"/>
      <c r="I328" s="278"/>
      <c r="J328" s="278"/>
      <c r="K328" s="278"/>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1"/>
      <c r="F329" s="64"/>
      <c r="G329" s="64"/>
      <c r="H329" s="278"/>
      <c r="I329" s="278"/>
      <c r="J329" s="278"/>
      <c r="K329" s="278"/>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1"/>
      <c r="F330" s="64"/>
      <c r="G330" s="64"/>
      <c r="H330" s="278"/>
      <c r="I330" s="278"/>
      <c r="J330" s="278"/>
      <c r="K330" s="278"/>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1"/>
      <c r="F331" s="64"/>
      <c r="G331" s="64"/>
      <c r="H331" s="278"/>
      <c r="I331" s="278"/>
      <c r="J331" s="278"/>
      <c r="K331" s="278"/>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1"/>
      <c r="F332" s="64"/>
      <c r="G332" s="64"/>
      <c r="H332" s="278"/>
      <c r="I332" s="278"/>
      <c r="J332" s="278"/>
      <c r="K332" s="278"/>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1"/>
      <c r="F333" s="64"/>
      <c r="G333" s="64"/>
      <c r="H333" s="278"/>
      <c r="I333" s="278"/>
      <c r="J333" s="278"/>
      <c r="K333" s="278"/>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1"/>
      <c r="F334" s="64"/>
      <c r="G334" s="64"/>
      <c r="H334" s="278"/>
      <c r="I334" s="278"/>
      <c r="J334" s="278"/>
      <c r="K334" s="278"/>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1"/>
      <c r="F335" s="64"/>
      <c r="G335" s="64"/>
      <c r="H335" s="278"/>
      <c r="I335" s="278"/>
      <c r="J335" s="278"/>
      <c r="K335" s="278"/>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1"/>
      <c r="F336" s="64"/>
      <c r="G336" s="64"/>
      <c r="H336" s="278"/>
      <c r="I336" s="278"/>
      <c r="J336" s="278"/>
      <c r="K336" s="278"/>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1"/>
      <c r="F337" s="64"/>
      <c r="G337" s="64"/>
      <c r="H337" s="278"/>
      <c r="I337" s="278"/>
      <c r="J337" s="278"/>
      <c r="K337" s="278"/>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1"/>
      <c r="F338" s="64"/>
      <c r="G338" s="64"/>
      <c r="H338" s="278"/>
      <c r="I338" s="278"/>
      <c r="J338" s="278"/>
      <c r="K338" s="278"/>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1"/>
      <c r="F339" s="64"/>
      <c r="G339" s="64"/>
      <c r="H339" s="278"/>
      <c r="I339" s="278"/>
      <c r="J339" s="278"/>
      <c r="K339" s="278"/>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1"/>
      <c r="F340" s="64"/>
      <c r="G340" s="64"/>
      <c r="H340" s="278"/>
      <c r="I340" s="278"/>
      <c r="J340" s="278"/>
      <c r="K340" s="278"/>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1"/>
      <c r="F341" s="64"/>
      <c r="G341" s="64"/>
      <c r="H341" s="278"/>
      <c r="I341" s="278"/>
      <c r="J341" s="278"/>
      <c r="K341" s="278"/>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1"/>
      <c r="F342" s="64"/>
      <c r="G342" s="64"/>
      <c r="H342" s="278"/>
      <c r="I342" s="278"/>
      <c r="J342" s="278"/>
      <c r="K342" s="278"/>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1"/>
      <c r="F343" s="64"/>
      <c r="G343" s="64"/>
      <c r="H343" s="278"/>
      <c r="I343" s="278"/>
      <c r="J343" s="278"/>
      <c r="K343" s="278"/>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1"/>
      <c r="F344" s="64"/>
      <c r="G344" s="64"/>
      <c r="H344" s="278"/>
      <c r="I344" s="278"/>
      <c r="J344" s="278"/>
      <c r="K344" s="278"/>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1"/>
      <c r="F345" s="64"/>
      <c r="G345" s="64"/>
      <c r="H345" s="278"/>
      <c r="I345" s="278"/>
      <c r="J345" s="278"/>
      <c r="K345" s="278"/>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1"/>
      <c r="F346" s="64"/>
      <c r="G346" s="64"/>
      <c r="H346" s="278"/>
      <c r="I346" s="278"/>
      <c r="J346" s="278"/>
      <c r="K346" s="278"/>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1"/>
      <c r="F347" s="64"/>
      <c r="G347" s="64"/>
      <c r="H347" s="278"/>
      <c r="I347" s="278"/>
      <c r="J347" s="278"/>
      <c r="K347" s="278"/>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1"/>
      <c r="F348" s="64"/>
      <c r="G348" s="64"/>
      <c r="H348" s="278"/>
      <c r="I348" s="278"/>
      <c r="J348" s="278"/>
      <c r="K348" s="278"/>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1"/>
      <c r="F349" s="64"/>
      <c r="G349" s="64"/>
      <c r="H349" s="278"/>
      <c r="I349" s="278"/>
      <c r="J349" s="278"/>
      <c r="K349" s="278"/>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1"/>
      <c r="F350" s="64"/>
      <c r="G350" s="64"/>
      <c r="H350" s="278"/>
      <c r="I350" s="278"/>
      <c r="J350" s="278"/>
      <c r="K350" s="278"/>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1"/>
      <c r="F351" s="64"/>
      <c r="G351" s="64"/>
      <c r="H351" s="278"/>
      <c r="I351" s="278"/>
      <c r="J351" s="278"/>
      <c r="K351" s="278"/>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1"/>
      <c r="F352" s="64"/>
      <c r="G352" s="64"/>
      <c r="H352" s="278"/>
      <c r="I352" s="278"/>
      <c r="J352" s="278"/>
      <c r="K352" s="278"/>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1"/>
      <c r="F353" s="64"/>
      <c r="G353" s="64"/>
      <c r="H353" s="278"/>
      <c r="I353" s="278"/>
      <c r="J353" s="278"/>
      <c r="K353" s="278"/>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1"/>
      <c r="F354" s="64"/>
      <c r="G354" s="64"/>
      <c r="H354" s="278"/>
      <c r="I354" s="278"/>
      <c r="J354" s="278"/>
      <c r="K354" s="278"/>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1"/>
      <c r="F355" s="64"/>
      <c r="G355" s="64"/>
      <c r="H355" s="278"/>
      <c r="I355" s="278"/>
      <c r="J355" s="278"/>
      <c r="K355" s="278"/>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1"/>
      <c r="F356" s="64"/>
      <c r="G356" s="64"/>
      <c r="H356" s="278"/>
      <c r="I356" s="278"/>
      <c r="J356" s="278"/>
      <c r="K356" s="278"/>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1"/>
      <c r="F357" s="64"/>
      <c r="G357" s="64"/>
      <c r="H357" s="278"/>
      <c r="I357" s="278"/>
      <c r="J357" s="278"/>
      <c r="K357" s="278"/>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1"/>
      <c r="F358" s="64"/>
      <c r="G358" s="64"/>
      <c r="H358" s="278"/>
      <c r="I358" s="278"/>
      <c r="J358" s="278"/>
      <c r="K358" s="278"/>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1"/>
      <c r="F359" s="64"/>
      <c r="G359" s="64"/>
      <c r="H359" s="278"/>
      <c r="I359" s="278"/>
      <c r="J359" s="278"/>
      <c r="K359" s="278"/>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1"/>
      <c r="F360" s="64"/>
      <c r="G360" s="64"/>
      <c r="H360" s="278"/>
      <c r="I360" s="278"/>
      <c r="J360" s="278"/>
      <c r="K360" s="278"/>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1"/>
      <c r="F361" s="64"/>
      <c r="G361" s="64"/>
      <c r="H361" s="278"/>
      <c r="I361" s="278"/>
      <c r="J361" s="278"/>
      <c r="K361" s="278"/>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1"/>
      <c r="F362" s="64"/>
      <c r="G362" s="64"/>
      <c r="H362" s="278"/>
      <c r="I362" s="278"/>
      <c r="J362" s="278"/>
      <c r="K362" s="278"/>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1"/>
      <c r="F363" s="64"/>
      <c r="G363" s="64"/>
      <c r="H363" s="278"/>
      <c r="I363" s="278"/>
      <c r="J363" s="278"/>
      <c r="K363" s="278"/>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1"/>
      <c r="F364" s="64"/>
      <c r="G364" s="64"/>
      <c r="H364" s="278"/>
      <c r="I364" s="278"/>
      <c r="J364" s="278"/>
      <c r="K364" s="278"/>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1"/>
      <c r="F365" s="64"/>
      <c r="G365" s="64"/>
      <c r="H365" s="278"/>
      <c r="I365" s="278"/>
      <c r="J365" s="278"/>
      <c r="K365" s="278"/>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1"/>
      <c r="F366" s="64"/>
      <c r="G366" s="64"/>
      <c r="H366" s="278"/>
      <c r="I366" s="278"/>
      <c r="J366" s="278"/>
      <c r="K366" s="278"/>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1"/>
      <c r="F367" s="64"/>
      <c r="G367" s="64"/>
      <c r="H367" s="278"/>
      <c r="I367" s="278"/>
      <c r="J367" s="278"/>
      <c r="K367" s="278"/>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1"/>
      <c r="F368" s="64"/>
      <c r="G368" s="64"/>
      <c r="H368" s="278"/>
      <c r="I368" s="278"/>
      <c r="J368" s="278"/>
      <c r="K368" s="278"/>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1"/>
      <c r="F369" s="64"/>
      <c r="G369" s="64"/>
      <c r="H369" s="278"/>
      <c r="I369" s="278"/>
      <c r="J369" s="278"/>
      <c r="K369" s="278"/>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1"/>
      <c r="F370" s="64"/>
      <c r="G370" s="64"/>
      <c r="H370" s="278"/>
      <c r="I370" s="278"/>
      <c r="J370" s="278"/>
      <c r="K370" s="278"/>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1"/>
      <c r="F371" s="64"/>
      <c r="G371" s="64"/>
      <c r="H371" s="278"/>
      <c r="I371" s="278"/>
      <c r="J371" s="278"/>
      <c r="K371" s="278"/>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1"/>
      <c r="F372" s="64"/>
      <c r="G372" s="64"/>
      <c r="H372" s="278"/>
      <c r="I372" s="278"/>
      <c r="J372" s="278"/>
      <c r="K372" s="278"/>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1"/>
      <c r="F373" s="64"/>
      <c r="G373" s="64"/>
      <c r="H373" s="278"/>
      <c r="I373" s="278"/>
      <c r="J373" s="278"/>
      <c r="K373" s="278"/>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1"/>
      <c r="F374" s="64"/>
      <c r="G374" s="64"/>
      <c r="H374" s="278"/>
      <c r="I374" s="278"/>
      <c r="J374" s="278"/>
      <c r="K374" s="278"/>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1"/>
      <c r="F375" s="64"/>
      <c r="G375" s="64"/>
      <c r="H375" s="278"/>
      <c r="I375" s="278"/>
      <c r="J375" s="278"/>
      <c r="K375" s="278"/>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1"/>
      <c r="F376" s="64"/>
      <c r="G376" s="64"/>
      <c r="H376" s="278"/>
      <c r="I376" s="278"/>
      <c r="J376" s="278"/>
      <c r="K376" s="278"/>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1"/>
      <c r="F377" s="64"/>
      <c r="G377" s="64"/>
      <c r="H377" s="278"/>
      <c r="I377" s="278"/>
      <c r="J377" s="278"/>
      <c r="K377" s="278"/>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1"/>
      <c r="F378" s="64"/>
      <c r="G378" s="64"/>
      <c r="H378" s="278"/>
      <c r="I378" s="278"/>
      <c r="J378" s="278"/>
      <c r="K378" s="278"/>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1"/>
      <c r="F379" s="64"/>
      <c r="G379" s="64"/>
      <c r="H379" s="278"/>
      <c r="I379" s="278"/>
      <c r="J379" s="278"/>
      <c r="K379" s="278"/>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1"/>
      <c r="F380" s="64"/>
      <c r="G380" s="64"/>
      <c r="H380" s="278"/>
      <c r="I380" s="278"/>
      <c r="J380" s="278"/>
      <c r="K380" s="278"/>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1"/>
      <c r="F381" s="64"/>
      <c r="G381" s="64"/>
      <c r="H381" s="278"/>
      <c r="I381" s="278"/>
      <c r="J381" s="278"/>
      <c r="K381" s="278"/>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1"/>
      <c r="F382" s="64"/>
      <c r="G382" s="64"/>
      <c r="H382" s="278"/>
      <c r="I382" s="278"/>
      <c r="J382" s="278"/>
      <c r="K382" s="278"/>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1"/>
      <c r="F383" s="64"/>
      <c r="G383" s="64"/>
      <c r="H383" s="278"/>
      <c r="I383" s="278"/>
      <c r="J383" s="278"/>
      <c r="K383" s="278"/>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1"/>
      <c r="F384" s="64"/>
      <c r="G384" s="64"/>
      <c r="H384" s="278"/>
      <c r="I384" s="278"/>
      <c r="J384" s="278"/>
      <c r="K384" s="278"/>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1"/>
      <c r="F385" s="64"/>
      <c r="G385" s="64"/>
      <c r="H385" s="278"/>
      <c r="I385" s="278"/>
      <c r="J385" s="278"/>
      <c r="K385" s="278"/>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1"/>
      <c r="F386" s="64"/>
      <c r="G386" s="64"/>
      <c r="H386" s="278"/>
      <c r="I386" s="278"/>
      <c r="J386" s="278"/>
      <c r="K386" s="278"/>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1"/>
      <c r="F387" s="64"/>
      <c r="G387" s="64"/>
      <c r="H387" s="278"/>
      <c r="I387" s="278"/>
      <c r="J387" s="278"/>
      <c r="K387" s="278"/>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1"/>
      <c r="F388" s="64"/>
      <c r="G388" s="64"/>
      <c r="H388" s="278"/>
      <c r="I388" s="278"/>
      <c r="J388" s="278"/>
      <c r="K388" s="278"/>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1"/>
      <c r="F389" s="64"/>
      <c r="G389" s="64"/>
      <c r="H389" s="278"/>
      <c r="I389" s="278"/>
      <c r="J389" s="278"/>
      <c r="K389" s="278"/>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1"/>
      <c r="F390" s="64"/>
      <c r="G390" s="64"/>
      <c r="H390" s="278"/>
      <c r="I390" s="278"/>
      <c r="J390" s="278"/>
      <c r="K390" s="278"/>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1"/>
      <c r="F391" s="64"/>
      <c r="G391" s="64"/>
      <c r="H391" s="278"/>
      <c r="I391" s="278"/>
      <c r="J391" s="278"/>
      <c r="K391" s="278"/>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1"/>
      <c r="F392" s="64"/>
      <c r="G392" s="64"/>
      <c r="H392" s="278"/>
      <c r="I392" s="278"/>
      <c r="J392" s="278"/>
      <c r="K392" s="278"/>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1"/>
      <c r="F393" s="64"/>
      <c r="G393" s="64"/>
      <c r="H393" s="278"/>
      <c r="I393" s="278"/>
      <c r="J393" s="278"/>
      <c r="K393" s="278"/>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1"/>
      <c r="F394" s="64"/>
      <c r="G394" s="64"/>
      <c r="H394" s="278"/>
      <c r="I394" s="278"/>
      <c r="J394" s="278"/>
      <c r="K394" s="278"/>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1"/>
      <c r="F395" s="64"/>
      <c r="G395" s="64"/>
      <c r="H395" s="278"/>
      <c r="I395" s="278"/>
      <c r="J395" s="278"/>
      <c r="K395" s="278"/>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1"/>
      <c r="F396" s="64"/>
      <c r="G396" s="64"/>
      <c r="H396" s="278"/>
      <c r="I396" s="278"/>
      <c r="J396" s="278"/>
      <c r="K396" s="278"/>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1"/>
      <c r="F397" s="64"/>
      <c r="G397" s="64"/>
      <c r="H397" s="278"/>
      <c r="I397" s="278"/>
      <c r="J397" s="278"/>
      <c r="K397" s="278"/>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1"/>
      <c r="F398" s="64"/>
      <c r="G398" s="64"/>
      <c r="H398" s="278"/>
      <c r="I398" s="278"/>
      <c r="J398" s="278"/>
      <c r="K398" s="278"/>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1"/>
      <c r="F399" s="64"/>
      <c r="G399" s="64"/>
      <c r="H399" s="278"/>
      <c r="I399" s="278"/>
      <c r="J399" s="278"/>
      <c r="K399" s="278"/>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1"/>
      <c r="F400" s="64"/>
      <c r="G400" s="64"/>
      <c r="H400" s="278"/>
      <c r="I400" s="278"/>
      <c r="J400" s="278"/>
      <c r="K400" s="278"/>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1"/>
      <c r="F401" s="64"/>
      <c r="G401" s="64"/>
      <c r="H401" s="278"/>
      <c r="I401" s="278"/>
      <c r="J401" s="278"/>
      <c r="K401" s="278"/>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1"/>
      <c r="F402" s="64"/>
      <c r="G402" s="64"/>
      <c r="H402" s="278"/>
      <c r="I402" s="278"/>
      <c r="J402" s="278"/>
      <c r="K402" s="278"/>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1"/>
      <c r="F403" s="64"/>
      <c r="G403" s="64"/>
      <c r="H403" s="278"/>
      <c r="I403" s="278"/>
      <c r="J403" s="278"/>
      <c r="K403" s="278"/>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1"/>
      <c r="F404" s="64"/>
      <c r="G404" s="64"/>
      <c r="H404" s="278"/>
      <c r="I404" s="278"/>
      <c r="J404" s="278"/>
      <c r="K404" s="278"/>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1"/>
      <c r="F405" s="64"/>
      <c r="G405" s="64"/>
      <c r="H405" s="278"/>
      <c r="I405" s="278"/>
      <c r="J405" s="278"/>
      <c r="K405" s="278"/>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1"/>
      <c r="F406" s="64"/>
      <c r="G406" s="64"/>
      <c r="H406" s="278"/>
      <c r="I406" s="278"/>
      <c r="J406" s="278"/>
      <c r="K406" s="278"/>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1"/>
      <c r="F407" s="64"/>
      <c r="G407" s="64"/>
      <c r="H407" s="278"/>
      <c r="I407" s="278"/>
      <c r="J407" s="278"/>
      <c r="K407" s="278"/>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1"/>
      <c r="F408" s="64"/>
      <c r="G408" s="64"/>
      <c r="H408" s="278"/>
      <c r="I408" s="278"/>
      <c r="J408" s="278"/>
      <c r="K408" s="278"/>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1"/>
      <c r="F409" s="64"/>
      <c r="G409" s="64"/>
      <c r="H409" s="278"/>
      <c r="I409" s="278"/>
      <c r="J409" s="278"/>
      <c r="K409" s="278"/>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1"/>
      <c r="F410" s="64"/>
      <c r="G410" s="64"/>
      <c r="H410" s="278"/>
      <c r="I410" s="278"/>
      <c r="J410" s="278"/>
      <c r="K410" s="278"/>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1"/>
      <c r="F411" s="64"/>
      <c r="G411" s="64"/>
      <c r="H411" s="278"/>
      <c r="I411" s="278"/>
      <c r="J411" s="278"/>
      <c r="K411" s="278"/>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1"/>
      <c r="F412" s="64"/>
      <c r="G412" s="64"/>
      <c r="H412" s="278"/>
      <c r="I412" s="278"/>
      <c r="J412" s="278"/>
      <c r="K412" s="278"/>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1"/>
      <c r="F413" s="64"/>
      <c r="G413" s="64"/>
      <c r="H413" s="278"/>
      <c r="I413" s="278"/>
      <c r="J413" s="278"/>
      <c r="K413" s="278"/>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1"/>
      <c r="F414" s="64"/>
      <c r="G414" s="64"/>
      <c r="H414" s="278"/>
      <c r="I414" s="278"/>
      <c r="J414" s="278"/>
      <c r="K414" s="278"/>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1"/>
      <c r="F415" s="64"/>
      <c r="G415" s="64"/>
      <c r="H415" s="278"/>
      <c r="I415" s="278"/>
      <c r="J415" s="278"/>
      <c r="K415" s="278"/>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1"/>
      <c r="F416" s="64"/>
      <c r="G416" s="64"/>
      <c r="H416" s="278"/>
      <c r="I416" s="278"/>
      <c r="J416" s="278"/>
      <c r="K416" s="278"/>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1"/>
      <c r="F417" s="64"/>
      <c r="G417" s="64"/>
      <c r="H417" s="278"/>
      <c r="I417" s="278"/>
      <c r="J417" s="278"/>
      <c r="K417" s="278"/>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1"/>
      <c r="F418" s="64"/>
      <c r="G418" s="64"/>
      <c r="H418" s="278"/>
      <c r="I418" s="278"/>
      <c r="J418" s="278"/>
      <c r="K418" s="278"/>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1"/>
      <c r="F419" s="64"/>
      <c r="G419" s="64"/>
      <c r="H419" s="278"/>
      <c r="I419" s="278"/>
      <c r="J419" s="278"/>
      <c r="K419" s="278"/>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1"/>
      <c r="F420" s="64"/>
      <c r="G420" s="64"/>
      <c r="H420" s="278"/>
      <c r="I420" s="278"/>
      <c r="J420" s="278"/>
      <c r="K420" s="278"/>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1"/>
      <c r="F421" s="64"/>
      <c r="G421" s="64"/>
      <c r="H421" s="278"/>
      <c r="I421" s="278"/>
      <c r="J421" s="278"/>
      <c r="K421" s="278"/>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1"/>
      <c r="F422" s="64"/>
      <c r="G422" s="64"/>
      <c r="H422" s="278"/>
      <c r="I422" s="278"/>
      <c r="J422" s="278"/>
      <c r="K422" s="278"/>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1"/>
      <c r="F423" s="64"/>
      <c r="G423" s="64"/>
      <c r="H423" s="278"/>
      <c r="I423" s="278"/>
      <c r="J423" s="278"/>
      <c r="K423" s="278"/>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1"/>
      <c r="F424" s="64"/>
      <c r="G424" s="64"/>
      <c r="H424" s="278"/>
      <c r="I424" s="278"/>
      <c r="J424" s="278"/>
      <c r="K424" s="278"/>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1"/>
      <c r="F425" s="64"/>
      <c r="G425" s="64"/>
      <c r="H425" s="278"/>
      <c r="I425" s="278"/>
      <c r="J425" s="278"/>
      <c r="K425" s="278"/>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1"/>
      <c r="F426" s="64"/>
      <c r="G426" s="64"/>
      <c r="H426" s="278"/>
      <c r="I426" s="278"/>
      <c r="J426" s="278"/>
      <c r="K426" s="278"/>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1"/>
      <c r="F427" s="64"/>
      <c r="G427" s="64"/>
      <c r="H427" s="278"/>
      <c r="I427" s="278"/>
      <c r="J427" s="278"/>
      <c r="K427" s="278"/>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1"/>
      <c r="F428" s="64"/>
      <c r="G428" s="64"/>
      <c r="H428" s="278"/>
      <c r="I428" s="278"/>
      <c r="J428" s="278"/>
      <c r="K428" s="278"/>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1"/>
      <c r="F429" s="64"/>
      <c r="G429" s="64"/>
      <c r="H429" s="278"/>
      <c r="I429" s="278"/>
      <c r="J429" s="278"/>
      <c r="K429" s="278"/>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1"/>
      <c r="F430" s="64"/>
      <c r="G430" s="64"/>
      <c r="H430" s="278"/>
      <c r="I430" s="278"/>
      <c r="J430" s="278"/>
      <c r="K430" s="278"/>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1"/>
      <c r="F431" s="64"/>
      <c r="G431" s="64"/>
      <c r="H431" s="278"/>
      <c r="I431" s="278"/>
      <c r="J431" s="278"/>
      <c r="K431" s="278"/>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1"/>
      <c r="F432" s="64"/>
      <c r="G432" s="64"/>
      <c r="H432" s="278"/>
      <c r="I432" s="278"/>
      <c r="J432" s="278"/>
      <c r="K432" s="278"/>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1"/>
      <c r="F433" s="64"/>
      <c r="G433" s="64"/>
      <c r="H433" s="278"/>
      <c r="I433" s="278"/>
      <c r="J433" s="278"/>
      <c r="K433" s="278"/>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1"/>
      <c r="F434" s="64"/>
      <c r="G434" s="64"/>
      <c r="H434" s="278"/>
      <c r="I434" s="278"/>
      <c r="J434" s="278"/>
      <c r="K434" s="278"/>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1"/>
      <c r="F435" s="64"/>
      <c r="G435" s="64"/>
      <c r="H435" s="278"/>
      <c r="I435" s="278"/>
      <c r="J435" s="278"/>
      <c r="K435" s="278"/>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1"/>
      <c r="F436" s="64"/>
      <c r="G436" s="64"/>
      <c r="H436" s="278"/>
      <c r="I436" s="278"/>
      <c r="J436" s="278"/>
      <c r="K436" s="278"/>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1"/>
      <c r="F437" s="64"/>
      <c r="G437" s="64"/>
      <c r="H437" s="278"/>
      <c r="I437" s="278"/>
      <c r="J437" s="278"/>
      <c r="K437" s="278"/>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1"/>
      <c r="F438" s="64"/>
      <c r="G438" s="64"/>
      <c r="H438" s="278"/>
      <c r="I438" s="278"/>
      <c r="J438" s="278"/>
      <c r="K438" s="278"/>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1"/>
      <c r="F439" s="64"/>
      <c r="G439" s="64"/>
      <c r="H439" s="278"/>
      <c r="I439" s="278"/>
      <c r="J439" s="278"/>
      <c r="K439" s="278"/>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1"/>
      <c r="F440" s="64"/>
      <c r="G440" s="64"/>
      <c r="H440" s="278"/>
      <c r="I440" s="278"/>
      <c r="J440" s="278"/>
      <c r="K440" s="278"/>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1"/>
      <c r="F441" s="64"/>
      <c r="G441" s="64"/>
      <c r="H441" s="278"/>
      <c r="I441" s="278"/>
      <c r="J441" s="278"/>
      <c r="K441" s="278"/>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1"/>
      <c r="F442" s="64"/>
      <c r="G442" s="64"/>
      <c r="H442" s="278"/>
      <c r="I442" s="278"/>
      <c r="J442" s="278"/>
      <c r="K442" s="278"/>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1"/>
      <c r="F443" s="64"/>
      <c r="G443" s="64"/>
      <c r="H443" s="278"/>
      <c r="I443" s="278"/>
      <c r="J443" s="278"/>
      <c r="K443" s="278"/>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1"/>
      <c r="F444" s="64"/>
      <c r="G444" s="64"/>
      <c r="H444" s="278"/>
      <c r="I444" s="278"/>
      <c r="J444" s="278"/>
      <c r="K444" s="278"/>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1"/>
      <c r="F445" s="64"/>
      <c r="G445" s="64"/>
      <c r="H445" s="278"/>
      <c r="I445" s="278"/>
      <c r="J445" s="278"/>
      <c r="K445" s="278"/>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1"/>
      <c r="F446" s="64"/>
      <c r="G446" s="64"/>
      <c r="H446" s="278"/>
      <c r="I446" s="278"/>
      <c r="J446" s="278"/>
      <c r="K446" s="278"/>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1"/>
      <c r="F447" s="64"/>
      <c r="G447" s="64"/>
      <c r="H447" s="278"/>
      <c r="I447" s="278"/>
      <c r="J447" s="278"/>
      <c r="K447" s="278"/>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1"/>
      <c r="F448" s="64"/>
      <c r="G448" s="64"/>
      <c r="H448" s="278"/>
      <c r="I448" s="278"/>
      <c r="J448" s="278"/>
      <c r="K448" s="278"/>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1"/>
      <c r="F449" s="64"/>
      <c r="G449" s="64"/>
      <c r="H449" s="278"/>
      <c r="I449" s="278"/>
      <c r="J449" s="278"/>
      <c r="K449" s="278"/>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1"/>
      <c r="F450" s="64"/>
      <c r="G450" s="64"/>
      <c r="H450" s="278"/>
      <c r="I450" s="278"/>
      <c r="J450" s="278"/>
      <c r="K450" s="278"/>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1"/>
      <c r="F451" s="64"/>
      <c r="G451" s="64"/>
      <c r="H451" s="278"/>
      <c r="I451" s="278"/>
      <c r="J451" s="278"/>
      <c r="K451" s="278"/>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1"/>
      <c r="F452" s="64"/>
      <c r="G452" s="64"/>
      <c r="H452" s="278"/>
      <c r="I452" s="278"/>
      <c r="J452" s="278"/>
      <c r="K452" s="278"/>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1"/>
      <c r="F453" s="64"/>
      <c r="G453" s="64"/>
      <c r="H453" s="278"/>
      <c r="I453" s="278"/>
      <c r="J453" s="278"/>
      <c r="K453" s="278"/>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1"/>
      <c r="F454" s="64"/>
      <c r="G454" s="64"/>
      <c r="H454" s="278"/>
      <c r="I454" s="278"/>
      <c r="J454" s="278"/>
      <c r="K454" s="278"/>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1"/>
      <c r="F455" s="64"/>
      <c r="G455" s="64"/>
      <c r="H455" s="278"/>
      <c r="I455" s="278"/>
      <c r="J455" s="278"/>
      <c r="K455" s="278"/>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1"/>
      <c r="F456" s="64"/>
      <c r="G456" s="64"/>
      <c r="H456" s="278"/>
      <c r="I456" s="278"/>
      <c r="J456" s="278"/>
      <c r="K456" s="278"/>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1"/>
      <c r="F457" s="64"/>
      <c r="G457" s="64"/>
      <c r="H457" s="278"/>
      <c r="I457" s="278"/>
      <c r="J457" s="278"/>
      <c r="K457" s="278"/>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1"/>
      <c r="F458" s="64"/>
      <c r="G458" s="64"/>
      <c r="H458" s="278"/>
      <c r="I458" s="278"/>
      <c r="J458" s="278"/>
      <c r="K458" s="278"/>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1"/>
      <c r="F459" s="64"/>
      <c r="G459" s="64"/>
      <c r="H459" s="278"/>
      <c r="I459" s="278"/>
      <c r="J459" s="278"/>
      <c r="K459" s="278"/>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1"/>
      <c r="F460" s="64"/>
      <c r="G460" s="64"/>
      <c r="H460" s="278"/>
      <c r="I460" s="278"/>
      <c r="J460" s="278"/>
      <c r="K460" s="278"/>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1"/>
      <c r="F461" s="64"/>
      <c r="G461" s="64"/>
      <c r="H461" s="278"/>
      <c r="I461" s="278"/>
      <c r="J461" s="278"/>
      <c r="K461" s="278"/>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1"/>
      <c r="F462" s="64"/>
      <c r="G462" s="64"/>
      <c r="H462" s="278"/>
      <c r="I462" s="278"/>
      <c r="J462" s="278"/>
      <c r="K462" s="278"/>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1"/>
      <c r="F463" s="64"/>
      <c r="G463" s="64"/>
      <c r="H463" s="278"/>
      <c r="I463" s="278"/>
      <c r="J463" s="278"/>
      <c r="K463" s="278"/>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1"/>
      <c r="F464" s="64"/>
      <c r="G464" s="64"/>
      <c r="H464" s="278"/>
      <c r="I464" s="278"/>
      <c r="J464" s="278"/>
      <c r="K464" s="278"/>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1"/>
      <c r="F465" s="64"/>
      <c r="G465" s="64"/>
      <c r="H465" s="278"/>
      <c r="I465" s="278"/>
      <c r="J465" s="278"/>
      <c r="K465" s="278"/>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1"/>
      <c r="F466" s="64"/>
      <c r="G466" s="64"/>
      <c r="H466" s="278"/>
      <c r="I466" s="278"/>
      <c r="J466" s="278"/>
      <c r="K466" s="278"/>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1"/>
      <c r="F467" s="64"/>
      <c r="G467" s="64"/>
      <c r="H467" s="278"/>
      <c r="I467" s="278"/>
      <c r="J467" s="278"/>
      <c r="K467" s="278"/>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1"/>
      <c r="F468" s="64"/>
      <c r="G468" s="64"/>
      <c r="H468" s="278"/>
      <c r="I468" s="278"/>
      <c r="J468" s="278"/>
      <c r="K468" s="278"/>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1"/>
      <c r="F469" s="64"/>
      <c r="G469" s="64"/>
      <c r="H469" s="278"/>
      <c r="I469" s="278"/>
      <c r="J469" s="278"/>
      <c r="K469" s="278"/>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1"/>
      <c r="F470" s="64"/>
      <c r="G470" s="64"/>
      <c r="H470" s="278"/>
      <c r="I470" s="278"/>
      <c r="J470" s="278"/>
      <c r="K470" s="278"/>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1"/>
      <c r="F471" s="64"/>
      <c r="G471" s="64"/>
      <c r="H471" s="278"/>
      <c r="I471" s="278"/>
      <c r="J471" s="278"/>
      <c r="K471" s="278"/>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1"/>
      <c r="F472" s="64"/>
      <c r="G472" s="64"/>
      <c r="H472" s="278"/>
      <c r="I472" s="278"/>
      <c r="J472" s="278"/>
      <c r="K472" s="278"/>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1"/>
      <c r="F473" s="64"/>
      <c r="G473" s="64"/>
      <c r="H473" s="278"/>
      <c r="I473" s="278"/>
      <c r="J473" s="278"/>
      <c r="K473" s="278"/>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1"/>
      <c r="F474" s="64"/>
      <c r="G474" s="64"/>
      <c r="H474" s="278"/>
      <c r="I474" s="278"/>
      <c r="J474" s="278"/>
      <c r="K474" s="278"/>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1"/>
      <c r="F475" s="64"/>
      <c r="G475" s="64"/>
      <c r="H475" s="278"/>
      <c r="I475" s="278"/>
      <c r="J475" s="278"/>
      <c r="K475" s="278"/>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1"/>
      <c r="F476" s="64"/>
      <c r="G476" s="64"/>
      <c r="H476" s="278"/>
      <c r="I476" s="278"/>
      <c r="J476" s="278"/>
      <c r="K476" s="278"/>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1"/>
      <c r="F477" s="64"/>
      <c r="G477" s="64"/>
      <c r="H477" s="278"/>
      <c r="I477" s="278"/>
      <c r="J477" s="278"/>
      <c r="K477" s="278"/>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1"/>
      <c r="F478" s="64"/>
      <c r="G478" s="64"/>
      <c r="H478" s="278"/>
      <c r="I478" s="278"/>
      <c r="J478" s="278"/>
      <c r="K478" s="278"/>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1"/>
      <c r="F479" s="64"/>
      <c r="G479" s="64"/>
      <c r="H479" s="278"/>
      <c r="I479" s="278"/>
      <c r="J479" s="278"/>
      <c r="K479" s="278"/>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1"/>
      <c r="F480" s="64"/>
      <c r="G480" s="64"/>
      <c r="H480" s="278"/>
      <c r="I480" s="278"/>
      <c r="J480" s="278"/>
      <c r="K480" s="278"/>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1"/>
      <c r="F481" s="64"/>
      <c r="G481" s="64"/>
      <c r="H481" s="278"/>
      <c r="I481" s="278"/>
      <c r="J481" s="278"/>
      <c r="K481" s="278"/>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1"/>
      <c r="F482" s="64"/>
      <c r="G482" s="64"/>
      <c r="H482" s="278"/>
      <c r="I482" s="278"/>
      <c r="J482" s="278"/>
      <c r="K482" s="278"/>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1"/>
      <c r="F483" s="64"/>
      <c r="G483" s="64"/>
      <c r="H483" s="278"/>
      <c r="I483" s="278"/>
      <c r="J483" s="278"/>
      <c r="K483" s="278"/>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1"/>
      <c r="F484" s="64"/>
      <c r="G484" s="64"/>
      <c r="H484" s="278"/>
      <c r="I484" s="278"/>
      <c r="J484" s="278"/>
      <c r="K484" s="278"/>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1"/>
      <c r="F485" s="64"/>
      <c r="G485" s="64"/>
      <c r="H485" s="278"/>
      <c r="I485" s="278"/>
      <c r="J485" s="278"/>
      <c r="K485" s="278"/>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1"/>
      <c r="F486" s="64"/>
      <c r="G486" s="64"/>
      <c r="H486" s="278"/>
      <c r="I486" s="278"/>
      <c r="J486" s="278"/>
      <c r="K486" s="278"/>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1"/>
      <c r="F487" s="64"/>
      <c r="G487" s="64"/>
      <c r="H487" s="278"/>
      <c r="I487" s="278"/>
      <c r="J487" s="278"/>
      <c r="K487" s="278"/>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1"/>
      <c r="F488" s="64"/>
      <c r="G488" s="64"/>
      <c r="H488" s="278"/>
      <c r="I488" s="278"/>
      <c r="J488" s="278"/>
      <c r="K488" s="278"/>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1"/>
      <c r="F489" s="64"/>
      <c r="G489" s="64"/>
      <c r="H489" s="278"/>
      <c r="I489" s="278"/>
      <c r="J489" s="278"/>
      <c r="K489" s="278"/>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1"/>
      <c r="F490" s="64"/>
      <c r="G490" s="64"/>
      <c r="H490" s="278"/>
      <c r="I490" s="278"/>
      <c r="J490" s="278"/>
      <c r="K490" s="278"/>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1"/>
      <c r="F491" s="64"/>
      <c r="G491" s="64"/>
      <c r="H491" s="278"/>
      <c r="I491" s="278"/>
      <c r="J491" s="278"/>
      <c r="K491" s="278"/>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1"/>
      <c r="F492" s="64"/>
      <c r="G492" s="64"/>
      <c r="H492" s="278"/>
      <c r="I492" s="278"/>
      <c r="J492" s="278"/>
      <c r="K492" s="278"/>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1"/>
      <c r="F493" s="64"/>
      <c r="G493" s="64"/>
      <c r="H493" s="278"/>
      <c r="I493" s="278"/>
      <c r="J493" s="278"/>
      <c r="K493" s="278"/>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1"/>
      <c r="F494" s="64"/>
      <c r="G494" s="64"/>
      <c r="H494" s="278"/>
      <c r="I494" s="278"/>
      <c r="J494" s="278"/>
      <c r="K494" s="278"/>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1"/>
      <c r="F495" s="64"/>
      <c r="G495" s="64"/>
      <c r="H495" s="278"/>
      <c r="I495" s="278"/>
      <c r="J495" s="278"/>
      <c r="K495" s="278"/>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1"/>
      <c r="F496" s="64"/>
      <c r="G496" s="64"/>
      <c r="H496" s="278"/>
      <c r="I496" s="278"/>
      <c r="J496" s="278"/>
      <c r="K496" s="278"/>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1"/>
      <c r="F497" s="64"/>
      <c r="G497" s="64"/>
      <c r="H497" s="278"/>
      <c r="I497" s="278"/>
      <c r="J497" s="278"/>
      <c r="K497" s="278"/>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1"/>
      <c r="F498" s="64"/>
      <c r="G498" s="64"/>
      <c r="H498" s="278"/>
      <c r="I498" s="278"/>
      <c r="J498" s="278"/>
      <c r="K498" s="278"/>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1"/>
      <c r="F499" s="64"/>
      <c r="G499" s="64"/>
      <c r="H499" s="278"/>
      <c r="I499" s="278"/>
      <c r="J499" s="278"/>
      <c r="K499" s="278"/>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1"/>
      <c r="F500" s="64"/>
      <c r="G500" s="64"/>
      <c r="H500" s="278"/>
      <c r="I500" s="278"/>
      <c r="J500" s="278"/>
      <c r="K500" s="278"/>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1"/>
      <c r="F501" s="64"/>
      <c r="G501" s="64"/>
      <c r="H501" s="278"/>
      <c r="I501" s="278"/>
      <c r="J501" s="278"/>
      <c r="K501" s="278"/>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1"/>
      <c r="F502" s="64"/>
      <c r="G502" s="64"/>
      <c r="H502" s="278"/>
      <c r="I502" s="278"/>
      <c r="J502" s="278"/>
      <c r="K502" s="278"/>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1"/>
      <c r="F503" s="64"/>
      <c r="G503" s="64"/>
      <c r="H503" s="278"/>
      <c r="I503" s="278"/>
      <c r="J503" s="278"/>
      <c r="K503" s="278"/>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1"/>
      <c r="F504" s="64"/>
      <c r="G504" s="64"/>
      <c r="H504" s="278"/>
      <c r="I504" s="278"/>
      <c r="J504" s="278"/>
      <c r="K504" s="278"/>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1"/>
      <c r="F505" s="64"/>
      <c r="G505" s="64"/>
      <c r="H505" s="278"/>
      <c r="I505" s="278"/>
      <c r="J505" s="278"/>
      <c r="K505" s="278"/>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1"/>
      <c r="F506" s="64"/>
      <c r="G506" s="64"/>
      <c r="H506" s="278"/>
      <c r="I506" s="278"/>
      <c r="J506" s="278"/>
      <c r="K506" s="278"/>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1"/>
      <c r="F507" s="64"/>
      <c r="G507" s="64"/>
      <c r="H507" s="278"/>
      <c r="I507" s="278"/>
      <c r="J507" s="278"/>
      <c r="K507" s="278"/>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1"/>
      <c r="F508" s="64"/>
      <c r="G508" s="64"/>
      <c r="H508" s="278"/>
      <c r="I508" s="278"/>
      <c r="J508" s="278"/>
      <c r="K508" s="278"/>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1"/>
      <c r="F509" s="64"/>
      <c r="G509" s="64"/>
      <c r="H509" s="278"/>
      <c r="I509" s="278"/>
      <c r="J509" s="278"/>
      <c r="K509" s="278"/>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1"/>
      <c r="F510" s="64"/>
      <c r="G510" s="64"/>
      <c r="H510" s="278"/>
      <c r="I510" s="278"/>
      <c r="J510" s="278"/>
      <c r="K510" s="278"/>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1"/>
      <c r="F511" s="64"/>
      <c r="G511" s="64"/>
      <c r="H511" s="278"/>
      <c r="I511" s="278"/>
      <c r="J511" s="278"/>
      <c r="K511" s="278"/>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1"/>
      <c r="F512" s="64"/>
      <c r="G512" s="64"/>
      <c r="H512" s="278"/>
      <c r="I512" s="278"/>
      <c r="J512" s="278"/>
      <c r="K512" s="278"/>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1"/>
      <c r="F513" s="64"/>
      <c r="G513" s="64"/>
      <c r="H513" s="278"/>
      <c r="I513" s="278"/>
      <c r="J513" s="278"/>
      <c r="K513" s="278"/>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1"/>
      <c r="F514" s="64"/>
      <c r="G514" s="64"/>
      <c r="H514" s="278"/>
      <c r="I514" s="278"/>
      <c r="J514" s="278"/>
      <c r="K514" s="278"/>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1"/>
      <c r="F515" s="64"/>
      <c r="G515" s="64"/>
      <c r="H515" s="278"/>
      <c r="I515" s="278"/>
      <c r="J515" s="278"/>
      <c r="K515" s="278"/>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1"/>
      <c r="F516" s="64"/>
      <c r="G516" s="64"/>
      <c r="H516" s="278"/>
      <c r="I516" s="278"/>
      <c r="J516" s="278"/>
      <c r="K516" s="278"/>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1"/>
      <c r="F517" s="64"/>
      <c r="G517" s="64"/>
      <c r="H517" s="278"/>
      <c r="I517" s="278"/>
      <c r="J517" s="278"/>
      <c r="K517" s="278"/>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1"/>
      <c r="F518" s="64"/>
      <c r="G518" s="64"/>
      <c r="H518" s="278"/>
      <c r="I518" s="278"/>
      <c r="J518" s="278"/>
      <c r="K518" s="278"/>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1"/>
      <c r="F519" s="64"/>
      <c r="G519" s="64"/>
      <c r="H519" s="278"/>
      <c r="I519" s="278"/>
      <c r="J519" s="278"/>
      <c r="K519" s="278"/>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1"/>
      <c r="F520" s="64"/>
      <c r="G520" s="64"/>
      <c r="H520" s="278"/>
      <c r="I520" s="278"/>
      <c r="J520" s="278"/>
      <c r="K520" s="278"/>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1"/>
      <c r="F521" s="64"/>
      <c r="G521" s="64"/>
      <c r="H521" s="278"/>
      <c r="I521" s="278"/>
      <c r="J521" s="278"/>
      <c r="K521" s="278"/>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1"/>
      <c r="F522" s="64"/>
      <c r="G522" s="64"/>
      <c r="H522" s="278"/>
      <c r="I522" s="278"/>
      <c r="J522" s="278"/>
      <c r="K522" s="278"/>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1"/>
      <c r="F523" s="64"/>
      <c r="G523" s="64"/>
      <c r="H523" s="278"/>
      <c r="I523" s="278"/>
      <c r="J523" s="278"/>
      <c r="K523" s="278"/>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1"/>
      <c r="F524" s="64"/>
      <c r="G524" s="64"/>
      <c r="H524" s="278"/>
      <c r="I524" s="278"/>
      <c r="J524" s="278"/>
      <c r="K524" s="278"/>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1"/>
      <c r="F525" s="64"/>
      <c r="G525" s="64"/>
      <c r="H525" s="278"/>
      <c r="I525" s="278"/>
      <c r="J525" s="278"/>
      <c r="K525" s="278"/>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1"/>
      <c r="F526" s="64"/>
      <c r="G526" s="64"/>
      <c r="H526" s="278"/>
      <c r="I526" s="278"/>
      <c r="J526" s="278"/>
      <c r="K526" s="278"/>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1"/>
      <c r="F527" s="64"/>
      <c r="G527" s="64"/>
      <c r="H527" s="278"/>
      <c r="I527" s="278"/>
      <c r="J527" s="278"/>
      <c r="K527" s="278"/>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1"/>
      <c r="F528" s="64"/>
      <c r="G528" s="64"/>
      <c r="H528" s="278"/>
      <c r="I528" s="278"/>
      <c r="J528" s="278"/>
      <c r="K528" s="278"/>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1"/>
      <c r="F529" s="64"/>
      <c r="G529" s="64"/>
      <c r="H529" s="278"/>
      <c r="I529" s="278"/>
      <c r="J529" s="278"/>
      <c r="K529" s="278"/>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1"/>
      <c r="F530" s="64"/>
      <c r="G530" s="64"/>
      <c r="H530" s="278"/>
      <c r="I530" s="278"/>
      <c r="J530" s="278"/>
      <c r="K530" s="278"/>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1"/>
      <c r="F531" s="64"/>
      <c r="G531" s="64"/>
      <c r="H531" s="278"/>
      <c r="I531" s="278"/>
      <c r="J531" s="278"/>
      <c r="K531" s="278"/>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1"/>
      <c r="F532" s="64"/>
      <c r="G532" s="64"/>
      <c r="H532" s="278"/>
      <c r="I532" s="278"/>
      <c r="J532" s="278"/>
      <c r="K532" s="278"/>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1"/>
      <c r="F533" s="64"/>
      <c r="G533" s="64"/>
      <c r="H533" s="278"/>
      <c r="I533" s="278"/>
      <c r="J533" s="278"/>
      <c r="K533" s="278"/>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1"/>
      <c r="F534" s="64"/>
      <c r="G534" s="64"/>
      <c r="H534" s="278"/>
      <c r="I534" s="278"/>
      <c r="J534" s="278"/>
      <c r="K534" s="278"/>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1"/>
      <c r="F535" s="64"/>
      <c r="G535" s="64"/>
      <c r="H535" s="278"/>
      <c r="I535" s="278"/>
      <c r="J535" s="278"/>
      <c r="K535" s="278"/>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1"/>
      <c r="F536" s="64"/>
      <c r="G536" s="64"/>
      <c r="H536" s="278"/>
      <c r="I536" s="278"/>
      <c r="J536" s="278"/>
      <c r="K536" s="278"/>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1"/>
      <c r="F537" s="64"/>
      <c r="G537" s="64"/>
      <c r="H537" s="278"/>
      <c r="I537" s="278"/>
      <c r="J537" s="278"/>
      <c r="K537" s="278"/>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1"/>
      <c r="F538" s="64"/>
      <c r="G538" s="64"/>
      <c r="H538" s="278"/>
      <c r="I538" s="278"/>
      <c r="J538" s="278"/>
      <c r="K538" s="278"/>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1"/>
      <c r="F539" s="64"/>
      <c r="G539" s="64"/>
      <c r="H539" s="278"/>
      <c r="I539" s="278"/>
      <c r="J539" s="278"/>
      <c r="K539" s="278"/>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1"/>
      <c r="F540" s="64"/>
      <c r="G540" s="64"/>
      <c r="H540" s="278"/>
      <c r="I540" s="278"/>
      <c r="J540" s="278"/>
      <c r="K540" s="278"/>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1"/>
      <c r="F541" s="64"/>
      <c r="G541" s="64"/>
      <c r="H541" s="278"/>
      <c r="I541" s="278"/>
      <c r="J541" s="278"/>
      <c r="K541" s="278"/>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1"/>
      <c r="F542" s="64"/>
      <c r="G542" s="64"/>
      <c r="H542" s="278"/>
      <c r="I542" s="278"/>
      <c r="J542" s="278"/>
      <c r="K542" s="278"/>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1"/>
      <c r="F543" s="64"/>
      <c r="G543" s="64"/>
      <c r="H543" s="278"/>
      <c r="I543" s="278"/>
      <c r="J543" s="278"/>
      <c r="K543" s="278"/>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1"/>
      <c r="F544" s="64"/>
      <c r="G544" s="64"/>
      <c r="H544" s="278"/>
      <c r="I544" s="278"/>
      <c r="J544" s="278"/>
      <c r="K544" s="278"/>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1"/>
      <c r="F545" s="64"/>
      <c r="G545" s="64"/>
      <c r="H545" s="278"/>
      <c r="I545" s="278"/>
      <c r="J545" s="278"/>
      <c r="K545" s="278"/>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1"/>
      <c r="F546" s="64"/>
      <c r="G546" s="64"/>
      <c r="H546" s="278"/>
      <c r="I546" s="278"/>
      <c r="J546" s="278"/>
      <c r="K546" s="278"/>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1"/>
      <c r="F547" s="64"/>
      <c r="G547" s="64"/>
      <c r="H547" s="278"/>
      <c r="I547" s="278"/>
      <c r="J547" s="278"/>
      <c r="K547" s="278"/>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1"/>
      <c r="F548" s="64"/>
      <c r="G548" s="64"/>
      <c r="H548" s="278"/>
      <c r="I548" s="278"/>
      <c r="J548" s="278"/>
      <c r="K548" s="278"/>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1"/>
      <c r="F549" s="64"/>
      <c r="G549" s="64"/>
      <c r="H549" s="278"/>
      <c r="I549" s="278"/>
      <c r="J549" s="278"/>
      <c r="K549" s="278"/>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1"/>
      <c r="F550" s="64"/>
      <c r="G550" s="64"/>
      <c r="H550" s="278"/>
      <c r="I550" s="278"/>
      <c r="J550" s="278"/>
      <c r="K550" s="278"/>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1"/>
      <c r="F551" s="64"/>
      <c r="G551" s="64"/>
      <c r="H551" s="278"/>
      <c r="I551" s="278"/>
      <c r="J551" s="278"/>
      <c r="K551" s="278"/>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1"/>
      <c r="F552" s="64"/>
      <c r="G552" s="64"/>
      <c r="H552" s="278"/>
      <c r="I552" s="278"/>
      <c r="J552" s="278"/>
      <c r="K552" s="278"/>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1"/>
      <c r="F553" s="64"/>
      <c r="G553" s="64"/>
      <c r="H553" s="278"/>
      <c r="I553" s="278"/>
      <c r="J553" s="278"/>
      <c r="K553" s="278"/>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1"/>
      <c r="F554" s="64"/>
      <c r="G554" s="64"/>
      <c r="H554" s="278"/>
      <c r="I554" s="278"/>
      <c r="J554" s="278"/>
      <c r="K554" s="278"/>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1"/>
      <c r="F555" s="64"/>
      <c r="G555" s="64"/>
      <c r="H555" s="278"/>
      <c r="I555" s="278"/>
      <c r="J555" s="278"/>
      <c r="K555" s="278"/>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1"/>
      <c r="F556" s="64"/>
      <c r="G556" s="64"/>
      <c r="H556" s="278"/>
      <c r="I556" s="278"/>
      <c r="J556" s="278"/>
      <c r="K556" s="278"/>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1"/>
      <c r="F557" s="64"/>
      <c r="G557" s="64"/>
      <c r="H557" s="278"/>
      <c r="I557" s="278"/>
      <c r="J557" s="278"/>
      <c r="K557" s="278"/>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1"/>
      <c r="F558" s="64"/>
      <c r="G558" s="64"/>
      <c r="H558" s="278"/>
      <c r="I558" s="278"/>
      <c r="J558" s="278"/>
      <c r="K558" s="278"/>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1"/>
      <c r="F559" s="64"/>
      <c r="G559" s="64"/>
      <c r="H559" s="278"/>
      <c r="I559" s="278"/>
      <c r="J559" s="278"/>
      <c r="K559" s="278"/>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1"/>
      <c r="F560" s="64"/>
      <c r="G560" s="64"/>
      <c r="H560" s="278"/>
      <c r="I560" s="278"/>
      <c r="J560" s="278"/>
      <c r="K560" s="278"/>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1"/>
      <c r="F561" s="64"/>
      <c r="G561" s="64"/>
      <c r="H561" s="278"/>
      <c r="I561" s="278"/>
      <c r="J561" s="278"/>
      <c r="K561" s="278"/>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1"/>
      <c r="F562" s="64"/>
      <c r="G562" s="64"/>
      <c r="H562" s="278"/>
      <c r="I562" s="278"/>
      <c r="J562" s="278"/>
      <c r="K562" s="278"/>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1"/>
      <c r="F563" s="64"/>
      <c r="G563" s="64"/>
      <c r="H563" s="278"/>
      <c r="I563" s="278"/>
      <c r="J563" s="278"/>
      <c r="K563" s="278"/>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1"/>
      <c r="F564" s="64"/>
      <c r="G564" s="64"/>
      <c r="H564" s="278"/>
      <c r="I564" s="278"/>
      <c r="J564" s="278"/>
      <c r="K564" s="278"/>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1"/>
      <c r="F565" s="64"/>
      <c r="G565" s="64"/>
      <c r="H565" s="278"/>
      <c r="I565" s="278"/>
      <c r="J565" s="278"/>
      <c r="K565" s="278"/>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1"/>
      <c r="F566" s="64"/>
      <c r="G566" s="64"/>
      <c r="H566" s="278"/>
      <c r="I566" s="278"/>
      <c r="J566" s="278"/>
      <c r="K566" s="278"/>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1"/>
      <c r="F567" s="64"/>
      <c r="G567" s="64"/>
      <c r="H567" s="278"/>
      <c r="I567" s="278"/>
      <c r="J567" s="278"/>
      <c r="K567" s="278"/>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1"/>
      <c r="F568" s="64"/>
      <c r="G568" s="64"/>
      <c r="H568" s="278"/>
      <c r="I568" s="278"/>
      <c r="J568" s="278"/>
      <c r="K568" s="278"/>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1"/>
      <c r="F569" s="64"/>
      <c r="G569" s="64"/>
      <c r="H569" s="278"/>
      <c r="I569" s="278"/>
      <c r="J569" s="278"/>
      <c r="K569" s="278"/>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1"/>
      <c r="F570" s="64"/>
      <c r="G570" s="64"/>
      <c r="H570" s="278"/>
      <c r="I570" s="278"/>
      <c r="J570" s="278"/>
      <c r="K570" s="278"/>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1"/>
      <c r="F571" s="64"/>
      <c r="G571" s="64"/>
      <c r="H571" s="278"/>
      <c r="I571" s="278"/>
      <c r="J571" s="278"/>
      <c r="K571" s="278"/>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1"/>
      <c r="F572" s="64"/>
      <c r="G572" s="64"/>
      <c r="H572" s="278"/>
      <c r="I572" s="278"/>
      <c r="J572" s="278"/>
      <c r="K572" s="278"/>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1"/>
      <c r="F573" s="64"/>
      <c r="G573" s="64"/>
      <c r="H573" s="278"/>
      <c r="I573" s="278"/>
      <c r="J573" s="278"/>
      <c r="K573" s="278"/>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1"/>
      <c r="F574" s="64"/>
      <c r="G574" s="64"/>
      <c r="H574" s="278"/>
      <c r="I574" s="278"/>
      <c r="J574" s="278"/>
      <c r="K574" s="278"/>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1"/>
      <c r="F575" s="64"/>
      <c r="G575" s="64"/>
      <c r="H575" s="278"/>
      <c r="I575" s="278"/>
      <c r="J575" s="278"/>
      <c r="K575" s="278"/>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1"/>
      <c r="F576" s="64"/>
      <c r="G576" s="64"/>
      <c r="H576" s="278"/>
      <c r="I576" s="278"/>
      <c r="J576" s="278"/>
      <c r="K576" s="278"/>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1"/>
      <c r="F577" s="64"/>
      <c r="G577" s="64"/>
      <c r="H577" s="278"/>
      <c r="I577" s="278"/>
      <c r="J577" s="278"/>
      <c r="K577" s="278"/>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1"/>
      <c r="F578" s="64"/>
      <c r="G578" s="64"/>
      <c r="H578" s="278"/>
      <c r="I578" s="278"/>
      <c r="J578" s="278"/>
      <c r="K578" s="278"/>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1"/>
      <c r="F579" s="64"/>
      <c r="G579" s="64"/>
      <c r="H579" s="278"/>
      <c r="I579" s="278"/>
      <c r="J579" s="278"/>
      <c r="K579" s="278"/>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1"/>
      <c r="F580" s="64"/>
      <c r="G580" s="64"/>
      <c r="H580" s="278"/>
      <c r="I580" s="278"/>
      <c r="J580" s="278"/>
      <c r="K580" s="278"/>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1"/>
      <c r="F581" s="64"/>
      <c r="G581" s="64"/>
      <c r="H581" s="278"/>
      <c r="I581" s="278"/>
      <c r="J581" s="278"/>
      <c r="K581" s="278"/>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1"/>
      <c r="F582" s="64"/>
      <c r="G582" s="64"/>
      <c r="H582" s="278"/>
      <c r="I582" s="278"/>
      <c r="J582" s="278"/>
      <c r="K582" s="278"/>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1"/>
      <c r="F583" s="64"/>
      <c r="G583" s="64"/>
      <c r="H583" s="278"/>
      <c r="I583" s="278"/>
      <c r="J583" s="278"/>
      <c r="K583" s="278"/>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1"/>
      <c r="F584" s="64"/>
      <c r="G584" s="64"/>
      <c r="H584" s="278"/>
      <c r="I584" s="278"/>
      <c r="J584" s="278"/>
      <c r="K584" s="278"/>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1"/>
      <c r="F585" s="64"/>
      <c r="G585" s="64"/>
      <c r="H585" s="278"/>
      <c r="I585" s="278"/>
      <c r="J585" s="278"/>
      <c r="K585" s="278"/>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1"/>
      <c r="F586" s="64"/>
      <c r="G586" s="64"/>
      <c r="H586" s="278"/>
      <c r="I586" s="278"/>
      <c r="J586" s="278"/>
      <c r="K586" s="278"/>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1"/>
      <c r="F587" s="64"/>
      <c r="G587" s="64"/>
      <c r="H587" s="278"/>
      <c r="I587" s="278"/>
      <c r="J587" s="278"/>
      <c r="K587" s="278"/>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1"/>
      <c r="F588" s="64"/>
      <c r="G588" s="64"/>
      <c r="H588" s="278"/>
      <c r="I588" s="278"/>
      <c r="J588" s="278"/>
      <c r="K588" s="278"/>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1"/>
      <c r="F589" s="64"/>
      <c r="G589" s="64"/>
      <c r="H589" s="278"/>
      <c r="I589" s="278"/>
      <c r="J589" s="278"/>
      <c r="K589" s="278"/>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1"/>
      <c r="F590" s="64"/>
      <c r="G590" s="64"/>
      <c r="H590" s="278"/>
      <c r="I590" s="278"/>
      <c r="J590" s="278"/>
      <c r="K590" s="278"/>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1"/>
      <c r="F591" s="64"/>
      <c r="G591" s="64"/>
      <c r="H591" s="278"/>
      <c r="I591" s="278"/>
      <c r="J591" s="278"/>
      <c r="K591" s="278"/>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1"/>
      <c r="F592" s="64"/>
      <c r="G592" s="64"/>
      <c r="H592" s="278"/>
      <c r="I592" s="278"/>
      <c r="J592" s="278"/>
      <c r="K592" s="278"/>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1"/>
      <c r="F593" s="64"/>
      <c r="G593" s="64"/>
      <c r="H593" s="278"/>
      <c r="I593" s="278"/>
      <c r="J593" s="278"/>
      <c r="K593" s="278"/>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1"/>
      <c r="F594" s="64"/>
      <c r="G594" s="64"/>
      <c r="H594" s="278"/>
      <c r="I594" s="278"/>
      <c r="J594" s="278"/>
      <c r="K594" s="278"/>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1"/>
      <c r="F595" s="64"/>
      <c r="G595" s="64"/>
      <c r="H595" s="278"/>
      <c r="I595" s="278"/>
      <c r="J595" s="278"/>
      <c r="K595" s="278"/>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1"/>
      <c r="F596" s="64"/>
      <c r="G596" s="64"/>
      <c r="H596" s="278"/>
      <c r="I596" s="278"/>
      <c r="J596" s="278"/>
      <c r="K596" s="278"/>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1"/>
      <c r="F597" s="64"/>
      <c r="G597" s="64"/>
      <c r="H597" s="278"/>
      <c r="I597" s="278"/>
      <c r="J597" s="278"/>
      <c r="K597" s="278"/>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1"/>
      <c r="F598" s="64"/>
      <c r="G598" s="64"/>
      <c r="H598" s="278"/>
      <c r="I598" s="278"/>
      <c r="J598" s="278"/>
      <c r="K598" s="278"/>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1"/>
      <c r="F599" s="64"/>
      <c r="G599" s="64"/>
      <c r="H599" s="278"/>
      <c r="I599" s="278"/>
      <c r="J599" s="278"/>
      <c r="K599" s="278"/>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1"/>
      <c r="F600" s="64"/>
      <c r="G600" s="64"/>
      <c r="H600" s="278"/>
      <c r="I600" s="278"/>
      <c r="J600" s="278"/>
      <c r="K600" s="278"/>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1"/>
      <c r="F601" s="64"/>
      <c r="G601" s="64"/>
      <c r="H601" s="278"/>
      <c r="I601" s="278"/>
      <c r="J601" s="278"/>
      <c r="K601" s="278"/>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1"/>
      <c r="F602" s="64"/>
      <c r="G602" s="64"/>
      <c r="H602" s="278"/>
      <c r="I602" s="278"/>
      <c r="J602" s="278"/>
      <c r="K602" s="278"/>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1"/>
      <c r="F603" s="64"/>
      <c r="G603" s="64"/>
      <c r="H603" s="278"/>
      <c r="I603" s="278"/>
      <c r="J603" s="278"/>
      <c r="K603" s="278"/>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1"/>
      <c r="F604" s="64"/>
      <c r="G604" s="64"/>
      <c r="H604" s="278"/>
      <c r="I604" s="278"/>
      <c r="J604" s="278"/>
      <c r="K604" s="278"/>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1"/>
      <c r="F605" s="64"/>
      <c r="G605" s="64"/>
      <c r="H605" s="278"/>
      <c r="I605" s="278"/>
      <c r="J605" s="278"/>
      <c r="K605" s="278"/>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1"/>
      <c r="F606" s="64"/>
      <c r="G606" s="64"/>
      <c r="H606" s="278"/>
      <c r="I606" s="278"/>
      <c r="J606" s="278"/>
      <c r="K606" s="278"/>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1"/>
      <c r="F607" s="64"/>
      <c r="G607" s="64"/>
      <c r="H607" s="278"/>
      <c r="I607" s="278"/>
      <c r="J607" s="278"/>
      <c r="K607" s="278"/>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1"/>
      <c r="F608" s="64"/>
      <c r="G608" s="64"/>
      <c r="H608" s="278"/>
      <c r="I608" s="278"/>
      <c r="J608" s="278"/>
      <c r="K608" s="278"/>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1"/>
      <c r="F609" s="64"/>
      <c r="G609" s="64"/>
      <c r="H609" s="278"/>
      <c r="I609" s="278"/>
      <c r="J609" s="278"/>
      <c r="K609" s="278"/>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1"/>
      <c r="F610" s="64"/>
      <c r="G610" s="64"/>
      <c r="H610" s="278"/>
      <c r="I610" s="278"/>
      <c r="J610" s="278"/>
      <c r="K610" s="278"/>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1"/>
      <c r="F611" s="64"/>
      <c r="G611" s="64"/>
      <c r="H611" s="278"/>
      <c r="I611" s="278"/>
      <c r="J611" s="278"/>
      <c r="K611" s="278"/>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1"/>
      <c r="F612" s="64"/>
      <c r="G612" s="64"/>
      <c r="H612" s="278"/>
      <c r="I612" s="278"/>
      <c r="J612" s="278"/>
      <c r="K612" s="278"/>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1"/>
      <c r="F613" s="64"/>
      <c r="G613" s="64"/>
      <c r="H613" s="278"/>
      <c r="I613" s="278"/>
      <c r="J613" s="278"/>
      <c r="K613" s="278"/>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1"/>
      <c r="F614" s="64"/>
      <c r="G614" s="64"/>
      <c r="H614" s="278"/>
      <c r="I614" s="278"/>
      <c r="J614" s="278"/>
      <c r="K614" s="278"/>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1"/>
      <c r="F615" s="64"/>
      <c r="G615" s="64"/>
      <c r="H615" s="278"/>
      <c r="I615" s="278"/>
      <c r="J615" s="278"/>
      <c r="K615" s="278"/>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1"/>
      <c r="F616" s="64"/>
      <c r="G616" s="64"/>
      <c r="H616" s="278"/>
      <c r="I616" s="278"/>
      <c r="J616" s="278"/>
      <c r="K616" s="278"/>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1"/>
      <c r="F617" s="64"/>
      <c r="G617" s="64"/>
      <c r="H617" s="278"/>
      <c r="I617" s="278"/>
      <c r="J617" s="278"/>
      <c r="K617" s="278"/>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1"/>
      <c r="F618" s="64"/>
      <c r="G618" s="64"/>
      <c r="H618" s="278"/>
      <c r="I618" s="278"/>
      <c r="J618" s="278"/>
      <c r="K618" s="278"/>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1"/>
      <c r="F619" s="64"/>
      <c r="G619" s="64"/>
      <c r="H619" s="278"/>
      <c r="I619" s="278"/>
      <c r="J619" s="278"/>
      <c r="K619" s="278"/>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1"/>
      <c r="F620" s="64"/>
      <c r="G620" s="64"/>
      <c r="H620" s="278"/>
      <c r="I620" s="278"/>
      <c r="J620" s="278"/>
      <c r="K620" s="278"/>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1"/>
      <c r="F621" s="64"/>
      <c r="G621" s="64"/>
      <c r="H621" s="278"/>
      <c r="I621" s="278"/>
      <c r="J621" s="278"/>
      <c r="K621" s="278"/>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1"/>
      <c r="F622" s="64"/>
      <c r="G622" s="64"/>
      <c r="H622" s="278"/>
      <c r="I622" s="278"/>
      <c r="J622" s="278"/>
      <c r="K622" s="278"/>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1"/>
      <c r="F623" s="64"/>
      <c r="G623" s="64"/>
      <c r="H623" s="278"/>
      <c r="I623" s="278"/>
      <c r="J623" s="278"/>
      <c r="K623" s="278"/>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1"/>
      <c r="F624" s="64"/>
      <c r="G624" s="64"/>
      <c r="H624" s="278"/>
      <c r="I624" s="278"/>
      <c r="J624" s="278"/>
      <c r="K624" s="278"/>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1"/>
      <c r="F625" s="64"/>
      <c r="G625" s="64"/>
      <c r="H625" s="278"/>
      <c r="I625" s="278"/>
      <c r="J625" s="278"/>
      <c r="K625" s="278"/>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1"/>
      <c r="F626" s="64"/>
      <c r="G626" s="64"/>
      <c r="H626" s="278"/>
      <c r="I626" s="278"/>
      <c r="J626" s="278"/>
      <c r="K626" s="278"/>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1"/>
      <c r="F627" s="64"/>
      <c r="G627" s="64"/>
      <c r="H627" s="278"/>
      <c r="I627" s="278"/>
      <c r="J627" s="278"/>
      <c r="K627" s="278"/>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1"/>
      <c r="F628" s="64"/>
      <c r="G628" s="64"/>
      <c r="H628" s="278"/>
      <c r="I628" s="278"/>
      <c r="J628" s="278"/>
      <c r="K628" s="278"/>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1"/>
      <c r="F629" s="64"/>
      <c r="G629" s="64"/>
      <c r="H629" s="278"/>
      <c r="I629" s="278"/>
      <c r="J629" s="278"/>
      <c r="K629" s="278"/>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1"/>
      <c r="F630" s="64"/>
      <c r="G630" s="64"/>
      <c r="H630" s="278"/>
      <c r="I630" s="278"/>
      <c r="J630" s="278"/>
      <c r="K630" s="278"/>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1"/>
      <c r="F631" s="64"/>
      <c r="G631" s="64"/>
      <c r="H631" s="278"/>
      <c r="I631" s="278"/>
      <c r="J631" s="278"/>
      <c r="K631" s="278"/>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1"/>
      <c r="F632" s="64"/>
      <c r="G632" s="64"/>
      <c r="H632" s="278"/>
      <c r="I632" s="278"/>
      <c r="J632" s="278"/>
      <c r="K632" s="278"/>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1"/>
      <c r="F633" s="64"/>
      <c r="G633" s="64"/>
      <c r="H633" s="278"/>
      <c r="I633" s="278"/>
      <c r="J633" s="278"/>
      <c r="K633" s="278"/>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1"/>
      <c r="F634" s="64"/>
      <c r="G634" s="64"/>
      <c r="H634" s="278"/>
      <c r="I634" s="278"/>
      <c r="J634" s="278"/>
      <c r="K634" s="278"/>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1"/>
      <c r="F635" s="64"/>
      <c r="G635" s="64"/>
      <c r="H635" s="278"/>
      <c r="I635" s="278"/>
      <c r="J635" s="278"/>
      <c r="K635" s="278"/>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1"/>
      <c r="F636" s="64"/>
      <c r="G636" s="64"/>
      <c r="H636" s="278"/>
      <c r="I636" s="278"/>
      <c r="J636" s="278"/>
      <c r="K636" s="278"/>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1"/>
      <c r="F637" s="64"/>
      <c r="G637" s="64"/>
      <c r="H637" s="278"/>
      <c r="I637" s="278"/>
      <c r="J637" s="278"/>
      <c r="K637" s="278"/>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1"/>
      <c r="F638" s="64"/>
      <c r="G638" s="64"/>
      <c r="H638" s="278"/>
      <c r="I638" s="278"/>
      <c r="J638" s="278"/>
      <c r="K638" s="278"/>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1"/>
      <c r="F639" s="64"/>
      <c r="G639" s="64"/>
      <c r="H639" s="278"/>
      <c r="I639" s="278"/>
      <c r="J639" s="278"/>
      <c r="K639" s="278"/>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1"/>
      <c r="F640" s="64"/>
      <c r="G640" s="64"/>
      <c r="H640" s="278"/>
      <c r="I640" s="278"/>
      <c r="J640" s="278"/>
      <c r="K640" s="278"/>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1"/>
      <c r="F641" s="64"/>
      <c r="G641" s="64"/>
      <c r="H641" s="278"/>
      <c r="I641" s="278"/>
      <c r="J641" s="278"/>
      <c r="K641" s="278"/>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1"/>
      <c r="F642" s="64"/>
      <c r="G642" s="64"/>
      <c r="H642" s="278"/>
      <c r="I642" s="278"/>
      <c r="J642" s="278"/>
      <c r="K642" s="278"/>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1"/>
      <c r="F643" s="64"/>
      <c r="G643" s="64"/>
      <c r="H643" s="278"/>
      <c r="I643" s="278"/>
      <c r="J643" s="278"/>
      <c r="K643" s="278"/>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1"/>
      <c r="F644" s="64"/>
      <c r="G644" s="64"/>
      <c r="H644" s="278"/>
      <c r="I644" s="278"/>
      <c r="J644" s="278"/>
      <c r="K644" s="278"/>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1"/>
      <c r="F645" s="64"/>
      <c r="G645" s="64"/>
      <c r="H645" s="278"/>
      <c r="I645" s="278"/>
      <c r="J645" s="278"/>
      <c r="K645" s="278"/>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1"/>
      <c r="F646" s="64"/>
      <c r="G646" s="64"/>
      <c r="H646" s="278"/>
      <c r="I646" s="278"/>
      <c r="J646" s="278"/>
      <c r="K646" s="278"/>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1"/>
      <c r="F647" s="64"/>
      <c r="G647" s="64"/>
      <c r="H647" s="278"/>
      <c r="I647" s="278"/>
      <c r="J647" s="278"/>
      <c r="K647" s="278"/>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1"/>
      <c r="F648" s="64"/>
      <c r="G648" s="64"/>
      <c r="H648" s="278"/>
      <c r="I648" s="278"/>
      <c r="J648" s="278"/>
      <c r="K648" s="278"/>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1"/>
      <c r="F649" s="64"/>
      <c r="G649" s="64"/>
      <c r="H649" s="278"/>
      <c r="I649" s="278"/>
      <c r="J649" s="278"/>
      <c r="K649" s="278"/>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1"/>
      <c r="F650" s="64"/>
      <c r="G650" s="64"/>
      <c r="H650" s="278"/>
      <c r="I650" s="278"/>
      <c r="J650" s="278"/>
      <c r="K650" s="278"/>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1"/>
      <c r="F651" s="64"/>
      <c r="G651" s="64"/>
      <c r="H651" s="278"/>
      <c r="I651" s="278"/>
      <c r="J651" s="278"/>
      <c r="K651" s="278"/>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1"/>
      <c r="F652" s="64"/>
      <c r="G652" s="64"/>
      <c r="H652" s="278"/>
      <c r="I652" s="278"/>
      <c r="J652" s="278"/>
      <c r="K652" s="278"/>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1"/>
      <c r="F653" s="64"/>
      <c r="G653" s="64"/>
      <c r="H653" s="278"/>
      <c r="I653" s="278"/>
      <c r="J653" s="278"/>
      <c r="K653" s="278"/>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1"/>
      <c r="F654" s="64"/>
      <c r="G654" s="64"/>
      <c r="H654" s="278"/>
      <c r="I654" s="278"/>
      <c r="J654" s="278"/>
      <c r="K654" s="278"/>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1"/>
      <c r="F655" s="64"/>
      <c r="G655" s="64"/>
      <c r="H655" s="278"/>
      <c r="I655" s="278"/>
      <c r="J655" s="278"/>
      <c r="K655" s="278"/>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1"/>
      <c r="F656" s="64"/>
      <c r="G656" s="64"/>
      <c r="H656" s="278"/>
      <c r="I656" s="278"/>
      <c r="J656" s="278"/>
      <c r="K656" s="278"/>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1"/>
      <c r="F657" s="64"/>
      <c r="G657" s="64"/>
      <c r="H657" s="278"/>
      <c r="I657" s="278"/>
      <c r="J657" s="278"/>
      <c r="K657" s="278"/>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1"/>
      <c r="F658" s="64"/>
      <c r="G658" s="64"/>
      <c r="H658" s="278"/>
      <c r="I658" s="278"/>
      <c r="J658" s="278"/>
      <c r="K658" s="278"/>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1"/>
      <c r="F659" s="64"/>
      <c r="G659" s="64"/>
      <c r="H659" s="278"/>
      <c r="I659" s="278"/>
      <c r="J659" s="278"/>
      <c r="K659" s="278"/>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1"/>
      <c r="F660" s="64"/>
      <c r="G660" s="64"/>
      <c r="H660" s="278"/>
      <c r="I660" s="278"/>
      <c r="J660" s="278"/>
      <c r="K660" s="278"/>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1"/>
      <c r="F661" s="64"/>
      <c r="G661" s="64"/>
      <c r="H661" s="278"/>
      <c r="I661" s="278"/>
      <c r="J661" s="278"/>
      <c r="K661" s="278"/>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1"/>
      <c r="F662" s="64"/>
      <c r="G662" s="64"/>
      <c r="H662" s="278"/>
      <c r="I662" s="278"/>
      <c r="J662" s="278"/>
      <c r="K662" s="278"/>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1"/>
      <c r="F663" s="64"/>
      <c r="G663" s="64"/>
      <c r="H663" s="278"/>
      <c r="I663" s="278"/>
      <c r="J663" s="278"/>
      <c r="K663" s="278"/>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1"/>
      <c r="F664" s="64"/>
      <c r="G664" s="64"/>
      <c r="H664" s="278"/>
      <c r="I664" s="278"/>
      <c r="J664" s="278"/>
      <c r="K664" s="278"/>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1"/>
      <c r="F665" s="64"/>
      <c r="G665" s="64"/>
      <c r="H665" s="278"/>
      <c r="I665" s="278"/>
      <c r="J665" s="278"/>
      <c r="K665" s="278"/>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1"/>
      <c r="F666" s="64"/>
      <c r="G666" s="64"/>
      <c r="H666" s="278"/>
      <c r="I666" s="278"/>
      <c r="J666" s="278"/>
      <c r="K666" s="278"/>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1"/>
      <c r="F667" s="64"/>
      <c r="G667" s="64"/>
      <c r="H667" s="278"/>
      <c r="I667" s="278"/>
      <c r="J667" s="278"/>
      <c r="K667" s="278"/>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1"/>
      <c r="F668" s="64"/>
      <c r="G668" s="64"/>
      <c r="H668" s="278"/>
      <c r="I668" s="278"/>
      <c r="J668" s="278"/>
      <c r="K668" s="278"/>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1"/>
      <c r="F669" s="64"/>
      <c r="G669" s="64"/>
      <c r="H669" s="278"/>
      <c r="I669" s="278"/>
      <c r="J669" s="278"/>
      <c r="K669" s="278"/>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1"/>
      <c r="F670" s="64"/>
      <c r="G670" s="64"/>
      <c r="H670" s="278"/>
      <c r="I670" s="278"/>
      <c r="J670" s="278"/>
      <c r="K670" s="278"/>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1"/>
      <c r="F671" s="64"/>
      <c r="G671" s="64"/>
      <c r="H671" s="278"/>
      <c r="I671" s="278"/>
      <c r="J671" s="278"/>
      <c r="K671" s="278"/>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1"/>
      <c r="F672" s="64"/>
      <c r="G672" s="64"/>
      <c r="H672" s="278"/>
      <c r="I672" s="278"/>
      <c r="J672" s="278"/>
      <c r="K672" s="278"/>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1"/>
      <c r="F673" s="64"/>
      <c r="G673" s="64"/>
      <c r="H673" s="278"/>
      <c r="I673" s="278"/>
      <c r="J673" s="278"/>
      <c r="K673" s="278"/>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1"/>
      <c r="F674" s="64"/>
      <c r="G674" s="64"/>
      <c r="H674" s="278"/>
      <c r="I674" s="278"/>
      <c r="J674" s="278"/>
      <c r="K674" s="278"/>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1"/>
      <c r="F675" s="64"/>
      <c r="G675" s="64"/>
      <c r="H675" s="278"/>
      <c r="I675" s="278"/>
      <c r="J675" s="278"/>
      <c r="K675" s="278"/>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1"/>
      <c r="F676" s="64"/>
      <c r="G676" s="64"/>
      <c r="H676" s="278"/>
      <c r="I676" s="278"/>
      <c r="J676" s="278"/>
      <c r="K676" s="278"/>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1"/>
      <c r="F677" s="64"/>
      <c r="G677" s="64"/>
      <c r="H677" s="278"/>
      <c r="I677" s="278"/>
      <c r="J677" s="278"/>
      <c r="K677" s="278"/>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1"/>
      <c r="F678" s="64"/>
      <c r="G678" s="64"/>
      <c r="H678" s="278"/>
      <c r="I678" s="278"/>
      <c r="J678" s="278"/>
      <c r="K678" s="278"/>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1"/>
      <c r="F679" s="64"/>
      <c r="G679" s="64"/>
      <c r="H679" s="278"/>
      <c r="I679" s="278"/>
      <c r="J679" s="278"/>
      <c r="K679" s="278"/>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1"/>
      <c r="F680" s="64"/>
      <c r="G680" s="64"/>
      <c r="H680" s="278"/>
      <c r="I680" s="278"/>
      <c r="J680" s="278"/>
      <c r="K680" s="278"/>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1"/>
      <c r="F681" s="64"/>
      <c r="G681" s="64"/>
      <c r="H681" s="278"/>
      <c r="I681" s="278"/>
      <c r="J681" s="278"/>
      <c r="K681" s="278"/>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1"/>
      <c r="F682" s="64"/>
      <c r="G682" s="64"/>
      <c r="H682" s="278"/>
      <c r="I682" s="278"/>
      <c r="J682" s="278"/>
      <c r="K682" s="278"/>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1"/>
      <c r="F683" s="64"/>
      <c r="G683" s="64"/>
      <c r="H683" s="278"/>
      <c r="I683" s="278"/>
      <c r="J683" s="278"/>
      <c r="K683" s="278"/>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1"/>
      <c r="F684" s="64"/>
      <c r="G684" s="64"/>
      <c r="H684" s="278"/>
      <c r="I684" s="278"/>
      <c r="J684" s="278"/>
      <c r="K684" s="278"/>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1"/>
      <c r="F685" s="64"/>
      <c r="G685" s="64"/>
      <c r="H685" s="278"/>
      <c r="I685" s="278"/>
      <c r="J685" s="278"/>
      <c r="K685" s="278"/>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1"/>
      <c r="F686" s="64"/>
      <c r="G686" s="64"/>
      <c r="H686" s="278"/>
      <c r="I686" s="278"/>
      <c r="J686" s="278"/>
      <c r="K686" s="278"/>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1"/>
      <c r="F687" s="64"/>
      <c r="G687" s="64"/>
      <c r="H687" s="278"/>
      <c r="I687" s="278"/>
      <c r="J687" s="278"/>
      <c r="K687" s="278"/>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1"/>
      <c r="F688" s="64"/>
      <c r="G688" s="64"/>
      <c r="H688" s="278"/>
      <c r="I688" s="278"/>
      <c r="J688" s="278"/>
      <c r="K688" s="278"/>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1"/>
      <c r="F689" s="64"/>
      <c r="G689" s="64"/>
      <c r="H689" s="278"/>
      <c r="I689" s="278"/>
      <c r="J689" s="278"/>
      <c r="K689" s="278"/>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1"/>
      <c r="F690" s="64"/>
      <c r="G690" s="64"/>
      <c r="H690" s="278"/>
      <c r="I690" s="278"/>
      <c r="J690" s="278"/>
      <c r="K690" s="278"/>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1"/>
      <c r="F691" s="64"/>
      <c r="G691" s="64"/>
      <c r="H691" s="278"/>
      <c r="I691" s="278"/>
      <c r="J691" s="278"/>
      <c r="K691" s="278"/>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1"/>
      <c r="F692" s="64"/>
      <c r="G692" s="64"/>
      <c r="H692" s="278"/>
      <c r="I692" s="278"/>
      <c r="J692" s="278"/>
      <c r="K692" s="278"/>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1"/>
      <c r="F693" s="64"/>
      <c r="G693" s="64"/>
      <c r="H693" s="278"/>
      <c r="I693" s="278"/>
      <c r="J693" s="278"/>
      <c r="K693" s="278"/>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1"/>
      <c r="F694" s="64"/>
      <c r="G694" s="64"/>
      <c r="H694" s="278"/>
      <c r="I694" s="278"/>
      <c r="J694" s="278"/>
      <c r="K694" s="278"/>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1"/>
      <c r="F695" s="64"/>
      <c r="G695" s="64"/>
      <c r="H695" s="278"/>
      <c r="I695" s="278"/>
      <c r="J695" s="278"/>
      <c r="K695" s="278"/>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1"/>
      <c r="F696" s="64"/>
      <c r="G696" s="64"/>
      <c r="H696" s="278"/>
      <c r="I696" s="278"/>
      <c r="J696" s="278"/>
      <c r="K696" s="278"/>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1"/>
      <c r="F697" s="64"/>
      <c r="G697" s="64"/>
      <c r="H697" s="278"/>
      <c r="I697" s="278"/>
      <c r="J697" s="278"/>
      <c r="K697" s="278"/>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1"/>
      <c r="F698" s="64"/>
      <c r="G698" s="64"/>
      <c r="H698" s="278"/>
      <c r="I698" s="278"/>
      <c r="J698" s="278"/>
      <c r="K698" s="278"/>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1"/>
      <c r="F699" s="64"/>
      <c r="G699" s="64"/>
      <c r="H699" s="278"/>
      <c r="I699" s="278"/>
      <c r="J699" s="278"/>
      <c r="K699" s="278"/>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1"/>
      <c r="F700" s="64"/>
      <c r="G700" s="64"/>
      <c r="H700" s="278"/>
      <c r="I700" s="278"/>
      <c r="J700" s="278"/>
      <c r="K700" s="278"/>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1"/>
      <c r="F701" s="64"/>
      <c r="G701" s="64"/>
      <c r="H701" s="278"/>
      <c r="I701" s="278"/>
      <c r="J701" s="278"/>
      <c r="K701" s="278"/>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1"/>
      <c r="F702" s="64"/>
      <c r="G702" s="64"/>
      <c r="H702" s="278"/>
      <c r="I702" s="278"/>
      <c r="J702" s="278"/>
      <c r="K702" s="278"/>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1"/>
      <c r="F703" s="64"/>
      <c r="G703" s="64"/>
      <c r="H703" s="278"/>
      <c r="I703" s="278"/>
      <c r="J703" s="278"/>
      <c r="K703" s="278"/>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1"/>
      <c r="F704" s="64"/>
      <c r="G704" s="64"/>
      <c r="H704" s="278"/>
      <c r="I704" s="278"/>
      <c r="J704" s="278"/>
      <c r="K704" s="278"/>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1"/>
      <c r="F705" s="64"/>
      <c r="G705" s="64"/>
      <c r="H705" s="278"/>
      <c r="I705" s="278"/>
      <c r="J705" s="278"/>
      <c r="K705" s="278"/>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1"/>
      <c r="F706" s="64"/>
      <c r="G706" s="64"/>
      <c r="H706" s="278"/>
      <c r="I706" s="278"/>
      <c r="J706" s="278"/>
      <c r="K706" s="278"/>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1"/>
      <c r="F707" s="64"/>
      <c r="G707" s="64"/>
      <c r="H707" s="278"/>
      <c r="I707" s="278"/>
      <c r="J707" s="278"/>
      <c r="K707" s="278"/>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1"/>
      <c r="F708" s="64"/>
      <c r="G708" s="64"/>
      <c r="H708" s="278"/>
      <c r="I708" s="278"/>
      <c r="J708" s="278"/>
      <c r="K708" s="278"/>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1"/>
      <c r="F709" s="64"/>
      <c r="G709" s="64"/>
      <c r="H709" s="278"/>
      <c r="I709" s="278"/>
      <c r="J709" s="278"/>
      <c r="K709" s="278"/>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1"/>
      <c r="F710" s="64"/>
      <c r="G710" s="64"/>
      <c r="H710" s="278"/>
      <c r="I710" s="278"/>
      <c r="J710" s="278"/>
      <c r="K710" s="278"/>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1"/>
      <c r="F711" s="64"/>
      <c r="G711" s="64"/>
      <c r="H711" s="278"/>
      <c r="I711" s="278"/>
      <c r="J711" s="278"/>
      <c r="K711" s="278"/>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1"/>
      <c r="F712" s="64"/>
      <c r="G712" s="64"/>
      <c r="H712" s="278"/>
      <c r="I712" s="278"/>
      <c r="J712" s="278"/>
      <c r="K712" s="278"/>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1"/>
      <c r="F713" s="64"/>
      <c r="G713" s="64"/>
      <c r="H713" s="278"/>
      <c r="I713" s="278"/>
      <c r="J713" s="278"/>
      <c r="K713" s="278"/>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1"/>
      <c r="F714" s="64"/>
      <c r="G714" s="64"/>
      <c r="H714" s="278"/>
      <c r="I714" s="278"/>
      <c r="J714" s="278"/>
      <c r="K714" s="278"/>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1"/>
      <c r="F715" s="64"/>
      <c r="G715" s="64"/>
      <c r="H715" s="278"/>
      <c r="I715" s="278"/>
      <c r="J715" s="278"/>
      <c r="K715" s="278"/>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1"/>
      <c r="F716" s="64"/>
      <c r="G716" s="64"/>
      <c r="H716" s="278"/>
      <c r="I716" s="278"/>
      <c r="J716" s="278"/>
      <c r="K716" s="278"/>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1"/>
      <c r="F717" s="64"/>
      <c r="G717" s="64"/>
      <c r="H717" s="278"/>
      <c r="I717" s="278"/>
      <c r="J717" s="278"/>
      <c r="K717" s="278"/>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1"/>
      <c r="F718" s="64"/>
      <c r="G718" s="64"/>
      <c r="H718" s="278"/>
      <c r="I718" s="278"/>
      <c r="J718" s="278"/>
      <c r="K718" s="278"/>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1"/>
      <c r="F719" s="64"/>
      <c r="G719" s="64"/>
      <c r="H719" s="278"/>
      <c r="I719" s="278"/>
      <c r="J719" s="278"/>
      <c r="K719" s="278"/>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1"/>
      <c r="F720" s="64"/>
      <c r="G720" s="64"/>
      <c r="H720" s="278"/>
      <c r="I720" s="278"/>
      <c r="J720" s="278"/>
      <c r="K720" s="278"/>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1"/>
      <c r="F721" s="64"/>
      <c r="G721" s="64"/>
      <c r="H721" s="278"/>
      <c r="I721" s="278"/>
      <c r="J721" s="278"/>
      <c r="K721" s="278"/>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1"/>
      <c r="F722" s="64"/>
      <c r="G722" s="64"/>
      <c r="H722" s="278"/>
      <c r="I722" s="278"/>
      <c r="J722" s="278"/>
      <c r="K722" s="278"/>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1"/>
      <c r="F723" s="64"/>
      <c r="G723" s="64"/>
      <c r="H723" s="278"/>
      <c r="I723" s="278"/>
      <c r="J723" s="278"/>
      <c r="K723" s="278"/>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1"/>
      <c r="F724" s="64"/>
      <c r="G724" s="64"/>
      <c r="H724" s="278"/>
      <c r="I724" s="278"/>
      <c r="J724" s="278"/>
      <c r="K724" s="278"/>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1"/>
      <c r="F725" s="64"/>
      <c r="G725" s="64"/>
      <c r="H725" s="278"/>
      <c r="I725" s="278"/>
      <c r="J725" s="278"/>
      <c r="K725" s="278"/>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1"/>
      <c r="F726" s="64"/>
      <c r="G726" s="64"/>
      <c r="H726" s="278"/>
      <c r="I726" s="278"/>
      <c r="J726" s="278"/>
      <c r="K726" s="278"/>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1"/>
      <c r="F727" s="64"/>
      <c r="G727" s="64"/>
      <c r="H727" s="278"/>
      <c r="I727" s="278"/>
      <c r="J727" s="278"/>
      <c r="K727" s="278"/>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1"/>
      <c r="F728" s="64"/>
      <c r="G728" s="64"/>
      <c r="H728" s="278"/>
      <c r="I728" s="278"/>
      <c r="J728" s="278"/>
      <c r="K728" s="278"/>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1"/>
      <c r="F729" s="64"/>
      <c r="G729" s="64"/>
      <c r="H729" s="278"/>
      <c r="I729" s="278"/>
      <c r="J729" s="278"/>
      <c r="K729" s="278"/>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1"/>
      <c r="F730" s="64"/>
      <c r="G730" s="64"/>
      <c r="H730" s="278"/>
      <c r="I730" s="278"/>
      <c r="J730" s="278"/>
      <c r="K730" s="278"/>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1"/>
      <c r="F731" s="64"/>
      <c r="G731" s="64"/>
      <c r="H731" s="278"/>
      <c r="I731" s="278"/>
      <c r="J731" s="278"/>
      <c r="K731" s="278"/>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1"/>
      <c r="F732" s="64"/>
      <c r="G732" s="64"/>
      <c r="H732" s="278"/>
      <c r="I732" s="278"/>
      <c r="J732" s="278"/>
      <c r="K732" s="278"/>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1"/>
      <c r="F733" s="64"/>
      <c r="G733" s="64"/>
      <c r="H733" s="278"/>
      <c r="I733" s="278"/>
      <c r="J733" s="278"/>
      <c r="K733" s="278"/>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1"/>
      <c r="F734" s="64"/>
      <c r="G734" s="64"/>
      <c r="H734" s="278"/>
      <c r="I734" s="278"/>
      <c r="J734" s="278"/>
      <c r="K734" s="278"/>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1"/>
      <c r="F735" s="64"/>
      <c r="G735" s="64"/>
      <c r="H735" s="278"/>
      <c r="I735" s="278"/>
      <c r="J735" s="278"/>
      <c r="K735" s="278"/>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1"/>
      <c r="F736" s="64"/>
      <c r="G736" s="64"/>
      <c r="H736" s="278"/>
      <c r="I736" s="278"/>
      <c r="J736" s="278"/>
      <c r="K736" s="278"/>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1"/>
      <c r="F737" s="64"/>
      <c r="G737" s="64"/>
      <c r="H737" s="278"/>
      <c r="I737" s="278"/>
      <c r="J737" s="278"/>
      <c r="K737" s="278"/>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1"/>
      <c r="F738" s="64"/>
      <c r="G738" s="64"/>
      <c r="H738" s="278"/>
      <c r="I738" s="278"/>
      <c r="J738" s="278"/>
      <c r="K738" s="278"/>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1"/>
      <c r="F739" s="64"/>
      <c r="G739" s="64"/>
      <c r="H739" s="278"/>
      <c r="I739" s="278"/>
      <c r="J739" s="278"/>
      <c r="K739" s="278"/>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1"/>
      <c r="F740" s="64"/>
      <c r="G740" s="64"/>
      <c r="H740" s="278"/>
      <c r="I740" s="278"/>
      <c r="J740" s="278"/>
      <c r="K740" s="278"/>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1"/>
      <c r="F741" s="64"/>
      <c r="G741" s="64"/>
      <c r="H741" s="278"/>
      <c r="I741" s="278"/>
      <c r="J741" s="278"/>
      <c r="K741" s="278"/>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1"/>
      <c r="F742" s="64"/>
      <c r="G742" s="64"/>
      <c r="H742" s="278"/>
      <c r="I742" s="278"/>
      <c r="J742" s="278"/>
      <c r="K742" s="278"/>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1"/>
      <c r="F743" s="64"/>
      <c r="G743" s="64"/>
      <c r="H743" s="278"/>
      <c r="I743" s="278"/>
      <c r="J743" s="278"/>
      <c r="K743" s="278"/>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1"/>
      <c r="F744" s="64"/>
      <c r="G744" s="64"/>
      <c r="H744" s="278"/>
      <c r="I744" s="278"/>
      <c r="J744" s="278"/>
      <c r="K744" s="278"/>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1"/>
      <c r="F745" s="64"/>
      <c r="G745" s="64"/>
      <c r="H745" s="278"/>
      <c r="I745" s="278"/>
      <c r="J745" s="278"/>
      <c r="K745" s="278"/>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1"/>
      <c r="F746" s="64"/>
      <c r="G746" s="64"/>
      <c r="H746" s="278"/>
      <c r="I746" s="278"/>
      <c r="J746" s="278"/>
      <c r="K746" s="278"/>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1"/>
      <c r="F747" s="64"/>
      <c r="G747" s="64"/>
      <c r="H747" s="278"/>
      <c r="I747" s="278"/>
      <c r="J747" s="278"/>
      <c r="K747" s="278"/>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1"/>
      <c r="F748" s="64"/>
      <c r="G748" s="64"/>
      <c r="H748" s="278"/>
      <c r="I748" s="278"/>
      <c r="J748" s="278"/>
      <c r="K748" s="278"/>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1"/>
      <c r="F749" s="64"/>
      <c r="G749" s="64"/>
      <c r="H749" s="278"/>
      <c r="I749" s="278"/>
      <c r="J749" s="278"/>
      <c r="K749" s="278"/>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1"/>
      <c r="F750" s="64"/>
      <c r="G750" s="64"/>
      <c r="H750" s="278"/>
      <c r="I750" s="278"/>
      <c r="J750" s="278"/>
      <c r="K750" s="278"/>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1"/>
      <c r="F751" s="64"/>
      <c r="G751" s="64"/>
      <c r="H751" s="278"/>
      <c r="I751" s="278"/>
      <c r="J751" s="278"/>
      <c r="K751" s="278"/>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1"/>
      <c r="F752" s="64"/>
      <c r="G752" s="64"/>
      <c r="H752" s="278"/>
      <c r="I752" s="278"/>
      <c r="J752" s="278"/>
      <c r="K752" s="278"/>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1"/>
      <c r="F753" s="64"/>
      <c r="G753" s="64"/>
      <c r="H753" s="278"/>
      <c r="I753" s="278"/>
      <c r="J753" s="278"/>
      <c r="K753" s="278"/>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1"/>
      <c r="F754" s="64"/>
      <c r="G754" s="64"/>
      <c r="H754" s="278"/>
      <c r="I754" s="278"/>
      <c r="J754" s="278"/>
      <c r="K754" s="278"/>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1"/>
      <c r="F755" s="64"/>
      <c r="G755" s="64"/>
      <c r="H755" s="278"/>
      <c r="I755" s="278"/>
      <c r="J755" s="278"/>
      <c r="K755" s="278"/>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1"/>
      <c r="F756" s="64"/>
      <c r="G756" s="64"/>
      <c r="H756" s="278"/>
      <c r="I756" s="278"/>
      <c r="J756" s="278"/>
      <c r="K756" s="278"/>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1"/>
      <c r="F757" s="64"/>
      <c r="G757" s="64"/>
      <c r="H757" s="278"/>
      <c r="I757" s="278"/>
      <c r="J757" s="278"/>
      <c r="K757" s="278"/>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1"/>
      <c r="F758" s="64"/>
      <c r="G758" s="64"/>
      <c r="H758" s="278"/>
      <c r="I758" s="278"/>
      <c r="J758" s="278"/>
      <c r="K758" s="278"/>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1"/>
      <c r="F759" s="64"/>
      <c r="G759" s="64"/>
      <c r="H759" s="278"/>
      <c r="I759" s="278"/>
      <c r="J759" s="278"/>
      <c r="K759" s="278"/>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1"/>
      <c r="F760" s="64"/>
      <c r="G760" s="64"/>
      <c r="H760" s="278"/>
      <c r="I760" s="278"/>
      <c r="J760" s="278"/>
      <c r="K760" s="278"/>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1"/>
      <c r="F761" s="64"/>
      <c r="G761" s="64"/>
      <c r="H761" s="278"/>
      <c r="I761" s="278"/>
      <c r="J761" s="278"/>
      <c r="K761" s="278"/>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1"/>
      <c r="F762" s="64"/>
      <c r="G762" s="64"/>
      <c r="H762" s="278"/>
      <c r="I762" s="278"/>
      <c r="J762" s="278"/>
      <c r="K762" s="278"/>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1"/>
      <c r="F763" s="64"/>
      <c r="G763" s="64"/>
      <c r="H763" s="278"/>
      <c r="I763" s="278"/>
      <c r="J763" s="278"/>
      <c r="K763" s="278"/>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1"/>
      <c r="F764" s="64"/>
      <c r="G764" s="64"/>
      <c r="H764" s="278"/>
      <c r="I764" s="278"/>
      <c r="J764" s="278"/>
      <c r="K764" s="278"/>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1"/>
      <c r="F765" s="64"/>
      <c r="G765" s="64"/>
      <c r="H765" s="278"/>
      <c r="I765" s="278"/>
      <c r="J765" s="278"/>
      <c r="K765" s="278"/>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1"/>
      <c r="F766" s="64"/>
      <c r="G766" s="64"/>
      <c r="H766" s="278"/>
      <c r="I766" s="278"/>
      <c r="J766" s="278"/>
      <c r="K766" s="278"/>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1"/>
      <c r="F767" s="64"/>
      <c r="G767" s="64"/>
      <c r="H767" s="278"/>
      <c r="I767" s="278"/>
      <c r="J767" s="278"/>
      <c r="K767" s="278"/>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1"/>
      <c r="F768" s="64"/>
      <c r="G768" s="64"/>
      <c r="H768" s="278"/>
      <c r="I768" s="278"/>
      <c r="J768" s="278"/>
      <c r="K768" s="278"/>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1"/>
      <c r="F769" s="64"/>
      <c r="G769" s="64"/>
      <c r="H769" s="278"/>
      <c r="I769" s="278"/>
      <c r="J769" s="278"/>
      <c r="K769" s="278"/>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1"/>
      <c r="F770" s="64"/>
      <c r="G770" s="64"/>
      <c r="H770" s="278"/>
      <c r="I770" s="278"/>
      <c r="J770" s="278"/>
      <c r="K770" s="278"/>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1"/>
      <c r="F771" s="64"/>
      <c r="G771" s="64"/>
      <c r="H771" s="278"/>
      <c r="I771" s="278"/>
      <c r="J771" s="278"/>
      <c r="K771" s="278"/>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1"/>
      <c r="F772" s="64"/>
      <c r="G772" s="64"/>
      <c r="H772" s="278"/>
      <c r="I772" s="278"/>
      <c r="J772" s="278"/>
      <c r="K772" s="278"/>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1"/>
      <c r="F773" s="64"/>
      <c r="G773" s="64"/>
      <c r="H773" s="278"/>
      <c r="I773" s="278"/>
      <c r="J773" s="278"/>
      <c r="K773" s="278"/>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1"/>
      <c r="F774" s="64"/>
      <c r="G774" s="64"/>
      <c r="H774" s="278"/>
      <c r="I774" s="278"/>
      <c r="J774" s="278"/>
      <c r="K774" s="278"/>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1"/>
      <c r="F775" s="64"/>
      <c r="G775" s="64"/>
      <c r="H775" s="278"/>
      <c r="I775" s="278"/>
      <c r="J775" s="278"/>
      <c r="K775" s="278"/>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1"/>
      <c r="F776" s="64"/>
      <c r="G776" s="64"/>
      <c r="H776" s="278"/>
      <c r="I776" s="278"/>
      <c r="J776" s="278"/>
      <c r="K776" s="278"/>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1"/>
      <c r="F777" s="64"/>
      <c r="G777" s="64"/>
      <c r="H777" s="278"/>
      <c r="I777" s="278"/>
      <c r="J777" s="278"/>
      <c r="K777" s="278"/>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1"/>
      <c r="F778" s="64"/>
      <c r="G778" s="64"/>
      <c r="H778" s="278"/>
      <c r="I778" s="278"/>
      <c r="J778" s="278"/>
      <c r="K778" s="278"/>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1"/>
      <c r="F779" s="64"/>
      <c r="G779" s="64"/>
      <c r="H779" s="278"/>
      <c r="I779" s="278"/>
      <c r="J779" s="278"/>
      <c r="K779" s="278"/>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1"/>
      <c r="F780" s="64"/>
      <c r="G780" s="64"/>
      <c r="H780" s="278"/>
      <c r="I780" s="278"/>
      <c r="J780" s="278"/>
      <c r="K780" s="278"/>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1"/>
      <c r="F781" s="64"/>
      <c r="G781" s="64"/>
      <c r="H781" s="278"/>
      <c r="I781" s="278"/>
      <c r="J781" s="278"/>
      <c r="K781" s="278"/>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1"/>
      <c r="F782" s="64"/>
      <c r="G782" s="64"/>
      <c r="H782" s="278"/>
      <c r="I782" s="278"/>
      <c r="J782" s="278"/>
      <c r="K782" s="278"/>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1"/>
      <c r="F783" s="64"/>
      <c r="G783" s="64"/>
      <c r="H783" s="278"/>
      <c r="I783" s="278"/>
      <c r="J783" s="278"/>
      <c r="K783" s="278"/>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1"/>
      <c r="F784" s="64"/>
      <c r="G784" s="64"/>
      <c r="H784" s="278"/>
      <c r="I784" s="278"/>
      <c r="J784" s="278"/>
      <c r="K784" s="278"/>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1"/>
      <c r="F785" s="64"/>
      <c r="G785" s="64"/>
      <c r="H785" s="278"/>
      <c r="I785" s="278"/>
      <c r="J785" s="278"/>
      <c r="K785" s="278"/>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1"/>
      <c r="F786" s="64"/>
      <c r="G786" s="64"/>
      <c r="H786" s="278"/>
      <c r="I786" s="278"/>
      <c r="J786" s="278"/>
      <c r="K786" s="278"/>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1"/>
      <c r="F787" s="64"/>
      <c r="G787" s="64"/>
      <c r="H787" s="278"/>
      <c r="I787" s="278"/>
      <c r="J787" s="278"/>
      <c r="K787" s="278"/>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1"/>
      <c r="F788" s="64"/>
      <c r="G788" s="64"/>
      <c r="H788" s="278"/>
      <c r="I788" s="278"/>
      <c r="J788" s="278"/>
      <c r="K788" s="278"/>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1"/>
      <c r="F789" s="64"/>
      <c r="G789" s="64"/>
      <c r="H789" s="278"/>
      <c r="I789" s="278"/>
      <c r="J789" s="278"/>
      <c r="K789" s="278"/>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1"/>
      <c r="F790" s="64"/>
      <c r="G790" s="64"/>
      <c r="H790" s="278"/>
      <c r="I790" s="278"/>
      <c r="J790" s="278"/>
      <c r="K790" s="278"/>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1"/>
      <c r="F791" s="64"/>
      <c r="G791" s="64"/>
      <c r="H791" s="278"/>
      <c r="I791" s="278"/>
      <c r="J791" s="278"/>
      <c r="K791" s="278"/>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1"/>
      <c r="F792" s="64"/>
      <c r="G792" s="64"/>
      <c r="H792" s="278"/>
      <c r="I792" s="278"/>
      <c r="J792" s="278"/>
      <c r="K792" s="278"/>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1"/>
      <c r="F793" s="64"/>
      <c r="G793" s="64"/>
      <c r="H793" s="278"/>
      <c r="I793" s="278"/>
      <c r="J793" s="278"/>
      <c r="K793" s="278"/>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1"/>
      <c r="F794" s="64"/>
      <c r="G794" s="64"/>
      <c r="H794" s="278"/>
      <c r="I794" s="278"/>
      <c r="J794" s="278"/>
      <c r="K794" s="278"/>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1"/>
      <c r="F795" s="64"/>
      <c r="G795" s="64"/>
      <c r="H795" s="278"/>
      <c r="I795" s="278"/>
      <c r="J795" s="278"/>
      <c r="K795" s="278"/>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1"/>
      <c r="F796" s="64"/>
      <c r="G796" s="64"/>
      <c r="H796" s="278"/>
      <c r="I796" s="278"/>
      <c r="J796" s="278"/>
      <c r="K796" s="278"/>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1"/>
      <c r="F797" s="64"/>
      <c r="G797" s="64"/>
      <c r="H797" s="278"/>
      <c r="I797" s="278"/>
      <c r="J797" s="278"/>
      <c r="K797" s="278"/>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1"/>
      <c r="F798" s="64"/>
      <c r="G798" s="64"/>
      <c r="H798" s="278"/>
      <c r="I798" s="278"/>
      <c r="J798" s="278"/>
      <c r="K798" s="278"/>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1"/>
      <c r="F799" s="64"/>
      <c r="G799" s="64"/>
      <c r="H799" s="278"/>
      <c r="I799" s="278"/>
      <c r="J799" s="278"/>
      <c r="K799" s="278"/>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1"/>
      <c r="F800" s="64"/>
      <c r="G800" s="64"/>
      <c r="H800" s="278"/>
      <c r="I800" s="278"/>
      <c r="J800" s="278"/>
      <c r="K800" s="278"/>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1"/>
      <c r="F801" s="64"/>
      <c r="G801" s="64"/>
      <c r="H801" s="278"/>
      <c r="I801" s="278"/>
      <c r="J801" s="278"/>
      <c r="K801" s="278"/>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1"/>
      <c r="F802" s="64"/>
      <c r="G802" s="64"/>
      <c r="H802" s="278"/>
      <c r="I802" s="278"/>
      <c r="J802" s="278"/>
      <c r="K802" s="278"/>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1"/>
      <c r="F803" s="64"/>
      <c r="G803" s="64"/>
      <c r="H803" s="278"/>
      <c r="I803" s="278"/>
      <c r="J803" s="278"/>
      <c r="K803" s="278"/>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1"/>
      <c r="F804" s="64"/>
      <c r="G804" s="64"/>
      <c r="H804" s="278"/>
      <c r="I804" s="278"/>
      <c r="J804" s="278"/>
      <c r="K804" s="278"/>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1"/>
      <c r="F805" s="64"/>
      <c r="G805" s="64"/>
      <c r="H805" s="278"/>
      <c r="I805" s="278"/>
      <c r="J805" s="278"/>
      <c r="K805" s="278"/>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1"/>
      <c r="F806" s="64"/>
      <c r="G806" s="64"/>
      <c r="H806" s="278"/>
      <c r="I806" s="278"/>
      <c r="J806" s="278"/>
      <c r="K806" s="278"/>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1"/>
      <c r="F807" s="64"/>
      <c r="G807" s="64"/>
      <c r="H807" s="278"/>
      <c r="I807" s="278"/>
      <c r="J807" s="278"/>
      <c r="K807" s="278"/>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1"/>
      <c r="F808" s="64"/>
      <c r="G808" s="64"/>
      <c r="H808" s="278"/>
      <c r="I808" s="278"/>
      <c r="J808" s="278"/>
      <c r="K808" s="278"/>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1"/>
      <c r="F809" s="64"/>
      <c r="G809" s="64"/>
      <c r="H809" s="278"/>
      <c r="I809" s="278"/>
      <c r="J809" s="278"/>
      <c r="K809" s="278"/>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1"/>
      <c r="F810" s="64"/>
      <c r="G810" s="64"/>
      <c r="H810" s="278"/>
      <c r="I810" s="278"/>
      <c r="J810" s="278"/>
      <c r="K810" s="278"/>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1"/>
      <c r="F811" s="64"/>
      <c r="G811" s="64"/>
      <c r="H811" s="278"/>
      <c r="I811" s="278"/>
      <c r="J811" s="278"/>
      <c r="K811" s="278"/>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1"/>
      <c r="F812" s="64"/>
      <c r="G812" s="64"/>
      <c r="H812" s="278"/>
      <c r="I812" s="278"/>
      <c r="J812" s="278"/>
      <c r="K812" s="278"/>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1"/>
      <c r="F813" s="64"/>
      <c r="G813" s="64"/>
      <c r="H813" s="278"/>
      <c r="I813" s="278"/>
      <c r="J813" s="278"/>
      <c r="K813" s="278"/>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1"/>
      <c r="F814" s="64"/>
      <c r="G814" s="64"/>
      <c r="H814" s="278"/>
      <c r="I814" s="278"/>
      <c r="J814" s="278"/>
      <c r="K814" s="278"/>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1"/>
      <c r="F815" s="64"/>
      <c r="G815" s="64"/>
      <c r="H815" s="278"/>
      <c r="I815" s="278"/>
      <c r="J815" s="278"/>
      <c r="K815" s="278"/>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1"/>
      <c r="F816" s="64"/>
      <c r="G816" s="64"/>
      <c r="H816" s="278"/>
      <c r="I816" s="278"/>
      <c r="J816" s="278"/>
      <c r="K816" s="278"/>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1"/>
      <c r="F817" s="64"/>
      <c r="G817" s="64"/>
      <c r="H817" s="278"/>
      <c r="I817" s="278"/>
      <c r="J817" s="278"/>
      <c r="K817" s="278"/>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1"/>
      <c r="F818" s="64"/>
      <c r="G818" s="64"/>
      <c r="H818" s="278"/>
      <c r="I818" s="278"/>
      <c r="J818" s="278"/>
      <c r="K818" s="278"/>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1"/>
      <c r="F819" s="64"/>
      <c r="G819" s="64"/>
      <c r="H819" s="278"/>
      <c r="I819" s="278"/>
      <c r="J819" s="278"/>
      <c r="K819" s="278"/>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1"/>
      <c r="F820" s="64"/>
      <c r="G820" s="64"/>
      <c r="H820" s="278"/>
      <c r="I820" s="278"/>
      <c r="J820" s="278"/>
      <c r="K820" s="278"/>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1"/>
      <c r="F821" s="64"/>
      <c r="G821" s="64"/>
      <c r="H821" s="278"/>
      <c r="I821" s="278"/>
      <c r="J821" s="278"/>
      <c r="K821" s="278"/>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1"/>
      <c r="F822" s="64"/>
      <c r="G822" s="64"/>
      <c r="H822" s="278"/>
      <c r="I822" s="278"/>
      <c r="J822" s="278"/>
      <c r="K822" s="278"/>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1"/>
      <c r="F823" s="64"/>
      <c r="G823" s="64"/>
      <c r="H823" s="278"/>
      <c r="I823" s="278"/>
      <c r="J823" s="278"/>
      <c r="K823" s="278"/>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1"/>
      <c r="F824" s="64"/>
      <c r="G824" s="64"/>
      <c r="H824" s="278"/>
      <c r="I824" s="278"/>
      <c r="J824" s="278"/>
      <c r="K824" s="278"/>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1"/>
      <c r="F825" s="64"/>
      <c r="G825" s="64"/>
      <c r="H825" s="278"/>
      <c r="I825" s="278"/>
      <c r="J825" s="278"/>
      <c r="K825" s="278"/>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1"/>
      <c r="F826" s="64"/>
      <c r="G826" s="64"/>
      <c r="H826" s="278"/>
      <c r="I826" s="278"/>
      <c r="J826" s="278"/>
      <c r="K826" s="278"/>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1"/>
      <c r="F827" s="64"/>
      <c r="G827" s="64"/>
      <c r="H827" s="278"/>
      <c r="I827" s="278"/>
      <c r="J827" s="278"/>
      <c r="K827" s="278"/>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1"/>
      <c r="F828" s="64"/>
      <c r="G828" s="64"/>
      <c r="H828" s="278"/>
      <c r="I828" s="278"/>
      <c r="J828" s="278"/>
      <c r="K828" s="278"/>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1"/>
      <c r="F829" s="64"/>
      <c r="G829" s="64"/>
      <c r="H829" s="278"/>
      <c r="I829" s="278"/>
      <c r="J829" s="278"/>
      <c r="K829" s="278"/>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1"/>
      <c r="F830" s="64"/>
      <c r="G830" s="64"/>
      <c r="H830" s="278"/>
      <c r="I830" s="278"/>
      <c r="J830" s="278"/>
      <c r="K830" s="278"/>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1"/>
      <c r="F831" s="64"/>
      <c r="G831" s="64"/>
      <c r="H831" s="278"/>
      <c r="I831" s="278"/>
      <c r="J831" s="278"/>
      <c r="K831" s="278"/>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1"/>
      <c r="F832" s="64"/>
      <c r="G832" s="64"/>
      <c r="H832" s="278"/>
      <c r="I832" s="278"/>
      <c r="J832" s="278"/>
      <c r="K832" s="278"/>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1"/>
      <c r="F833" s="64"/>
      <c r="G833" s="64"/>
      <c r="H833" s="278"/>
      <c r="I833" s="278"/>
      <c r="J833" s="278"/>
      <c r="K833" s="278"/>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1"/>
      <c r="F834" s="64"/>
      <c r="G834" s="64"/>
      <c r="H834" s="278"/>
      <c r="I834" s="278"/>
      <c r="J834" s="278"/>
      <c r="K834" s="278"/>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1"/>
      <c r="F835" s="64"/>
      <c r="G835" s="64"/>
      <c r="H835" s="278"/>
      <c r="I835" s="278"/>
      <c r="J835" s="278"/>
      <c r="K835" s="278"/>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1"/>
      <c r="F836" s="64"/>
      <c r="G836" s="64"/>
      <c r="H836" s="278"/>
      <c r="I836" s="278"/>
      <c r="J836" s="278"/>
      <c r="K836" s="278"/>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1"/>
      <c r="F837" s="64"/>
      <c r="G837" s="64"/>
      <c r="H837" s="278"/>
      <c r="I837" s="278"/>
      <c r="J837" s="278"/>
      <c r="K837" s="278"/>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1"/>
      <c r="F838" s="64"/>
      <c r="G838" s="64"/>
      <c r="H838" s="278"/>
      <c r="I838" s="278"/>
      <c r="J838" s="278"/>
      <c r="K838" s="278"/>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1"/>
      <c r="F839" s="64"/>
      <c r="G839" s="64"/>
      <c r="H839" s="278"/>
      <c r="I839" s="278"/>
      <c r="J839" s="278"/>
      <c r="K839" s="278"/>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1"/>
      <c r="F840" s="64"/>
      <c r="G840" s="64"/>
      <c r="H840" s="278"/>
      <c r="I840" s="278"/>
      <c r="J840" s="278"/>
      <c r="K840" s="278"/>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1"/>
      <c r="F841" s="64"/>
      <c r="G841" s="64"/>
      <c r="H841" s="278"/>
      <c r="I841" s="278"/>
      <c r="J841" s="278"/>
      <c r="K841" s="278"/>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1"/>
      <c r="F842" s="64"/>
      <c r="G842" s="64"/>
      <c r="H842" s="278"/>
      <c r="I842" s="278"/>
      <c r="J842" s="278"/>
      <c r="K842" s="278"/>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1"/>
      <c r="F843" s="64"/>
      <c r="G843" s="64"/>
      <c r="H843" s="278"/>
      <c r="I843" s="278"/>
      <c r="J843" s="278"/>
      <c r="K843" s="278"/>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1"/>
      <c r="F844" s="64"/>
      <c r="G844" s="64"/>
      <c r="H844" s="278"/>
      <c r="I844" s="278"/>
      <c r="J844" s="278"/>
      <c r="K844" s="278"/>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1"/>
      <c r="F845" s="64"/>
      <c r="G845" s="64"/>
      <c r="H845" s="278"/>
      <c r="I845" s="278"/>
      <c r="J845" s="278"/>
      <c r="K845" s="278"/>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1"/>
      <c r="F846" s="64"/>
      <c r="G846" s="64"/>
      <c r="H846" s="278"/>
      <c r="I846" s="278"/>
      <c r="J846" s="278"/>
      <c r="K846" s="278"/>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1"/>
      <c r="F847" s="64"/>
      <c r="G847" s="64"/>
      <c r="H847" s="278"/>
      <c r="I847" s="278"/>
      <c r="J847" s="278"/>
      <c r="K847" s="278"/>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1"/>
      <c r="F848" s="64"/>
      <c r="G848" s="64"/>
      <c r="H848" s="278"/>
      <c r="I848" s="278"/>
      <c r="J848" s="278"/>
      <c r="K848" s="278"/>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1"/>
      <c r="F849" s="64"/>
      <c r="G849" s="64"/>
      <c r="H849" s="278"/>
      <c r="I849" s="278"/>
      <c r="J849" s="278"/>
      <c r="K849" s="278"/>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1"/>
      <c r="F850" s="64"/>
      <c r="G850" s="64"/>
      <c r="H850" s="278"/>
      <c r="I850" s="278"/>
      <c r="J850" s="278"/>
      <c r="K850" s="278"/>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1"/>
      <c r="F851" s="64"/>
      <c r="G851" s="64"/>
      <c r="H851" s="278"/>
      <c r="I851" s="278"/>
      <c r="J851" s="278"/>
      <c r="K851" s="278"/>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1"/>
      <c r="F852" s="64"/>
      <c r="G852" s="64"/>
      <c r="H852" s="278"/>
      <c r="I852" s="278"/>
      <c r="J852" s="278"/>
      <c r="K852" s="278"/>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1"/>
      <c r="F853" s="64"/>
      <c r="G853" s="64"/>
      <c r="H853" s="278"/>
      <c r="I853" s="278"/>
      <c r="J853" s="278"/>
      <c r="K853" s="278"/>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1"/>
      <c r="F854" s="64"/>
      <c r="G854" s="64"/>
      <c r="H854" s="278"/>
      <c r="I854" s="278"/>
      <c r="J854" s="278"/>
      <c r="K854" s="278"/>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1"/>
      <c r="F855" s="64"/>
      <c r="G855" s="64"/>
      <c r="H855" s="278"/>
      <c r="I855" s="278"/>
      <c r="J855" s="278"/>
      <c r="K855" s="278"/>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1"/>
      <c r="F856" s="64"/>
      <c r="G856" s="64"/>
      <c r="H856" s="278"/>
      <c r="I856" s="278"/>
      <c r="J856" s="278"/>
      <c r="K856" s="278"/>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1"/>
      <c r="F857" s="64"/>
      <c r="G857" s="64"/>
      <c r="H857" s="278"/>
      <c r="I857" s="278"/>
      <c r="J857" s="278"/>
      <c r="K857" s="278"/>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1"/>
      <c r="F858" s="64"/>
      <c r="G858" s="64"/>
      <c r="H858" s="278"/>
      <c r="I858" s="278"/>
      <c r="J858" s="278"/>
      <c r="K858" s="278"/>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1"/>
      <c r="F859" s="64"/>
      <c r="G859" s="64"/>
      <c r="H859" s="278"/>
      <c r="I859" s="278"/>
      <c r="J859" s="278"/>
      <c r="K859" s="278"/>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1"/>
      <c r="F860" s="64"/>
      <c r="G860" s="64"/>
      <c r="H860" s="278"/>
      <c r="I860" s="278"/>
      <c r="J860" s="278"/>
      <c r="K860" s="278"/>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1"/>
      <c r="F861" s="64"/>
      <c r="G861" s="64"/>
      <c r="H861" s="278"/>
      <c r="I861" s="278"/>
      <c r="J861" s="278"/>
      <c r="K861" s="278"/>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1"/>
      <c r="F862" s="64"/>
      <c r="G862" s="64"/>
      <c r="H862" s="278"/>
      <c r="I862" s="278"/>
      <c r="J862" s="278"/>
      <c r="K862" s="278"/>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1"/>
      <c r="F863" s="64"/>
      <c r="G863" s="64"/>
      <c r="H863" s="278"/>
      <c r="I863" s="278"/>
      <c r="J863" s="278"/>
      <c r="K863" s="278"/>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1"/>
      <c r="F864" s="64"/>
      <c r="G864" s="64"/>
      <c r="H864" s="278"/>
      <c r="I864" s="278"/>
      <c r="J864" s="278"/>
      <c r="K864" s="278"/>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1"/>
      <c r="F865" s="64"/>
      <c r="G865" s="64"/>
      <c r="H865" s="278"/>
      <c r="I865" s="278"/>
      <c r="J865" s="278"/>
      <c r="K865" s="278"/>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1"/>
      <c r="F866" s="64"/>
      <c r="G866" s="64"/>
      <c r="H866" s="278"/>
      <c r="I866" s="278"/>
      <c r="J866" s="278"/>
      <c r="K866" s="278"/>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1"/>
      <c r="F867" s="64"/>
      <c r="G867" s="64"/>
      <c r="H867" s="278"/>
      <c r="I867" s="278"/>
      <c r="J867" s="278"/>
      <c r="K867" s="278"/>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1"/>
      <c r="F868" s="64"/>
      <c r="G868" s="64"/>
      <c r="H868" s="278"/>
      <c r="I868" s="278"/>
      <c r="J868" s="278"/>
      <c r="K868" s="278"/>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1"/>
      <c r="F869" s="64"/>
      <c r="G869" s="64"/>
      <c r="H869" s="278"/>
      <c r="I869" s="278"/>
      <c r="J869" s="278"/>
      <c r="K869" s="278"/>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1"/>
      <c r="F870" s="64"/>
      <c r="G870" s="64"/>
      <c r="H870" s="278"/>
      <c r="I870" s="278"/>
      <c r="J870" s="278"/>
      <c r="K870" s="278"/>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1"/>
      <c r="F871" s="64"/>
      <c r="G871" s="64"/>
      <c r="H871" s="278"/>
      <c r="I871" s="278"/>
      <c r="J871" s="278"/>
      <c r="K871" s="278"/>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1"/>
      <c r="F872" s="64"/>
      <c r="G872" s="64"/>
      <c r="H872" s="278"/>
      <c r="I872" s="278"/>
      <c r="J872" s="278"/>
      <c r="K872" s="278"/>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1"/>
      <c r="F873" s="64"/>
      <c r="G873" s="64"/>
      <c r="H873" s="278"/>
      <c r="I873" s="278"/>
      <c r="J873" s="278"/>
      <c r="K873" s="278"/>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1"/>
      <c r="F874" s="64"/>
      <c r="G874" s="64"/>
      <c r="H874" s="278"/>
      <c r="I874" s="278"/>
      <c r="J874" s="278"/>
      <c r="K874" s="278"/>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1"/>
      <c r="F875" s="64"/>
      <c r="G875" s="64"/>
      <c r="H875" s="278"/>
      <c r="I875" s="278"/>
      <c r="J875" s="278"/>
      <c r="K875" s="278"/>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1"/>
      <c r="F876" s="64"/>
      <c r="G876" s="64"/>
      <c r="H876" s="278"/>
      <c r="I876" s="278"/>
      <c r="J876" s="278"/>
      <c r="K876" s="278"/>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1"/>
      <c r="F877" s="64"/>
      <c r="G877" s="64"/>
      <c r="H877" s="278"/>
      <c r="I877" s="278"/>
      <c r="J877" s="278"/>
      <c r="K877" s="278"/>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1"/>
      <c r="F878" s="64"/>
      <c r="G878" s="64"/>
      <c r="H878" s="278"/>
      <c r="I878" s="278"/>
      <c r="J878" s="278"/>
      <c r="K878" s="278"/>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1"/>
      <c r="F879" s="64"/>
      <c r="G879" s="64"/>
      <c r="H879" s="278"/>
      <c r="I879" s="278"/>
      <c r="J879" s="278"/>
      <c r="K879" s="278"/>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1"/>
      <c r="F880" s="64"/>
      <c r="G880" s="64"/>
      <c r="H880" s="278"/>
      <c r="I880" s="278"/>
      <c r="J880" s="278"/>
      <c r="K880" s="278"/>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1"/>
      <c r="F881" s="64"/>
      <c r="G881" s="64"/>
      <c r="H881" s="278"/>
      <c r="I881" s="278"/>
      <c r="J881" s="278"/>
      <c r="K881" s="278"/>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1"/>
      <c r="F882" s="64"/>
      <c r="G882" s="64"/>
      <c r="H882" s="278"/>
      <c r="I882" s="278"/>
      <c r="J882" s="278"/>
      <c r="K882" s="278"/>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1"/>
      <c r="F883" s="64"/>
      <c r="G883" s="64"/>
      <c r="H883" s="278"/>
      <c r="I883" s="278"/>
      <c r="J883" s="278"/>
      <c r="K883" s="278"/>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1"/>
      <c r="F884" s="64"/>
      <c r="G884" s="64"/>
      <c r="H884" s="278"/>
      <c r="I884" s="278"/>
      <c r="J884" s="278"/>
      <c r="K884" s="278"/>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1"/>
      <c r="F885" s="64"/>
      <c r="G885" s="64"/>
      <c r="H885" s="278"/>
      <c r="I885" s="278"/>
      <c r="J885" s="278"/>
      <c r="K885" s="278"/>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1"/>
      <c r="F886" s="64"/>
      <c r="G886" s="64"/>
      <c r="H886" s="278"/>
      <c r="I886" s="278"/>
      <c r="J886" s="278"/>
      <c r="K886" s="278"/>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1"/>
      <c r="F887" s="64"/>
      <c r="G887" s="64"/>
      <c r="H887" s="278"/>
      <c r="I887" s="278"/>
      <c r="J887" s="278"/>
      <c r="K887" s="278"/>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1"/>
      <c r="F888" s="64"/>
      <c r="G888" s="64"/>
      <c r="H888" s="278"/>
      <c r="I888" s="278"/>
      <c r="J888" s="278"/>
      <c r="K888" s="278"/>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1"/>
      <c r="F889" s="64"/>
      <c r="G889" s="64"/>
      <c r="H889" s="278"/>
      <c r="I889" s="278"/>
      <c r="J889" s="278"/>
      <c r="K889" s="278"/>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1"/>
      <c r="F890" s="64"/>
      <c r="G890" s="64"/>
      <c r="H890" s="278"/>
      <c r="I890" s="278"/>
      <c r="J890" s="278"/>
      <c r="K890" s="278"/>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1"/>
      <c r="F891" s="64"/>
      <c r="G891" s="64"/>
      <c r="H891" s="278"/>
      <c r="I891" s="278"/>
      <c r="J891" s="278"/>
      <c r="K891" s="278"/>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1"/>
      <c r="F892" s="64"/>
      <c r="G892" s="64"/>
      <c r="H892" s="278"/>
      <c r="I892" s="278"/>
      <c r="J892" s="278"/>
      <c r="K892" s="278"/>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1"/>
      <c r="F893" s="64"/>
      <c r="G893" s="64"/>
      <c r="H893" s="278"/>
      <c r="I893" s="278"/>
      <c r="J893" s="278"/>
      <c r="K893" s="278"/>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1"/>
      <c r="F894" s="64"/>
      <c r="G894" s="64"/>
      <c r="H894" s="278"/>
      <c r="I894" s="278"/>
      <c r="J894" s="278"/>
      <c r="K894" s="278"/>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1"/>
      <c r="F895" s="64"/>
      <c r="G895" s="64"/>
      <c r="H895" s="278"/>
      <c r="I895" s="278"/>
      <c r="J895" s="278"/>
      <c r="K895" s="278"/>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1"/>
      <c r="F896" s="64"/>
      <c r="G896" s="64"/>
      <c r="H896" s="278"/>
      <c r="I896" s="278"/>
      <c r="J896" s="278"/>
      <c r="K896" s="278"/>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1"/>
      <c r="F897" s="64"/>
      <c r="G897" s="64"/>
      <c r="H897" s="278"/>
      <c r="I897" s="278"/>
      <c r="J897" s="278"/>
      <c r="K897" s="278"/>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1"/>
      <c r="F898" s="64"/>
      <c r="G898" s="64"/>
      <c r="H898" s="278"/>
      <c r="I898" s="278"/>
      <c r="J898" s="278"/>
      <c r="K898" s="278"/>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1"/>
      <c r="F899" s="64"/>
      <c r="G899" s="64"/>
      <c r="H899" s="278"/>
      <c r="I899" s="278"/>
      <c r="J899" s="278"/>
      <c r="K899" s="278"/>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1"/>
      <c r="F900" s="64"/>
      <c r="G900" s="64"/>
      <c r="H900" s="278"/>
      <c r="I900" s="278"/>
      <c r="J900" s="278"/>
      <c r="K900" s="278"/>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1"/>
      <c r="F901" s="64"/>
      <c r="G901" s="64"/>
      <c r="H901" s="278"/>
      <c r="I901" s="278"/>
      <c r="J901" s="278"/>
      <c r="K901" s="278"/>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1"/>
      <c r="F902" s="64"/>
      <c r="G902" s="64"/>
      <c r="H902" s="278"/>
      <c r="I902" s="278"/>
      <c r="J902" s="278"/>
      <c r="K902" s="278"/>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1"/>
      <c r="F903" s="64"/>
      <c r="G903" s="64"/>
      <c r="H903" s="278"/>
      <c r="I903" s="278"/>
      <c r="J903" s="278"/>
      <c r="K903" s="278"/>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1"/>
      <c r="F904" s="64"/>
      <c r="G904" s="64"/>
      <c r="H904" s="278"/>
      <c r="I904" s="278"/>
      <c r="J904" s="278"/>
      <c r="K904" s="278"/>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1"/>
      <c r="F905" s="64"/>
      <c r="G905" s="64"/>
      <c r="H905" s="278"/>
      <c r="I905" s="278"/>
      <c r="J905" s="278"/>
      <c r="K905" s="278"/>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1"/>
      <c r="F906" s="64"/>
      <c r="G906" s="64"/>
      <c r="H906" s="278"/>
      <c r="I906" s="278"/>
      <c r="J906" s="278"/>
      <c r="K906" s="278"/>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1"/>
      <c r="F907" s="64"/>
      <c r="G907" s="64"/>
      <c r="H907" s="278"/>
      <c r="I907" s="278"/>
      <c r="J907" s="278"/>
      <c r="K907" s="278"/>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1"/>
      <c r="F908" s="64"/>
      <c r="G908" s="64"/>
      <c r="H908" s="278"/>
      <c r="I908" s="278"/>
      <c r="J908" s="278"/>
      <c r="K908" s="278"/>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1"/>
      <c r="F909" s="64"/>
      <c r="G909" s="64"/>
      <c r="H909" s="278"/>
      <c r="I909" s="278"/>
      <c r="J909" s="278"/>
      <c r="K909" s="278"/>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1"/>
      <c r="F910" s="64"/>
      <c r="G910" s="64"/>
      <c r="H910" s="278"/>
      <c r="I910" s="278"/>
      <c r="J910" s="278"/>
      <c r="K910" s="278"/>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1"/>
      <c r="F911" s="64"/>
      <c r="G911" s="64"/>
      <c r="H911" s="278"/>
      <c r="I911" s="278"/>
      <c r="J911" s="278"/>
      <c r="K911" s="278"/>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1"/>
      <c r="F912" s="64"/>
      <c r="G912" s="64"/>
      <c r="H912" s="278"/>
      <c r="I912" s="278"/>
      <c r="J912" s="278"/>
      <c r="K912" s="278"/>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1"/>
      <c r="F913" s="64"/>
      <c r="G913" s="64"/>
      <c r="H913" s="278"/>
      <c r="I913" s="278"/>
      <c r="J913" s="278"/>
      <c r="K913" s="278"/>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1"/>
      <c r="F914" s="64"/>
      <c r="G914" s="64"/>
      <c r="H914" s="278"/>
      <c r="I914" s="278"/>
      <c r="J914" s="278"/>
      <c r="K914" s="278"/>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1"/>
      <c r="F915" s="64"/>
      <c r="G915" s="64"/>
      <c r="H915" s="278"/>
      <c r="I915" s="278"/>
      <c r="J915" s="278"/>
      <c r="K915" s="278"/>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1"/>
      <c r="F916" s="64"/>
      <c r="G916" s="64"/>
      <c r="H916" s="278"/>
      <c r="I916" s="278"/>
      <c r="J916" s="278"/>
      <c r="K916" s="278"/>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1"/>
      <c r="F917" s="64"/>
      <c r="G917" s="64"/>
      <c r="H917" s="278"/>
      <c r="I917" s="278"/>
      <c r="J917" s="278"/>
      <c r="K917" s="278"/>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1"/>
      <c r="F918" s="64"/>
      <c r="G918" s="64"/>
      <c r="H918" s="278"/>
      <c r="I918" s="278"/>
      <c r="J918" s="278"/>
      <c r="K918" s="278"/>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1"/>
      <c r="F919" s="64"/>
      <c r="G919" s="64"/>
      <c r="H919" s="278"/>
      <c r="I919" s="278"/>
      <c r="J919" s="278"/>
      <c r="K919" s="278"/>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1"/>
      <c r="F920" s="64"/>
      <c r="G920" s="64"/>
      <c r="H920" s="278"/>
      <c r="I920" s="278"/>
      <c r="J920" s="278"/>
      <c r="K920" s="278"/>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1"/>
      <c r="F921" s="64"/>
      <c r="G921" s="64"/>
      <c r="H921" s="278"/>
      <c r="I921" s="278"/>
      <c r="J921" s="278"/>
      <c r="K921" s="278"/>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1"/>
      <c r="F922" s="64"/>
      <c r="G922" s="64"/>
      <c r="H922" s="278"/>
      <c r="I922" s="278"/>
      <c r="J922" s="278"/>
      <c r="K922" s="278"/>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1"/>
      <c r="F923" s="64"/>
      <c r="G923" s="64"/>
      <c r="H923" s="278"/>
      <c r="I923" s="278"/>
      <c r="J923" s="278"/>
      <c r="K923" s="278"/>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1"/>
      <c r="F924" s="64"/>
      <c r="G924" s="64"/>
      <c r="H924" s="278"/>
      <c r="I924" s="278"/>
      <c r="J924" s="278"/>
      <c r="K924" s="278"/>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1"/>
      <c r="F925" s="64"/>
      <c r="G925" s="64"/>
      <c r="H925" s="278"/>
      <c r="I925" s="278"/>
      <c r="J925" s="278"/>
      <c r="K925" s="278"/>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1"/>
      <c r="F926" s="64"/>
      <c r="G926" s="64"/>
      <c r="H926" s="278"/>
      <c r="I926" s="278"/>
      <c r="J926" s="278"/>
      <c r="K926" s="278"/>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1"/>
      <c r="F927" s="64"/>
      <c r="G927" s="64"/>
      <c r="H927" s="278"/>
      <c r="I927" s="278"/>
      <c r="J927" s="278"/>
      <c r="K927" s="278"/>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1"/>
      <c r="F928" s="64"/>
      <c r="G928" s="64"/>
      <c r="H928" s="278"/>
      <c r="I928" s="278"/>
      <c r="J928" s="278"/>
      <c r="K928" s="278"/>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1"/>
      <c r="F929" s="64"/>
      <c r="G929" s="64"/>
      <c r="H929" s="278"/>
      <c r="I929" s="278"/>
      <c r="J929" s="278"/>
      <c r="K929" s="278"/>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1"/>
      <c r="F930" s="64"/>
      <c r="G930" s="64"/>
      <c r="H930" s="278"/>
      <c r="I930" s="278"/>
      <c r="J930" s="278"/>
      <c r="K930" s="278"/>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1"/>
      <c r="F931" s="64"/>
      <c r="G931" s="64"/>
      <c r="H931" s="278"/>
      <c r="I931" s="278"/>
      <c r="J931" s="278"/>
      <c r="K931" s="278"/>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1"/>
      <c r="F932" s="64"/>
      <c r="G932" s="64"/>
      <c r="H932" s="278"/>
      <c r="I932" s="278"/>
      <c r="J932" s="278"/>
      <c r="K932" s="278"/>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1"/>
      <c r="F933" s="64"/>
      <c r="G933" s="64"/>
      <c r="H933" s="278"/>
      <c r="I933" s="278"/>
      <c r="J933" s="278"/>
      <c r="K933" s="278"/>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1"/>
      <c r="F934" s="64"/>
      <c r="G934" s="64"/>
      <c r="H934" s="278"/>
      <c r="I934" s="278"/>
      <c r="J934" s="278"/>
      <c r="K934" s="278"/>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1"/>
      <c r="F935" s="64"/>
      <c r="G935" s="64"/>
      <c r="H935" s="278"/>
      <c r="I935" s="278"/>
      <c r="J935" s="278"/>
      <c r="K935" s="278"/>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1"/>
      <c r="F936" s="64"/>
      <c r="G936" s="64"/>
      <c r="H936" s="278"/>
      <c r="I936" s="278"/>
      <c r="J936" s="278"/>
      <c r="K936" s="278"/>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1"/>
      <c r="F937" s="64"/>
      <c r="G937" s="64"/>
      <c r="H937" s="278"/>
      <c r="I937" s="278"/>
      <c r="J937" s="278"/>
      <c r="K937" s="278"/>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1"/>
      <c r="F938" s="64"/>
      <c r="G938" s="64"/>
      <c r="H938" s="278"/>
      <c r="I938" s="278"/>
      <c r="J938" s="278"/>
      <c r="K938" s="278"/>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1"/>
      <c r="F939" s="64"/>
      <c r="G939" s="64"/>
      <c r="H939" s="278"/>
      <c r="I939" s="278"/>
      <c r="J939" s="278"/>
      <c r="K939" s="278"/>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1"/>
      <c r="F940" s="64"/>
      <c r="G940" s="64"/>
      <c r="H940" s="278"/>
      <c r="I940" s="278"/>
      <c r="J940" s="278"/>
      <c r="K940" s="278"/>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1"/>
      <c r="F941" s="64"/>
      <c r="G941" s="64"/>
      <c r="H941" s="278"/>
      <c r="I941" s="278"/>
      <c r="J941" s="278"/>
      <c r="K941" s="278"/>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1"/>
      <c r="F942" s="64"/>
      <c r="G942" s="64"/>
      <c r="H942" s="278"/>
      <c r="I942" s="278"/>
      <c r="J942" s="278"/>
      <c r="K942" s="278"/>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1"/>
      <c r="F943" s="64"/>
      <c r="G943" s="64"/>
      <c r="H943" s="278"/>
      <c r="I943" s="278"/>
      <c r="J943" s="278"/>
      <c r="K943" s="278"/>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1"/>
      <c r="F944" s="64"/>
      <c r="G944" s="64"/>
      <c r="H944" s="278"/>
      <c r="I944" s="278"/>
      <c r="J944" s="278"/>
      <c r="K944" s="278"/>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1"/>
      <c r="F945" s="64"/>
      <c r="G945" s="64"/>
      <c r="H945" s="278"/>
      <c r="I945" s="278"/>
      <c r="J945" s="278"/>
      <c r="K945" s="278"/>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1"/>
      <c r="F946" s="64"/>
      <c r="G946" s="64"/>
      <c r="H946" s="278"/>
      <c r="I946" s="278"/>
      <c r="J946" s="278"/>
      <c r="K946" s="278"/>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1"/>
      <c r="F947" s="64"/>
      <c r="G947" s="64"/>
      <c r="H947" s="278"/>
      <c r="I947" s="278"/>
      <c r="J947" s="278"/>
      <c r="K947" s="278"/>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1"/>
      <c r="F948" s="64"/>
      <c r="G948" s="64"/>
      <c r="H948" s="278"/>
      <c r="I948" s="278"/>
      <c r="J948" s="278"/>
      <c r="K948" s="278"/>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1"/>
      <c r="F949" s="64"/>
      <c r="G949" s="64"/>
      <c r="H949" s="278"/>
      <c r="I949" s="278"/>
      <c r="J949" s="278"/>
      <c r="K949" s="278"/>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1"/>
      <c r="F950" s="64"/>
      <c r="G950" s="64"/>
      <c r="H950" s="278"/>
      <c r="I950" s="278"/>
      <c r="J950" s="278"/>
      <c r="K950" s="278"/>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1"/>
      <c r="F951" s="64"/>
      <c r="G951" s="64"/>
      <c r="H951" s="278"/>
      <c r="I951" s="278"/>
      <c r="J951" s="278"/>
      <c r="K951" s="278"/>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1"/>
      <c r="F952" s="64"/>
      <c r="G952" s="64"/>
      <c r="H952" s="278"/>
      <c r="I952" s="278"/>
      <c r="J952" s="278"/>
      <c r="K952" s="278"/>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1"/>
      <c r="F953" s="64"/>
      <c r="G953" s="64"/>
      <c r="H953" s="278"/>
      <c r="I953" s="278"/>
      <c r="J953" s="278"/>
      <c r="K953" s="278"/>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1"/>
      <c r="F954" s="64"/>
      <c r="G954" s="64"/>
      <c r="H954" s="278"/>
      <c r="I954" s="278"/>
      <c r="J954" s="278"/>
      <c r="K954" s="278"/>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1"/>
      <c r="F955" s="64"/>
      <c r="G955" s="64"/>
      <c r="H955" s="278"/>
      <c r="I955" s="278"/>
      <c r="J955" s="278"/>
      <c r="K955" s="278"/>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1"/>
      <c r="F956" s="64"/>
      <c r="G956" s="64"/>
      <c r="H956" s="278"/>
      <c r="I956" s="278"/>
      <c r="J956" s="278"/>
      <c r="K956" s="278"/>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1"/>
      <c r="F957" s="64"/>
      <c r="G957" s="64"/>
      <c r="H957" s="278"/>
      <c r="I957" s="278"/>
      <c r="J957" s="278"/>
      <c r="K957" s="278"/>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1"/>
      <c r="F958" s="64"/>
      <c r="G958" s="64"/>
      <c r="H958" s="278"/>
      <c r="I958" s="278"/>
      <c r="J958" s="278"/>
      <c r="K958" s="278"/>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1"/>
      <c r="F959" s="64"/>
      <c r="G959" s="64"/>
      <c r="H959" s="278"/>
      <c r="I959" s="278"/>
      <c r="J959" s="278"/>
      <c r="K959" s="278"/>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1"/>
      <c r="F960" s="64"/>
      <c r="G960" s="64"/>
      <c r="H960" s="278"/>
      <c r="I960" s="278"/>
      <c r="J960" s="278"/>
      <c r="K960" s="278"/>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1"/>
      <c r="F961" s="64"/>
      <c r="G961" s="64"/>
      <c r="H961" s="278"/>
      <c r="I961" s="278"/>
      <c r="J961" s="278"/>
      <c r="K961" s="278"/>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1"/>
      <c r="F962" s="64"/>
      <c r="G962" s="64"/>
      <c r="H962" s="278"/>
      <c r="I962" s="278"/>
      <c r="J962" s="278"/>
      <c r="K962" s="278"/>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1"/>
      <c r="F963" s="64"/>
      <c r="G963" s="64"/>
      <c r="H963" s="278"/>
      <c r="I963" s="278"/>
      <c r="J963" s="278"/>
      <c r="K963" s="278"/>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1"/>
      <c r="F964" s="64"/>
      <c r="G964" s="64"/>
      <c r="H964" s="278"/>
      <c r="I964" s="278"/>
      <c r="J964" s="278"/>
      <c r="K964" s="278"/>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1"/>
      <c r="F965" s="64"/>
      <c r="G965" s="64"/>
      <c r="H965" s="278"/>
      <c r="I965" s="278"/>
      <c r="J965" s="278"/>
      <c r="K965" s="278"/>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1"/>
      <c r="F966" s="64"/>
      <c r="G966" s="64"/>
      <c r="H966" s="278"/>
      <c r="I966" s="278"/>
      <c r="J966" s="278"/>
      <c r="K966" s="278"/>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1"/>
      <c r="F967" s="64"/>
      <c r="G967" s="64"/>
      <c r="H967" s="278"/>
      <c r="I967" s="278"/>
      <c r="J967" s="278"/>
      <c r="K967" s="278"/>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1"/>
      <c r="F968" s="64"/>
      <c r="G968" s="64"/>
      <c r="H968" s="278"/>
      <c r="I968" s="278"/>
      <c r="J968" s="278"/>
      <c r="K968" s="278"/>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1"/>
      <c r="F969" s="64"/>
      <c r="G969" s="64"/>
      <c r="H969" s="278"/>
      <c r="I969" s="278"/>
      <c r="J969" s="278"/>
      <c r="K969" s="278"/>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1"/>
      <c r="F970" s="64"/>
      <c r="G970" s="64"/>
      <c r="H970" s="278"/>
      <c r="I970" s="278"/>
      <c r="J970" s="278"/>
      <c r="K970" s="278"/>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1"/>
      <c r="F971" s="64"/>
      <c r="G971" s="64"/>
      <c r="H971" s="278"/>
      <c r="I971" s="278"/>
      <c r="J971" s="278"/>
      <c r="K971" s="278"/>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1"/>
      <c r="F972" s="64"/>
      <c r="G972" s="64"/>
      <c r="H972" s="278"/>
      <c r="I972" s="278"/>
      <c r="J972" s="278"/>
      <c r="K972" s="278"/>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1"/>
      <c r="F973" s="64"/>
      <c r="G973" s="64"/>
      <c r="H973" s="278"/>
      <c r="I973" s="278"/>
      <c r="J973" s="278"/>
      <c r="K973" s="278"/>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1"/>
      <c r="F974" s="64"/>
      <c r="G974" s="64"/>
      <c r="H974" s="278"/>
      <c r="I974" s="278"/>
      <c r="J974" s="278"/>
      <c r="K974" s="278"/>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1"/>
      <c r="F975" s="64"/>
      <c r="G975" s="64"/>
      <c r="H975" s="278"/>
      <c r="I975" s="278"/>
      <c r="J975" s="278"/>
      <c r="K975" s="278"/>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1"/>
      <c r="F976" s="64"/>
      <c r="G976" s="64"/>
      <c r="H976" s="278"/>
      <c r="I976" s="278"/>
      <c r="J976" s="278"/>
      <c r="K976" s="278"/>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1"/>
      <c r="F977" s="64"/>
      <c r="G977" s="64"/>
      <c r="H977" s="278"/>
      <c r="I977" s="278"/>
      <c r="J977" s="278"/>
      <c r="K977" s="278"/>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1"/>
      <c r="F978" s="64"/>
      <c r="G978" s="64"/>
      <c r="H978" s="278"/>
      <c r="I978" s="278"/>
      <c r="J978" s="278"/>
      <c r="K978" s="278"/>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1"/>
      <c r="F979" s="64"/>
      <c r="G979" s="64"/>
      <c r="H979" s="278"/>
      <c r="I979" s="278"/>
      <c r="J979" s="278"/>
      <c r="K979" s="278"/>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1"/>
      <c r="F980" s="64"/>
      <c r="G980" s="64"/>
      <c r="H980" s="278"/>
      <c r="I980" s="278"/>
      <c r="J980" s="278"/>
      <c r="K980" s="278"/>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1"/>
      <c r="F981" s="64"/>
      <c r="G981" s="64"/>
      <c r="H981" s="278"/>
      <c r="I981" s="278"/>
      <c r="J981" s="278"/>
      <c r="K981" s="278"/>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1"/>
      <c r="F982" s="64"/>
      <c r="G982" s="64"/>
      <c r="H982" s="278"/>
      <c r="I982" s="278"/>
      <c r="J982" s="278"/>
      <c r="K982" s="278"/>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1"/>
      <c r="F983" s="64"/>
      <c r="G983" s="64"/>
      <c r="H983" s="278"/>
      <c r="I983" s="278"/>
      <c r="J983" s="278"/>
      <c r="K983" s="278"/>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1"/>
      <c r="F984" s="64"/>
      <c r="G984" s="64"/>
      <c r="H984" s="278"/>
      <c r="I984" s="278"/>
      <c r="J984" s="278"/>
      <c r="K984" s="278"/>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1"/>
      <c r="F985" s="64"/>
      <c r="G985" s="64"/>
      <c r="H985" s="278"/>
      <c r="I985" s="278"/>
      <c r="J985" s="278"/>
      <c r="K985" s="278"/>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1"/>
      <c r="F986" s="64"/>
      <c r="G986" s="64"/>
      <c r="H986" s="278"/>
      <c r="I986" s="278"/>
      <c r="J986" s="278"/>
      <c r="K986" s="278"/>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1"/>
      <c r="F987" s="64"/>
      <c r="G987" s="64"/>
      <c r="H987" s="278"/>
      <c r="I987" s="278"/>
      <c r="J987" s="278"/>
      <c r="K987" s="278"/>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1"/>
      <c r="F988" s="64"/>
      <c r="G988" s="64"/>
      <c r="H988" s="278"/>
      <c r="I988" s="278"/>
      <c r="J988" s="278"/>
      <c r="K988" s="278"/>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1"/>
      <c r="F989" s="64"/>
      <c r="G989" s="64"/>
      <c r="H989" s="278"/>
      <c r="I989" s="278"/>
      <c r="J989" s="278"/>
      <c r="K989" s="278"/>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1"/>
      <c r="F990" s="64"/>
      <c r="G990" s="64"/>
      <c r="H990" s="278"/>
      <c r="I990" s="278"/>
      <c r="J990" s="278"/>
      <c r="K990" s="278"/>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1"/>
      <c r="F991" s="64"/>
      <c r="G991" s="64"/>
      <c r="H991" s="278"/>
      <c r="I991" s="278"/>
      <c r="J991" s="278"/>
      <c r="K991" s="278"/>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1"/>
      <c r="F992" s="64"/>
      <c r="G992" s="64"/>
      <c r="H992" s="278"/>
      <c r="I992" s="278"/>
      <c r="J992" s="278"/>
      <c r="K992" s="278"/>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1"/>
      <c r="F993" s="64"/>
      <c r="G993" s="64"/>
      <c r="H993" s="278"/>
      <c r="I993" s="278"/>
      <c r="J993" s="278"/>
      <c r="K993" s="278"/>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1"/>
      <c r="F994" s="64"/>
      <c r="G994" s="64"/>
      <c r="H994" s="278"/>
      <c r="I994" s="278"/>
      <c r="J994" s="278"/>
      <c r="K994" s="278"/>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1"/>
      <c r="F995" s="64"/>
      <c r="G995" s="64"/>
      <c r="H995" s="278"/>
      <c r="I995" s="278"/>
      <c r="J995" s="278"/>
      <c r="K995" s="278"/>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1"/>
      <c r="F996" s="64"/>
      <c r="G996" s="64"/>
      <c r="H996" s="278"/>
      <c r="I996" s="278"/>
      <c r="J996" s="278"/>
      <c r="K996" s="278"/>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1"/>
      <c r="F997" s="64"/>
      <c r="G997" s="64"/>
      <c r="H997" s="278"/>
      <c r="I997" s="278"/>
      <c r="J997" s="278"/>
      <c r="K997" s="278"/>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1"/>
      <c r="F998" s="64"/>
      <c r="G998" s="64"/>
      <c r="H998" s="278"/>
      <c r="I998" s="278"/>
      <c r="J998" s="278"/>
      <c r="K998" s="278"/>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1"/>
      <c r="F999" s="64"/>
      <c r="G999" s="64"/>
      <c r="H999" s="278"/>
      <c r="I999" s="278"/>
      <c r="J999" s="278"/>
      <c r="K999" s="278"/>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1"/>
      <c r="F1000" s="64"/>
      <c r="G1000" s="64"/>
      <c r="H1000" s="278"/>
      <c r="I1000" s="278"/>
      <c r="J1000" s="278"/>
      <c r="K1000" s="278"/>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7"/>
      <c r="B1001" s="137"/>
      <c r="C1001" s="137"/>
      <c r="D1001" s="137"/>
      <c r="E1001" s="137"/>
      <c r="F1001" s="137"/>
      <c r="G1001" s="137"/>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7"/>
      <c r="B1002" s="137"/>
      <c r="C1002" s="137"/>
      <c r="D1002" s="137"/>
      <c r="E1002" s="137"/>
      <c r="F1002" s="137"/>
      <c r="G1002" s="137"/>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7"/>
      <c r="B1003" s="137"/>
      <c r="C1003" s="137"/>
      <c r="D1003" s="137"/>
      <c r="E1003" s="137"/>
      <c r="F1003" s="137"/>
      <c r="G1003" s="137"/>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7"/>
      <c r="B1004" s="137"/>
      <c r="C1004" s="137"/>
      <c r="D1004" s="137"/>
      <c r="E1004" s="137"/>
      <c r="F1004" s="137"/>
      <c r="G1004" s="137"/>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7"/>
      <c r="B1005" s="137"/>
      <c r="C1005" s="137"/>
      <c r="D1005" s="137"/>
      <c r="E1005" s="137"/>
      <c r="F1005" s="137"/>
      <c r="G1005" s="137"/>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7"/>
      <c r="B1006" s="137"/>
      <c r="C1006" s="137"/>
      <c r="D1006" s="137"/>
      <c r="E1006" s="137"/>
      <c r="F1006" s="137"/>
      <c r="G1006" s="137"/>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7"/>
      <c r="B1007" s="137"/>
      <c r="C1007" s="137"/>
      <c r="D1007" s="137"/>
      <c r="E1007" s="137"/>
      <c r="F1007" s="137"/>
      <c r="G1007" s="137"/>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7"/>
      <c r="B1008" s="137"/>
      <c r="C1008" s="137"/>
      <c r="D1008" s="137"/>
      <c r="E1008" s="137"/>
      <c r="F1008" s="137"/>
      <c r="G1008" s="137"/>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7"/>
      <c r="B1009" s="137"/>
      <c r="C1009" s="137"/>
      <c r="D1009" s="137"/>
      <c r="E1009" s="137"/>
      <c r="F1009" s="137"/>
      <c r="G1009" s="137"/>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7"/>
      <c r="B1010" s="137"/>
      <c r="C1010" s="137"/>
      <c r="D1010" s="137"/>
      <c r="E1010" s="137"/>
      <c r="F1010" s="137"/>
      <c r="G1010" s="137"/>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7"/>
      <c r="B1011" s="137"/>
      <c r="C1011" s="137"/>
      <c r="D1011" s="137"/>
      <c r="E1011" s="137"/>
      <c r="F1011" s="137"/>
      <c r="G1011" s="137"/>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7"/>
      <c r="B1012" s="137"/>
      <c r="C1012" s="137"/>
      <c r="D1012" s="137"/>
      <c r="E1012" s="137"/>
      <c r="F1012" s="137"/>
      <c r="G1012" s="137"/>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7"/>
      <c r="B1013" s="137"/>
      <c r="C1013" s="137"/>
      <c r="D1013" s="137"/>
      <c r="E1013" s="137"/>
      <c r="F1013" s="137"/>
      <c r="G1013" s="137"/>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7"/>
      <c r="B1014" s="137"/>
      <c r="C1014" s="137"/>
      <c r="D1014" s="137"/>
      <c r="E1014" s="137"/>
      <c r="F1014" s="137"/>
      <c r="G1014" s="137"/>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7"/>
      <c r="B1015" s="137"/>
      <c r="C1015" s="137"/>
      <c r="D1015" s="137"/>
      <c r="E1015" s="137"/>
      <c r="F1015" s="137"/>
      <c r="G1015" s="137"/>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7"/>
      <c r="B1016" s="137"/>
      <c r="C1016" s="137"/>
      <c r="D1016" s="137"/>
      <c r="E1016" s="137"/>
      <c r="F1016" s="137"/>
      <c r="G1016" s="137"/>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7"/>
      <c r="B1017" s="137"/>
      <c r="C1017" s="137"/>
      <c r="D1017" s="137"/>
      <c r="E1017" s="137"/>
      <c r="F1017" s="137"/>
      <c r="G1017" s="137"/>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7"/>
      <c r="B1018" s="137"/>
      <c r="C1018" s="137"/>
      <c r="D1018" s="137"/>
      <c r="E1018" s="137"/>
      <c r="F1018" s="137"/>
      <c r="G1018" s="137"/>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7"/>
      <c r="B1019" s="137"/>
      <c r="C1019" s="137"/>
      <c r="D1019" s="137"/>
      <c r="E1019" s="137"/>
      <c r="F1019" s="137"/>
      <c r="G1019" s="137"/>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7"/>
      <c r="B1020" s="137"/>
      <c r="C1020" s="137"/>
      <c r="D1020" s="137"/>
      <c r="E1020" s="137"/>
      <c r="F1020" s="137"/>
      <c r="G1020" s="137"/>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7"/>
      <c r="B1021" s="137"/>
      <c r="C1021" s="137"/>
      <c r="D1021" s="137"/>
      <c r="E1021" s="137"/>
      <c r="F1021" s="137"/>
      <c r="G1021" s="137"/>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7"/>
      <c r="B1022" s="137"/>
      <c r="C1022" s="137"/>
      <c r="D1022" s="137"/>
      <c r="E1022" s="137"/>
      <c r="F1022" s="137"/>
      <c r="G1022" s="137"/>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7"/>
      <c r="B1023" s="137"/>
      <c r="C1023" s="137"/>
      <c r="D1023" s="137"/>
      <c r="E1023" s="137"/>
      <c r="F1023" s="137"/>
      <c r="G1023" s="137"/>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7"/>
      <c r="B1024" s="137"/>
      <c r="C1024" s="137"/>
      <c r="D1024" s="137"/>
      <c r="E1024" s="137"/>
      <c r="F1024" s="137"/>
      <c r="G1024" s="137"/>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7"/>
      <c r="B1025" s="137"/>
      <c r="C1025" s="137"/>
      <c r="D1025" s="137"/>
      <c r="E1025" s="137"/>
      <c r="F1025" s="137"/>
      <c r="G1025" s="137"/>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7"/>
      <c r="B1026" s="137"/>
      <c r="C1026" s="137"/>
      <c r="D1026" s="137"/>
      <c r="E1026" s="137"/>
      <c r="F1026" s="137"/>
      <c r="G1026" s="137"/>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7"/>
      <c r="B1027" s="137"/>
      <c r="C1027" s="137"/>
      <c r="D1027" s="137"/>
      <c r="E1027" s="137"/>
      <c r="F1027" s="137"/>
      <c r="G1027" s="137"/>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7"/>
      <c r="B1028" s="137"/>
      <c r="C1028" s="137"/>
      <c r="D1028" s="137"/>
      <c r="E1028" s="137"/>
      <c r="F1028" s="137"/>
      <c r="G1028" s="137"/>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7"/>
      <c r="B1029" s="137"/>
      <c r="C1029" s="137"/>
      <c r="D1029" s="137"/>
      <c r="E1029" s="137"/>
      <c r="F1029" s="137"/>
      <c r="G1029" s="137"/>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7"/>
      <c r="B1030" s="137"/>
      <c r="C1030" s="137"/>
      <c r="D1030" s="137"/>
      <c r="E1030" s="137"/>
      <c r="F1030" s="137"/>
      <c r="G1030" s="137"/>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7"/>
      <c r="B1031" s="137"/>
      <c r="C1031" s="137"/>
      <c r="D1031" s="137"/>
      <c r="E1031" s="137"/>
      <c r="F1031" s="137"/>
      <c r="G1031" s="137"/>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7"/>
      <c r="B1032" s="137"/>
      <c r="C1032" s="137"/>
      <c r="D1032" s="137"/>
      <c r="E1032" s="137"/>
      <c r="F1032" s="137"/>
      <c r="G1032" s="137"/>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7"/>
      <c r="B1033" s="137"/>
      <c r="C1033" s="137"/>
      <c r="D1033" s="137"/>
      <c r="E1033" s="137"/>
      <c r="F1033" s="137"/>
      <c r="G1033" s="137"/>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7"/>
      <c r="B1034" s="137"/>
      <c r="C1034" s="137"/>
      <c r="D1034" s="137"/>
      <c r="E1034" s="137"/>
      <c r="F1034" s="137"/>
      <c r="G1034" s="137"/>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7"/>
      <c r="B1035" s="137"/>
      <c r="C1035" s="137"/>
      <c r="D1035" s="137"/>
      <c r="E1035" s="137"/>
      <c r="F1035" s="137"/>
      <c r="G1035" s="137"/>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7"/>
      <c r="B1036" s="137"/>
      <c r="C1036" s="137"/>
      <c r="D1036" s="137"/>
      <c r="E1036" s="137"/>
      <c r="F1036" s="137"/>
      <c r="G1036" s="137"/>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7"/>
      <c r="B1037" s="137"/>
      <c r="C1037" s="137"/>
      <c r="D1037" s="137"/>
      <c r="E1037" s="137"/>
      <c r="F1037" s="137"/>
      <c r="G1037" s="137"/>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7"/>
      <c r="B1038" s="137"/>
      <c r="C1038" s="137"/>
      <c r="D1038" s="137"/>
      <c r="E1038" s="137"/>
      <c r="F1038" s="137"/>
      <c r="G1038" s="137"/>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7"/>
      <c r="B1039" s="137"/>
      <c r="C1039" s="137"/>
      <c r="D1039" s="137"/>
      <c r="E1039" s="137"/>
      <c r="F1039" s="137"/>
      <c r="G1039" s="137"/>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7"/>
      <c r="B1040" s="137"/>
      <c r="C1040" s="137"/>
      <c r="D1040" s="137"/>
      <c r="E1040" s="137"/>
      <c r="F1040" s="137"/>
      <c r="G1040" s="137"/>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7"/>
      <c r="B1041" s="137"/>
      <c r="C1041" s="137"/>
      <c r="D1041" s="137"/>
      <c r="E1041" s="137"/>
      <c r="F1041" s="137"/>
      <c r="G1041" s="137"/>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7"/>
      <c r="B1042" s="137"/>
      <c r="C1042" s="137"/>
      <c r="D1042" s="137"/>
      <c r="E1042" s="137"/>
      <c r="F1042" s="137"/>
      <c r="G1042" s="137"/>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7"/>
      <c r="B1043" s="137"/>
      <c r="C1043" s="137"/>
      <c r="D1043" s="137"/>
      <c r="E1043" s="137"/>
      <c r="F1043" s="137"/>
      <c r="G1043" s="137"/>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7"/>
      <c r="B1044" s="137"/>
      <c r="C1044" s="137"/>
      <c r="D1044" s="137"/>
      <c r="E1044" s="137"/>
      <c r="F1044" s="137"/>
      <c r="G1044" s="137"/>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7"/>
      <c r="B1045" s="137"/>
      <c r="C1045" s="137"/>
      <c r="D1045" s="137"/>
      <c r="E1045" s="137"/>
      <c r="F1045" s="137"/>
      <c r="G1045" s="137"/>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7"/>
      <c r="B1046" s="137"/>
      <c r="C1046" s="137"/>
      <c r="D1046" s="137"/>
      <c r="E1046" s="137"/>
      <c r="F1046" s="137"/>
      <c r="G1046" s="137"/>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7"/>
      <c r="B1047" s="137"/>
      <c r="C1047" s="137"/>
      <c r="D1047" s="137"/>
      <c r="E1047" s="137"/>
      <c r="F1047" s="137"/>
      <c r="G1047" s="137"/>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7"/>
      <c r="B1048" s="137"/>
      <c r="C1048" s="137"/>
      <c r="D1048" s="137"/>
      <c r="E1048" s="137"/>
      <c r="F1048" s="137"/>
      <c r="G1048" s="137"/>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7"/>
      <c r="B1049" s="137"/>
      <c r="C1049" s="137"/>
      <c r="D1049" s="137"/>
      <c r="E1049" s="137"/>
      <c r="F1049" s="137"/>
      <c r="G1049" s="137"/>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7"/>
      <c r="B1050" s="137"/>
      <c r="C1050" s="137"/>
      <c r="D1050" s="137"/>
      <c r="E1050" s="137"/>
      <c r="F1050" s="137"/>
      <c r="G1050" s="137"/>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7"/>
      <c r="B1051" s="137"/>
      <c r="C1051" s="137"/>
      <c r="D1051" s="137"/>
      <c r="E1051" s="137"/>
      <c r="F1051" s="137"/>
      <c r="G1051" s="137"/>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7"/>
      <c r="B1052" s="137"/>
      <c r="C1052" s="137"/>
      <c r="D1052" s="137"/>
      <c r="E1052" s="137"/>
      <c r="F1052" s="137"/>
      <c r="G1052" s="137"/>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7"/>
      <c r="B1053" s="137"/>
      <c r="C1053" s="137"/>
      <c r="D1053" s="137"/>
      <c r="E1053" s="137"/>
      <c r="F1053" s="137"/>
      <c r="G1053" s="137"/>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7"/>
      <c r="B1054" s="137"/>
      <c r="C1054" s="137"/>
      <c r="D1054" s="137"/>
      <c r="E1054" s="137"/>
      <c r="F1054" s="137"/>
      <c r="G1054" s="137"/>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7"/>
      <c r="B1055" s="137"/>
      <c r="C1055" s="137"/>
      <c r="D1055" s="137"/>
      <c r="E1055" s="137"/>
      <c r="F1055" s="137"/>
      <c r="G1055" s="137"/>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7"/>
      <c r="B1056" s="137"/>
      <c r="C1056" s="137"/>
      <c r="D1056" s="137"/>
      <c r="E1056" s="137"/>
      <c r="F1056" s="137"/>
      <c r="G1056" s="137"/>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7"/>
      <c r="B1057" s="137"/>
      <c r="C1057" s="137"/>
      <c r="D1057" s="137"/>
      <c r="E1057" s="137"/>
      <c r="F1057" s="137"/>
      <c r="G1057" s="137"/>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7"/>
      <c r="B1058" s="137"/>
      <c r="C1058" s="137"/>
      <c r="D1058" s="137"/>
      <c r="E1058" s="137"/>
      <c r="F1058" s="137"/>
      <c r="G1058" s="137"/>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7"/>
      <c r="B1059" s="137"/>
      <c r="C1059" s="137"/>
      <c r="D1059" s="137"/>
      <c r="E1059" s="137"/>
      <c r="F1059" s="137"/>
      <c r="G1059" s="137"/>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7"/>
      <c r="B1060" s="137"/>
      <c r="C1060" s="137"/>
      <c r="D1060" s="137"/>
      <c r="E1060" s="137"/>
      <c r="F1060" s="137"/>
      <c r="G1060" s="137"/>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7"/>
      <c r="B1061" s="137"/>
      <c r="C1061" s="137"/>
      <c r="D1061" s="137"/>
      <c r="E1061" s="137"/>
      <c r="F1061" s="137"/>
      <c r="G1061" s="137"/>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7"/>
      <c r="B1062" s="137"/>
      <c r="C1062" s="137"/>
      <c r="D1062" s="137"/>
      <c r="E1062" s="137"/>
      <c r="F1062" s="137"/>
      <c r="G1062" s="137"/>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7"/>
      <c r="B1063" s="137"/>
      <c r="C1063" s="137"/>
      <c r="D1063" s="137"/>
      <c r="E1063" s="137"/>
      <c r="F1063" s="137"/>
      <c r="G1063" s="137"/>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7"/>
      <c r="B1064" s="137"/>
      <c r="C1064" s="137"/>
      <c r="D1064" s="137"/>
      <c r="E1064" s="137"/>
      <c r="F1064" s="137"/>
      <c r="G1064" s="137"/>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7"/>
      <c r="B1065" s="137"/>
      <c r="C1065" s="137"/>
      <c r="D1065" s="137"/>
      <c r="E1065" s="137"/>
      <c r="F1065" s="137"/>
      <c r="G1065" s="137"/>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7"/>
      <c r="B1066" s="137"/>
      <c r="C1066" s="137"/>
      <c r="D1066" s="137"/>
      <c r="E1066" s="137"/>
      <c r="F1066" s="137"/>
      <c r="G1066" s="137"/>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7"/>
      <c r="B1067" s="137"/>
      <c r="C1067" s="137"/>
      <c r="D1067" s="137"/>
      <c r="E1067" s="137"/>
      <c r="F1067" s="137"/>
      <c r="G1067" s="137"/>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7"/>
      <c r="B1068" s="137"/>
      <c r="C1068" s="137"/>
      <c r="D1068" s="137"/>
      <c r="E1068" s="137"/>
      <c r="F1068" s="137"/>
      <c r="G1068" s="137"/>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7"/>
      <c r="B1069" s="137"/>
      <c r="C1069" s="137"/>
      <c r="D1069" s="137"/>
      <c r="E1069" s="137"/>
      <c r="F1069" s="137"/>
      <c r="G1069" s="137"/>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7"/>
      <c r="B1070" s="137"/>
      <c r="C1070" s="137"/>
      <c r="D1070" s="137"/>
      <c r="E1070" s="137"/>
      <c r="F1070" s="137"/>
      <c r="G1070" s="137"/>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7"/>
      <c r="B1071" s="137"/>
      <c r="C1071" s="137"/>
      <c r="D1071" s="137"/>
      <c r="E1071" s="137"/>
      <c r="F1071" s="137"/>
      <c r="G1071" s="137"/>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7"/>
      <c r="B1072" s="137"/>
      <c r="C1072" s="137"/>
      <c r="D1072" s="137"/>
      <c r="E1072" s="137"/>
      <c r="F1072" s="137"/>
      <c r="G1072" s="137"/>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7"/>
      <c r="B1073" s="137"/>
      <c r="C1073" s="137"/>
      <c r="D1073" s="137"/>
      <c r="E1073" s="137"/>
      <c r="F1073" s="137"/>
      <c r="G1073" s="137"/>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7"/>
      <c r="B1074" s="137"/>
      <c r="C1074" s="137"/>
      <c r="D1074" s="137"/>
      <c r="E1074" s="137"/>
      <c r="F1074" s="137"/>
      <c r="G1074" s="137"/>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7"/>
      <c r="B1075" s="137"/>
      <c r="C1075" s="137"/>
      <c r="D1075" s="137"/>
      <c r="E1075" s="137"/>
      <c r="F1075" s="137"/>
      <c r="G1075" s="137"/>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7"/>
      <c r="B1076" s="137"/>
      <c r="C1076" s="137"/>
      <c r="D1076" s="137"/>
      <c r="E1076" s="137"/>
      <c r="F1076" s="137"/>
      <c r="G1076" s="137"/>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7"/>
      <c r="B1077" s="137"/>
      <c r="C1077" s="137"/>
      <c r="D1077" s="137"/>
      <c r="E1077" s="137"/>
      <c r="F1077" s="137"/>
      <c r="G1077" s="137"/>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7"/>
      <c r="B1078" s="137"/>
      <c r="C1078" s="137"/>
      <c r="D1078" s="137"/>
      <c r="E1078" s="137"/>
      <c r="F1078" s="137"/>
      <c r="G1078" s="137"/>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7"/>
      <c r="B1079" s="137"/>
      <c r="C1079" s="137"/>
      <c r="D1079" s="137"/>
      <c r="E1079" s="137"/>
      <c r="F1079" s="137"/>
      <c r="G1079" s="137"/>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7"/>
      <c r="B1080" s="137"/>
      <c r="C1080" s="137"/>
      <c r="D1080" s="137"/>
      <c r="E1080" s="137"/>
      <c r="F1080" s="137"/>
      <c r="G1080" s="137"/>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7"/>
      <c r="B1081" s="137"/>
      <c r="C1081" s="137"/>
      <c r="D1081" s="137"/>
      <c r="E1081" s="137"/>
      <c r="F1081" s="137"/>
      <c r="G1081" s="137"/>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7"/>
      <c r="B1082" s="137"/>
      <c r="C1082" s="137"/>
      <c r="D1082" s="137"/>
      <c r="E1082" s="137"/>
      <c r="F1082" s="137"/>
      <c r="G1082" s="137"/>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7"/>
      <c r="B1083" s="137"/>
      <c r="C1083" s="137"/>
      <c r="D1083" s="137"/>
      <c r="E1083" s="137"/>
      <c r="F1083" s="137"/>
      <c r="G1083" s="137"/>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7"/>
      <c r="B1084" s="137"/>
      <c r="C1084" s="137"/>
      <c r="D1084" s="137"/>
      <c r="E1084" s="137"/>
      <c r="F1084" s="137"/>
      <c r="G1084" s="137"/>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7"/>
      <c r="B1085" s="137"/>
      <c r="C1085" s="137"/>
      <c r="D1085" s="137"/>
      <c r="E1085" s="137"/>
      <c r="F1085" s="137"/>
      <c r="G1085" s="137"/>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7"/>
      <c r="B1086" s="137"/>
      <c r="C1086" s="137"/>
      <c r="D1086" s="137"/>
      <c r="E1086" s="137"/>
      <c r="F1086" s="137"/>
      <c r="G1086" s="137"/>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7"/>
      <c r="B1087" s="137"/>
      <c r="C1087" s="137"/>
      <c r="D1087" s="137"/>
      <c r="E1087" s="137"/>
      <c r="F1087" s="137"/>
      <c r="G1087" s="137"/>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7"/>
      <c r="B1088" s="137"/>
      <c r="C1088" s="137"/>
      <c r="D1088" s="137"/>
      <c r="E1088" s="137"/>
      <c r="F1088" s="137"/>
      <c r="G1088" s="137"/>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7"/>
      <c r="B1089" s="137"/>
      <c r="C1089" s="137"/>
      <c r="D1089" s="137"/>
      <c r="E1089" s="137"/>
      <c r="F1089" s="137"/>
      <c r="G1089" s="137"/>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7"/>
      <c r="B1090" s="137"/>
      <c r="C1090" s="137"/>
      <c r="D1090" s="137"/>
      <c r="E1090" s="137"/>
      <c r="F1090" s="137"/>
      <c r="G1090" s="137"/>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7"/>
      <c r="B1091" s="137"/>
      <c r="C1091" s="137"/>
      <c r="D1091" s="137"/>
      <c r="E1091" s="137"/>
      <c r="F1091" s="137"/>
      <c r="G1091" s="137"/>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7"/>
      <c r="B1092" s="137"/>
      <c r="C1092" s="137"/>
      <c r="D1092" s="137"/>
      <c r="E1092" s="137"/>
      <c r="F1092" s="137"/>
      <c r="G1092" s="137"/>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7"/>
      <c r="B1093" s="137"/>
      <c r="C1093" s="137"/>
      <c r="D1093" s="137"/>
      <c r="E1093" s="137"/>
      <c r="F1093" s="137"/>
      <c r="G1093" s="137"/>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7"/>
      <c r="B1094" s="137"/>
      <c r="C1094" s="137"/>
      <c r="D1094" s="137"/>
      <c r="E1094" s="137"/>
      <c r="F1094" s="137"/>
      <c r="G1094" s="137"/>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7"/>
      <c r="B1095" s="137"/>
      <c r="C1095" s="137"/>
      <c r="D1095" s="137"/>
      <c r="E1095" s="137"/>
      <c r="F1095" s="137"/>
      <c r="G1095" s="137"/>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7"/>
      <c r="B1096" s="137"/>
      <c r="C1096" s="137"/>
      <c r="D1096" s="137"/>
      <c r="E1096" s="137"/>
      <c r="F1096" s="137"/>
      <c r="G1096" s="137"/>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7"/>
      <c r="B1097" s="137"/>
      <c r="C1097" s="137"/>
      <c r="D1097" s="137"/>
      <c r="E1097" s="137"/>
      <c r="F1097" s="137"/>
      <c r="G1097" s="137"/>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7"/>
      <c r="B1098" s="137"/>
      <c r="C1098" s="137"/>
      <c r="D1098" s="137"/>
      <c r="E1098" s="137"/>
      <c r="F1098" s="137"/>
      <c r="G1098" s="137"/>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7"/>
      <c r="B1099" s="137"/>
      <c r="C1099" s="137"/>
      <c r="D1099" s="137"/>
      <c r="E1099" s="137"/>
      <c r="F1099" s="137"/>
      <c r="G1099" s="137"/>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7"/>
      <c r="B1100" s="137"/>
      <c r="C1100" s="137"/>
      <c r="D1100" s="137"/>
      <c r="E1100" s="137"/>
      <c r="F1100" s="137"/>
      <c r="G1100" s="137"/>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7"/>
      <c r="B1101" s="137"/>
      <c r="C1101" s="137"/>
      <c r="D1101" s="137"/>
      <c r="E1101" s="137"/>
      <c r="F1101" s="137"/>
      <c r="G1101" s="137"/>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7"/>
      <c r="B1102" s="137"/>
      <c r="C1102" s="137"/>
      <c r="D1102" s="137"/>
      <c r="E1102" s="137"/>
      <c r="F1102" s="137"/>
      <c r="G1102" s="137"/>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7"/>
      <c r="B1103" s="137"/>
      <c r="C1103" s="137"/>
      <c r="D1103" s="137"/>
      <c r="E1103" s="137"/>
      <c r="F1103" s="137"/>
      <c r="G1103" s="137"/>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7"/>
      <c r="B1104" s="137"/>
      <c r="C1104" s="137"/>
      <c r="D1104" s="137"/>
      <c r="E1104" s="137"/>
      <c r="F1104" s="137"/>
      <c r="G1104" s="137"/>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7"/>
      <c r="B1105" s="137"/>
      <c r="C1105" s="137"/>
      <c r="D1105" s="137"/>
      <c r="E1105" s="137"/>
      <c r="F1105" s="137"/>
      <c r="G1105" s="137"/>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7"/>
      <c r="B1106" s="137"/>
      <c r="C1106" s="137"/>
      <c r="D1106" s="137"/>
      <c r="E1106" s="137"/>
      <c r="F1106" s="137"/>
      <c r="G1106" s="137"/>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7"/>
      <c r="B1107" s="137"/>
      <c r="C1107" s="137"/>
      <c r="D1107" s="137"/>
      <c r="E1107" s="137"/>
      <c r="F1107" s="137"/>
      <c r="G1107" s="137"/>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7"/>
      <c r="B1108" s="137"/>
      <c r="C1108" s="137"/>
      <c r="D1108" s="137"/>
      <c r="E1108" s="137"/>
      <c r="F1108" s="137"/>
      <c r="G1108" s="137"/>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7"/>
      <c r="B1109" s="137"/>
      <c r="C1109" s="137"/>
      <c r="D1109" s="137"/>
      <c r="E1109" s="137"/>
      <c r="F1109" s="137"/>
      <c r="G1109" s="137"/>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7"/>
      <c r="B1110" s="137"/>
      <c r="C1110" s="137"/>
      <c r="D1110" s="137"/>
      <c r="E1110" s="137"/>
      <c r="F1110" s="137"/>
      <c r="G1110" s="137"/>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7"/>
      <c r="B1111" s="137"/>
      <c r="C1111" s="137"/>
      <c r="D1111" s="137"/>
      <c r="E1111" s="137"/>
      <c r="F1111" s="137"/>
      <c r="G1111" s="137"/>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7"/>
      <c r="B1112" s="137"/>
      <c r="C1112" s="137"/>
      <c r="D1112" s="137"/>
      <c r="E1112" s="137"/>
      <c r="F1112" s="137"/>
      <c r="G1112" s="137"/>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7"/>
      <c r="B1113" s="137"/>
      <c r="C1113" s="137"/>
      <c r="D1113" s="137"/>
      <c r="E1113" s="137"/>
      <c r="F1113" s="137"/>
      <c r="G1113" s="137"/>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7"/>
      <c r="B1114" s="137"/>
      <c r="C1114" s="137"/>
      <c r="D1114" s="137"/>
      <c r="E1114" s="137"/>
      <c r="F1114" s="137"/>
      <c r="G1114" s="137"/>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7"/>
      <c r="B1115" s="137"/>
      <c r="C1115" s="137"/>
      <c r="D1115" s="137"/>
      <c r="E1115" s="137"/>
      <c r="F1115" s="137"/>
      <c r="G1115" s="137"/>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7"/>
      <c r="B1116" s="137"/>
      <c r="C1116" s="137"/>
      <c r="D1116" s="137"/>
      <c r="E1116" s="137"/>
      <c r="F1116" s="137"/>
      <c r="G1116" s="137"/>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7"/>
      <c r="B1117" s="137"/>
      <c r="C1117" s="137"/>
      <c r="D1117" s="137"/>
      <c r="E1117" s="137"/>
      <c r="F1117" s="137"/>
      <c r="G1117" s="137"/>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7"/>
      <c r="B1118" s="137"/>
      <c r="C1118" s="137"/>
      <c r="D1118" s="137"/>
      <c r="E1118" s="137"/>
      <c r="F1118" s="137"/>
      <c r="G1118" s="137"/>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7"/>
      <c r="B1119" s="137"/>
      <c r="C1119" s="137"/>
      <c r="D1119" s="137"/>
      <c r="E1119" s="137"/>
      <c r="F1119" s="137"/>
      <c r="G1119" s="137"/>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7"/>
      <c r="B1120" s="137"/>
      <c r="C1120" s="137"/>
      <c r="D1120" s="137"/>
      <c r="E1120" s="137"/>
      <c r="F1120" s="137"/>
      <c r="G1120" s="137"/>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7"/>
      <c r="B1121" s="137"/>
      <c r="C1121" s="137"/>
      <c r="D1121" s="137"/>
      <c r="E1121" s="137"/>
      <c r="F1121" s="137"/>
      <c r="G1121" s="137"/>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7"/>
      <c r="B1122" s="137"/>
      <c r="C1122" s="137"/>
      <c r="D1122" s="137"/>
      <c r="E1122" s="137"/>
      <c r="F1122" s="137"/>
      <c r="G1122" s="137"/>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7"/>
      <c r="B1123" s="137"/>
      <c r="C1123" s="137"/>
      <c r="D1123" s="137"/>
      <c r="E1123" s="137"/>
      <c r="F1123" s="137"/>
      <c r="G1123" s="137"/>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7"/>
      <c r="B1124" s="137"/>
      <c r="C1124" s="137"/>
      <c r="D1124" s="137"/>
      <c r="E1124" s="137"/>
      <c r="F1124" s="137"/>
      <c r="G1124" s="137"/>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7"/>
      <c r="B1125" s="137"/>
      <c r="C1125" s="137"/>
      <c r="D1125" s="137"/>
      <c r="E1125" s="137"/>
      <c r="F1125" s="137"/>
      <c r="G1125" s="137"/>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7"/>
      <c r="B1126" s="137"/>
      <c r="C1126" s="137"/>
      <c r="D1126" s="137"/>
      <c r="E1126" s="137"/>
      <c r="F1126" s="137"/>
      <c r="G1126" s="137"/>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7"/>
      <c r="B1127" s="137"/>
      <c r="C1127" s="137"/>
      <c r="D1127" s="137"/>
      <c r="E1127" s="137"/>
      <c r="F1127" s="137"/>
      <c r="G1127" s="137"/>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7"/>
      <c r="B1128" s="137"/>
      <c r="C1128" s="137"/>
      <c r="D1128" s="137"/>
      <c r="E1128" s="137"/>
      <c r="F1128" s="137"/>
      <c r="G1128" s="137"/>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7"/>
      <c r="B1129" s="137"/>
      <c r="C1129" s="137"/>
      <c r="D1129" s="137"/>
      <c r="E1129" s="137"/>
      <c r="F1129" s="137"/>
      <c r="G1129" s="137"/>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7"/>
      <c r="B1130" s="137"/>
      <c r="C1130" s="137"/>
      <c r="D1130" s="137"/>
      <c r="E1130" s="137"/>
      <c r="F1130" s="137"/>
      <c r="G1130" s="137"/>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7"/>
      <c r="B1131" s="137"/>
      <c r="C1131" s="137"/>
      <c r="D1131" s="137"/>
      <c r="E1131" s="137"/>
      <c r="F1131" s="137"/>
      <c r="G1131" s="137"/>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7"/>
      <c r="B1132" s="137"/>
      <c r="C1132" s="137"/>
      <c r="D1132" s="137"/>
      <c r="E1132" s="137"/>
      <c r="F1132" s="137"/>
      <c r="G1132" s="137"/>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7"/>
      <c r="B1133" s="137"/>
      <c r="C1133" s="137"/>
      <c r="D1133" s="137"/>
      <c r="E1133" s="137"/>
      <c r="F1133" s="137"/>
      <c r="G1133" s="137"/>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7"/>
      <c r="B1134" s="137"/>
      <c r="C1134" s="137"/>
      <c r="D1134" s="137"/>
      <c r="E1134" s="137"/>
      <c r="F1134" s="137"/>
      <c r="G1134" s="137"/>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7"/>
      <c r="B1135" s="137"/>
      <c r="C1135" s="137"/>
      <c r="D1135" s="137"/>
      <c r="E1135" s="137"/>
      <c r="F1135" s="137"/>
      <c r="G1135" s="137"/>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7"/>
      <c r="B1136" s="137"/>
      <c r="C1136" s="137"/>
      <c r="D1136" s="137"/>
      <c r="E1136" s="137"/>
      <c r="F1136" s="137"/>
      <c r="G1136" s="137"/>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7"/>
      <c r="B1137" s="137"/>
      <c r="C1137" s="137"/>
      <c r="D1137" s="137"/>
      <c r="E1137" s="137"/>
      <c r="F1137" s="137"/>
      <c r="G1137" s="137"/>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7"/>
      <c r="B1138" s="137"/>
      <c r="C1138" s="137"/>
      <c r="D1138" s="137"/>
      <c r="E1138" s="137"/>
      <c r="F1138" s="137"/>
      <c r="G1138" s="137"/>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7"/>
      <c r="B1139" s="137"/>
      <c r="C1139" s="137"/>
      <c r="D1139" s="137"/>
      <c r="E1139" s="137"/>
      <c r="F1139" s="137"/>
      <c r="G1139" s="137"/>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7"/>
      <c r="B1140" s="137"/>
      <c r="C1140" s="137"/>
      <c r="D1140" s="137"/>
      <c r="E1140" s="137"/>
      <c r="F1140" s="137"/>
      <c r="G1140" s="137"/>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7"/>
      <c r="B1141" s="137"/>
      <c r="C1141" s="137"/>
      <c r="D1141" s="137"/>
      <c r="E1141" s="137"/>
      <c r="F1141" s="137"/>
      <c r="G1141" s="137"/>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7"/>
      <c r="B1142" s="137"/>
      <c r="C1142" s="137"/>
      <c r="D1142" s="137"/>
      <c r="E1142" s="137"/>
      <c r="F1142" s="137"/>
      <c r="G1142" s="137"/>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7"/>
      <c r="B1143" s="137"/>
      <c r="C1143" s="137"/>
      <c r="D1143" s="137"/>
      <c r="E1143" s="137"/>
      <c r="F1143" s="137"/>
      <c r="G1143" s="137"/>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7"/>
      <c r="B1144" s="137"/>
      <c r="C1144" s="137"/>
      <c r="D1144" s="137"/>
      <c r="E1144" s="137"/>
      <c r="F1144" s="137"/>
      <c r="G1144" s="137"/>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7"/>
      <c r="B1145" s="137"/>
      <c r="C1145" s="137"/>
      <c r="D1145" s="137"/>
      <c r="E1145" s="137"/>
      <c r="F1145" s="137"/>
      <c r="G1145" s="137"/>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7"/>
      <c r="B1146" s="137"/>
      <c r="C1146" s="137"/>
      <c r="D1146" s="137"/>
      <c r="E1146" s="137"/>
      <c r="F1146" s="137"/>
      <c r="G1146" s="137"/>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7"/>
      <c r="B1147" s="137"/>
      <c r="C1147" s="137"/>
      <c r="D1147" s="137"/>
      <c r="E1147" s="137"/>
      <c r="F1147" s="137"/>
      <c r="G1147" s="137"/>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7"/>
      <c r="B1148" s="137"/>
      <c r="C1148" s="137"/>
      <c r="D1148" s="137"/>
      <c r="E1148" s="137"/>
      <c r="F1148" s="137"/>
      <c r="G1148" s="137"/>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7"/>
      <c r="B1149" s="137"/>
      <c r="C1149" s="137"/>
      <c r="D1149" s="137"/>
      <c r="E1149" s="137"/>
      <c r="F1149" s="137"/>
      <c r="G1149" s="137"/>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7"/>
      <c r="B1150" s="137"/>
      <c r="C1150" s="137"/>
      <c r="D1150" s="137"/>
      <c r="E1150" s="137"/>
      <c r="F1150" s="137"/>
      <c r="G1150" s="137"/>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7"/>
      <c r="B1151" s="137"/>
      <c r="C1151" s="137"/>
      <c r="D1151" s="137"/>
      <c r="E1151" s="137"/>
      <c r="F1151" s="137"/>
      <c r="G1151" s="137"/>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7"/>
      <c r="B1152" s="137"/>
      <c r="C1152" s="137"/>
      <c r="D1152" s="137"/>
      <c r="E1152" s="137"/>
      <c r="F1152" s="137"/>
      <c r="G1152" s="137"/>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7"/>
      <c r="B1153" s="137"/>
      <c r="C1153" s="137"/>
      <c r="D1153" s="137"/>
      <c r="E1153" s="137"/>
      <c r="F1153" s="137"/>
      <c r="G1153" s="137"/>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7"/>
      <c r="B1154" s="137"/>
      <c r="C1154" s="137"/>
      <c r="D1154" s="137"/>
      <c r="E1154" s="137"/>
      <c r="F1154" s="137"/>
      <c r="G1154" s="137"/>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7"/>
      <c r="B1155" s="137"/>
      <c r="C1155" s="137"/>
      <c r="D1155" s="137"/>
      <c r="E1155" s="137"/>
      <c r="F1155" s="137"/>
      <c r="G1155" s="137"/>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7"/>
      <c r="B1156" s="137"/>
      <c r="C1156" s="137"/>
      <c r="D1156" s="137"/>
      <c r="E1156" s="137"/>
      <c r="F1156" s="137"/>
      <c r="G1156" s="137"/>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7"/>
      <c r="B1157" s="137"/>
      <c r="C1157" s="137"/>
      <c r="D1157" s="137"/>
      <c r="E1157" s="137"/>
      <c r="F1157" s="137"/>
      <c r="G1157" s="137"/>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7"/>
      <c r="B1158" s="137"/>
      <c r="C1158" s="137"/>
      <c r="D1158" s="137"/>
      <c r="E1158" s="137"/>
      <c r="F1158" s="137"/>
      <c r="G1158" s="137"/>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7"/>
      <c r="B1159" s="137"/>
      <c r="C1159" s="137"/>
      <c r="D1159" s="137"/>
      <c r="E1159" s="137"/>
      <c r="F1159" s="137"/>
      <c r="G1159" s="137"/>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7"/>
      <c r="B1160" s="137"/>
      <c r="C1160" s="137"/>
      <c r="D1160" s="137"/>
      <c r="E1160" s="137"/>
      <c r="F1160" s="137"/>
      <c r="G1160" s="137"/>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7"/>
      <c r="B1161" s="137"/>
      <c r="C1161" s="137"/>
      <c r="D1161" s="137"/>
      <c r="E1161" s="137"/>
      <c r="F1161" s="137"/>
      <c r="G1161" s="137"/>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7"/>
      <c r="B1162" s="137"/>
      <c r="C1162" s="137"/>
      <c r="D1162" s="137"/>
      <c r="E1162" s="137"/>
      <c r="F1162" s="137"/>
      <c r="G1162" s="137"/>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7"/>
      <c r="B1163" s="137"/>
      <c r="C1163" s="137"/>
      <c r="D1163" s="137"/>
      <c r="E1163" s="137"/>
      <c r="F1163" s="137"/>
      <c r="G1163" s="137"/>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7"/>
      <c r="B1164" s="137"/>
      <c r="C1164" s="137"/>
      <c r="D1164" s="137"/>
      <c r="E1164" s="137"/>
      <c r="F1164" s="137"/>
      <c r="G1164" s="137"/>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7"/>
      <c r="B1165" s="137"/>
      <c r="C1165" s="137"/>
      <c r="D1165" s="137"/>
      <c r="E1165" s="137"/>
      <c r="F1165" s="137"/>
      <c r="G1165" s="137"/>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7"/>
      <c r="B1166" s="137"/>
      <c r="C1166" s="137"/>
      <c r="D1166" s="137"/>
      <c r="E1166" s="137"/>
      <c r="F1166" s="137"/>
      <c r="G1166" s="137"/>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7"/>
      <c r="B1167" s="137"/>
      <c r="C1167" s="137"/>
      <c r="D1167" s="137"/>
      <c r="E1167" s="137"/>
      <c r="F1167" s="137"/>
      <c r="G1167" s="137"/>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7"/>
      <c r="B1168" s="137"/>
      <c r="C1168" s="137"/>
      <c r="D1168" s="137"/>
      <c r="E1168" s="137"/>
      <c r="F1168" s="137"/>
      <c r="G1168" s="137"/>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7"/>
      <c r="B1169" s="137"/>
      <c r="C1169" s="137"/>
      <c r="D1169" s="137"/>
      <c r="E1169" s="137"/>
      <c r="F1169" s="137"/>
      <c r="G1169" s="137"/>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7"/>
      <c r="B1170" s="137"/>
      <c r="C1170" s="137"/>
      <c r="D1170" s="137"/>
      <c r="E1170" s="137"/>
      <c r="F1170" s="137"/>
      <c r="G1170" s="137"/>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7"/>
      <c r="B1171" s="137"/>
      <c r="C1171" s="137"/>
      <c r="D1171" s="137"/>
      <c r="E1171" s="137"/>
      <c r="F1171" s="137"/>
      <c r="G1171" s="137"/>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7"/>
      <c r="B1172" s="137"/>
      <c r="C1172" s="137"/>
      <c r="D1172" s="137"/>
      <c r="E1172" s="137"/>
      <c r="F1172" s="137"/>
      <c r="G1172" s="137"/>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7"/>
      <c r="B1173" s="137"/>
      <c r="C1173" s="137"/>
      <c r="D1173" s="137"/>
      <c r="E1173" s="137"/>
      <c r="F1173" s="137"/>
      <c r="G1173" s="137"/>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7"/>
      <c r="B1174" s="137"/>
      <c r="C1174" s="137"/>
      <c r="D1174" s="137"/>
      <c r="E1174" s="137"/>
      <c r="F1174" s="137"/>
      <c r="G1174" s="137"/>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7"/>
      <c r="B1175" s="137"/>
      <c r="C1175" s="137"/>
      <c r="D1175" s="137"/>
      <c r="E1175" s="137"/>
      <c r="F1175" s="137"/>
      <c r="G1175" s="137"/>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7"/>
      <c r="B1176" s="137"/>
      <c r="C1176" s="137"/>
      <c r="D1176" s="137"/>
      <c r="E1176" s="137"/>
      <c r="F1176" s="137"/>
      <c r="G1176" s="137"/>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7"/>
      <c r="B1177" s="137"/>
      <c r="C1177" s="137"/>
      <c r="D1177" s="137"/>
      <c r="E1177" s="137"/>
      <c r="F1177" s="137"/>
      <c r="G1177" s="137"/>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7"/>
      <c r="B1178" s="137"/>
      <c r="C1178" s="137"/>
      <c r="D1178" s="137"/>
      <c r="E1178" s="137"/>
      <c r="F1178" s="137"/>
      <c r="G1178" s="137"/>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7"/>
      <c r="B1179" s="137"/>
      <c r="C1179" s="137"/>
      <c r="D1179" s="137"/>
      <c r="E1179" s="137"/>
      <c r="F1179" s="137"/>
      <c r="G1179" s="137"/>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7"/>
      <c r="B1180" s="137"/>
      <c r="C1180" s="137"/>
      <c r="D1180" s="137"/>
      <c r="E1180" s="137"/>
      <c r="F1180" s="137"/>
      <c r="G1180" s="137"/>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7"/>
      <c r="B1181" s="137"/>
      <c r="C1181" s="137"/>
      <c r="D1181" s="137"/>
      <c r="E1181" s="137"/>
      <c r="F1181" s="137"/>
      <c r="G1181" s="137"/>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7"/>
      <c r="B1182" s="137"/>
      <c r="C1182" s="137"/>
      <c r="D1182" s="137"/>
      <c r="E1182" s="137"/>
      <c r="F1182" s="137"/>
      <c r="G1182" s="137"/>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7"/>
      <c r="B1183" s="137"/>
      <c r="C1183" s="137"/>
      <c r="D1183" s="137"/>
      <c r="E1183" s="137"/>
      <c r="F1183" s="137"/>
      <c r="G1183" s="137"/>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7"/>
      <c r="B1184" s="137"/>
      <c r="C1184" s="137"/>
      <c r="D1184" s="137"/>
      <c r="E1184" s="137"/>
      <c r="F1184" s="137"/>
      <c r="G1184" s="137"/>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7"/>
      <c r="B1185" s="137"/>
      <c r="C1185" s="137"/>
      <c r="D1185" s="137"/>
      <c r="E1185" s="137"/>
      <c r="F1185" s="137"/>
      <c r="G1185" s="137"/>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7"/>
      <c r="B1186" s="137"/>
      <c r="C1186" s="137"/>
      <c r="D1186" s="137"/>
      <c r="E1186" s="137"/>
      <c r="F1186" s="137"/>
      <c r="G1186" s="137"/>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7"/>
      <c r="B1187" s="137"/>
      <c r="C1187" s="137"/>
      <c r="D1187" s="137"/>
      <c r="E1187" s="137"/>
      <c r="F1187" s="137"/>
      <c r="G1187" s="137"/>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7"/>
      <c r="B1188" s="137"/>
      <c r="C1188" s="137"/>
      <c r="D1188" s="137"/>
      <c r="E1188" s="137"/>
      <c r="F1188" s="137"/>
      <c r="G1188" s="137"/>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7"/>
      <c r="B1189" s="137"/>
      <c r="C1189" s="137"/>
      <c r="D1189" s="137"/>
      <c r="E1189" s="137"/>
      <c r="F1189" s="137"/>
      <c r="G1189" s="137"/>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7"/>
      <c r="B1190" s="137"/>
      <c r="C1190" s="137"/>
      <c r="D1190" s="137"/>
      <c r="E1190" s="137"/>
      <c r="F1190" s="137"/>
      <c r="G1190" s="137"/>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7"/>
      <c r="B1191" s="137"/>
      <c r="C1191" s="137"/>
      <c r="D1191" s="137"/>
      <c r="E1191" s="137"/>
      <c r="F1191" s="137"/>
      <c r="G1191" s="137"/>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7"/>
      <c r="B1192" s="137"/>
      <c r="C1192" s="137"/>
      <c r="D1192" s="137"/>
      <c r="E1192" s="137"/>
      <c r="F1192" s="137"/>
      <c r="G1192" s="137"/>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7"/>
      <c r="B1193" s="137"/>
      <c r="C1193" s="137"/>
      <c r="D1193" s="137"/>
      <c r="E1193" s="137"/>
      <c r="F1193" s="137"/>
      <c r="G1193" s="137"/>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7"/>
      <c r="B1194" s="137"/>
      <c r="C1194" s="137"/>
      <c r="D1194" s="137"/>
      <c r="E1194" s="137"/>
      <c r="F1194" s="137"/>
      <c r="G1194" s="137"/>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7"/>
      <c r="B1195" s="137"/>
      <c r="C1195" s="137"/>
      <c r="D1195" s="137"/>
      <c r="E1195" s="137"/>
      <c r="F1195" s="137"/>
      <c r="G1195" s="137"/>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7"/>
      <c r="B1196" s="137"/>
      <c r="C1196" s="137"/>
      <c r="D1196" s="137"/>
      <c r="E1196" s="137"/>
      <c r="F1196" s="137"/>
      <c r="G1196" s="137"/>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7"/>
      <c r="B1197" s="137"/>
      <c r="C1197" s="137"/>
      <c r="D1197" s="137"/>
      <c r="E1197" s="137"/>
      <c r="F1197" s="137"/>
      <c r="G1197" s="137"/>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7"/>
      <c r="B1198" s="137"/>
      <c r="C1198" s="137"/>
      <c r="D1198" s="137"/>
      <c r="E1198" s="137"/>
      <c r="F1198" s="137"/>
      <c r="G1198" s="137"/>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7"/>
      <c r="B1199" s="137"/>
      <c r="C1199" s="137"/>
      <c r="D1199" s="137"/>
      <c r="E1199" s="137"/>
      <c r="F1199" s="137"/>
      <c r="G1199" s="137"/>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7"/>
      <c r="B1200" s="137"/>
      <c r="C1200" s="137"/>
      <c r="D1200" s="137"/>
      <c r="E1200" s="137"/>
      <c r="F1200" s="137"/>
      <c r="G1200" s="137"/>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7"/>
      <c r="B1201" s="137"/>
      <c r="C1201" s="137"/>
      <c r="D1201" s="137"/>
      <c r="E1201" s="137"/>
      <c r="F1201" s="137"/>
      <c r="G1201" s="137"/>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7"/>
      <c r="B1202" s="137"/>
      <c r="C1202" s="137"/>
      <c r="D1202" s="137"/>
      <c r="E1202" s="137"/>
      <c r="F1202" s="137"/>
      <c r="G1202" s="137"/>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7"/>
      <c r="B1203" s="137"/>
      <c r="C1203" s="137"/>
      <c r="D1203" s="137"/>
      <c r="E1203" s="137"/>
      <c r="F1203" s="137"/>
      <c r="G1203" s="137"/>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7"/>
      <c r="B1204" s="137"/>
      <c r="C1204" s="137"/>
      <c r="D1204" s="137"/>
      <c r="E1204" s="137"/>
      <c r="F1204" s="137"/>
      <c r="G1204" s="137"/>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7"/>
      <c r="B1205" s="137"/>
      <c r="C1205" s="137"/>
      <c r="D1205" s="137"/>
      <c r="E1205" s="137"/>
      <c r="F1205" s="137"/>
      <c r="G1205" s="137"/>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7"/>
      <c r="B1206" s="137"/>
      <c r="C1206" s="137"/>
      <c r="D1206" s="137"/>
      <c r="E1206" s="137"/>
      <c r="F1206" s="137"/>
      <c r="G1206" s="137"/>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7"/>
      <c r="B1207" s="137"/>
      <c r="C1207" s="137"/>
      <c r="D1207" s="137"/>
      <c r="E1207" s="137"/>
      <c r="F1207" s="137"/>
      <c r="G1207" s="137"/>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7"/>
      <c r="B1208" s="137"/>
      <c r="C1208" s="137"/>
      <c r="D1208" s="137"/>
      <c r="E1208" s="137"/>
      <c r="F1208" s="137"/>
      <c r="G1208" s="137"/>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7"/>
      <c r="B1209" s="137"/>
      <c r="C1209" s="137"/>
      <c r="D1209" s="137"/>
      <c r="E1209" s="137"/>
      <c r="F1209" s="137"/>
      <c r="G1209" s="137"/>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7"/>
      <c r="B1210" s="137"/>
      <c r="C1210" s="137"/>
      <c r="D1210" s="137"/>
      <c r="E1210" s="137"/>
      <c r="F1210" s="137"/>
      <c r="G1210" s="137"/>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7"/>
      <c r="B1211" s="137"/>
      <c r="C1211" s="137"/>
      <c r="D1211" s="137"/>
      <c r="E1211" s="137"/>
      <c r="F1211" s="137"/>
      <c r="G1211" s="137"/>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7"/>
      <c r="B1212" s="137"/>
      <c r="C1212" s="137"/>
      <c r="D1212" s="137"/>
      <c r="E1212" s="137"/>
      <c r="F1212" s="137"/>
      <c r="G1212" s="137"/>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7"/>
      <c r="B1213" s="137"/>
      <c r="C1213" s="137"/>
      <c r="D1213" s="137"/>
      <c r="E1213" s="137"/>
      <c r="F1213" s="137"/>
      <c r="G1213" s="137"/>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7"/>
      <c r="B1214" s="137"/>
      <c r="C1214" s="137"/>
      <c r="D1214" s="137"/>
      <c r="E1214" s="137"/>
      <c r="F1214" s="137"/>
      <c r="G1214" s="137"/>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7"/>
      <c r="B1215" s="137"/>
      <c r="C1215" s="137"/>
      <c r="D1215" s="137"/>
      <c r="E1215" s="137"/>
      <c r="F1215" s="137"/>
      <c r="G1215" s="137"/>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7"/>
      <c r="B1216" s="137"/>
      <c r="C1216" s="137"/>
      <c r="D1216" s="137"/>
      <c r="E1216" s="137"/>
      <c r="F1216" s="137"/>
      <c r="G1216" s="137"/>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7"/>
      <c r="B1217" s="137"/>
      <c r="C1217" s="137"/>
      <c r="D1217" s="137"/>
      <c r="E1217" s="137"/>
      <c r="F1217" s="137"/>
      <c r="G1217" s="137"/>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7"/>
      <c r="B1218" s="137"/>
      <c r="C1218" s="137"/>
      <c r="D1218" s="137"/>
      <c r="E1218" s="137"/>
      <c r="F1218" s="137"/>
      <c r="G1218" s="137"/>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7"/>
      <c r="B1219" s="137"/>
      <c r="C1219" s="137"/>
      <c r="D1219" s="137"/>
      <c r="E1219" s="137"/>
      <c r="F1219" s="137"/>
      <c r="G1219" s="137"/>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7"/>
      <c r="B1220" s="137"/>
      <c r="C1220" s="137"/>
      <c r="D1220" s="137"/>
      <c r="E1220" s="137"/>
      <c r="F1220" s="137"/>
      <c r="G1220" s="137"/>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7"/>
      <c r="B1221" s="137"/>
      <c r="C1221" s="137"/>
      <c r="D1221" s="137"/>
      <c r="E1221" s="137"/>
      <c r="F1221" s="137"/>
      <c r="G1221" s="137"/>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7"/>
      <c r="B1222" s="137"/>
      <c r="C1222" s="137"/>
      <c r="D1222" s="137"/>
      <c r="E1222" s="137"/>
      <c r="F1222" s="137"/>
      <c r="G1222" s="137"/>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7"/>
      <c r="B1223" s="137"/>
      <c r="C1223" s="137"/>
      <c r="D1223" s="137"/>
      <c r="E1223" s="137"/>
      <c r="F1223" s="137"/>
      <c r="G1223" s="137"/>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7"/>
      <c r="B1224" s="137"/>
      <c r="C1224" s="137"/>
      <c r="D1224" s="137"/>
      <c r="E1224" s="137"/>
      <c r="F1224" s="137"/>
      <c r="G1224" s="137"/>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7"/>
      <c r="B1225" s="137"/>
      <c r="C1225" s="137"/>
      <c r="D1225" s="137"/>
      <c r="E1225" s="137"/>
      <c r="F1225" s="137"/>
      <c r="G1225" s="137"/>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7"/>
      <c r="B1226" s="137"/>
      <c r="C1226" s="137"/>
      <c r="D1226" s="137"/>
      <c r="E1226" s="137"/>
      <c r="F1226" s="137"/>
      <c r="G1226" s="137"/>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7"/>
      <c r="B1227" s="137"/>
      <c r="C1227" s="137"/>
      <c r="D1227" s="137"/>
      <c r="E1227" s="137"/>
      <c r="F1227" s="137"/>
      <c r="G1227" s="137"/>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7"/>
      <c r="B1228" s="137"/>
      <c r="C1228" s="137"/>
      <c r="D1228" s="137"/>
      <c r="E1228" s="137"/>
      <c r="F1228" s="137"/>
      <c r="G1228" s="137"/>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7"/>
      <c r="B1229" s="137"/>
      <c r="C1229" s="137"/>
      <c r="D1229" s="137"/>
      <c r="E1229" s="137"/>
      <c r="F1229" s="137"/>
      <c r="G1229" s="137"/>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7"/>
      <c r="B1230" s="137"/>
      <c r="C1230" s="137"/>
      <c r="D1230" s="137"/>
      <c r="E1230" s="137"/>
      <c r="F1230" s="137"/>
      <c r="G1230" s="137"/>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7"/>
      <c r="B1231" s="137"/>
      <c r="C1231" s="137"/>
      <c r="D1231" s="137"/>
      <c r="E1231" s="137"/>
      <c r="F1231" s="137"/>
      <c r="G1231" s="137"/>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7"/>
      <c r="B1232" s="137"/>
      <c r="C1232" s="137"/>
      <c r="D1232" s="137"/>
      <c r="E1232" s="137"/>
      <c r="F1232" s="137"/>
      <c r="G1232" s="137"/>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7"/>
      <c r="B1233" s="137"/>
      <c r="C1233" s="137"/>
      <c r="D1233" s="137"/>
      <c r="E1233" s="137"/>
      <c r="F1233" s="137"/>
      <c r="G1233" s="137"/>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7"/>
      <c r="B1234" s="137"/>
      <c r="C1234" s="137"/>
      <c r="D1234" s="137"/>
      <c r="E1234" s="137"/>
      <c r="F1234" s="137"/>
      <c r="G1234" s="137"/>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7"/>
      <c r="B1235" s="137"/>
      <c r="C1235" s="137"/>
      <c r="D1235" s="137"/>
      <c r="E1235" s="137"/>
      <c r="F1235" s="137"/>
      <c r="G1235" s="137"/>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7"/>
      <c r="B1236" s="137"/>
      <c r="C1236" s="137"/>
      <c r="D1236" s="137"/>
      <c r="E1236" s="137"/>
      <c r="F1236" s="137"/>
      <c r="G1236" s="137"/>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7"/>
      <c r="B1237" s="137"/>
      <c r="C1237" s="137"/>
      <c r="D1237" s="137"/>
      <c r="E1237" s="137"/>
      <c r="F1237" s="137"/>
      <c r="G1237" s="137"/>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7"/>
      <c r="B1238" s="137"/>
      <c r="C1238" s="137"/>
      <c r="D1238" s="137"/>
      <c r="E1238" s="137"/>
      <c r="F1238" s="137"/>
      <c r="G1238" s="137"/>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7"/>
      <c r="B1239" s="137"/>
      <c r="C1239" s="137"/>
      <c r="D1239" s="137"/>
      <c r="E1239" s="137"/>
      <c r="F1239" s="137"/>
      <c r="G1239" s="137"/>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7"/>
      <c r="B1240" s="137"/>
      <c r="C1240" s="137"/>
      <c r="D1240" s="137"/>
      <c r="E1240" s="137"/>
      <c r="F1240" s="137"/>
      <c r="G1240" s="137"/>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7"/>
      <c r="B1241" s="137"/>
      <c r="C1241" s="137"/>
      <c r="D1241" s="137"/>
      <c r="E1241" s="137"/>
      <c r="F1241" s="137"/>
      <c r="G1241" s="137"/>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7"/>
      <c r="B1242" s="137"/>
      <c r="C1242" s="137"/>
      <c r="D1242" s="137"/>
      <c r="E1242" s="137"/>
      <c r="F1242" s="137"/>
      <c r="G1242" s="137"/>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7"/>
      <c r="B1243" s="137"/>
      <c r="C1243" s="137"/>
      <c r="D1243" s="137"/>
      <c r="E1243" s="137"/>
      <c r="F1243" s="137"/>
      <c r="G1243" s="137"/>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7"/>
      <c r="B1244" s="137"/>
      <c r="C1244" s="137"/>
      <c r="D1244" s="137"/>
      <c r="E1244" s="137"/>
      <c r="F1244" s="137"/>
      <c r="G1244" s="137"/>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7"/>
      <c r="B1245" s="137"/>
      <c r="C1245" s="137"/>
      <c r="D1245" s="137"/>
      <c r="E1245" s="137"/>
      <c r="F1245" s="137"/>
      <c r="G1245" s="137"/>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7"/>
      <c r="B1246" s="137"/>
      <c r="C1246" s="137"/>
      <c r="D1246" s="137"/>
      <c r="E1246" s="137"/>
      <c r="F1246" s="137"/>
      <c r="G1246" s="137"/>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7"/>
      <c r="B1247" s="137"/>
      <c r="C1247" s="137"/>
      <c r="D1247" s="137"/>
      <c r="E1247" s="137"/>
      <c r="F1247" s="137"/>
      <c r="G1247" s="137"/>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7"/>
      <c r="B1248" s="137"/>
      <c r="C1248" s="137"/>
      <c r="D1248" s="137"/>
      <c r="E1248" s="137"/>
      <c r="F1248" s="137"/>
      <c r="G1248" s="137"/>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7"/>
      <c r="B1249" s="137"/>
      <c r="C1249" s="137"/>
      <c r="D1249" s="137"/>
      <c r="E1249" s="137"/>
      <c r="F1249" s="137"/>
      <c r="G1249" s="137"/>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7"/>
      <c r="B1250" s="137"/>
      <c r="C1250" s="137"/>
      <c r="D1250" s="137"/>
      <c r="E1250" s="137"/>
      <c r="F1250" s="137"/>
      <c r="G1250" s="137"/>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7"/>
      <c r="B1251" s="137"/>
      <c r="C1251" s="137"/>
      <c r="D1251" s="137"/>
      <c r="E1251" s="137"/>
      <c r="F1251" s="137"/>
      <c r="G1251" s="137"/>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7"/>
      <c r="B1252" s="137"/>
      <c r="C1252" s="137"/>
      <c r="D1252" s="137"/>
      <c r="E1252" s="137"/>
      <c r="F1252" s="137"/>
      <c r="G1252" s="137"/>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7"/>
      <c r="B1253" s="137"/>
      <c r="C1253" s="137"/>
      <c r="D1253" s="137"/>
      <c r="E1253" s="137"/>
      <c r="F1253" s="137"/>
      <c r="G1253" s="137"/>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7"/>
      <c r="B1254" s="137"/>
      <c r="C1254" s="137"/>
      <c r="D1254" s="137"/>
      <c r="E1254" s="137"/>
      <c r="F1254" s="137"/>
      <c r="G1254" s="137"/>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7"/>
      <c r="B1255" s="137"/>
      <c r="C1255" s="137"/>
      <c r="D1255" s="137"/>
      <c r="E1255" s="137"/>
      <c r="F1255" s="137"/>
      <c r="G1255" s="137"/>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7"/>
      <c r="B1256" s="137"/>
      <c r="C1256" s="137"/>
      <c r="D1256" s="137"/>
      <c r="E1256" s="137"/>
      <c r="F1256" s="137"/>
      <c r="G1256" s="137"/>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7"/>
      <c r="B1257" s="137"/>
      <c r="C1257" s="137"/>
      <c r="D1257" s="137"/>
      <c r="E1257" s="137"/>
      <c r="F1257" s="137"/>
      <c r="G1257" s="137"/>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7"/>
      <c r="B1258" s="137"/>
      <c r="C1258" s="137"/>
      <c r="D1258" s="137"/>
      <c r="E1258" s="137"/>
      <c r="F1258" s="137"/>
      <c r="G1258" s="137"/>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7"/>
      <c r="B1259" s="137"/>
      <c r="C1259" s="137"/>
      <c r="D1259" s="137"/>
      <c r="E1259" s="137"/>
      <c r="F1259" s="137"/>
      <c r="G1259" s="137"/>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7"/>
      <c r="B1260" s="137"/>
      <c r="C1260" s="137"/>
      <c r="D1260" s="137"/>
      <c r="E1260" s="137"/>
      <c r="F1260" s="137"/>
      <c r="G1260" s="137"/>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7"/>
      <c r="B1261" s="137"/>
      <c r="C1261" s="137"/>
      <c r="D1261" s="137"/>
      <c r="E1261" s="137"/>
      <c r="F1261" s="137"/>
      <c r="G1261" s="137"/>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7"/>
      <c r="B1262" s="137"/>
      <c r="C1262" s="137"/>
      <c r="D1262" s="137"/>
      <c r="E1262" s="137"/>
      <c r="F1262" s="137"/>
      <c r="G1262" s="137"/>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7"/>
      <c r="B1263" s="137"/>
      <c r="C1263" s="137"/>
      <c r="D1263" s="137"/>
      <c r="E1263" s="137"/>
      <c r="F1263" s="137"/>
      <c r="G1263" s="137"/>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7"/>
      <c r="B1264" s="137"/>
      <c r="C1264" s="137"/>
      <c r="D1264" s="137"/>
      <c r="E1264" s="137"/>
      <c r="F1264" s="137"/>
      <c r="G1264" s="137"/>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7"/>
      <c r="B1265" s="137"/>
      <c r="C1265" s="137"/>
      <c r="D1265" s="137"/>
      <c r="E1265" s="137"/>
      <c r="F1265" s="137"/>
      <c r="G1265" s="137"/>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7"/>
      <c r="B1266" s="137"/>
      <c r="C1266" s="137"/>
      <c r="D1266" s="137"/>
      <c r="E1266" s="137"/>
      <c r="F1266" s="137"/>
      <c r="G1266" s="137"/>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7"/>
      <c r="B1267" s="137"/>
      <c r="C1267" s="137"/>
      <c r="D1267" s="137"/>
      <c r="E1267" s="137"/>
      <c r="F1267" s="137"/>
      <c r="G1267" s="137"/>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7"/>
      <c r="B1268" s="137"/>
      <c r="C1268" s="137"/>
      <c r="D1268" s="137"/>
      <c r="E1268" s="137"/>
      <c r="F1268" s="137"/>
      <c r="G1268" s="137"/>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7"/>
      <c r="B1269" s="137"/>
      <c r="C1269" s="137"/>
      <c r="D1269" s="137"/>
      <c r="E1269" s="137"/>
      <c r="F1269" s="137"/>
      <c r="G1269" s="137"/>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7"/>
      <c r="B1270" s="137"/>
      <c r="C1270" s="137"/>
      <c r="D1270" s="137"/>
      <c r="E1270" s="137"/>
      <c r="F1270" s="137"/>
      <c r="G1270" s="137"/>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7"/>
      <c r="B1271" s="137"/>
      <c r="C1271" s="137"/>
      <c r="D1271" s="137"/>
      <c r="E1271" s="137"/>
      <c r="F1271" s="137"/>
      <c r="G1271" s="137"/>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7"/>
      <c r="B1272" s="137"/>
      <c r="C1272" s="137"/>
      <c r="D1272" s="137"/>
      <c r="E1272" s="137"/>
      <c r="F1272" s="137"/>
      <c r="G1272" s="137"/>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7"/>
      <c r="B1273" s="137"/>
      <c r="C1273" s="137"/>
      <c r="D1273" s="137"/>
      <c r="E1273" s="137"/>
      <c r="F1273" s="137"/>
      <c r="G1273" s="137"/>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7"/>
      <c r="B1274" s="137"/>
      <c r="C1274" s="137"/>
      <c r="D1274" s="137"/>
      <c r="E1274" s="137"/>
      <c r="F1274" s="137"/>
      <c r="G1274" s="137"/>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7"/>
      <c r="B1275" s="137"/>
      <c r="C1275" s="137"/>
      <c r="D1275" s="137"/>
      <c r="E1275" s="137"/>
      <c r="F1275" s="137"/>
      <c r="G1275" s="137"/>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7"/>
      <c r="B1276" s="137"/>
      <c r="C1276" s="137"/>
      <c r="D1276" s="137"/>
      <c r="E1276" s="137"/>
      <c r="F1276" s="137"/>
      <c r="G1276" s="137"/>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7"/>
      <c r="B1277" s="137"/>
      <c r="C1277" s="137"/>
      <c r="D1277" s="137"/>
      <c r="E1277" s="137"/>
      <c r="F1277" s="137"/>
      <c r="G1277" s="137"/>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7"/>
      <c r="B1278" s="137"/>
      <c r="C1278" s="137"/>
      <c r="D1278" s="137"/>
      <c r="E1278" s="137"/>
      <c r="F1278" s="137"/>
      <c r="G1278" s="137"/>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7"/>
      <c r="B1279" s="137"/>
      <c r="C1279" s="137"/>
      <c r="D1279" s="137"/>
      <c r="E1279" s="137"/>
      <c r="F1279" s="137"/>
      <c r="G1279" s="137"/>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7"/>
      <c r="B1280" s="137"/>
      <c r="C1280" s="137"/>
      <c r="D1280" s="137"/>
      <c r="E1280" s="137"/>
      <c r="F1280" s="137"/>
      <c r="G1280" s="137"/>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7"/>
      <c r="B1281" s="137"/>
      <c r="C1281" s="137"/>
      <c r="D1281" s="137"/>
      <c r="E1281" s="137"/>
      <c r="F1281" s="137"/>
      <c r="G1281" s="137"/>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7"/>
      <c r="B1282" s="137"/>
      <c r="C1282" s="137"/>
      <c r="D1282" s="137"/>
      <c r="E1282" s="137"/>
      <c r="F1282" s="137"/>
      <c r="G1282" s="137"/>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7"/>
      <c r="B1283" s="137"/>
      <c r="C1283" s="137"/>
      <c r="D1283" s="137"/>
      <c r="E1283" s="137"/>
      <c r="F1283" s="137"/>
      <c r="G1283" s="137"/>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7"/>
      <c r="B1284" s="137"/>
      <c r="C1284" s="137"/>
      <c r="D1284" s="137"/>
      <c r="E1284" s="137"/>
      <c r="F1284" s="137"/>
      <c r="G1284" s="137"/>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7"/>
      <c r="B1285" s="137"/>
      <c r="C1285" s="137"/>
      <c r="D1285" s="137"/>
      <c r="E1285" s="137"/>
      <c r="F1285" s="137"/>
      <c r="G1285" s="137"/>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7"/>
      <c r="B1286" s="137"/>
      <c r="C1286" s="137"/>
      <c r="D1286" s="137"/>
      <c r="E1286" s="137"/>
      <c r="F1286" s="137"/>
      <c r="G1286" s="137"/>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7"/>
      <c r="B1287" s="137"/>
      <c r="C1287" s="137"/>
      <c r="D1287" s="137"/>
      <c r="E1287" s="137"/>
      <c r="F1287" s="137"/>
      <c r="G1287" s="137"/>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7"/>
      <c r="B1288" s="137"/>
      <c r="C1288" s="137"/>
      <c r="D1288" s="137"/>
      <c r="E1288" s="137"/>
      <c r="F1288" s="137"/>
      <c r="G1288" s="137"/>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7"/>
      <c r="B1289" s="137"/>
      <c r="C1289" s="137"/>
      <c r="D1289" s="137"/>
      <c r="E1289" s="137"/>
      <c r="F1289" s="137"/>
      <c r="G1289" s="137"/>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7"/>
      <c r="B1290" s="137"/>
      <c r="C1290" s="137"/>
      <c r="D1290" s="137"/>
      <c r="E1290" s="137"/>
      <c r="F1290" s="137"/>
      <c r="G1290" s="137"/>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7"/>
      <c r="B1291" s="137"/>
      <c r="C1291" s="137"/>
      <c r="D1291" s="137"/>
      <c r="E1291" s="137"/>
      <c r="F1291" s="137"/>
      <c r="G1291" s="137"/>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7"/>
      <c r="B1292" s="137"/>
      <c r="C1292" s="137"/>
      <c r="D1292" s="137"/>
      <c r="E1292" s="137"/>
      <c r="F1292" s="137"/>
      <c r="G1292" s="137"/>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7"/>
      <c r="B1293" s="137"/>
      <c r="C1293" s="137"/>
      <c r="D1293" s="137"/>
      <c r="E1293" s="137"/>
      <c r="F1293" s="137"/>
      <c r="G1293" s="137"/>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7"/>
      <c r="B1294" s="137"/>
      <c r="C1294" s="137"/>
      <c r="D1294" s="137"/>
      <c r="E1294" s="137"/>
      <c r="F1294" s="137"/>
      <c r="G1294" s="137"/>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7"/>
      <c r="B1295" s="137"/>
      <c r="C1295" s="137"/>
      <c r="D1295" s="137"/>
      <c r="E1295" s="137"/>
      <c r="F1295" s="137"/>
      <c r="G1295" s="137"/>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7"/>
      <c r="B1296" s="137"/>
      <c r="C1296" s="137"/>
      <c r="D1296" s="137"/>
      <c r="E1296" s="137"/>
      <c r="F1296" s="137"/>
      <c r="G1296" s="137"/>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7"/>
      <c r="B1297" s="137"/>
      <c r="C1297" s="137"/>
      <c r="D1297" s="137"/>
      <c r="E1297" s="137"/>
      <c r="F1297" s="137"/>
      <c r="G1297" s="137"/>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7"/>
      <c r="B1298" s="137"/>
      <c r="C1298" s="137"/>
      <c r="D1298" s="137"/>
      <c r="E1298" s="137"/>
      <c r="F1298" s="137"/>
      <c r="G1298" s="137"/>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7"/>
      <c r="B1299" s="137"/>
      <c r="C1299" s="137"/>
      <c r="D1299" s="137"/>
      <c r="E1299" s="137"/>
      <c r="F1299" s="137"/>
      <c r="G1299" s="137"/>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7"/>
      <c r="B1300" s="137"/>
      <c r="C1300" s="137"/>
      <c r="D1300" s="137"/>
      <c r="E1300" s="137"/>
      <c r="F1300" s="137"/>
      <c r="G1300" s="137"/>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7"/>
      <c r="B1301" s="137"/>
      <c r="C1301" s="137"/>
      <c r="D1301" s="137"/>
      <c r="E1301" s="137"/>
      <c r="F1301" s="137"/>
      <c r="G1301" s="137"/>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7"/>
      <c r="B1302" s="137"/>
      <c r="C1302" s="137"/>
      <c r="D1302" s="137"/>
      <c r="E1302" s="137"/>
      <c r="F1302" s="137"/>
      <c r="G1302" s="137"/>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7"/>
      <c r="B1303" s="137"/>
      <c r="C1303" s="137"/>
      <c r="D1303" s="137"/>
      <c r="E1303" s="137"/>
      <c r="F1303" s="137"/>
      <c r="G1303" s="137"/>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7"/>
      <c r="B1304" s="137"/>
      <c r="C1304" s="137"/>
      <c r="D1304" s="137"/>
      <c r="E1304" s="137"/>
      <c r="F1304" s="137"/>
      <c r="G1304" s="137"/>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7"/>
      <c r="B1305" s="137"/>
      <c r="C1305" s="137"/>
      <c r="D1305" s="137"/>
      <c r="E1305" s="137"/>
      <c r="F1305" s="137"/>
      <c r="G1305" s="137"/>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7"/>
      <c r="B1306" s="137"/>
      <c r="C1306" s="137"/>
      <c r="D1306" s="137"/>
      <c r="E1306" s="137"/>
      <c r="F1306" s="137"/>
      <c r="G1306" s="137"/>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7"/>
      <c r="B1307" s="137"/>
      <c r="C1307" s="137"/>
      <c r="D1307" s="137"/>
      <c r="E1307" s="137"/>
      <c r="F1307" s="137"/>
      <c r="G1307" s="137"/>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7"/>
      <c r="B1308" s="137"/>
      <c r="C1308" s="137"/>
      <c r="D1308" s="137"/>
      <c r="E1308" s="137"/>
      <c r="F1308" s="137"/>
      <c r="G1308" s="137"/>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7"/>
      <c r="B1309" s="137"/>
      <c r="C1309" s="137"/>
      <c r="D1309" s="137"/>
      <c r="E1309" s="137"/>
      <c r="F1309" s="137"/>
      <c r="G1309" s="137"/>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7"/>
      <c r="B1310" s="137"/>
      <c r="C1310" s="137"/>
      <c r="D1310" s="137"/>
      <c r="E1310" s="137"/>
      <c r="F1310" s="137"/>
      <c r="G1310" s="137"/>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7"/>
      <c r="B1311" s="137"/>
      <c r="C1311" s="137"/>
      <c r="D1311" s="137"/>
      <c r="E1311" s="137"/>
      <c r="F1311" s="137"/>
      <c r="G1311" s="137"/>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7"/>
      <c r="B1312" s="137"/>
      <c r="C1312" s="137"/>
      <c r="D1312" s="137"/>
      <c r="E1312" s="137"/>
      <c r="F1312" s="137"/>
      <c r="G1312" s="137"/>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7"/>
      <c r="B1313" s="137"/>
      <c r="C1313" s="137"/>
      <c r="D1313" s="137"/>
      <c r="E1313" s="137"/>
      <c r="F1313" s="137"/>
      <c r="G1313" s="137"/>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7"/>
      <c r="B1314" s="137"/>
      <c r="C1314" s="137"/>
      <c r="D1314" s="137"/>
      <c r="E1314" s="137"/>
      <c r="F1314" s="137"/>
      <c r="G1314" s="137"/>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7"/>
      <c r="B1315" s="137"/>
      <c r="C1315" s="137"/>
      <c r="D1315" s="137"/>
      <c r="E1315" s="137"/>
      <c r="F1315" s="137"/>
      <c r="G1315" s="137"/>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7"/>
      <c r="B1316" s="137"/>
      <c r="C1316" s="137"/>
      <c r="D1316" s="137"/>
      <c r="E1316" s="137"/>
      <c r="F1316" s="137"/>
      <c r="G1316" s="137"/>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7"/>
      <c r="B1317" s="137"/>
      <c r="C1317" s="137"/>
      <c r="D1317" s="137"/>
      <c r="E1317" s="137"/>
      <c r="F1317" s="137"/>
      <c r="G1317" s="137"/>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7"/>
      <c r="B1318" s="137"/>
      <c r="C1318" s="137"/>
      <c r="D1318" s="137"/>
      <c r="E1318" s="137"/>
      <c r="F1318" s="137"/>
      <c r="G1318" s="137"/>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7"/>
      <c r="B1319" s="137"/>
      <c r="C1319" s="137"/>
      <c r="D1319" s="137"/>
      <c r="E1319" s="137"/>
      <c r="F1319" s="137"/>
      <c r="G1319" s="137"/>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7"/>
      <c r="B1320" s="137"/>
      <c r="C1320" s="137"/>
      <c r="D1320" s="137"/>
      <c r="E1320" s="137"/>
      <c r="F1320" s="137"/>
      <c r="G1320" s="137"/>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7"/>
      <c r="B1321" s="137"/>
      <c r="C1321" s="137"/>
      <c r="D1321" s="137"/>
      <c r="E1321" s="137"/>
      <c r="F1321" s="137"/>
      <c r="G1321" s="137"/>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7"/>
      <c r="B1322" s="137"/>
      <c r="C1322" s="137"/>
      <c r="D1322" s="137"/>
      <c r="E1322" s="137"/>
      <c r="F1322" s="137"/>
      <c r="G1322" s="137"/>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7"/>
      <c r="B1323" s="137"/>
      <c r="C1323" s="137"/>
      <c r="D1323" s="137"/>
      <c r="E1323" s="137"/>
      <c r="F1323" s="137"/>
      <c r="G1323" s="137"/>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7"/>
      <c r="N1501" s="137"/>
      <c r="O1501" s="137"/>
      <c r="P1501" s="137"/>
      <c r="R1501" s="137"/>
      <c r="S1501" s="137"/>
      <c r="T1501" s="137"/>
      <c r="U1501" s="137"/>
      <c r="V1501" s="137"/>
      <c r="W1501" s="137"/>
      <c r="X1501" s="137"/>
      <c r="Y1501" s="137"/>
      <c r="Z1501" s="137"/>
      <c r="AA1501" s="137"/>
      <c r="AB1501" s="137"/>
      <c r="AC1501" s="137"/>
      <c r="AD1501" s="137"/>
      <c r="AE1501" s="137"/>
      <c r="AF1501" s="137"/>
      <c r="AG1501" s="137"/>
      <c r="AH1501" s="137"/>
      <c r="AI1501" s="137"/>
      <c r="AJ1501" s="137"/>
      <c r="AK1501" s="137"/>
    </row>
    <row r="1502" spans="13:53" x14ac:dyDescent="0.25">
      <c r="M1502" s="137"/>
      <c r="N1502" s="137"/>
      <c r="O1502" s="137"/>
      <c r="P1502" s="137"/>
      <c r="R1502" s="137"/>
      <c r="S1502" s="137"/>
      <c r="T1502" s="137"/>
      <c r="U1502" s="137"/>
      <c r="V1502" s="137"/>
      <c r="W1502" s="137"/>
      <c r="X1502" s="137"/>
      <c r="Y1502" s="137"/>
      <c r="Z1502" s="137"/>
      <c r="AA1502" s="137"/>
      <c r="AB1502" s="137"/>
      <c r="AC1502" s="137"/>
      <c r="AD1502" s="137"/>
      <c r="AE1502" s="137"/>
      <c r="AF1502" s="137"/>
      <c r="AG1502" s="137"/>
      <c r="AH1502" s="137"/>
      <c r="AI1502" s="137"/>
      <c r="AJ1502" s="137"/>
      <c r="AK1502" s="137"/>
    </row>
    <row r="1503" spans="13:53" x14ac:dyDescent="0.25">
      <c r="M1503" s="137"/>
      <c r="N1503" s="137"/>
      <c r="O1503" s="137"/>
      <c r="P1503" s="137"/>
      <c r="R1503" s="137"/>
      <c r="S1503" s="137"/>
      <c r="T1503" s="137"/>
      <c r="U1503" s="137"/>
      <c r="V1503" s="137"/>
      <c r="W1503" s="137"/>
      <c r="X1503" s="137"/>
      <c r="Y1503" s="137"/>
      <c r="Z1503" s="137"/>
      <c r="AA1503" s="137"/>
      <c r="AB1503" s="137"/>
      <c r="AC1503" s="137"/>
      <c r="AD1503" s="137"/>
      <c r="AE1503" s="137"/>
      <c r="AF1503" s="137"/>
      <c r="AG1503" s="137"/>
      <c r="AH1503" s="137"/>
      <c r="AI1503" s="137"/>
      <c r="AJ1503" s="137"/>
      <c r="AK1503" s="137"/>
    </row>
    <row r="1504" spans="13:53" x14ac:dyDescent="0.25">
      <c r="M1504" s="137"/>
      <c r="N1504" s="137"/>
      <c r="O1504" s="137"/>
      <c r="P1504" s="137"/>
      <c r="R1504" s="137"/>
      <c r="S1504" s="137"/>
      <c r="T1504" s="137"/>
      <c r="U1504" s="137"/>
      <c r="V1504" s="137"/>
      <c r="W1504" s="137"/>
      <c r="X1504" s="137"/>
      <c r="Y1504" s="137"/>
      <c r="Z1504" s="137"/>
      <c r="AA1504" s="137"/>
      <c r="AB1504" s="137"/>
      <c r="AC1504" s="137"/>
      <c r="AD1504" s="137"/>
      <c r="AE1504" s="137"/>
      <c r="AF1504" s="137"/>
      <c r="AG1504" s="137"/>
      <c r="AH1504" s="137"/>
      <c r="AI1504" s="137"/>
      <c r="AJ1504" s="137"/>
      <c r="AK1504" s="137"/>
    </row>
    <row r="1505" spans="13:37" x14ac:dyDescent="0.25">
      <c r="M1505" s="137"/>
      <c r="N1505" s="137"/>
      <c r="O1505" s="137"/>
      <c r="P1505" s="137"/>
      <c r="R1505" s="137"/>
      <c r="S1505" s="137"/>
      <c r="T1505" s="137"/>
      <c r="U1505" s="137"/>
      <c r="V1505" s="137"/>
      <c r="W1505" s="137"/>
      <c r="X1505" s="137"/>
      <c r="Y1505" s="137"/>
      <c r="Z1505" s="137"/>
      <c r="AA1505" s="137"/>
      <c r="AB1505" s="137"/>
      <c r="AC1505" s="137"/>
      <c r="AD1505" s="137"/>
      <c r="AE1505" s="137"/>
      <c r="AF1505" s="137"/>
      <c r="AG1505" s="137"/>
      <c r="AH1505" s="137"/>
      <c r="AI1505" s="137"/>
      <c r="AJ1505" s="137"/>
      <c r="AK1505" s="137"/>
    </row>
    <row r="1506" spans="13:37" x14ac:dyDescent="0.25">
      <c r="M1506" s="137"/>
      <c r="N1506" s="137"/>
      <c r="O1506" s="137"/>
      <c r="P1506" s="137"/>
      <c r="R1506" s="137"/>
      <c r="S1506" s="137"/>
      <c r="T1506" s="137"/>
      <c r="U1506" s="137"/>
      <c r="V1506" s="137"/>
      <c r="W1506" s="137"/>
      <c r="X1506" s="137"/>
      <c r="Y1506" s="137"/>
      <c r="Z1506" s="137"/>
      <c r="AA1506" s="137"/>
      <c r="AB1506" s="137"/>
      <c r="AC1506" s="137"/>
      <c r="AD1506" s="137"/>
      <c r="AE1506" s="137"/>
      <c r="AF1506" s="137"/>
      <c r="AG1506" s="137"/>
      <c r="AH1506" s="137"/>
      <c r="AI1506" s="137"/>
      <c r="AJ1506" s="137"/>
      <c r="AK1506" s="137"/>
    </row>
    <row r="1507" spans="13:37" x14ac:dyDescent="0.25">
      <c r="M1507" s="137"/>
      <c r="N1507" s="137"/>
      <c r="O1507" s="137"/>
      <c r="P1507" s="137"/>
      <c r="R1507" s="137"/>
      <c r="S1507" s="137"/>
      <c r="T1507" s="137"/>
      <c r="U1507" s="137"/>
      <c r="V1507" s="137"/>
      <c r="W1507" s="137"/>
      <c r="X1507" s="137"/>
      <c r="Y1507" s="137"/>
      <c r="Z1507" s="137"/>
      <c r="AA1507" s="137"/>
      <c r="AB1507" s="137"/>
      <c r="AC1507" s="137"/>
      <c r="AD1507" s="137"/>
      <c r="AE1507" s="137"/>
      <c r="AF1507" s="137"/>
      <c r="AG1507" s="137"/>
      <c r="AH1507" s="137"/>
      <c r="AI1507" s="137"/>
      <c r="AJ1507" s="137"/>
      <c r="AK1507" s="137"/>
    </row>
    <row r="1508" spans="13:37" x14ac:dyDescent="0.25">
      <c r="M1508" s="137"/>
      <c r="N1508" s="137"/>
      <c r="O1508" s="137"/>
      <c r="P1508" s="137"/>
      <c r="R1508" s="137"/>
      <c r="S1508" s="137"/>
      <c r="T1508" s="137"/>
      <c r="U1508" s="137"/>
      <c r="V1508" s="137"/>
      <c r="W1508" s="137"/>
      <c r="X1508" s="137"/>
      <c r="Y1508" s="137"/>
      <c r="Z1508" s="137"/>
      <c r="AA1508" s="137"/>
      <c r="AB1508" s="137"/>
      <c r="AC1508" s="137"/>
      <c r="AD1508" s="137"/>
      <c r="AE1508" s="137"/>
      <c r="AF1508" s="137"/>
      <c r="AG1508" s="137"/>
      <c r="AH1508" s="137"/>
      <c r="AI1508" s="137"/>
      <c r="AJ1508" s="137"/>
      <c r="AK1508" s="137"/>
    </row>
    <row r="1509" spans="13:37" x14ac:dyDescent="0.25">
      <c r="M1509" s="137"/>
      <c r="N1509" s="137"/>
      <c r="O1509" s="137"/>
      <c r="P1509" s="137"/>
      <c r="R1509" s="137"/>
      <c r="S1509" s="137"/>
      <c r="T1509" s="137"/>
      <c r="U1509" s="137"/>
      <c r="V1509" s="137"/>
      <c r="W1509" s="137"/>
      <c r="X1509" s="137"/>
      <c r="Y1509" s="137"/>
      <c r="Z1509" s="137"/>
      <c r="AA1509" s="137"/>
      <c r="AB1509" s="137"/>
      <c r="AC1509" s="137"/>
      <c r="AD1509" s="137"/>
      <c r="AE1509" s="137"/>
      <c r="AF1509" s="137"/>
      <c r="AG1509" s="137"/>
      <c r="AH1509" s="137"/>
      <c r="AI1509" s="137"/>
      <c r="AJ1509" s="137"/>
      <c r="AK1509" s="137"/>
    </row>
    <row r="1510" spans="13:37" x14ac:dyDescent="0.25">
      <c r="M1510" s="137"/>
      <c r="N1510" s="137"/>
      <c r="O1510" s="137"/>
      <c r="P1510" s="137"/>
      <c r="R1510" s="137"/>
      <c r="S1510" s="137"/>
      <c r="T1510" s="137"/>
      <c r="U1510" s="137"/>
      <c r="V1510" s="137"/>
      <c r="W1510" s="137"/>
      <c r="X1510" s="137"/>
      <c r="Y1510" s="137"/>
      <c r="Z1510" s="137"/>
      <c r="AA1510" s="137"/>
      <c r="AB1510" s="137"/>
      <c r="AC1510" s="137"/>
      <c r="AD1510" s="137"/>
      <c r="AE1510" s="137"/>
      <c r="AF1510" s="137"/>
      <c r="AG1510" s="137"/>
      <c r="AH1510" s="137"/>
      <c r="AI1510" s="137"/>
      <c r="AJ1510" s="137"/>
      <c r="AK1510" s="137"/>
    </row>
    <row r="1511" spans="13:37" x14ac:dyDescent="0.25">
      <c r="M1511" s="137"/>
      <c r="N1511" s="137"/>
      <c r="O1511" s="137"/>
      <c r="P1511" s="137"/>
      <c r="R1511" s="137"/>
      <c r="S1511" s="137"/>
      <c r="T1511" s="137"/>
      <c r="U1511" s="137"/>
      <c r="V1511" s="137"/>
      <c r="W1511" s="137"/>
      <c r="X1511" s="137"/>
      <c r="Y1511" s="137"/>
      <c r="Z1511" s="137"/>
      <c r="AA1511" s="137"/>
      <c r="AB1511" s="137"/>
      <c r="AC1511" s="137"/>
      <c r="AD1511" s="137"/>
      <c r="AE1511" s="137"/>
      <c r="AF1511" s="137"/>
      <c r="AG1511" s="137"/>
      <c r="AH1511" s="137"/>
      <c r="AI1511" s="137"/>
      <c r="AJ1511" s="137"/>
      <c r="AK1511" s="137"/>
    </row>
    <row r="1512" spans="13:37" x14ac:dyDescent="0.25">
      <c r="M1512" s="137"/>
      <c r="N1512" s="137"/>
      <c r="O1512" s="137"/>
      <c r="P1512" s="137"/>
      <c r="R1512" s="137"/>
      <c r="S1512" s="137"/>
      <c r="T1512" s="137"/>
      <c r="U1512" s="137"/>
      <c r="V1512" s="137"/>
      <c r="W1512" s="137"/>
      <c r="X1512" s="137"/>
      <c r="Y1512" s="137"/>
      <c r="Z1512" s="137"/>
      <c r="AA1512" s="137"/>
      <c r="AB1512" s="137"/>
      <c r="AC1512" s="137"/>
      <c r="AD1512" s="137"/>
      <c r="AE1512" s="137"/>
      <c r="AF1512" s="137"/>
      <c r="AG1512" s="137"/>
      <c r="AH1512" s="137"/>
      <c r="AI1512" s="137"/>
      <c r="AJ1512" s="137"/>
      <c r="AK1512" s="137"/>
    </row>
    <row r="1513" spans="13:37" x14ac:dyDescent="0.25">
      <c r="M1513" s="137"/>
      <c r="N1513" s="137"/>
      <c r="O1513" s="137"/>
      <c r="P1513" s="137"/>
      <c r="R1513" s="137"/>
      <c r="S1513" s="137"/>
      <c r="T1513" s="137"/>
      <c r="U1513" s="137"/>
      <c r="V1513" s="137"/>
      <c r="W1513" s="137"/>
      <c r="X1513" s="137"/>
      <c r="Y1513" s="137"/>
      <c r="Z1513" s="137"/>
      <c r="AA1513" s="137"/>
      <c r="AB1513" s="137"/>
      <c r="AC1513" s="137"/>
      <c r="AD1513" s="137"/>
      <c r="AE1513" s="137"/>
      <c r="AF1513" s="137"/>
      <c r="AG1513" s="137"/>
      <c r="AH1513" s="137"/>
      <c r="AI1513" s="137"/>
      <c r="AJ1513" s="137"/>
      <c r="AK1513" s="137"/>
    </row>
    <row r="1514" spans="13:37" x14ac:dyDescent="0.25">
      <c r="M1514" s="137"/>
      <c r="N1514" s="137"/>
      <c r="O1514" s="137"/>
      <c r="P1514" s="137"/>
      <c r="R1514" s="137"/>
      <c r="S1514" s="137"/>
      <c r="T1514" s="137"/>
      <c r="U1514" s="137"/>
      <c r="V1514" s="137"/>
      <c r="W1514" s="137"/>
      <c r="X1514" s="137"/>
      <c r="Y1514" s="137"/>
      <c r="Z1514" s="137"/>
      <c r="AA1514" s="137"/>
      <c r="AB1514" s="137"/>
      <c r="AC1514" s="137"/>
      <c r="AD1514" s="137"/>
      <c r="AE1514" s="137"/>
      <c r="AF1514" s="137"/>
      <c r="AG1514" s="137"/>
      <c r="AH1514" s="137"/>
      <c r="AI1514" s="137"/>
      <c r="AJ1514" s="137"/>
      <c r="AK1514" s="137"/>
    </row>
    <row r="1515" spans="13:37" x14ac:dyDescent="0.25">
      <c r="M1515" s="137"/>
      <c r="N1515" s="137"/>
      <c r="O1515" s="137"/>
      <c r="P1515" s="137"/>
      <c r="R1515" s="137"/>
      <c r="S1515" s="137"/>
      <c r="T1515" s="137"/>
      <c r="U1515" s="137"/>
      <c r="V1515" s="137"/>
      <c r="W1515" s="137"/>
      <c r="X1515" s="137"/>
      <c r="Y1515" s="137"/>
      <c r="Z1515" s="137"/>
      <c r="AA1515" s="137"/>
      <c r="AB1515" s="137"/>
      <c r="AC1515" s="137"/>
      <c r="AD1515" s="137"/>
      <c r="AE1515" s="137"/>
      <c r="AF1515" s="137"/>
      <c r="AG1515" s="137"/>
      <c r="AH1515" s="137"/>
      <c r="AI1515" s="137"/>
      <c r="AJ1515" s="137"/>
      <c r="AK1515" s="137"/>
    </row>
    <row r="1516" spans="13:37" x14ac:dyDescent="0.25">
      <c r="M1516" s="137"/>
      <c r="N1516" s="137"/>
      <c r="O1516" s="137"/>
      <c r="P1516" s="137"/>
      <c r="R1516" s="137"/>
      <c r="S1516" s="137"/>
      <c r="T1516" s="137"/>
      <c r="U1516" s="137"/>
      <c r="V1516" s="137"/>
      <c r="W1516" s="137"/>
      <c r="X1516" s="137"/>
      <c r="Y1516" s="137"/>
      <c r="Z1516" s="137"/>
      <c r="AA1516" s="137"/>
      <c r="AB1516" s="137"/>
      <c r="AC1516" s="137"/>
      <c r="AD1516" s="137"/>
      <c r="AE1516" s="137"/>
      <c r="AF1516" s="137"/>
      <c r="AG1516" s="137"/>
      <c r="AH1516" s="137"/>
      <c r="AI1516" s="137"/>
      <c r="AJ1516" s="137"/>
      <c r="AK1516" s="137"/>
    </row>
    <row r="1517" spans="13:37" x14ac:dyDescent="0.25">
      <c r="M1517" s="137"/>
      <c r="N1517" s="137"/>
      <c r="O1517" s="137"/>
      <c r="P1517" s="137"/>
      <c r="R1517" s="137"/>
      <c r="S1517" s="137"/>
      <c r="T1517" s="137"/>
      <c r="U1517" s="137"/>
      <c r="V1517" s="137"/>
      <c r="W1517" s="137"/>
      <c r="X1517" s="137"/>
      <c r="Y1517" s="137"/>
      <c r="Z1517" s="137"/>
      <c r="AA1517" s="137"/>
      <c r="AB1517" s="137"/>
      <c r="AC1517" s="137"/>
      <c r="AD1517" s="137"/>
      <c r="AE1517" s="137"/>
      <c r="AF1517" s="137"/>
      <c r="AG1517" s="137"/>
      <c r="AH1517" s="137"/>
      <c r="AI1517" s="137"/>
      <c r="AJ1517" s="137"/>
      <c r="AK1517" s="137"/>
    </row>
    <row r="1518" spans="13:37" x14ac:dyDescent="0.25">
      <c r="M1518" s="137"/>
      <c r="N1518" s="137"/>
      <c r="O1518" s="137"/>
      <c r="P1518" s="137"/>
      <c r="R1518" s="137"/>
      <c r="S1518" s="137"/>
      <c r="T1518" s="137"/>
      <c r="U1518" s="137"/>
      <c r="V1518" s="137"/>
      <c r="W1518" s="137"/>
      <c r="X1518" s="137"/>
      <c r="Y1518" s="137"/>
      <c r="Z1518" s="137"/>
      <c r="AA1518" s="137"/>
      <c r="AB1518" s="137"/>
      <c r="AC1518" s="137"/>
      <c r="AD1518" s="137"/>
      <c r="AE1518" s="137"/>
      <c r="AF1518" s="137"/>
      <c r="AG1518" s="137"/>
      <c r="AH1518" s="137"/>
      <c r="AI1518" s="137"/>
      <c r="AJ1518" s="137"/>
      <c r="AK1518" s="137"/>
    </row>
    <row r="1519" spans="13:37" x14ac:dyDescent="0.25">
      <c r="M1519" s="137"/>
      <c r="N1519" s="137"/>
      <c r="O1519" s="137"/>
      <c r="P1519" s="137"/>
      <c r="R1519" s="137"/>
      <c r="S1519" s="137"/>
      <c r="T1519" s="137"/>
      <c r="U1519" s="137"/>
      <c r="V1519" s="137"/>
      <c r="W1519" s="137"/>
      <c r="X1519" s="137"/>
      <c r="Y1519" s="137"/>
      <c r="Z1519" s="137"/>
      <c r="AA1519" s="137"/>
      <c r="AB1519" s="137"/>
      <c r="AC1519" s="137"/>
      <c r="AD1519" s="137"/>
      <c r="AE1519" s="137"/>
      <c r="AF1519" s="137"/>
      <c r="AG1519" s="137"/>
      <c r="AH1519" s="137"/>
      <c r="AI1519" s="137"/>
      <c r="AJ1519" s="137"/>
      <c r="AK1519" s="137"/>
    </row>
    <row r="1520" spans="13:37" x14ac:dyDescent="0.25">
      <c r="M1520" s="137"/>
      <c r="N1520" s="137"/>
      <c r="O1520" s="137"/>
      <c r="P1520" s="137"/>
      <c r="R1520" s="137"/>
      <c r="S1520" s="137"/>
      <c r="T1520" s="137"/>
      <c r="U1520" s="137"/>
      <c r="V1520" s="137"/>
      <c r="W1520" s="137"/>
      <c r="X1520" s="137"/>
      <c r="Y1520" s="137"/>
      <c r="Z1520" s="137"/>
      <c r="AA1520" s="137"/>
      <c r="AB1520" s="137"/>
      <c r="AC1520" s="137"/>
      <c r="AD1520" s="137"/>
      <c r="AE1520" s="137"/>
      <c r="AF1520" s="137"/>
      <c r="AG1520" s="137"/>
      <c r="AH1520" s="137"/>
      <c r="AI1520" s="137"/>
      <c r="AJ1520" s="137"/>
      <c r="AK1520" s="137"/>
    </row>
    <row r="1521" spans="13:37" x14ac:dyDescent="0.25">
      <c r="M1521" s="137"/>
      <c r="N1521" s="137"/>
      <c r="O1521" s="137"/>
      <c r="P1521" s="137"/>
      <c r="R1521" s="137"/>
      <c r="S1521" s="137"/>
      <c r="T1521" s="137"/>
      <c r="U1521" s="137"/>
      <c r="V1521" s="137"/>
      <c r="W1521" s="137"/>
      <c r="X1521" s="137"/>
      <c r="Y1521" s="137"/>
      <c r="Z1521" s="137"/>
      <c r="AA1521" s="137"/>
      <c r="AB1521" s="137"/>
      <c r="AC1521" s="137"/>
      <c r="AD1521" s="137"/>
      <c r="AE1521" s="137"/>
      <c r="AF1521" s="137"/>
      <c r="AG1521" s="137"/>
      <c r="AH1521" s="137"/>
      <c r="AI1521" s="137"/>
      <c r="AJ1521" s="137"/>
      <c r="AK1521" s="137"/>
    </row>
    <row r="1522" spans="13:37" x14ac:dyDescent="0.25">
      <c r="M1522" s="137"/>
      <c r="N1522" s="137"/>
      <c r="O1522" s="137"/>
      <c r="P1522" s="137"/>
      <c r="R1522" s="137"/>
      <c r="S1522" s="137"/>
      <c r="T1522" s="137"/>
      <c r="U1522" s="137"/>
      <c r="V1522" s="137"/>
      <c r="W1522" s="137"/>
      <c r="X1522" s="137"/>
      <c r="Y1522" s="137"/>
      <c r="Z1522" s="137"/>
      <c r="AA1522" s="137"/>
      <c r="AB1522" s="137"/>
      <c r="AC1522" s="137"/>
      <c r="AD1522" s="137"/>
      <c r="AE1522" s="137"/>
      <c r="AF1522" s="137"/>
      <c r="AG1522" s="137"/>
      <c r="AH1522" s="137"/>
      <c r="AI1522" s="137"/>
      <c r="AJ1522" s="137"/>
      <c r="AK1522" s="137"/>
    </row>
    <row r="1523" spans="13:37" x14ac:dyDescent="0.25">
      <c r="M1523" s="137"/>
      <c r="N1523" s="137"/>
      <c r="O1523" s="137"/>
      <c r="P1523" s="137"/>
      <c r="R1523" s="137"/>
      <c r="S1523" s="137"/>
      <c r="T1523" s="137"/>
      <c r="U1523" s="137"/>
      <c r="V1523" s="137"/>
      <c r="W1523" s="137"/>
      <c r="X1523" s="137"/>
      <c r="Y1523" s="137"/>
      <c r="Z1523" s="137"/>
      <c r="AA1523" s="137"/>
      <c r="AB1523" s="137"/>
      <c r="AC1523" s="137"/>
      <c r="AD1523" s="137"/>
      <c r="AE1523" s="137"/>
      <c r="AF1523" s="137"/>
      <c r="AG1523" s="137"/>
      <c r="AH1523" s="137"/>
      <c r="AI1523" s="137"/>
      <c r="AJ1523" s="137"/>
      <c r="AK1523" s="137"/>
    </row>
    <row r="1524" spans="13:37" x14ac:dyDescent="0.25">
      <c r="M1524" s="137"/>
      <c r="N1524" s="137"/>
      <c r="O1524" s="137"/>
      <c r="P1524" s="137"/>
      <c r="R1524" s="137"/>
      <c r="S1524" s="137"/>
      <c r="T1524" s="137"/>
      <c r="U1524" s="137"/>
      <c r="V1524" s="137"/>
      <c r="W1524" s="137"/>
      <c r="X1524" s="137"/>
      <c r="Y1524" s="137"/>
      <c r="Z1524" s="137"/>
      <c r="AA1524" s="137"/>
      <c r="AB1524" s="137"/>
      <c r="AC1524" s="137"/>
      <c r="AD1524" s="137"/>
      <c r="AE1524" s="137"/>
      <c r="AF1524" s="137"/>
      <c r="AG1524" s="137"/>
      <c r="AH1524" s="137"/>
      <c r="AI1524" s="137"/>
      <c r="AJ1524" s="137"/>
      <c r="AK1524" s="137"/>
    </row>
    <row r="1525" spans="13:37" x14ac:dyDescent="0.25">
      <c r="M1525" s="137"/>
      <c r="N1525" s="137"/>
      <c r="O1525" s="137"/>
      <c r="P1525" s="137"/>
      <c r="R1525" s="137"/>
      <c r="S1525" s="137"/>
      <c r="T1525" s="137"/>
      <c r="U1525" s="137"/>
      <c r="V1525" s="137"/>
      <c r="W1525" s="137"/>
      <c r="X1525" s="137"/>
      <c r="Y1525" s="137"/>
      <c r="Z1525" s="137"/>
      <c r="AA1525" s="137"/>
      <c r="AB1525" s="137"/>
      <c r="AC1525" s="137"/>
      <c r="AD1525" s="137"/>
      <c r="AE1525" s="137"/>
      <c r="AF1525" s="137"/>
      <c r="AG1525" s="137"/>
      <c r="AH1525" s="137"/>
      <c r="AI1525" s="137"/>
      <c r="AJ1525" s="137"/>
      <c r="AK1525" s="137"/>
    </row>
    <row r="1526" spans="13:37" x14ac:dyDescent="0.25">
      <c r="M1526" s="137"/>
      <c r="N1526" s="137"/>
      <c r="O1526" s="137"/>
      <c r="P1526" s="137"/>
      <c r="R1526" s="137"/>
      <c r="S1526" s="137"/>
      <c r="T1526" s="137"/>
      <c r="U1526" s="137"/>
      <c r="V1526" s="137"/>
      <c r="W1526" s="137"/>
      <c r="X1526" s="137"/>
      <c r="Y1526" s="137"/>
      <c r="Z1526" s="137"/>
      <c r="AA1526" s="137"/>
      <c r="AB1526" s="137"/>
      <c r="AC1526" s="137"/>
      <c r="AD1526" s="137"/>
      <c r="AE1526" s="137"/>
      <c r="AF1526" s="137"/>
      <c r="AG1526" s="137"/>
      <c r="AH1526" s="137"/>
      <c r="AI1526" s="137"/>
      <c r="AJ1526" s="137"/>
      <c r="AK1526" s="137"/>
    </row>
    <row r="1527" spans="13:37" x14ac:dyDescent="0.25">
      <c r="M1527" s="137"/>
      <c r="N1527" s="137"/>
      <c r="O1527" s="137"/>
      <c r="P1527" s="137"/>
      <c r="R1527" s="137"/>
      <c r="S1527" s="137"/>
      <c r="T1527" s="137"/>
      <c r="U1527" s="137"/>
      <c r="V1527" s="137"/>
      <c r="W1527" s="137"/>
      <c r="X1527" s="137"/>
      <c r="Y1527" s="137"/>
      <c r="Z1527" s="137"/>
      <c r="AA1527" s="137"/>
      <c r="AB1527" s="137"/>
      <c r="AC1527" s="137"/>
      <c r="AD1527" s="137"/>
      <c r="AE1527" s="137"/>
      <c r="AF1527" s="137"/>
      <c r="AG1527" s="137"/>
      <c r="AH1527" s="137"/>
      <c r="AI1527" s="137"/>
      <c r="AJ1527" s="137"/>
      <c r="AK1527" s="137"/>
    </row>
    <row r="1528" spans="13:37" x14ac:dyDescent="0.25">
      <c r="M1528" s="137"/>
      <c r="N1528" s="137"/>
      <c r="O1528" s="137"/>
      <c r="P1528" s="137"/>
      <c r="R1528" s="137"/>
      <c r="S1528" s="137"/>
      <c r="T1528" s="137"/>
      <c r="U1528" s="137"/>
      <c r="V1528" s="137"/>
      <c r="W1528" s="137"/>
      <c r="X1528" s="137"/>
      <c r="Y1528" s="137"/>
      <c r="Z1528" s="137"/>
      <c r="AA1528" s="137"/>
      <c r="AB1528" s="137"/>
      <c r="AC1528" s="137"/>
      <c r="AD1528" s="137"/>
      <c r="AE1528" s="137"/>
      <c r="AF1528" s="137"/>
      <c r="AG1528" s="137"/>
      <c r="AH1528" s="137"/>
      <c r="AI1528" s="137"/>
      <c r="AJ1528" s="137"/>
      <c r="AK1528" s="137"/>
    </row>
    <row r="1529" spans="13:37" x14ac:dyDescent="0.25">
      <c r="M1529" s="137"/>
      <c r="N1529" s="137"/>
      <c r="O1529" s="137"/>
      <c r="P1529" s="137"/>
      <c r="R1529" s="137"/>
      <c r="S1529" s="137"/>
      <c r="T1529" s="137"/>
      <c r="U1529" s="137"/>
      <c r="V1529" s="137"/>
      <c r="W1529" s="137"/>
      <c r="X1529" s="137"/>
      <c r="Y1529" s="137"/>
      <c r="Z1529" s="137"/>
      <c r="AA1529" s="137"/>
      <c r="AB1529" s="137"/>
      <c r="AC1529" s="137"/>
      <c r="AD1529" s="137"/>
      <c r="AE1529" s="137"/>
      <c r="AF1529" s="137"/>
      <c r="AG1529" s="137"/>
      <c r="AH1529" s="137"/>
      <c r="AI1529" s="137"/>
      <c r="AJ1529" s="137"/>
      <c r="AK1529" s="137"/>
    </row>
    <row r="1530" spans="13:37" x14ac:dyDescent="0.25">
      <c r="M1530" s="137"/>
      <c r="N1530" s="137"/>
      <c r="O1530" s="137"/>
      <c r="P1530" s="137"/>
      <c r="R1530" s="137"/>
      <c r="S1530" s="137"/>
      <c r="T1530" s="137"/>
      <c r="U1530" s="137"/>
      <c r="V1530" s="137"/>
      <c r="W1530" s="137"/>
      <c r="X1530" s="137"/>
      <c r="Y1530" s="137"/>
      <c r="Z1530" s="137"/>
      <c r="AA1530" s="137"/>
      <c r="AB1530" s="137"/>
      <c r="AC1530" s="137"/>
      <c r="AD1530" s="137"/>
      <c r="AE1530" s="137"/>
      <c r="AF1530" s="137"/>
      <c r="AG1530" s="137"/>
      <c r="AH1530" s="137"/>
      <c r="AI1530" s="137"/>
      <c r="AJ1530" s="137"/>
      <c r="AK1530" s="137"/>
    </row>
    <row r="1531" spans="13:37" x14ac:dyDescent="0.25">
      <c r="M1531" s="137"/>
      <c r="N1531" s="137"/>
      <c r="O1531" s="137"/>
      <c r="P1531" s="137"/>
      <c r="R1531" s="137"/>
      <c r="S1531" s="137"/>
      <c r="T1531" s="137"/>
      <c r="U1531" s="137"/>
      <c r="V1531" s="137"/>
      <c r="W1531" s="137"/>
      <c r="X1531" s="137"/>
      <c r="Y1531" s="137"/>
      <c r="Z1531" s="137"/>
      <c r="AA1531" s="137"/>
      <c r="AB1531" s="137"/>
      <c r="AC1531" s="137"/>
      <c r="AD1531" s="137"/>
      <c r="AE1531" s="137"/>
      <c r="AF1531" s="137"/>
      <c r="AG1531" s="137"/>
      <c r="AH1531" s="137"/>
      <c r="AI1531" s="137"/>
      <c r="AJ1531" s="137"/>
      <c r="AK1531" s="137"/>
    </row>
    <row r="1532" spans="13:37" x14ac:dyDescent="0.25">
      <c r="M1532" s="137"/>
      <c r="N1532" s="137"/>
      <c r="O1532" s="137"/>
      <c r="P1532" s="137"/>
      <c r="R1532" s="137"/>
      <c r="S1532" s="137"/>
      <c r="T1532" s="137"/>
      <c r="U1532" s="137"/>
      <c r="V1532" s="137"/>
      <c r="W1532" s="137"/>
      <c r="X1532" s="137"/>
      <c r="Y1532" s="137"/>
      <c r="Z1532" s="137"/>
      <c r="AA1532" s="137"/>
      <c r="AB1532" s="137"/>
      <c r="AC1532" s="137"/>
      <c r="AD1532" s="137"/>
      <c r="AE1532" s="137"/>
      <c r="AF1532" s="137"/>
      <c r="AG1532" s="137"/>
      <c r="AH1532" s="137"/>
      <c r="AI1532" s="137"/>
      <c r="AJ1532" s="137"/>
      <c r="AK1532" s="137"/>
    </row>
    <row r="1533" spans="13:37" x14ac:dyDescent="0.25">
      <c r="M1533" s="137"/>
      <c r="N1533" s="137"/>
      <c r="O1533" s="137"/>
      <c r="P1533" s="137"/>
      <c r="R1533" s="137"/>
      <c r="S1533" s="137"/>
      <c r="T1533" s="137"/>
      <c r="U1533" s="137"/>
      <c r="V1533" s="137"/>
      <c r="W1533" s="137"/>
      <c r="X1533" s="137"/>
      <c r="Y1533" s="137"/>
      <c r="Z1533" s="137"/>
      <c r="AA1533" s="137"/>
      <c r="AB1533" s="137"/>
      <c r="AC1533" s="137"/>
      <c r="AD1533" s="137"/>
      <c r="AE1533" s="137"/>
      <c r="AF1533" s="137"/>
      <c r="AG1533" s="137"/>
      <c r="AH1533" s="137"/>
      <c r="AI1533" s="137"/>
      <c r="AJ1533" s="137"/>
      <c r="AK1533" s="137"/>
    </row>
    <row r="1534" spans="13:37" x14ac:dyDescent="0.25">
      <c r="M1534" s="137"/>
      <c r="N1534" s="137"/>
      <c r="O1534" s="137"/>
      <c r="P1534" s="137"/>
      <c r="R1534" s="137"/>
      <c r="S1534" s="137"/>
      <c r="T1534" s="137"/>
      <c r="U1534" s="137"/>
      <c r="V1534" s="137"/>
      <c r="W1534" s="137"/>
      <c r="X1534" s="137"/>
      <c r="Y1534" s="137"/>
      <c r="Z1534" s="137"/>
      <c r="AA1534" s="137"/>
      <c r="AB1534" s="137"/>
      <c r="AC1534" s="137"/>
      <c r="AD1534" s="137"/>
      <c r="AE1534" s="137"/>
      <c r="AF1534" s="137"/>
      <c r="AG1534" s="137"/>
      <c r="AH1534" s="137"/>
      <c r="AI1534" s="137"/>
      <c r="AJ1534" s="137"/>
      <c r="AK1534" s="137"/>
    </row>
    <row r="1535" spans="13:37" x14ac:dyDescent="0.25">
      <c r="M1535" s="137"/>
      <c r="N1535" s="137"/>
      <c r="O1535" s="137"/>
      <c r="P1535" s="137"/>
      <c r="R1535" s="137"/>
      <c r="S1535" s="137"/>
      <c r="T1535" s="137"/>
      <c r="U1535" s="137"/>
      <c r="V1535" s="137"/>
      <c r="W1535" s="137"/>
      <c r="X1535" s="137"/>
      <c r="Y1535" s="137"/>
      <c r="Z1535" s="137"/>
      <c r="AA1535" s="137"/>
      <c r="AB1535" s="137"/>
      <c r="AC1535" s="137"/>
      <c r="AD1535" s="137"/>
      <c r="AE1535" s="137"/>
      <c r="AF1535" s="137"/>
      <c r="AG1535" s="137"/>
      <c r="AH1535" s="137"/>
      <c r="AI1535" s="137"/>
      <c r="AJ1535" s="137"/>
      <c r="AK1535" s="137"/>
    </row>
    <row r="1536" spans="13:37" x14ac:dyDescent="0.25">
      <c r="M1536" s="137"/>
      <c r="N1536" s="137"/>
      <c r="O1536" s="137"/>
      <c r="P1536" s="137"/>
      <c r="R1536" s="137"/>
      <c r="S1536" s="137"/>
      <c r="T1536" s="137"/>
      <c r="U1536" s="137"/>
      <c r="V1536" s="137"/>
      <c r="W1536" s="137"/>
      <c r="X1536" s="137"/>
      <c r="Y1536" s="137"/>
      <c r="Z1536" s="137"/>
      <c r="AA1536" s="137"/>
      <c r="AB1536" s="137"/>
      <c r="AC1536" s="137"/>
      <c r="AD1536" s="137"/>
      <c r="AE1536" s="137"/>
      <c r="AF1536" s="137"/>
      <c r="AG1536" s="137"/>
      <c r="AH1536" s="137"/>
      <c r="AI1536" s="137"/>
      <c r="AJ1536" s="137"/>
      <c r="AK1536" s="137"/>
    </row>
    <row r="1537" spans="13:37" x14ac:dyDescent="0.25">
      <c r="M1537" s="137"/>
      <c r="N1537" s="137"/>
      <c r="O1537" s="137"/>
      <c r="P1537" s="137"/>
      <c r="R1537" s="137"/>
      <c r="S1537" s="137"/>
      <c r="T1537" s="137"/>
      <c r="U1537" s="137"/>
      <c r="V1537" s="137"/>
      <c r="W1537" s="137"/>
      <c r="X1537" s="137"/>
      <c r="Y1537" s="137"/>
      <c r="Z1537" s="137"/>
      <c r="AA1537" s="137"/>
      <c r="AB1537" s="137"/>
      <c r="AC1537" s="137"/>
      <c r="AD1537" s="137"/>
      <c r="AE1537" s="137"/>
      <c r="AF1537" s="137"/>
      <c r="AG1537" s="137"/>
      <c r="AH1537" s="137"/>
      <c r="AI1537" s="137"/>
      <c r="AJ1537" s="137"/>
      <c r="AK1537" s="137"/>
    </row>
    <row r="1538" spans="13:37" x14ac:dyDescent="0.25">
      <c r="M1538" s="137"/>
      <c r="N1538" s="137"/>
      <c r="O1538" s="137"/>
      <c r="P1538" s="137"/>
      <c r="R1538" s="137"/>
      <c r="S1538" s="137"/>
      <c r="T1538" s="137"/>
      <c r="U1538" s="137"/>
      <c r="V1538" s="137"/>
      <c r="W1538" s="137"/>
      <c r="X1538" s="137"/>
      <c r="Y1538" s="137"/>
      <c r="Z1538" s="137"/>
      <c r="AA1538" s="137"/>
      <c r="AB1538" s="137"/>
      <c r="AC1538" s="137"/>
      <c r="AD1538" s="137"/>
      <c r="AE1538" s="137"/>
      <c r="AF1538" s="137"/>
      <c r="AG1538" s="137"/>
      <c r="AH1538" s="137"/>
      <c r="AI1538" s="137"/>
      <c r="AJ1538" s="137"/>
      <c r="AK1538" s="137"/>
    </row>
    <row r="1539" spans="13:37" x14ac:dyDescent="0.25">
      <c r="M1539" s="137"/>
      <c r="N1539" s="137"/>
      <c r="O1539" s="137"/>
      <c r="P1539" s="137"/>
      <c r="R1539" s="137"/>
      <c r="S1539" s="137"/>
      <c r="T1539" s="137"/>
      <c r="U1539" s="137"/>
      <c r="V1539" s="137"/>
      <c r="W1539" s="137"/>
      <c r="X1539" s="137"/>
      <c r="Y1539" s="137"/>
      <c r="Z1539" s="137"/>
      <c r="AA1539" s="137"/>
      <c r="AB1539" s="137"/>
      <c r="AC1539" s="137"/>
      <c r="AD1539" s="137"/>
      <c r="AE1539" s="137"/>
      <c r="AF1539" s="137"/>
      <c r="AG1539" s="137"/>
      <c r="AH1539" s="137"/>
      <c r="AI1539" s="137"/>
      <c r="AJ1539" s="137"/>
      <c r="AK1539" s="137"/>
    </row>
    <row r="1540" spans="13:37" x14ac:dyDescent="0.25">
      <c r="M1540" s="137"/>
      <c r="N1540" s="137"/>
      <c r="O1540" s="137"/>
      <c r="P1540" s="137"/>
      <c r="R1540" s="137"/>
      <c r="S1540" s="137"/>
      <c r="T1540" s="137"/>
      <c r="U1540" s="137"/>
      <c r="V1540" s="137"/>
      <c r="W1540" s="137"/>
      <c r="X1540" s="137"/>
      <c r="Y1540" s="137"/>
      <c r="Z1540" s="137"/>
      <c r="AA1540" s="137"/>
      <c r="AB1540" s="137"/>
      <c r="AC1540" s="137"/>
      <c r="AD1540" s="137"/>
      <c r="AE1540" s="137"/>
      <c r="AF1540" s="137"/>
      <c r="AG1540" s="137"/>
      <c r="AH1540" s="137"/>
      <c r="AI1540" s="137"/>
      <c r="AJ1540" s="137"/>
      <c r="AK1540" s="137"/>
    </row>
    <row r="1541" spans="13:37" x14ac:dyDescent="0.25">
      <c r="M1541" s="137"/>
      <c r="N1541" s="137"/>
      <c r="O1541" s="137"/>
      <c r="P1541" s="137"/>
      <c r="R1541" s="137"/>
      <c r="S1541" s="137"/>
      <c r="T1541" s="137"/>
      <c r="U1541" s="137"/>
      <c r="V1541" s="137"/>
      <c r="W1541" s="137"/>
      <c r="X1541" s="137"/>
      <c r="Y1541" s="137"/>
      <c r="Z1541" s="137"/>
      <c r="AA1541" s="137"/>
      <c r="AB1541" s="137"/>
      <c r="AC1541" s="137"/>
      <c r="AD1541" s="137"/>
      <c r="AE1541" s="137"/>
      <c r="AF1541" s="137"/>
      <c r="AG1541" s="137"/>
      <c r="AH1541" s="137"/>
      <c r="AI1541" s="137"/>
      <c r="AJ1541" s="137"/>
      <c r="AK1541" s="137"/>
    </row>
    <row r="1542" spans="13:37" x14ac:dyDescent="0.25">
      <c r="M1542" s="137"/>
      <c r="N1542" s="137"/>
      <c r="O1542" s="137"/>
      <c r="P1542" s="137"/>
      <c r="R1542" s="137"/>
      <c r="S1542" s="137"/>
      <c r="T1542" s="137"/>
      <c r="U1542" s="137"/>
      <c r="V1542" s="137"/>
      <c r="W1542" s="137"/>
      <c r="X1542" s="137"/>
      <c r="Y1542" s="137"/>
      <c r="Z1542" s="137"/>
      <c r="AA1542" s="137"/>
      <c r="AB1542" s="137"/>
      <c r="AC1542" s="137"/>
      <c r="AD1542" s="137"/>
      <c r="AE1542" s="137"/>
      <c r="AF1542" s="137"/>
      <c r="AG1542" s="137"/>
      <c r="AH1542" s="137"/>
      <c r="AI1542" s="137"/>
      <c r="AJ1542" s="137"/>
      <c r="AK1542" s="137"/>
    </row>
    <row r="1543" spans="13:37" x14ac:dyDescent="0.25">
      <c r="M1543" s="137"/>
      <c r="N1543" s="137"/>
      <c r="O1543" s="137"/>
      <c r="P1543" s="137"/>
      <c r="R1543" s="137"/>
      <c r="S1543" s="137"/>
      <c r="T1543" s="137"/>
      <c r="U1543" s="137"/>
      <c r="V1543" s="137"/>
      <c r="W1543" s="137"/>
      <c r="X1543" s="137"/>
      <c r="Y1543" s="137"/>
      <c r="Z1543" s="137"/>
      <c r="AA1543" s="137"/>
      <c r="AB1543" s="137"/>
      <c r="AC1543" s="137"/>
      <c r="AD1543" s="137"/>
      <c r="AE1543" s="137"/>
      <c r="AF1543" s="137"/>
      <c r="AG1543" s="137"/>
      <c r="AH1543" s="137"/>
      <c r="AI1543" s="137"/>
      <c r="AJ1543" s="137"/>
      <c r="AK1543" s="137"/>
    </row>
    <row r="1544" spans="13:37" x14ac:dyDescent="0.25">
      <c r="M1544" s="137"/>
      <c r="N1544" s="137"/>
      <c r="O1544" s="137"/>
      <c r="P1544" s="137"/>
      <c r="R1544" s="137"/>
      <c r="S1544" s="137"/>
      <c r="T1544" s="137"/>
      <c r="U1544" s="137"/>
      <c r="V1544" s="137"/>
      <c r="W1544" s="137"/>
      <c r="X1544" s="137"/>
      <c r="Y1544" s="137"/>
      <c r="Z1544" s="137"/>
      <c r="AA1544" s="137"/>
      <c r="AB1544" s="137"/>
      <c r="AC1544" s="137"/>
      <c r="AD1544" s="137"/>
      <c r="AE1544" s="137"/>
      <c r="AF1544" s="137"/>
      <c r="AG1544" s="137"/>
      <c r="AH1544" s="137"/>
      <c r="AI1544" s="137"/>
      <c r="AJ1544" s="137"/>
      <c r="AK1544" s="137"/>
    </row>
    <row r="1545" spans="13:37" x14ac:dyDescent="0.25">
      <c r="M1545" s="137"/>
      <c r="N1545" s="137"/>
      <c r="O1545" s="137"/>
      <c r="P1545" s="137"/>
      <c r="R1545" s="137"/>
      <c r="S1545" s="137"/>
      <c r="T1545" s="137"/>
      <c r="U1545" s="137"/>
      <c r="V1545" s="137"/>
      <c r="W1545" s="137"/>
      <c r="X1545" s="137"/>
      <c r="Y1545" s="137"/>
      <c r="Z1545" s="137"/>
      <c r="AA1545" s="137"/>
      <c r="AB1545" s="137"/>
      <c r="AC1545" s="137"/>
      <c r="AD1545" s="137"/>
      <c r="AE1545" s="137"/>
      <c r="AF1545" s="137"/>
      <c r="AG1545" s="137"/>
      <c r="AH1545" s="137"/>
      <c r="AI1545" s="137"/>
      <c r="AJ1545" s="137"/>
      <c r="AK1545" s="137"/>
    </row>
    <row r="1546" spans="13:37" x14ac:dyDescent="0.25">
      <c r="M1546" s="137"/>
      <c r="N1546" s="137"/>
      <c r="O1546" s="137"/>
      <c r="P1546" s="137"/>
      <c r="R1546" s="137"/>
      <c r="S1546" s="137"/>
      <c r="T1546" s="137"/>
      <c r="U1546" s="137"/>
      <c r="V1546" s="137"/>
      <c r="W1546" s="137"/>
      <c r="X1546" s="137"/>
      <c r="Y1546" s="137"/>
      <c r="Z1546" s="137"/>
      <c r="AA1546" s="137"/>
      <c r="AB1546" s="137"/>
      <c r="AC1546" s="137"/>
      <c r="AD1546" s="137"/>
      <c r="AE1546" s="137"/>
      <c r="AF1546" s="137"/>
      <c r="AG1546" s="137"/>
      <c r="AH1546" s="137"/>
      <c r="AI1546" s="137"/>
      <c r="AJ1546" s="137"/>
      <c r="AK1546" s="137"/>
    </row>
    <row r="1547" spans="13:37" x14ac:dyDescent="0.25">
      <c r="M1547" s="137"/>
      <c r="N1547" s="137"/>
      <c r="O1547" s="137"/>
      <c r="P1547" s="137"/>
      <c r="R1547" s="137"/>
      <c r="S1547" s="137"/>
      <c r="T1547" s="137"/>
      <c r="U1547" s="137"/>
      <c r="V1547" s="137"/>
      <c r="W1547" s="137"/>
      <c r="X1547" s="137"/>
      <c r="Y1547" s="137"/>
      <c r="Z1547" s="137"/>
      <c r="AA1547" s="137"/>
      <c r="AB1547" s="137"/>
      <c r="AC1547" s="137"/>
      <c r="AD1547" s="137"/>
      <c r="AE1547" s="137"/>
      <c r="AF1547" s="137"/>
      <c r="AG1547" s="137"/>
      <c r="AH1547" s="137"/>
      <c r="AI1547" s="137"/>
      <c r="AJ1547" s="137"/>
      <c r="AK1547" s="137"/>
    </row>
    <row r="1548" spans="13:37" x14ac:dyDescent="0.25">
      <c r="M1548" s="137"/>
      <c r="N1548" s="137"/>
      <c r="O1548" s="137"/>
      <c r="P1548" s="137"/>
      <c r="R1548" s="137"/>
      <c r="S1548" s="137"/>
      <c r="T1548" s="137"/>
      <c r="U1548" s="137"/>
      <c r="V1548" s="137"/>
      <c r="W1548" s="137"/>
      <c r="X1548" s="137"/>
      <c r="Y1548" s="137"/>
      <c r="Z1548" s="137"/>
      <c r="AA1548" s="137"/>
      <c r="AB1548" s="137"/>
      <c r="AC1548" s="137"/>
      <c r="AD1548" s="137"/>
      <c r="AE1548" s="137"/>
      <c r="AF1548" s="137"/>
      <c r="AG1548" s="137"/>
      <c r="AH1548" s="137"/>
      <c r="AI1548" s="137"/>
      <c r="AJ1548" s="137"/>
      <c r="AK1548" s="137"/>
    </row>
    <row r="1549" spans="13:37" x14ac:dyDescent="0.25">
      <c r="M1549" s="137"/>
      <c r="N1549" s="137"/>
      <c r="O1549" s="137"/>
      <c r="P1549" s="137"/>
      <c r="R1549" s="137"/>
      <c r="S1549" s="137"/>
      <c r="T1549" s="137"/>
      <c r="U1549" s="137"/>
      <c r="V1549" s="137"/>
      <c r="W1549" s="137"/>
      <c r="X1549" s="137"/>
      <c r="Y1549" s="137"/>
      <c r="Z1549" s="137"/>
      <c r="AA1549" s="137"/>
      <c r="AB1549" s="137"/>
      <c r="AC1549" s="137"/>
      <c r="AD1549" s="137"/>
      <c r="AE1549" s="137"/>
      <c r="AF1549" s="137"/>
      <c r="AG1549" s="137"/>
      <c r="AH1549" s="137"/>
      <c r="AI1549" s="137"/>
      <c r="AJ1549" s="137"/>
      <c r="AK1549" s="137"/>
    </row>
    <row r="1550" spans="13:37" x14ac:dyDescent="0.25">
      <c r="M1550" s="137"/>
      <c r="N1550" s="137"/>
      <c r="O1550" s="137"/>
      <c r="P1550" s="137"/>
      <c r="R1550" s="137"/>
      <c r="S1550" s="137"/>
      <c r="T1550" s="137"/>
      <c r="U1550" s="137"/>
      <c r="V1550" s="137"/>
      <c r="W1550" s="137"/>
      <c r="X1550" s="137"/>
      <c r="Y1550" s="137"/>
      <c r="Z1550" s="137"/>
      <c r="AA1550" s="137"/>
      <c r="AB1550" s="137"/>
      <c r="AC1550" s="137"/>
      <c r="AD1550" s="137"/>
      <c r="AE1550" s="137"/>
      <c r="AF1550" s="137"/>
      <c r="AG1550" s="137"/>
      <c r="AH1550" s="137"/>
      <c r="AI1550" s="137"/>
      <c r="AJ1550" s="137"/>
      <c r="AK1550" s="137"/>
    </row>
    <row r="1551" spans="13:37" x14ac:dyDescent="0.25">
      <c r="M1551" s="137"/>
      <c r="N1551" s="137"/>
      <c r="O1551" s="137"/>
      <c r="P1551" s="137"/>
      <c r="R1551" s="137"/>
      <c r="S1551" s="137"/>
      <c r="T1551" s="137"/>
      <c r="U1551" s="137"/>
      <c r="V1551" s="137"/>
      <c r="W1551" s="137"/>
      <c r="X1551" s="137"/>
      <c r="Y1551" s="137"/>
      <c r="Z1551" s="137"/>
      <c r="AA1551" s="137"/>
      <c r="AB1551" s="137"/>
      <c r="AC1551" s="137"/>
      <c r="AD1551" s="137"/>
      <c r="AE1551" s="137"/>
      <c r="AF1551" s="137"/>
      <c r="AG1551" s="137"/>
      <c r="AH1551" s="137"/>
      <c r="AI1551" s="137"/>
      <c r="AJ1551" s="137"/>
      <c r="AK1551" s="137"/>
    </row>
    <row r="1552" spans="13:37" x14ac:dyDescent="0.25">
      <c r="M1552" s="137"/>
      <c r="N1552" s="137"/>
      <c r="O1552" s="137"/>
      <c r="P1552" s="137"/>
      <c r="R1552" s="137"/>
      <c r="S1552" s="137"/>
      <c r="T1552" s="137"/>
      <c r="U1552" s="137"/>
      <c r="V1552" s="137"/>
      <c r="W1552" s="137"/>
      <c r="X1552" s="137"/>
      <c r="Y1552" s="137"/>
      <c r="Z1552" s="137"/>
      <c r="AA1552" s="137"/>
      <c r="AB1552" s="137"/>
      <c r="AC1552" s="137"/>
      <c r="AD1552" s="137"/>
      <c r="AE1552" s="137"/>
      <c r="AF1552" s="137"/>
      <c r="AG1552" s="137"/>
      <c r="AH1552" s="137"/>
      <c r="AI1552" s="137"/>
      <c r="AJ1552" s="137"/>
      <c r="AK1552" s="137"/>
    </row>
    <row r="1553" spans="13:37" x14ac:dyDescent="0.25">
      <c r="M1553" s="137"/>
      <c r="N1553" s="137"/>
      <c r="O1553" s="137"/>
      <c r="P1553" s="137"/>
      <c r="R1553" s="137"/>
      <c r="S1553" s="137"/>
      <c r="T1553" s="137"/>
      <c r="U1553" s="137"/>
      <c r="V1553" s="137"/>
      <c r="W1553" s="137"/>
      <c r="X1553" s="137"/>
      <c r="Y1553" s="137"/>
      <c r="Z1553" s="137"/>
      <c r="AA1553" s="137"/>
      <c r="AB1553" s="137"/>
      <c r="AC1553" s="137"/>
      <c r="AD1553" s="137"/>
      <c r="AE1553" s="137"/>
      <c r="AF1553" s="137"/>
      <c r="AG1553" s="137"/>
      <c r="AH1553" s="137"/>
      <c r="AI1553" s="137"/>
      <c r="AJ1553" s="137"/>
      <c r="AK1553" s="137"/>
    </row>
    <row r="1554" spans="13:37" x14ac:dyDescent="0.25">
      <c r="M1554" s="137"/>
      <c r="N1554" s="137"/>
      <c r="O1554" s="137"/>
      <c r="P1554" s="137"/>
      <c r="R1554" s="137"/>
      <c r="S1554" s="137"/>
      <c r="T1554" s="137"/>
      <c r="U1554" s="137"/>
      <c r="V1554" s="137"/>
      <c r="W1554" s="137"/>
      <c r="X1554" s="137"/>
      <c r="Y1554" s="137"/>
      <c r="Z1554" s="137"/>
      <c r="AA1554" s="137"/>
      <c r="AB1554" s="137"/>
      <c r="AC1554" s="137"/>
      <c r="AD1554" s="137"/>
      <c r="AE1554" s="137"/>
      <c r="AF1554" s="137"/>
      <c r="AG1554" s="137"/>
      <c r="AH1554" s="137"/>
      <c r="AI1554" s="137"/>
      <c r="AJ1554" s="137"/>
      <c r="AK1554" s="137"/>
    </row>
    <row r="1555" spans="13:37" x14ac:dyDescent="0.25">
      <c r="M1555" s="137"/>
      <c r="N1555" s="137"/>
      <c r="O1555" s="137"/>
      <c r="P1555" s="137"/>
      <c r="R1555" s="137"/>
      <c r="S1555" s="137"/>
      <c r="T1555" s="137"/>
      <c r="U1555" s="137"/>
      <c r="V1555" s="137"/>
      <c r="W1555" s="137"/>
      <c r="X1555" s="137"/>
      <c r="Y1555" s="137"/>
      <c r="Z1555" s="137"/>
      <c r="AA1555" s="137"/>
      <c r="AB1555" s="137"/>
      <c r="AC1555" s="137"/>
      <c r="AD1555" s="137"/>
      <c r="AE1555" s="137"/>
      <c r="AF1555" s="137"/>
      <c r="AG1555" s="137"/>
      <c r="AH1555" s="137"/>
      <c r="AI1555" s="137"/>
      <c r="AJ1555" s="137"/>
      <c r="AK1555" s="137"/>
    </row>
    <row r="1556" spans="13:37" x14ac:dyDescent="0.25">
      <c r="M1556" s="137"/>
      <c r="N1556" s="137"/>
      <c r="O1556" s="137"/>
      <c r="P1556" s="137"/>
      <c r="R1556" s="137"/>
      <c r="S1556" s="137"/>
      <c r="T1556" s="137"/>
      <c r="U1556" s="137"/>
      <c r="V1556" s="137"/>
      <c r="W1556" s="137"/>
      <c r="X1556" s="137"/>
      <c r="Y1556" s="137"/>
      <c r="Z1556" s="137"/>
      <c r="AA1556" s="137"/>
      <c r="AB1556" s="137"/>
      <c r="AC1556" s="137"/>
      <c r="AD1556" s="137"/>
      <c r="AE1556" s="137"/>
      <c r="AF1556" s="137"/>
      <c r="AG1556" s="137"/>
      <c r="AH1556" s="137"/>
      <c r="AI1556" s="137"/>
      <c r="AJ1556" s="137"/>
      <c r="AK1556" s="137"/>
    </row>
    <row r="1557" spans="13:37" x14ac:dyDescent="0.25">
      <c r="M1557" s="137"/>
      <c r="N1557" s="137"/>
      <c r="O1557" s="137"/>
      <c r="P1557" s="137"/>
      <c r="R1557" s="137"/>
      <c r="S1557" s="137"/>
      <c r="T1557" s="137"/>
      <c r="U1557" s="137"/>
      <c r="V1557" s="137"/>
      <c r="W1557" s="137"/>
      <c r="X1557" s="137"/>
      <c r="Y1557" s="137"/>
      <c r="Z1557" s="137"/>
      <c r="AA1557" s="137"/>
      <c r="AB1557" s="137"/>
      <c r="AC1557" s="137"/>
      <c r="AD1557" s="137"/>
      <c r="AE1557" s="137"/>
      <c r="AF1557" s="137"/>
      <c r="AG1557" s="137"/>
      <c r="AH1557" s="137"/>
      <c r="AI1557" s="137"/>
      <c r="AJ1557" s="137"/>
      <c r="AK1557" s="137"/>
    </row>
    <row r="1558" spans="13:37" x14ac:dyDescent="0.25">
      <c r="M1558" s="137"/>
      <c r="N1558" s="137"/>
      <c r="O1558" s="137"/>
      <c r="P1558" s="137"/>
      <c r="R1558" s="137"/>
      <c r="S1558" s="137"/>
      <c r="T1558" s="137"/>
      <c r="U1558" s="137"/>
      <c r="V1558" s="137"/>
      <c r="W1558" s="137"/>
      <c r="X1558" s="137"/>
      <c r="Y1558" s="137"/>
      <c r="Z1558" s="137"/>
      <c r="AA1558" s="137"/>
      <c r="AB1558" s="137"/>
      <c r="AC1558" s="137"/>
      <c r="AD1558" s="137"/>
      <c r="AE1558" s="137"/>
      <c r="AF1558" s="137"/>
      <c r="AG1558" s="137"/>
      <c r="AH1558" s="137"/>
      <c r="AI1558" s="137"/>
      <c r="AJ1558" s="137"/>
      <c r="AK1558" s="137"/>
    </row>
    <row r="1559" spans="13:37" x14ac:dyDescent="0.25">
      <c r="M1559" s="137"/>
      <c r="N1559" s="137"/>
      <c r="O1559" s="137"/>
      <c r="P1559" s="137"/>
      <c r="R1559" s="137"/>
      <c r="S1559" s="137"/>
      <c r="T1559" s="137"/>
      <c r="U1559" s="137"/>
      <c r="V1559" s="137"/>
      <c r="W1559" s="137"/>
      <c r="X1559" s="137"/>
      <c r="Y1559" s="137"/>
      <c r="Z1559" s="137"/>
      <c r="AA1559" s="137"/>
      <c r="AB1559" s="137"/>
      <c r="AC1559" s="137"/>
      <c r="AD1559" s="137"/>
      <c r="AE1559" s="137"/>
      <c r="AF1559" s="137"/>
      <c r="AG1559" s="137"/>
      <c r="AH1559" s="137"/>
      <c r="AI1559" s="137"/>
      <c r="AJ1559" s="137"/>
      <c r="AK1559" s="137"/>
    </row>
    <row r="1560" spans="13:37" x14ac:dyDescent="0.25">
      <c r="M1560" s="137"/>
      <c r="N1560" s="137"/>
      <c r="O1560" s="137"/>
      <c r="P1560" s="137"/>
      <c r="R1560" s="137"/>
      <c r="S1560" s="137"/>
      <c r="T1560" s="137"/>
      <c r="U1560" s="137"/>
      <c r="V1560" s="137"/>
      <c r="W1560" s="137"/>
      <c r="X1560" s="137"/>
      <c r="Y1560" s="137"/>
      <c r="Z1560" s="137"/>
      <c r="AA1560" s="137"/>
      <c r="AB1560" s="137"/>
      <c r="AC1560" s="137"/>
      <c r="AD1560" s="137"/>
      <c r="AE1560" s="137"/>
      <c r="AF1560" s="137"/>
      <c r="AG1560" s="137"/>
      <c r="AH1560" s="137"/>
      <c r="AI1560" s="137"/>
      <c r="AJ1560" s="137"/>
      <c r="AK1560" s="137"/>
    </row>
    <row r="1561" spans="13:37" x14ac:dyDescent="0.25">
      <c r="M1561" s="137"/>
      <c r="N1561" s="137"/>
      <c r="O1561" s="137"/>
      <c r="P1561" s="137"/>
      <c r="R1561" s="137"/>
      <c r="S1561" s="137"/>
      <c r="T1561" s="137"/>
      <c r="U1561" s="137"/>
      <c r="V1561" s="137"/>
      <c r="W1561" s="137"/>
      <c r="X1561" s="137"/>
      <c r="Y1561" s="137"/>
      <c r="Z1561" s="137"/>
      <c r="AA1561" s="137"/>
      <c r="AB1561" s="137"/>
      <c r="AC1561" s="137"/>
      <c r="AD1561" s="137"/>
      <c r="AE1561" s="137"/>
      <c r="AF1561" s="137"/>
      <c r="AG1561" s="137"/>
      <c r="AH1561" s="137"/>
      <c r="AI1561" s="137"/>
      <c r="AJ1561" s="137"/>
      <c r="AK1561" s="137"/>
    </row>
    <row r="1562" spans="13:37" x14ac:dyDescent="0.25">
      <c r="M1562" s="137"/>
      <c r="N1562" s="137"/>
      <c r="O1562" s="137"/>
      <c r="P1562" s="137"/>
      <c r="R1562" s="137"/>
      <c r="S1562" s="137"/>
      <c r="T1562" s="137"/>
      <c r="U1562" s="137"/>
      <c r="V1562" s="137"/>
      <c r="W1562" s="137"/>
      <c r="X1562" s="137"/>
      <c r="Y1562" s="137"/>
      <c r="Z1562" s="137"/>
      <c r="AA1562" s="137"/>
      <c r="AB1562" s="137"/>
      <c r="AC1562" s="137"/>
      <c r="AD1562" s="137"/>
      <c r="AE1562" s="137"/>
      <c r="AF1562" s="137"/>
      <c r="AG1562" s="137"/>
      <c r="AH1562" s="137"/>
      <c r="AI1562" s="137"/>
      <c r="AJ1562" s="137"/>
      <c r="AK1562" s="137"/>
    </row>
    <row r="1563" spans="13:37" x14ac:dyDescent="0.25">
      <c r="M1563" s="137"/>
      <c r="N1563" s="137"/>
      <c r="O1563" s="137"/>
      <c r="P1563" s="137"/>
      <c r="R1563" s="137"/>
      <c r="S1563" s="137"/>
      <c r="T1563" s="137"/>
      <c r="U1563" s="137"/>
      <c r="V1563" s="137"/>
      <c r="W1563" s="137"/>
      <c r="X1563" s="137"/>
      <c r="Y1563" s="137"/>
      <c r="Z1563" s="137"/>
      <c r="AA1563" s="137"/>
      <c r="AB1563" s="137"/>
      <c r="AC1563" s="137"/>
      <c r="AD1563" s="137"/>
      <c r="AE1563" s="137"/>
      <c r="AF1563" s="137"/>
      <c r="AG1563" s="137"/>
      <c r="AH1563" s="137"/>
      <c r="AI1563" s="137"/>
      <c r="AJ1563" s="137"/>
      <c r="AK1563" s="137"/>
    </row>
    <row r="1564" spans="13:37" x14ac:dyDescent="0.25">
      <c r="M1564" s="137"/>
      <c r="N1564" s="137"/>
      <c r="O1564" s="137"/>
      <c r="P1564" s="137"/>
      <c r="R1564" s="137"/>
      <c r="S1564" s="137"/>
      <c r="T1564" s="137"/>
      <c r="U1564" s="137"/>
      <c r="V1564" s="137"/>
      <c r="W1564" s="137"/>
      <c r="X1564" s="137"/>
      <c r="Y1564" s="137"/>
      <c r="Z1564" s="137"/>
      <c r="AA1564" s="137"/>
      <c r="AB1564" s="137"/>
      <c r="AC1564" s="137"/>
      <c r="AD1564" s="137"/>
      <c r="AE1564" s="137"/>
      <c r="AF1564" s="137"/>
      <c r="AG1564" s="137"/>
      <c r="AH1564" s="137"/>
      <c r="AI1564" s="137"/>
      <c r="AJ1564" s="137"/>
      <c r="AK1564" s="137"/>
    </row>
    <row r="1565" spans="13:37" x14ac:dyDescent="0.25">
      <c r="M1565" s="137"/>
      <c r="N1565" s="137"/>
      <c r="O1565" s="137"/>
      <c r="P1565" s="137"/>
      <c r="R1565" s="137"/>
      <c r="S1565" s="137"/>
      <c r="T1565" s="137"/>
      <c r="U1565" s="137"/>
      <c r="V1565" s="137"/>
      <c r="W1565" s="137"/>
      <c r="X1565" s="137"/>
      <c r="Y1565" s="137"/>
      <c r="Z1565" s="137"/>
      <c r="AA1565" s="137"/>
      <c r="AB1565" s="137"/>
      <c r="AC1565" s="137"/>
      <c r="AD1565" s="137"/>
      <c r="AE1565" s="137"/>
      <c r="AF1565" s="137"/>
      <c r="AG1565" s="137"/>
      <c r="AH1565" s="137"/>
      <c r="AI1565" s="137"/>
      <c r="AJ1565" s="137"/>
      <c r="AK1565" s="137"/>
    </row>
    <row r="1566" spans="13:37" x14ac:dyDescent="0.25">
      <c r="M1566" s="137"/>
      <c r="N1566" s="137"/>
      <c r="O1566" s="137"/>
      <c r="P1566" s="137"/>
      <c r="R1566" s="137"/>
      <c r="S1566" s="137"/>
      <c r="T1566" s="137"/>
      <c r="U1566" s="137"/>
      <c r="V1566" s="137"/>
      <c r="W1566" s="137"/>
      <c r="X1566" s="137"/>
      <c r="Y1566" s="137"/>
      <c r="Z1566" s="137"/>
      <c r="AA1566" s="137"/>
      <c r="AB1566" s="137"/>
      <c r="AC1566" s="137"/>
      <c r="AD1566" s="137"/>
      <c r="AE1566" s="137"/>
      <c r="AF1566" s="137"/>
      <c r="AG1566" s="137"/>
      <c r="AH1566" s="137"/>
      <c r="AI1566" s="137"/>
      <c r="AJ1566" s="137"/>
      <c r="AK1566" s="137"/>
    </row>
    <row r="1567" spans="13:37" x14ac:dyDescent="0.25">
      <c r="M1567" s="137"/>
      <c r="N1567" s="137"/>
      <c r="O1567" s="137"/>
      <c r="P1567" s="137"/>
      <c r="R1567" s="137"/>
      <c r="S1567" s="137"/>
      <c r="T1567" s="137"/>
      <c r="U1567" s="137"/>
      <c r="V1567" s="137"/>
      <c r="W1567" s="137"/>
      <c r="X1567" s="137"/>
      <c r="Y1567" s="137"/>
      <c r="Z1567" s="137"/>
      <c r="AA1567" s="137"/>
      <c r="AB1567" s="137"/>
      <c r="AC1567" s="137"/>
      <c r="AD1567" s="137"/>
      <c r="AE1567" s="137"/>
      <c r="AF1567" s="137"/>
      <c r="AG1567" s="137"/>
      <c r="AH1567" s="137"/>
      <c r="AI1567" s="137"/>
      <c r="AJ1567" s="137"/>
      <c r="AK1567" s="137"/>
    </row>
    <row r="1568" spans="13:37" x14ac:dyDescent="0.25">
      <c r="M1568" s="137"/>
      <c r="N1568" s="137"/>
      <c r="O1568" s="137"/>
      <c r="P1568" s="137"/>
      <c r="R1568" s="137"/>
      <c r="S1568" s="137"/>
      <c r="T1568" s="137"/>
      <c r="U1568" s="137"/>
      <c r="V1568" s="137"/>
      <c r="W1568" s="137"/>
      <c r="X1568" s="137"/>
      <c r="Y1568" s="137"/>
      <c r="Z1568" s="137"/>
      <c r="AA1568" s="137"/>
      <c r="AB1568" s="137"/>
      <c r="AC1568" s="137"/>
      <c r="AD1568" s="137"/>
      <c r="AE1568" s="137"/>
      <c r="AF1568" s="137"/>
      <c r="AG1568" s="137"/>
      <c r="AH1568" s="137"/>
      <c r="AI1568" s="137"/>
      <c r="AJ1568" s="137"/>
      <c r="AK1568" s="137"/>
    </row>
    <row r="1569" spans="13:37" x14ac:dyDescent="0.25">
      <c r="M1569" s="137"/>
      <c r="N1569" s="137"/>
      <c r="O1569" s="137"/>
      <c r="P1569" s="137"/>
      <c r="R1569" s="137"/>
      <c r="S1569" s="137"/>
      <c r="T1569" s="137"/>
      <c r="U1569" s="137"/>
      <c r="V1569" s="137"/>
      <c r="W1569" s="137"/>
      <c r="X1569" s="137"/>
      <c r="Y1569" s="137"/>
      <c r="Z1569" s="137"/>
      <c r="AA1569" s="137"/>
      <c r="AB1569" s="137"/>
      <c r="AC1569" s="137"/>
      <c r="AD1569" s="137"/>
      <c r="AE1569" s="137"/>
      <c r="AF1569" s="137"/>
      <c r="AG1569" s="137"/>
      <c r="AH1569" s="137"/>
      <c r="AI1569" s="137"/>
      <c r="AJ1569" s="137"/>
      <c r="AK1569" s="137"/>
    </row>
    <row r="1570" spans="13:37" x14ac:dyDescent="0.25">
      <c r="M1570" s="137"/>
      <c r="N1570" s="137"/>
      <c r="O1570" s="137"/>
      <c r="P1570" s="137"/>
      <c r="R1570" s="137"/>
      <c r="S1570" s="137"/>
      <c r="T1570" s="137"/>
      <c r="U1570" s="137"/>
      <c r="V1570" s="137"/>
      <c r="W1570" s="137"/>
      <c r="X1570" s="137"/>
      <c r="Y1570" s="137"/>
      <c r="Z1570" s="137"/>
      <c r="AA1570" s="137"/>
      <c r="AB1570" s="137"/>
      <c r="AC1570" s="137"/>
      <c r="AD1570" s="137"/>
      <c r="AE1570" s="137"/>
      <c r="AF1570" s="137"/>
      <c r="AG1570" s="137"/>
      <c r="AH1570" s="137"/>
      <c r="AI1570" s="137"/>
      <c r="AJ1570" s="137"/>
      <c r="AK1570" s="137"/>
    </row>
    <row r="1571" spans="13:37" x14ac:dyDescent="0.25">
      <c r="M1571" s="137"/>
      <c r="N1571" s="137"/>
      <c r="O1571" s="137"/>
      <c r="P1571" s="137"/>
      <c r="R1571" s="137"/>
      <c r="S1571" s="137"/>
      <c r="T1571" s="137"/>
      <c r="U1571" s="137"/>
      <c r="V1571" s="137"/>
      <c r="W1571" s="137"/>
      <c r="X1571" s="137"/>
      <c r="Y1571" s="137"/>
      <c r="Z1571" s="137"/>
      <c r="AA1571" s="137"/>
      <c r="AB1571" s="137"/>
      <c r="AC1571" s="137"/>
      <c r="AD1571" s="137"/>
      <c r="AE1571" s="137"/>
      <c r="AF1571" s="137"/>
      <c r="AG1571" s="137"/>
      <c r="AH1571" s="137"/>
      <c r="AI1571" s="137"/>
      <c r="AJ1571" s="137"/>
      <c r="AK1571" s="137"/>
    </row>
    <row r="1572" spans="13:37" x14ac:dyDescent="0.25">
      <c r="M1572" s="137"/>
      <c r="N1572" s="137"/>
      <c r="O1572" s="137"/>
      <c r="P1572" s="137"/>
      <c r="R1572" s="137"/>
      <c r="S1572" s="137"/>
      <c r="T1572" s="137"/>
      <c r="U1572" s="137"/>
      <c r="V1572" s="137"/>
      <c r="W1572" s="137"/>
      <c r="X1572" s="137"/>
      <c r="Y1572" s="137"/>
      <c r="Z1572" s="137"/>
      <c r="AA1572" s="137"/>
      <c r="AB1572" s="137"/>
      <c r="AC1572" s="137"/>
      <c r="AD1572" s="137"/>
      <c r="AE1572" s="137"/>
      <c r="AF1572" s="137"/>
      <c r="AG1572" s="137"/>
      <c r="AH1572" s="137"/>
      <c r="AI1572" s="137"/>
      <c r="AJ1572" s="137"/>
      <c r="AK1572" s="137"/>
    </row>
    <row r="1573" spans="13:37" x14ac:dyDescent="0.25">
      <c r="M1573" s="137"/>
      <c r="N1573" s="137"/>
      <c r="O1573" s="137"/>
      <c r="P1573" s="137"/>
      <c r="R1573" s="137"/>
      <c r="S1573" s="137"/>
      <c r="T1573" s="137"/>
      <c r="U1573" s="137"/>
      <c r="V1573" s="137"/>
      <c r="W1573" s="137"/>
      <c r="X1573" s="137"/>
      <c r="Y1573" s="137"/>
      <c r="Z1573" s="137"/>
      <c r="AA1573" s="137"/>
      <c r="AB1573" s="137"/>
      <c r="AC1573" s="137"/>
      <c r="AD1573" s="137"/>
      <c r="AE1573" s="137"/>
      <c r="AF1573" s="137"/>
      <c r="AG1573" s="137"/>
      <c r="AH1573" s="137"/>
      <c r="AI1573" s="137"/>
      <c r="AJ1573" s="137"/>
      <c r="AK1573" s="137"/>
    </row>
    <row r="1574" spans="13:37" x14ac:dyDescent="0.25">
      <c r="M1574" s="137"/>
      <c r="N1574" s="137"/>
      <c r="O1574" s="137"/>
      <c r="P1574" s="137"/>
      <c r="R1574" s="137"/>
      <c r="S1574" s="137"/>
      <c r="T1574" s="137"/>
      <c r="U1574" s="137"/>
      <c r="V1574" s="137"/>
      <c r="W1574" s="137"/>
      <c r="X1574" s="137"/>
      <c r="Y1574" s="137"/>
      <c r="Z1574" s="137"/>
      <c r="AA1574" s="137"/>
      <c r="AB1574" s="137"/>
      <c r="AC1574" s="137"/>
      <c r="AD1574" s="137"/>
      <c r="AE1574" s="137"/>
      <c r="AF1574" s="137"/>
      <c r="AG1574" s="137"/>
      <c r="AH1574" s="137"/>
      <c r="AI1574" s="137"/>
      <c r="AJ1574" s="137"/>
      <c r="AK1574" s="137"/>
    </row>
    <row r="1575" spans="13:37" x14ac:dyDescent="0.25">
      <c r="M1575" s="137"/>
      <c r="N1575" s="137"/>
      <c r="O1575" s="137"/>
      <c r="P1575" s="137"/>
      <c r="R1575" s="137"/>
      <c r="S1575" s="137"/>
      <c r="T1575" s="137"/>
      <c r="U1575" s="137"/>
      <c r="V1575" s="137"/>
      <c r="W1575" s="137"/>
      <c r="X1575" s="137"/>
      <c r="Y1575" s="137"/>
      <c r="Z1575" s="137"/>
      <c r="AA1575" s="137"/>
      <c r="AB1575" s="137"/>
      <c r="AC1575" s="137"/>
      <c r="AD1575" s="137"/>
      <c r="AE1575" s="137"/>
      <c r="AF1575" s="137"/>
      <c r="AG1575" s="137"/>
      <c r="AH1575" s="137"/>
      <c r="AI1575" s="137"/>
      <c r="AJ1575" s="137"/>
      <c r="AK1575" s="137"/>
    </row>
    <row r="1576" spans="13:37" x14ac:dyDescent="0.25">
      <c r="M1576" s="137"/>
      <c r="N1576" s="137"/>
      <c r="O1576" s="137"/>
      <c r="P1576" s="137"/>
      <c r="R1576" s="137"/>
      <c r="S1576" s="137"/>
      <c r="T1576" s="137"/>
      <c r="U1576" s="137"/>
      <c r="V1576" s="137"/>
      <c r="W1576" s="137"/>
      <c r="X1576" s="137"/>
      <c r="Y1576" s="137"/>
      <c r="Z1576" s="137"/>
      <c r="AA1576" s="137"/>
      <c r="AB1576" s="137"/>
      <c r="AC1576" s="137"/>
      <c r="AD1576" s="137"/>
      <c r="AE1576" s="137"/>
      <c r="AF1576" s="137"/>
      <c r="AG1576" s="137"/>
      <c r="AH1576" s="137"/>
      <c r="AI1576" s="137"/>
      <c r="AJ1576" s="137"/>
      <c r="AK1576" s="137"/>
    </row>
    <row r="1577" spans="13:37" x14ac:dyDescent="0.25">
      <c r="M1577" s="137"/>
      <c r="N1577" s="137"/>
      <c r="O1577" s="137"/>
      <c r="P1577" s="137"/>
      <c r="R1577" s="137"/>
      <c r="S1577" s="137"/>
      <c r="T1577" s="137"/>
      <c r="U1577" s="137"/>
      <c r="V1577" s="137"/>
      <c r="W1577" s="137"/>
      <c r="X1577" s="137"/>
      <c r="Y1577" s="137"/>
      <c r="Z1577" s="137"/>
      <c r="AA1577" s="137"/>
      <c r="AB1577" s="137"/>
      <c r="AC1577" s="137"/>
      <c r="AD1577" s="137"/>
      <c r="AE1577" s="137"/>
      <c r="AF1577" s="137"/>
      <c r="AG1577" s="137"/>
      <c r="AH1577" s="137"/>
      <c r="AI1577" s="137"/>
      <c r="AJ1577" s="137"/>
      <c r="AK1577" s="137"/>
    </row>
    <row r="1578" spans="13:37" x14ac:dyDescent="0.25">
      <c r="M1578" s="137"/>
      <c r="N1578" s="137"/>
      <c r="O1578" s="137"/>
      <c r="P1578" s="137"/>
      <c r="R1578" s="137"/>
      <c r="S1578" s="137"/>
      <c r="T1578" s="137"/>
      <c r="U1578" s="137"/>
      <c r="V1578" s="137"/>
      <c r="W1578" s="137"/>
      <c r="X1578" s="137"/>
      <c r="Y1578" s="137"/>
      <c r="Z1578" s="137"/>
      <c r="AA1578" s="137"/>
      <c r="AB1578" s="137"/>
      <c r="AC1578" s="137"/>
      <c r="AD1578" s="137"/>
      <c r="AE1578" s="137"/>
      <c r="AF1578" s="137"/>
      <c r="AG1578" s="137"/>
      <c r="AH1578" s="137"/>
      <c r="AI1578" s="137"/>
      <c r="AJ1578" s="137"/>
      <c r="AK1578" s="137"/>
    </row>
    <row r="1579" spans="13:37" x14ac:dyDescent="0.25">
      <c r="M1579" s="137"/>
      <c r="N1579" s="137"/>
      <c r="O1579" s="137"/>
      <c r="P1579" s="137"/>
      <c r="R1579" s="137"/>
      <c r="S1579" s="137"/>
      <c r="T1579" s="137"/>
      <c r="U1579" s="137"/>
      <c r="V1579" s="137"/>
      <c r="W1579" s="137"/>
      <c r="X1579" s="137"/>
      <c r="Y1579" s="137"/>
      <c r="Z1579" s="137"/>
      <c r="AA1579" s="137"/>
      <c r="AB1579" s="137"/>
      <c r="AC1579" s="137"/>
      <c r="AD1579" s="137"/>
      <c r="AE1579" s="137"/>
      <c r="AF1579" s="137"/>
      <c r="AG1579" s="137"/>
      <c r="AH1579" s="137"/>
      <c r="AI1579" s="137"/>
      <c r="AJ1579" s="137"/>
      <c r="AK1579" s="137"/>
    </row>
    <row r="1580" spans="13:37" x14ac:dyDescent="0.25">
      <c r="M1580" s="137"/>
      <c r="N1580" s="137"/>
      <c r="O1580" s="137"/>
      <c r="P1580" s="137"/>
      <c r="R1580" s="137"/>
      <c r="S1580" s="137"/>
      <c r="T1580" s="137"/>
      <c r="U1580" s="137"/>
      <c r="V1580" s="137"/>
      <c r="W1580" s="137"/>
      <c r="X1580" s="137"/>
      <c r="Y1580" s="137"/>
      <c r="Z1580" s="137"/>
      <c r="AA1580" s="137"/>
      <c r="AB1580" s="137"/>
      <c r="AC1580" s="137"/>
      <c r="AD1580" s="137"/>
      <c r="AE1580" s="137"/>
      <c r="AF1580" s="137"/>
      <c r="AG1580" s="137"/>
      <c r="AH1580" s="137"/>
      <c r="AI1580" s="137"/>
      <c r="AJ1580" s="137"/>
      <c r="AK1580" s="137"/>
    </row>
    <row r="1581" spans="13:37" x14ac:dyDescent="0.25">
      <c r="M1581" s="137"/>
      <c r="N1581" s="137"/>
      <c r="O1581" s="137"/>
      <c r="P1581" s="137"/>
      <c r="R1581" s="137"/>
      <c r="S1581" s="137"/>
      <c r="T1581" s="137"/>
      <c r="U1581" s="137"/>
      <c r="V1581" s="137"/>
      <c r="W1581" s="137"/>
      <c r="X1581" s="137"/>
      <c r="Y1581" s="137"/>
      <c r="Z1581" s="137"/>
      <c r="AA1581" s="137"/>
      <c r="AB1581" s="137"/>
      <c r="AC1581" s="137"/>
      <c r="AD1581" s="137"/>
      <c r="AE1581" s="137"/>
      <c r="AF1581" s="137"/>
      <c r="AG1581" s="137"/>
      <c r="AH1581" s="137"/>
      <c r="AI1581" s="137"/>
      <c r="AJ1581" s="137"/>
      <c r="AK1581" s="137"/>
    </row>
    <row r="1582" spans="13:37" x14ac:dyDescent="0.25">
      <c r="M1582" s="137"/>
      <c r="N1582" s="137"/>
      <c r="O1582" s="137"/>
      <c r="P1582" s="137"/>
      <c r="R1582" s="137"/>
      <c r="S1582" s="137"/>
      <c r="T1582" s="137"/>
      <c r="U1582" s="137"/>
      <c r="V1582" s="137"/>
      <c r="W1582" s="137"/>
      <c r="X1582" s="137"/>
      <c r="Y1582" s="137"/>
      <c r="Z1582" s="137"/>
      <c r="AA1582" s="137"/>
      <c r="AB1582" s="137"/>
      <c r="AC1582" s="137"/>
      <c r="AD1582" s="137"/>
      <c r="AE1582" s="137"/>
      <c r="AF1582" s="137"/>
      <c r="AG1582" s="137"/>
      <c r="AH1582" s="137"/>
      <c r="AI1582" s="137"/>
      <c r="AJ1582" s="137"/>
      <c r="AK1582" s="137"/>
    </row>
    <row r="1583" spans="13:37" x14ac:dyDescent="0.25">
      <c r="M1583" s="137"/>
      <c r="N1583" s="137"/>
      <c r="O1583" s="137"/>
      <c r="P1583" s="137"/>
      <c r="R1583" s="137"/>
      <c r="S1583" s="137"/>
      <c r="T1583" s="137"/>
      <c r="U1583" s="137"/>
      <c r="V1583" s="137"/>
      <c r="W1583" s="137"/>
      <c r="X1583" s="137"/>
      <c r="Y1583" s="137"/>
      <c r="Z1583" s="137"/>
      <c r="AA1583" s="137"/>
      <c r="AB1583" s="137"/>
      <c r="AC1583" s="137"/>
      <c r="AD1583" s="137"/>
      <c r="AE1583" s="137"/>
      <c r="AF1583" s="137"/>
      <c r="AG1583" s="137"/>
      <c r="AH1583" s="137"/>
      <c r="AI1583" s="137"/>
      <c r="AJ1583" s="137"/>
      <c r="AK1583" s="137"/>
    </row>
    <row r="1584" spans="13:37" x14ac:dyDescent="0.25">
      <c r="M1584" s="137"/>
      <c r="N1584" s="137"/>
      <c r="O1584" s="137"/>
      <c r="P1584" s="137"/>
      <c r="R1584" s="137"/>
      <c r="S1584" s="137"/>
      <c r="T1584" s="137"/>
      <c r="U1584" s="137"/>
      <c r="V1584" s="137"/>
      <c r="W1584" s="137"/>
      <c r="X1584" s="137"/>
      <c r="Y1584" s="137"/>
      <c r="Z1584" s="137"/>
      <c r="AA1584" s="137"/>
      <c r="AB1584" s="137"/>
      <c r="AC1584" s="137"/>
      <c r="AD1584" s="137"/>
      <c r="AE1584" s="137"/>
      <c r="AF1584" s="137"/>
      <c r="AG1584" s="137"/>
      <c r="AH1584" s="137"/>
      <c r="AI1584" s="137"/>
      <c r="AJ1584" s="137"/>
      <c r="AK1584" s="137"/>
    </row>
    <row r="1585" spans="13:37" x14ac:dyDescent="0.25">
      <c r="M1585" s="137"/>
      <c r="N1585" s="137"/>
      <c r="O1585" s="137"/>
      <c r="P1585" s="137"/>
      <c r="R1585" s="137"/>
      <c r="S1585" s="137"/>
      <c r="T1585" s="137"/>
      <c r="U1585" s="137"/>
      <c r="V1585" s="137"/>
      <c r="W1585" s="137"/>
      <c r="X1585" s="137"/>
      <c r="Y1585" s="137"/>
      <c r="Z1585" s="137"/>
      <c r="AA1585" s="137"/>
      <c r="AB1585" s="137"/>
      <c r="AC1585" s="137"/>
      <c r="AD1585" s="137"/>
      <c r="AE1585" s="137"/>
      <c r="AF1585" s="137"/>
      <c r="AG1585" s="137"/>
      <c r="AH1585" s="137"/>
      <c r="AI1585" s="137"/>
      <c r="AJ1585" s="137"/>
      <c r="AK1585" s="137"/>
    </row>
    <row r="1586" spans="13:37" x14ac:dyDescent="0.25">
      <c r="M1586" s="137"/>
      <c r="N1586" s="137"/>
      <c r="O1586" s="137"/>
      <c r="P1586" s="137"/>
      <c r="R1586" s="137"/>
      <c r="S1586" s="137"/>
      <c r="T1586" s="137"/>
      <c r="U1586" s="137"/>
      <c r="V1586" s="137"/>
      <c r="W1586" s="137"/>
      <c r="X1586" s="137"/>
      <c r="Y1586" s="137"/>
      <c r="Z1586" s="137"/>
      <c r="AA1586" s="137"/>
      <c r="AB1586" s="137"/>
      <c r="AC1586" s="137"/>
      <c r="AD1586" s="137"/>
      <c r="AE1586" s="137"/>
      <c r="AF1586" s="137"/>
      <c r="AG1586" s="137"/>
      <c r="AH1586" s="137"/>
      <c r="AI1586" s="137"/>
      <c r="AJ1586" s="137"/>
      <c r="AK1586" s="137"/>
    </row>
    <row r="1587" spans="13:37" x14ac:dyDescent="0.25">
      <c r="M1587" s="137"/>
      <c r="N1587" s="137"/>
      <c r="O1587" s="137"/>
      <c r="P1587" s="137"/>
      <c r="R1587" s="137"/>
      <c r="S1587" s="137"/>
      <c r="T1587" s="137"/>
      <c r="U1587" s="137"/>
      <c r="V1587" s="137"/>
      <c r="W1587" s="137"/>
      <c r="X1587" s="137"/>
      <c r="Y1587" s="137"/>
      <c r="Z1587" s="137"/>
      <c r="AA1587" s="137"/>
      <c r="AB1587" s="137"/>
      <c r="AC1587" s="137"/>
      <c r="AD1587" s="137"/>
      <c r="AE1587" s="137"/>
      <c r="AF1587" s="137"/>
      <c r="AG1587" s="137"/>
      <c r="AH1587" s="137"/>
      <c r="AI1587" s="137"/>
      <c r="AJ1587" s="137"/>
      <c r="AK1587" s="137"/>
    </row>
    <row r="1588" spans="13:37" x14ac:dyDescent="0.25">
      <c r="M1588" s="137"/>
      <c r="N1588" s="137"/>
      <c r="O1588" s="137"/>
      <c r="P1588" s="137"/>
      <c r="R1588" s="137"/>
      <c r="S1588" s="137"/>
      <c r="T1588" s="137"/>
      <c r="U1588" s="137"/>
      <c r="V1588" s="137"/>
      <c r="W1588" s="137"/>
      <c r="X1588" s="137"/>
      <c r="Y1588" s="137"/>
      <c r="Z1588" s="137"/>
      <c r="AA1588" s="137"/>
      <c r="AB1588" s="137"/>
      <c r="AC1588" s="137"/>
      <c r="AD1588" s="137"/>
      <c r="AE1588" s="137"/>
      <c r="AF1588" s="137"/>
      <c r="AG1588" s="137"/>
      <c r="AH1588" s="137"/>
      <c r="AI1588" s="137"/>
      <c r="AJ1588" s="137"/>
      <c r="AK1588" s="137"/>
    </row>
    <row r="1589" spans="13:37" x14ac:dyDescent="0.25">
      <c r="M1589" s="137"/>
      <c r="N1589" s="137"/>
      <c r="O1589" s="137"/>
      <c r="P1589" s="137"/>
      <c r="R1589" s="137"/>
      <c r="S1589" s="137"/>
      <c r="T1589" s="137"/>
      <c r="U1589" s="137"/>
      <c r="V1589" s="137"/>
      <c r="W1589" s="137"/>
      <c r="X1589" s="137"/>
      <c r="Y1589" s="137"/>
      <c r="Z1589" s="137"/>
      <c r="AA1589" s="137"/>
      <c r="AB1589" s="137"/>
      <c r="AC1589" s="137"/>
      <c r="AD1589" s="137"/>
      <c r="AE1589" s="137"/>
      <c r="AF1589" s="137"/>
      <c r="AG1589" s="137"/>
      <c r="AH1589" s="137"/>
      <c r="AI1589" s="137"/>
      <c r="AJ1589" s="137"/>
      <c r="AK1589" s="137"/>
    </row>
    <row r="1590" spans="13:37" x14ac:dyDescent="0.25">
      <c r="M1590" s="137"/>
      <c r="N1590" s="137"/>
      <c r="O1590" s="137"/>
      <c r="P1590" s="137"/>
      <c r="R1590" s="137"/>
      <c r="S1590" s="137"/>
      <c r="T1590" s="137"/>
      <c r="U1590" s="137"/>
      <c r="V1590" s="137"/>
      <c r="W1590" s="137"/>
      <c r="X1590" s="137"/>
      <c r="Y1590" s="137"/>
      <c r="Z1590" s="137"/>
      <c r="AA1590" s="137"/>
      <c r="AB1590" s="137"/>
      <c r="AC1590" s="137"/>
      <c r="AD1590" s="137"/>
      <c r="AE1590" s="137"/>
      <c r="AF1590" s="137"/>
      <c r="AG1590" s="137"/>
      <c r="AH1590" s="137"/>
      <c r="AI1590" s="137"/>
      <c r="AJ1590" s="137"/>
      <c r="AK1590" s="137"/>
    </row>
    <row r="1591" spans="13:37" x14ac:dyDescent="0.25">
      <c r="M1591" s="137"/>
      <c r="N1591" s="137"/>
      <c r="O1591" s="137"/>
      <c r="P1591" s="137"/>
      <c r="R1591" s="137"/>
      <c r="S1591" s="137"/>
      <c r="T1591" s="137"/>
      <c r="U1591" s="137"/>
      <c r="V1591" s="137"/>
      <c r="W1591" s="137"/>
      <c r="X1591" s="137"/>
      <c r="Y1591" s="137"/>
      <c r="Z1591" s="137"/>
      <c r="AA1591" s="137"/>
      <c r="AB1591" s="137"/>
      <c r="AC1591" s="137"/>
      <c r="AD1591" s="137"/>
      <c r="AE1591" s="137"/>
      <c r="AF1591" s="137"/>
      <c r="AG1591" s="137"/>
      <c r="AH1591" s="137"/>
      <c r="AI1591" s="137"/>
      <c r="AJ1591" s="137"/>
      <c r="AK1591" s="137"/>
    </row>
    <row r="1592" spans="13:37" x14ac:dyDescent="0.25">
      <c r="M1592" s="137"/>
      <c r="N1592" s="137"/>
      <c r="O1592" s="137"/>
      <c r="P1592" s="137"/>
      <c r="R1592" s="137"/>
      <c r="S1592" s="137"/>
      <c r="T1592" s="137"/>
      <c r="U1592" s="137"/>
      <c r="V1592" s="137"/>
      <c r="W1592" s="137"/>
      <c r="X1592" s="137"/>
      <c r="Y1592" s="137"/>
      <c r="Z1592" s="137"/>
      <c r="AA1592" s="137"/>
      <c r="AB1592" s="137"/>
      <c r="AC1592" s="137"/>
      <c r="AD1592" s="137"/>
      <c r="AE1592" s="137"/>
      <c r="AF1592" s="137"/>
      <c r="AG1592" s="137"/>
      <c r="AH1592" s="137"/>
      <c r="AI1592" s="137"/>
      <c r="AJ1592" s="137"/>
      <c r="AK1592" s="137"/>
    </row>
    <row r="1593" spans="13:37" x14ac:dyDescent="0.25">
      <c r="M1593" s="137"/>
      <c r="N1593" s="137"/>
      <c r="O1593" s="137"/>
      <c r="P1593" s="137"/>
      <c r="R1593" s="137"/>
      <c r="S1593" s="137"/>
      <c r="T1593" s="137"/>
      <c r="U1593" s="137"/>
      <c r="V1593" s="137"/>
      <c r="W1593" s="137"/>
      <c r="X1593" s="137"/>
      <c r="Y1593" s="137"/>
      <c r="Z1593" s="137"/>
      <c r="AA1593" s="137"/>
      <c r="AB1593" s="137"/>
      <c r="AC1593" s="137"/>
      <c r="AD1593" s="137"/>
      <c r="AE1593" s="137"/>
      <c r="AF1593" s="137"/>
      <c r="AG1593" s="137"/>
      <c r="AH1593" s="137"/>
      <c r="AI1593" s="137"/>
      <c r="AJ1593" s="137"/>
      <c r="AK1593" s="137"/>
    </row>
    <row r="1594" spans="13:37" x14ac:dyDescent="0.25">
      <c r="M1594" s="137"/>
      <c r="N1594" s="137"/>
      <c r="O1594" s="137"/>
      <c r="P1594" s="137"/>
      <c r="R1594" s="137"/>
      <c r="S1594" s="137"/>
      <c r="T1594" s="137"/>
      <c r="U1594" s="137"/>
      <c r="V1594" s="137"/>
      <c r="W1594" s="137"/>
      <c r="X1594" s="137"/>
      <c r="Y1594" s="137"/>
      <c r="Z1594" s="137"/>
      <c r="AA1594" s="137"/>
      <c r="AB1594" s="137"/>
      <c r="AC1594" s="137"/>
      <c r="AD1594" s="137"/>
      <c r="AE1594" s="137"/>
      <c r="AF1594" s="137"/>
      <c r="AG1594" s="137"/>
      <c r="AH1594" s="137"/>
      <c r="AI1594" s="137"/>
      <c r="AJ1594" s="137"/>
      <c r="AK1594" s="137"/>
    </row>
    <row r="1595" spans="13:37" x14ac:dyDescent="0.25">
      <c r="M1595" s="137"/>
      <c r="N1595" s="137"/>
      <c r="O1595" s="137"/>
      <c r="P1595" s="137"/>
      <c r="R1595" s="137"/>
      <c r="S1595" s="137"/>
      <c r="T1595" s="137"/>
      <c r="U1595" s="137"/>
      <c r="V1595" s="137"/>
      <c r="W1595" s="137"/>
      <c r="X1595" s="137"/>
      <c r="Y1595" s="137"/>
      <c r="Z1595" s="137"/>
      <c r="AA1595" s="137"/>
      <c r="AB1595" s="137"/>
      <c r="AC1595" s="137"/>
      <c r="AD1595" s="137"/>
      <c r="AE1595" s="137"/>
      <c r="AF1595" s="137"/>
      <c r="AG1595" s="137"/>
      <c r="AH1595" s="137"/>
      <c r="AI1595" s="137"/>
      <c r="AJ1595" s="137"/>
      <c r="AK1595" s="137"/>
    </row>
    <row r="1596" spans="13:37" x14ac:dyDescent="0.25">
      <c r="M1596" s="137"/>
      <c r="N1596" s="137"/>
      <c r="O1596" s="137"/>
      <c r="P1596" s="137"/>
      <c r="R1596" s="137"/>
      <c r="S1596" s="137"/>
      <c r="T1596" s="137"/>
      <c r="U1596" s="137"/>
      <c r="V1596" s="137"/>
      <c r="W1596" s="137"/>
      <c r="X1596" s="137"/>
      <c r="Y1596" s="137"/>
      <c r="Z1596" s="137"/>
      <c r="AA1596" s="137"/>
      <c r="AB1596" s="137"/>
      <c r="AC1596" s="137"/>
      <c r="AD1596" s="137"/>
      <c r="AE1596" s="137"/>
      <c r="AF1596" s="137"/>
      <c r="AG1596" s="137"/>
      <c r="AH1596" s="137"/>
      <c r="AI1596" s="137"/>
      <c r="AJ1596" s="137"/>
      <c r="AK1596" s="137"/>
    </row>
    <row r="1597" spans="13:37" x14ac:dyDescent="0.25">
      <c r="M1597" s="137"/>
      <c r="N1597" s="137"/>
      <c r="O1597" s="137"/>
      <c r="P1597" s="137"/>
      <c r="R1597" s="137"/>
      <c r="S1597" s="137"/>
      <c r="T1597" s="137"/>
      <c r="U1597" s="137"/>
      <c r="V1597" s="137"/>
      <c r="W1597" s="137"/>
      <c r="X1597" s="137"/>
      <c r="Y1597" s="137"/>
      <c r="Z1597" s="137"/>
      <c r="AA1597" s="137"/>
      <c r="AB1597" s="137"/>
      <c r="AC1597" s="137"/>
      <c r="AD1597" s="137"/>
      <c r="AE1597" s="137"/>
      <c r="AF1597" s="137"/>
      <c r="AG1597" s="137"/>
      <c r="AH1597" s="137"/>
      <c r="AI1597" s="137"/>
      <c r="AJ1597" s="137"/>
      <c r="AK1597" s="137"/>
    </row>
    <row r="1598" spans="13:37" x14ac:dyDescent="0.25">
      <c r="M1598" s="137"/>
      <c r="N1598" s="137"/>
      <c r="O1598" s="137"/>
      <c r="P1598" s="137"/>
      <c r="R1598" s="137"/>
      <c r="S1598" s="137"/>
      <c r="T1598" s="137"/>
      <c r="U1598" s="137"/>
      <c r="V1598" s="137"/>
      <c r="W1598" s="137"/>
      <c r="X1598" s="137"/>
      <c r="Y1598" s="137"/>
      <c r="Z1598" s="137"/>
      <c r="AA1598" s="137"/>
      <c r="AB1598" s="137"/>
      <c r="AC1598" s="137"/>
      <c r="AD1598" s="137"/>
      <c r="AE1598" s="137"/>
      <c r="AF1598" s="137"/>
      <c r="AG1598" s="137"/>
      <c r="AH1598" s="137"/>
      <c r="AI1598" s="137"/>
      <c r="AJ1598" s="137"/>
      <c r="AK1598" s="137"/>
    </row>
    <row r="1599" spans="13:37" x14ac:dyDescent="0.25">
      <c r="M1599" s="137"/>
      <c r="N1599" s="137"/>
      <c r="O1599" s="137"/>
      <c r="P1599" s="137"/>
      <c r="R1599" s="137"/>
      <c r="S1599" s="137"/>
      <c r="T1599" s="137"/>
      <c r="U1599" s="137"/>
      <c r="V1599" s="137"/>
      <c r="W1599" s="137"/>
      <c r="X1599" s="137"/>
      <c r="Y1599" s="137"/>
      <c r="Z1599" s="137"/>
      <c r="AA1599" s="137"/>
      <c r="AB1599" s="137"/>
      <c r="AC1599" s="137"/>
      <c r="AD1599" s="137"/>
      <c r="AE1599" s="137"/>
      <c r="AF1599" s="137"/>
      <c r="AG1599" s="137"/>
      <c r="AH1599" s="137"/>
      <c r="AI1599" s="137"/>
      <c r="AJ1599" s="137"/>
      <c r="AK1599" s="137"/>
    </row>
    <row r="1600" spans="13:37" x14ac:dyDescent="0.25">
      <c r="M1600" s="137"/>
      <c r="N1600" s="137"/>
      <c r="O1600" s="137"/>
      <c r="P1600" s="137"/>
      <c r="R1600" s="137"/>
      <c r="S1600" s="137"/>
      <c r="T1600" s="137"/>
      <c r="U1600" s="137"/>
      <c r="V1600" s="137"/>
      <c r="W1600" s="137"/>
      <c r="X1600" s="137"/>
      <c r="Y1600" s="137"/>
      <c r="Z1600" s="137"/>
      <c r="AA1600" s="137"/>
      <c r="AB1600" s="137"/>
      <c r="AC1600" s="137"/>
      <c r="AD1600" s="137"/>
      <c r="AE1600" s="137"/>
      <c r="AF1600" s="137"/>
      <c r="AG1600" s="137"/>
      <c r="AH1600" s="137"/>
      <c r="AI1600" s="137"/>
      <c r="AJ1600" s="137"/>
      <c r="AK1600" s="137"/>
    </row>
    <row r="1601" spans="13:37" x14ac:dyDescent="0.25">
      <c r="M1601" s="137"/>
      <c r="N1601" s="137"/>
      <c r="O1601" s="137"/>
      <c r="P1601" s="137"/>
      <c r="R1601" s="137"/>
      <c r="S1601" s="137"/>
      <c r="T1601" s="137"/>
      <c r="U1601" s="137"/>
      <c r="V1601" s="137"/>
      <c r="W1601" s="137"/>
      <c r="X1601" s="137"/>
      <c r="Y1601" s="137"/>
      <c r="Z1601" s="137"/>
      <c r="AA1601" s="137"/>
      <c r="AB1601" s="137"/>
      <c r="AC1601" s="137"/>
      <c r="AD1601" s="137"/>
      <c r="AE1601" s="137"/>
      <c r="AF1601" s="137"/>
      <c r="AG1601" s="137"/>
      <c r="AH1601" s="137"/>
      <c r="AI1601" s="137"/>
      <c r="AJ1601" s="137"/>
      <c r="AK1601" s="137"/>
    </row>
    <row r="1602" spans="13:37" x14ac:dyDescent="0.25">
      <c r="M1602" s="137"/>
      <c r="N1602" s="137"/>
      <c r="O1602" s="137"/>
      <c r="P1602" s="137"/>
      <c r="R1602" s="137"/>
      <c r="S1602" s="137"/>
      <c r="T1602" s="137"/>
      <c r="U1602" s="137"/>
      <c r="V1602" s="137"/>
      <c r="W1602" s="137"/>
      <c r="X1602" s="137"/>
      <c r="Y1602" s="137"/>
      <c r="Z1602" s="137"/>
      <c r="AA1602" s="137"/>
      <c r="AB1602" s="137"/>
      <c r="AC1602" s="137"/>
      <c r="AD1602" s="137"/>
      <c r="AE1602" s="137"/>
      <c r="AF1602" s="137"/>
      <c r="AG1602" s="137"/>
      <c r="AH1602" s="137"/>
      <c r="AI1602" s="137"/>
      <c r="AJ1602" s="137"/>
      <c r="AK1602" s="137"/>
    </row>
    <row r="1603" spans="13:37" x14ac:dyDescent="0.25">
      <c r="M1603" s="137"/>
      <c r="N1603" s="137"/>
      <c r="O1603" s="137"/>
      <c r="P1603" s="137"/>
      <c r="R1603" s="137"/>
      <c r="S1603" s="137"/>
      <c r="T1603" s="137"/>
      <c r="U1603" s="137"/>
      <c r="V1603" s="137"/>
      <c r="W1603" s="137"/>
      <c r="X1603" s="137"/>
      <c r="Y1603" s="137"/>
      <c r="Z1603" s="137"/>
      <c r="AA1603" s="137"/>
      <c r="AB1603" s="137"/>
      <c r="AC1603" s="137"/>
      <c r="AD1603" s="137"/>
      <c r="AE1603" s="137"/>
      <c r="AF1603" s="137"/>
      <c r="AG1603" s="137"/>
      <c r="AH1603" s="137"/>
      <c r="AI1603" s="137"/>
      <c r="AJ1603" s="137"/>
      <c r="AK1603" s="137"/>
    </row>
    <row r="1604" spans="13:37" x14ac:dyDescent="0.25">
      <c r="M1604" s="137"/>
      <c r="N1604" s="137"/>
      <c r="O1604" s="137"/>
      <c r="P1604" s="137"/>
      <c r="R1604" s="137"/>
      <c r="S1604" s="137"/>
      <c r="T1604" s="137"/>
      <c r="U1604" s="137"/>
      <c r="V1604" s="137"/>
      <c r="W1604" s="137"/>
      <c r="X1604" s="137"/>
      <c r="Y1604" s="137"/>
      <c r="Z1604" s="137"/>
      <c r="AA1604" s="137"/>
      <c r="AB1604" s="137"/>
      <c r="AC1604" s="137"/>
      <c r="AD1604" s="137"/>
      <c r="AE1604" s="137"/>
      <c r="AF1604" s="137"/>
      <c r="AG1604" s="137"/>
      <c r="AH1604" s="137"/>
      <c r="AI1604" s="137"/>
      <c r="AJ1604" s="137"/>
      <c r="AK1604" s="137"/>
    </row>
    <row r="1605" spans="13:37" x14ac:dyDescent="0.25">
      <c r="M1605" s="137"/>
      <c r="N1605" s="137"/>
      <c r="O1605" s="137"/>
      <c r="P1605" s="137"/>
      <c r="R1605" s="137"/>
      <c r="S1605" s="137"/>
      <c r="T1605" s="137"/>
      <c r="U1605" s="137"/>
      <c r="V1605" s="137"/>
      <c r="W1605" s="137"/>
      <c r="X1605" s="137"/>
      <c r="Y1605" s="137"/>
      <c r="Z1605" s="137"/>
      <c r="AA1605" s="137"/>
      <c r="AB1605" s="137"/>
      <c r="AC1605" s="137"/>
      <c r="AD1605" s="137"/>
      <c r="AE1605" s="137"/>
      <c r="AF1605" s="137"/>
      <c r="AG1605" s="137"/>
      <c r="AH1605" s="137"/>
      <c r="AI1605" s="137"/>
      <c r="AJ1605" s="137"/>
      <c r="AK1605" s="137"/>
    </row>
    <row r="1606" spans="13:37" x14ac:dyDescent="0.25">
      <c r="M1606" s="137"/>
      <c r="N1606" s="137"/>
      <c r="O1606" s="137"/>
      <c r="P1606" s="137"/>
      <c r="R1606" s="137"/>
      <c r="S1606" s="137"/>
      <c r="T1606" s="137"/>
      <c r="U1606" s="137"/>
      <c r="V1606" s="137"/>
      <c r="W1606" s="137"/>
      <c r="X1606" s="137"/>
      <c r="Y1606" s="137"/>
      <c r="Z1606" s="137"/>
      <c r="AA1606" s="137"/>
      <c r="AB1606" s="137"/>
      <c r="AC1606" s="137"/>
      <c r="AD1606" s="137"/>
      <c r="AE1606" s="137"/>
      <c r="AF1606" s="137"/>
      <c r="AG1606" s="137"/>
      <c r="AH1606" s="137"/>
      <c r="AI1606" s="137"/>
      <c r="AJ1606" s="137"/>
      <c r="AK1606" s="137"/>
    </row>
    <row r="1607" spans="13:37" x14ac:dyDescent="0.25">
      <c r="M1607" s="137"/>
      <c r="N1607" s="137"/>
      <c r="O1607" s="137"/>
      <c r="P1607" s="137"/>
      <c r="R1607" s="137"/>
      <c r="S1607" s="137"/>
      <c r="T1607" s="137"/>
      <c r="U1607" s="137"/>
      <c r="V1607" s="137"/>
      <c r="W1607" s="137"/>
      <c r="X1607" s="137"/>
      <c r="Y1607" s="137"/>
      <c r="Z1607" s="137"/>
      <c r="AA1607" s="137"/>
      <c r="AB1607" s="137"/>
      <c r="AC1607" s="137"/>
      <c r="AD1607" s="137"/>
      <c r="AE1607" s="137"/>
      <c r="AF1607" s="137"/>
      <c r="AG1607" s="137"/>
      <c r="AH1607" s="137"/>
      <c r="AI1607" s="137"/>
      <c r="AJ1607" s="137"/>
      <c r="AK1607" s="137"/>
    </row>
    <row r="1608" spans="13:37" x14ac:dyDescent="0.25">
      <c r="M1608" s="137"/>
      <c r="N1608" s="137"/>
      <c r="O1608" s="137"/>
      <c r="P1608" s="137"/>
      <c r="R1608" s="137"/>
      <c r="S1608" s="137"/>
      <c r="T1608" s="137"/>
      <c r="U1608" s="137"/>
      <c r="V1608" s="137"/>
      <c r="W1608" s="137"/>
      <c r="X1608" s="137"/>
      <c r="Y1608" s="137"/>
      <c r="Z1608" s="137"/>
      <c r="AA1608" s="137"/>
      <c r="AB1608" s="137"/>
      <c r="AC1608" s="137"/>
      <c r="AD1608" s="137"/>
      <c r="AE1608" s="137"/>
      <c r="AF1608" s="137"/>
      <c r="AG1608" s="137"/>
      <c r="AH1608" s="137"/>
      <c r="AI1608" s="137"/>
      <c r="AJ1608" s="137"/>
      <c r="AK1608" s="137"/>
    </row>
    <row r="1609" spans="13:37" x14ac:dyDescent="0.25">
      <c r="M1609" s="137"/>
      <c r="N1609" s="137"/>
      <c r="O1609" s="137"/>
      <c r="P1609" s="137"/>
      <c r="R1609" s="137"/>
      <c r="S1609" s="137"/>
      <c r="T1609" s="137"/>
      <c r="U1609" s="137"/>
      <c r="V1609" s="137"/>
      <c r="W1609" s="137"/>
      <c r="X1609" s="137"/>
      <c r="Y1609" s="137"/>
      <c r="Z1609" s="137"/>
      <c r="AA1609" s="137"/>
      <c r="AB1609" s="137"/>
      <c r="AC1609" s="137"/>
      <c r="AD1609" s="137"/>
      <c r="AE1609" s="137"/>
      <c r="AF1609" s="137"/>
      <c r="AG1609" s="137"/>
      <c r="AH1609" s="137"/>
      <c r="AI1609" s="137"/>
      <c r="AJ1609" s="137"/>
      <c r="AK1609" s="137"/>
    </row>
    <row r="1610" spans="13:37" x14ac:dyDescent="0.25">
      <c r="M1610" s="137"/>
      <c r="N1610" s="137"/>
      <c r="O1610" s="137"/>
      <c r="P1610" s="137"/>
      <c r="R1610" s="137"/>
      <c r="S1610" s="137"/>
      <c r="T1610" s="137"/>
      <c r="U1610" s="137"/>
      <c r="V1610" s="137"/>
      <c r="W1610" s="137"/>
      <c r="X1610" s="137"/>
      <c r="Y1610" s="137"/>
      <c r="Z1610" s="137"/>
      <c r="AA1610" s="137"/>
      <c r="AB1610" s="137"/>
      <c r="AC1610" s="137"/>
      <c r="AD1610" s="137"/>
      <c r="AE1610" s="137"/>
      <c r="AF1610" s="137"/>
      <c r="AG1610" s="137"/>
      <c r="AH1610" s="137"/>
      <c r="AI1610" s="137"/>
      <c r="AJ1610" s="137"/>
      <c r="AK1610" s="137"/>
    </row>
    <row r="1611" spans="13:37" x14ac:dyDescent="0.25">
      <c r="M1611" s="137"/>
      <c r="N1611" s="137"/>
      <c r="O1611" s="137"/>
      <c r="P1611" s="137"/>
      <c r="R1611" s="137"/>
      <c r="S1611" s="137"/>
      <c r="T1611" s="137"/>
      <c r="U1611" s="137"/>
      <c r="V1611" s="137"/>
      <c r="W1611" s="137"/>
      <c r="X1611" s="137"/>
      <c r="Y1611" s="137"/>
      <c r="Z1611" s="137"/>
      <c r="AA1611" s="137"/>
      <c r="AB1611" s="137"/>
      <c r="AC1611" s="137"/>
      <c r="AD1611" s="137"/>
      <c r="AE1611" s="137"/>
      <c r="AF1611" s="137"/>
      <c r="AG1611" s="137"/>
      <c r="AH1611" s="137"/>
      <c r="AI1611" s="137"/>
      <c r="AJ1611" s="137"/>
      <c r="AK1611" s="137"/>
    </row>
    <row r="1612" spans="13:37" x14ac:dyDescent="0.25">
      <c r="M1612" s="137"/>
      <c r="N1612" s="137"/>
      <c r="O1612" s="137"/>
      <c r="P1612" s="137"/>
      <c r="R1612" s="137"/>
      <c r="S1612" s="137"/>
      <c r="T1612" s="137"/>
      <c r="U1612" s="137"/>
      <c r="V1612" s="137"/>
      <c r="W1612" s="137"/>
      <c r="X1612" s="137"/>
      <c r="Y1612" s="137"/>
      <c r="Z1612" s="137"/>
      <c r="AA1612" s="137"/>
      <c r="AB1612" s="137"/>
      <c r="AC1612" s="137"/>
      <c r="AD1612" s="137"/>
      <c r="AE1612" s="137"/>
      <c r="AF1612" s="137"/>
      <c r="AG1612" s="137"/>
      <c r="AH1612" s="137"/>
      <c r="AI1612" s="137"/>
      <c r="AJ1612" s="137"/>
      <c r="AK1612" s="137"/>
    </row>
    <row r="1613" spans="13:37" x14ac:dyDescent="0.25">
      <c r="M1613" s="137"/>
      <c r="N1613" s="137"/>
      <c r="O1613" s="137"/>
      <c r="P1613" s="137"/>
      <c r="R1613" s="137"/>
      <c r="S1613" s="137"/>
      <c r="T1613" s="137"/>
      <c r="U1613" s="137"/>
      <c r="V1613" s="137"/>
      <c r="W1613" s="137"/>
      <c r="X1613" s="137"/>
      <c r="Y1613" s="137"/>
      <c r="Z1613" s="137"/>
      <c r="AA1613" s="137"/>
      <c r="AB1613" s="137"/>
      <c r="AC1613" s="137"/>
      <c r="AD1613" s="137"/>
      <c r="AE1613" s="137"/>
      <c r="AF1613" s="137"/>
      <c r="AG1613" s="137"/>
      <c r="AH1613" s="137"/>
      <c r="AI1613" s="137"/>
      <c r="AJ1613" s="137"/>
      <c r="AK1613" s="137"/>
    </row>
    <row r="1614" spans="13:37" x14ac:dyDescent="0.25">
      <c r="M1614" s="137"/>
      <c r="N1614" s="137"/>
      <c r="O1614" s="137"/>
      <c r="P1614" s="137"/>
      <c r="R1614" s="137"/>
      <c r="S1614" s="137"/>
      <c r="T1614" s="137"/>
      <c r="U1614" s="137"/>
      <c r="V1614" s="137"/>
      <c r="W1614" s="137"/>
      <c r="X1614" s="137"/>
      <c r="Y1614" s="137"/>
      <c r="Z1614" s="137"/>
      <c r="AA1614" s="137"/>
      <c r="AB1614" s="137"/>
      <c r="AC1614" s="137"/>
      <c r="AD1614" s="137"/>
      <c r="AE1614" s="137"/>
      <c r="AF1614" s="137"/>
      <c r="AG1614" s="137"/>
      <c r="AH1614" s="137"/>
      <c r="AI1614" s="137"/>
      <c r="AJ1614" s="137"/>
      <c r="AK1614" s="137"/>
    </row>
    <row r="1615" spans="13:37" x14ac:dyDescent="0.25">
      <c r="M1615" s="137"/>
      <c r="N1615" s="137"/>
      <c r="O1615" s="137"/>
      <c r="P1615" s="137"/>
      <c r="R1615" s="137"/>
      <c r="S1615" s="137"/>
      <c r="T1615" s="137"/>
      <c r="U1615" s="137"/>
      <c r="V1615" s="137"/>
      <c r="W1615" s="137"/>
      <c r="X1615" s="137"/>
      <c r="Y1615" s="137"/>
      <c r="Z1615" s="137"/>
      <c r="AA1615" s="137"/>
      <c r="AB1615" s="137"/>
      <c r="AC1615" s="137"/>
      <c r="AD1615" s="137"/>
      <c r="AE1615" s="137"/>
      <c r="AF1615" s="137"/>
      <c r="AG1615" s="137"/>
      <c r="AH1615" s="137"/>
      <c r="AI1615" s="137"/>
      <c r="AJ1615" s="137"/>
      <c r="AK1615" s="137"/>
    </row>
    <row r="1616" spans="13:37" x14ac:dyDescent="0.25">
      <c r="M1616" s="137"/>
      <c r="N1616" s="137"/>
      <c r="O1616" s="137"/>
      <c r="P1616" s="137"/>
      <c r="R1616" s="137"/>
      <c r="S1616" s="137"/>
      <c r="T1616" s="137"/>
      <c r="U1616" s="137"/>
      <c r="V1616" s="137"/>
      <c r="W1616" s="137"/>
      <c r="X1616" s="137"/>
      <c r="Y1616" s="137"/>
      <c r="Z1616" s="137"/>
      <c r="AA1616" s="137"/>
      <c r="AB1616" s="137"/>
      <c r="AC1616" s="137"/>
      <c r="AD1616" s="137"/>
      <c r="AE1616" s="137"/>
      <c r="AF1616" s="137"/>
      <c r="AG1616" s="137"/>
      <c r="AH1616" s="137"/>
      <c r="AI1616" s="137"/>
      <c r="AJ1616" s="137"/>
      <c r="AK1616" s="137"/>
    </row>
    <row r="1617" spans="13:37" x14ac:dyDescent="0.25">
      <c r="M1617" s="137"/>
      <c r="N1617" s="137"/>
      <c r="O1617" s="137"/>
      <c r="P1617" s="137"/>
      <c r="R1617" s="137"/>
      <c r="S1617" s="137"/>
      <c r="T1617" s="137"/>
      <c r="U1617" s="137"/>
      <c r="V1617" s="137"/>
      <c r="W1617" s="137"/>
      <c r="X1617" s="137"/>
      <c r="Y1617" s="137"/>
      <c r="Z1617" s="137"/>
      <c r="AA1617" s="137"/>
      <c r="AB1617" s="137"/>
      <c r="AC1617" s="137"/>
      <c r="AD1617" s="137"/>
      <c r="AE1617" s="137"/>
      <c r="AF1617" s="137"/>
      <c r="AG1617" s="137"/>
      <c r="AH1617" s="137"/>
      <c r="AI1617" s="137"/>
      <c r="AJ1617" s="137"/>
      <c r="AK1617" s="137"/>
    </row>
    <row r="1618" spans="13:37" x14ac:dyDescent="0.25">
      <c r="M1618" s="137"/>
      <c r="N1618" s="137"/>
      <c r="O1618" s="137"/>
      <c r="P1618" s="137"/>
      <c r="R1618" s="137"/>
      <c r="S1618" s="137"/>
      <c r="T1618" s="137"/>
      <c r="U1618" s="137"/>
      <c r="V1618" s="137"/>
      <c r="W1618" s="137"/>
      <c r="X1618" s="137"/>
      <c r="Y1618" s="137"/>
      <c r="Z1618" s="137"/>
      <c r="AA1618" s="137"/>
      <c r="AB1618" s="137"/>
      <c r="AC1618" s="137"/>
      <c r="AD1618" s="137"/>
      <c r="AE1618" s="137"/>
      <c r="AF1618" s="137"/>
      <c r="AG1618" s="137"/>
      <c r="AH1618" s="137"/>
      <c r="AI1618" s="137"/>
      <c r="AJ1618" s="137"/>
      <c r="AK1618" s="137"/>
    </row>
    <row r="1619" spans="13:37" x14ac:dyDescent="0.25">
      <c r="M1619" s="137"/>
      <c r="N1619" s="137"/>
      <c r="O1619" s="137"/>
      <c r="P1619" s="137"/>
      <c r="R1619" s="137"/>
      <c r="S1619" s="137"/>
      <c r="T1619" s="137"/>
      <c r="U1619" s="137"/>
      <c r="V1619" s="137"/>
      <c r="W1619" s="137"/>
      <c r="X1619" s="137"/>
      <c r="Y1619" s="137"/>
      <c r="Z1619" s="137"/>
      <c r="AA1619" s="137"/>
      <c r="AB1619" s="137"/>
      <c r="AC1619" s="137"/>
      <c r="AD1619" s="137"/>
      <c r="AE1619" s="137"/>
      <c r="AF1619" s="137"/>
      <c r="AG1619" s="137"/>
      <c r="AH1619" s="137"/>
      <c r="AI1619" s="137"/>
      <c r="AJ1619" s="137"/>
      <c r="AK1619" s="137"/>
    </row>
    <row r="1620" spans="13:37" x14ac:dyDescent="0.25">
      <c r="M1620" s="137"/>
      <c r="N1620" s="137"/>
      <c r="O1620" s="137"/>
      <c r="P1620" s="137"/>
      <c r="R1620" s="137"/>
      <c r="S1620" s="137"/>
      <c r="T1620" s="137"/>
      <c r="U1620" s="137"/>
      <c r="V1620" s="137"/>
      <c r="W1620" s="137"/>
      <c r="X1620" s="137"/>
      <c r="Y1620" s="137"/>
      <c r="Z1620" s="137"/>
      <c r="AA1620" s="137"/>
      <c r="AB1620" s="137"/>
      <c r="AC1620" s="137"/>
      <c r="AD1620" s="137"/>
      <c r="AE1620" s="137"/>
      <c r="AF1620" s="137"/>
      <c r="AG1620" s="137"/>
      <c r="AH1620" s="137"/>
      <c r="AI1620" s="137"/>
      <c r="AJ1620" s="137"/>
      <c r="AK1620" s="137"/>
    </row>
    <row r="1621" spans="13:37" x14ac:dyDescent="0.25">
      <c r="M1621" s="137"/>
      <c r="N1621" s="137"/>
      <c r="O1621" s="137"/>
      <c r="P1621" s="137"/>
      <c r="R1621" s="137"/>
      <c r="S1621" s="137"/>
      <c r="T1621" s="137"/>
      <c r="U1621" s="137"/>
      <c r="V1621" s="137"/>
      <c r="W1621" s="137"/>
      <c r="X1621" s="137"/>
      <c r="Y1621" s="137"/>
      <c r="Z1621" s="137"/>
      <c r="AA1621" s="137"/>
      <c r="AB1621" s="137"/>
      <c r="AC1621" s="137"/>
      <c r="AD1621" s="137"/>
      <c r="AE1621" s="137"/>
      <c r="AF1621" s="137"/>
      <c r="AG1621" s="137"/>
      <c r="AH1621" s="137"/>
      <c r="AI1621" s="137"/>
      <c r="AJ1621" s="137"/>
      <c r="AK1621" s="137"/>
    </row>
    <row r="1622" spans="13:37" x14ac:dyDescent="0.25">
      <c r="M1622" s="137"/>
      <c r="N1622" s="137"/>
      <c r="O1622" s="137"/>
      <c r="P1622" s="137"/>
      <c r="R1622" s="137"/>
      <c r="S1622" s="137"/>
      <c r="T1622" s="137"/>
      <c r="U1622" s="137"/>
      <c r="V1622" s="137"/>
      <c r="W1622" s="137"/>
      <c r="X1622" s="137"/>
      <c r="Y1622" s="137"/>
      <c r="Z1622" s="137"/>
      <c r="AA1622" s="137"/>
      <c r="AB1622" s="137"/>
      <c r="AC1622" s="137"/>
      <c r="AD1622" s="137"/>
      <c r="AE1622" s="137"/>
      <c r="AF1622" s="137"/>
      <c r="AG1622" s="137"/>
      <c r="AH1622" s="137"/>
      <c r="AI1622" s="137"/>
      <c r="AJ1622" s="137"/>
      <c r="AK1622" s="137"/>
    </row>
    <row r="1623" spans="13:37" x14ac:dyDescent="0.25">
      <c r="M1623" s="137"/>
      <c r="N1623" s="137"/>
      <c r="O1623" s="137"/>
      <c r="P1623" s="137"/>
      <c r="R1623" s="137"/>
      <c r="S1623" s="137"/>
      <c r="T1623" s="137"/>
      <c r="U1623" s="137"/>
      <c r="V1623" s="137"/>
      <c r="W1623" s="137"/>
      <c r="X1623" s="137"/>
      <c r="Y1623" s="137"/>
      <c r="Z1623" s="137"/>
      <c r="AA1623" s="137"/>
      <c r="AB1623" s="137"/>
      <c r="AC1623" s="137"/>
      <c r="AD1623" s="137"/>
      <c r="AE1623" s="137"/>
      <c r="AF1623" s="137"/>
      <c r="AG1623" s="137"/>
      <c r="AH1623" s="137"/>
      <c r="AI1623" s="137"/>
      <c r="AJ1623" s="137"/>
      <c r="AK1623" s="137"/>
    </row>
    <row r="1624" spans="13:37" x14ac:dyDescent="0.25">
      <c r="M1624" s="137"/>
      <c r="N1624" s="137"/>
      <c r="O1624" s="137"/>
      <c r="P1624" s="137"/>
      <c r="R1624" s="137"/>
      <c r="S1624" s="137"/>
      <c r="T1624" s="137"/>
      <c r="U1624" s="137"/>
      <c r="V1624" s="137"/>
      <c r="W1624" s="137"/>
      <c r="X1624" s="137"/>
      <c r="Y1624" s="137"/>
      <c r="Z1624" s="137"/>
      <c r="AA1624" s="137"/>
      <c r="AB1624" s="137"/>
      <c r="AC1624" s="137"/>
      <c r="AD1624" s="137"/>
      <c r="AE1624" s="137"/>
      <c r="AF1624" s="137"/>
      <c r="AG1624" s="137"/>
      <c r="AH1624" s="137"/>
      <c r="AI1624" s="137"/>
      <c r="AJ1624" s="137"/>
      <c r="AK1624" s="137"/>
    </row>
    <row r="1625" spans="13:37" x14ac:dyDescent="0.25">
      <c r="M1625" s="137"/>
      <c r="N1625" s="137"/>
      <c r="O1625" s="137"/>
      <c r="P1625" s="137"/>
      <c r="R1625" s="137"/>
      <c r="S1625" s="137"/>
      <c r="T1625" s="137"/>
      <c r="U1625" s="137"/>
      <c r="V1625" s="137"/>
      <c r="W1625" s="137"/>
      <c r="X1625" s="137"/>
      <c r="Y1625" s="137"/>
      <c r="Z1625" s="137"/>
      <c r="AA1625" s="137"/>
      <c r="AB1625" s="137"/>
      <c r="AC1625" s="137"/>
      <c r="AD1625" s="137"/>
      <c r="AE1625" s="137"/>
      <c r="AF1625" s="137"/>
      <c r="AG1625" s="137"/>
      <c r="AH1625" s="137"/>
      <c r="AI1625" s="137"/>
      <c r="AJ1625" s="137"/>
      <c r="AK1625" s="137"/>
    </row>
    <row r="1626" spans="13:37" x14ac:dyDescent="0.25">
      <c r="M1626" s="137"/>
      <c r="N1626" s="137"/>
      <c r="O1626" s="137"/>
      <c r="P1626" s="137"/>
      <c r="R1626" s="137"/>
      <c r="S1626" s="137"/>
      <c r="T1626" s="137"/>
      <c r="U1626" s="137"/>
      <c r="V1626" s="137"/>
      <c r="W1626" s="137"/>
      <c r="X1626" s="137"/>
      <c r="Y1626" s="137"/>
      <c r="Z1626" s="137"/>
      <c r="AA1626" s="137"/>
      <c r="AB1626" s="137"/>
      <c r="AC1626" s="137"/>
      <c r="AD1626" s="137"/>
      <c r="AE1626" s="137"/>
      <c r="AF1626" s="137"/>
      <c r="AG1626" s="137"/>
      <c r="AH1626" s="137"/>
      <c r="AI1626" s="137"/>
      <c r="AJ1626" s="137"/>
      <c r="AK1626" s="137"/>
    </row>
    <row r="1627" spans="13:37" x14ac:dyDescent="0.25">
      <c r="M1627" s="137"/>
      <c r="N1627" s="137"/>
      <c r="O1627" s="137"/>
      <c r="P1627" s="137"/>
      <c r="R1627" s="137"/>
      <c r="S1627" s="137"/>
      <c r="T1627" s="137"/>
      <c r="U1627" s="137"/>
      <c r="V1627" s="137"/>
      <c r="W1627" s="137"/>
      <c r="X1627" s="137"/>
      <c r="Y1627" s="137"/>
      <c r="Z1627" s="137"/>
      <c r="AA1627" s="137"/>
      <c r="AB1627" s="137"/>
      <c r="AC1627" s="137"/>
      <c r="AD1627" s="137"/>
      <c r="AE1627" s="137"/>
      <c r="AF1627" s="137"/>
      <c r="AG1627" s="137"/>
      <c r="AH1627" s="137"/>
      <c r="AI1627" s="137"/>
      <c r="AJ1627" s="137"/>
      <c r="AK1627" s="137"/>
    </row>
    <row r="1628" spans="13:37" x14ac:dyDescent="0.25">
      <c r="M1628" s="137"/>
      <c r="N1628" s="137"/>
      <c r="O1628" s="137"/>
      <c r="P1628" s="137"/>
      <c r="R1628" s="137"/>
      <c r="S1628" s="137"/>
      <c r="T1628" s="137"/>
      <c r="U1628" s="137"/>
      <c r="V1628" s="137"/>
      <c r="W1628" s="137"/>
      <c r="X1628" s="137"/>
      <c r="Y1628" s="137"/>
      <c r="Z1628" s="137"/>
      <c r="AA1628" s="137"/>
      <c r="AB1628" s="137"/>
      <c r="AC1628" s="137"/>
      <c r="AD1628" s="137"/>
      <c r="AE1628" s="137"/>
      <c r="AF1628" s="137"/>
      <c r="AG1628" s="137"/>
      <c r="AH1628" s="137"/>
      <c r="AI1628" s="137"/>
      <c r="AJ1628" s="137"/>
      <c r="AK1628" s="137"/>
    </row>
    <row r="1629" spans="13:37" x14ac:dyDescent="0.25">
      <c r="M1629" s="137"/>
      <c r="N1629" s="137"/>
      <c r="O1629" s="137"/>
      <c r="P1629" s="137"/>
      <c r="R1629" s="137"/>
      <c r="S1629" s="137"/>
      <c r="T1629" s="137"/>
      <c r="U1629" s="137"/>
      <c r="V1629" s="137"/>
      <c r="W1629" s="137"/>
      <c r="X1629" s="137"/>
      <c r="Y1629" s="137"/>
      <c r="Z1629" s="137"/>
      <c r="AA1629" s="137"/>
      <c r="AB1629" s="137"/>
      <c r="AC1629" s="137"/>
      <c r="AD1629" s="137"/>
      <c r="AE1629" s="137"/>
      <c r="AF1629" s="137"/>
      <c r="AG1629" s="137"/>
      <c r="AH1629" s="137"/>
      <c r="AI1629" s="137"/>
      <c r="AJ1629" s="137"/>
      <c r="AK1629" s="137"/>
    </row>
    <row r="1630" spans="13:37" x14ac:dyDescent="0.25">
      <c r="M1630" s="137"/>
      <c r="N1630" s="137"/>
      <c r="O1630" s="137"/>
      <c r="P1630" s="137"/>
      <c r="R1630" s="137"/>
      <c r="S1630" s="137"/>
      <c r="T1630" s="137"/>
      <c r="U1630" s="137"/>
      <c r="V1630" s="137"/>
      <c r="W1630" s="137"/>
      <c r="X1630" s="137"/>
      <c r="Y1630" s="137"/>
      <c r="Z1630" s="137"/>
      <c r="AA1630" s="137"/>
      <c r="AB1630" s="137"/>
      <c r="AC1630" s="137"/>
      <c r="AD1630" s="137"/>
      <c r="AE1630" s="137"/>
      <c r="AF1630" s="137"/>
      <c r="AG1630" s="137"/>
      <c r="AH1630" s="137"/>
      <c r="AI1630" s="137"/>
      <c r="AJ1630" s="137"/>
      <c r="AK1630" s="137"/>
    </row>
    <row r="1631" spans="13:37" x14ac:dyDescent="0.25">
      <c r="M1631" s="137"/>
      <c r="N1631" s="137"/>
      <c r="O1631" s="137"/>
      <c r="P1631" s="137"/>
      <c r="R1631" s="137"/>
      <c r="S1631" s="137"/>
      <c r="T1631" s="137"/>
      <c r="U1631" s="137"/>
      <c r="V1631" s="137"/>
      <c r="W1631" s="137"/>
      <c r="X1631" s="137"/>
      <c r="Y1631" s="137"/>
      <c r="Z1631" s="137"/>
      <c r="AA1631" s="137"/>
      <c r="AB1631" s="137"/>
      <c r="AC1631" s="137"/>
      <c r="AD1631" s="137"/>
      <c r="AE1631" s="137"/>
      <c r="AF1631" s="137"/>
      <c r="AG1631" s="137"/>
      <c r="AH1631" s="137"/>
      <c r="AI1631" s="137"/>
      <c r="AJ1631" s="137"/>
      <c r="AK1631" s="137"/>
    </row>
    <row r="1632" spans="13:37" x14ac:dyDescent="0.25">
      <c r="M1632" s="137"/>
      <c r="N1632" s="137"/>
      <c r="O1632" s="137"/>
      <c r="P1632" s="137"/>
      <c r="R1632" s="137"/>
      <c r="S1632" s="137"/>
      <c r="T1632" s="137"/>
      <c r="U1632" s="137"/>
      <c r="V1632" s="137"/>
      <c r="W1632" s="137"/>
      <c r="X1632" s="137"/>
      <c r="Y1632" s="137"/>
      <c r="Z1632" s="137"/>
      <c r="AA1632" s="137"/>
      <c r="AB1632" s="137"/>
      <c r="AC1632" s="137"/>
      <c r="AD1632" s="137"/>
      <c r="AE1632" s="137"/>
      <c r="AF1632" s="137"/>
      <c r="AG1632" s="137"/>
      <c r="AH1632" s="137"/>
      <c r="AI1632" s="137"/>
      <c r="AJ1632" s="137"/>
      <c r="AK1632" s="137"/>
    </row>
    <row r="1633" spans="13:37" x14ac:dyDescent="0.25">
      <c r="M1633" s="137"/>
      <c r="N1633" s="137"/>
      <c r="O1633" s="137"/>
      <c r="P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row>
    <row r="1634" spans="13:37" x14ac:dyDescent="0.25">
      <c r="M1634" s="137"/>
      <c r="N1634" s="137"/>
      <c r="O1634" s="137"/>
      <c r="P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row>
    <row r="1635" spans="13:37" x14ac:dyDescent="0.25">
      <c r="M1635" s="137"/>
      <c r="N1635" s="137"/>
      <c r="O1635" s="137"/>
      <c r="P1635" s="137"/>
      <c r="R1635" s="137"/>
      <c r="S1635" s="137"/>
      <c r="T1635" s="137"/>
      <c r="U1635" s="137"/>
      <c r="V1635" s="137"/>
      <c r="W1635" s="137"/>
      <c r="X1635" s="137"/>
      <c r="Y1635" s="137"/>
      <c r="Z1635" s="137"/>
      <c r="AA1635" s="137"/>
      <c r="AB1635" s="137"/>
      <c r="AC1635" s="137"/>
      <c r="AD1635" s="137"/>
      <c r="AE1635" s="137"/>
      <c r="AF1635" s="137"/>
      <c r="AG1635" s="137"/>
      <c r="AH1635" s="137"/>
      <c r="AI1635" s="137"/>
      <c r="AJ1635" s="137"/>
      <c r="AK1635" s="137"/>
    </row>
    <row r="1636" spans="13:37" x14ac:dyDescent="0.25">
      <c r="M1636" s="137"/>
      <c r="N1636" s="137"/>
      <c r="O1636" s="137"/>
      <c r="P1636" s="137"/>
      <c r="R1636" s="137"/>
      <c r="S1636" s="137"/>
      <c r="T1636" s="137"/>
      <c r="U1636" s="137"/>
      <c r="V1636" s="137"/>
      <c r="W1636" s="137"/>
      <c r="X1636" s="137"/>
      <c r="Y1636" s="137"/>
      <c r="Z1636" s="137"/>
      <c r="AA1636" s="137"/>
      <c r="AB1636" s="137"/>
      <c r="AC1636" s="137"/>
      <c r="AD1636" s="137"/>
      <c r="AE1636" s="137"/>
      <c r="AF1636" s="137"/>
      <c r="AG1636" s="137"/>
      <c r="AH1636" s="137"/>
      <c r="AI1636" s="137"/>
      <c r="AJ1636" s="137"/>
      <c r="AK1636" s="137"/>
    </row>
    <row r="1637" spans="13:37" x14ac:dyDescent="0.25">
      <c r="M1637" s="137"/>
      <c r="N1637" s="137"/>
      <c r="O1637" s="137"/>
      <c r="P1637" s="137"/>
      <c r="R1637" s="137"/>
      <c r="S1637" s="137"/>
      <c r="T1637" s="137"/>
      <c r="U1637" s="137"/>
      <c r="V1637" s="137"/>
      <c r="W1637" s="137"/>
      <c r="X1637" s="137"/>
      <c r="Y1637" s="137"/>
      <c r="Z1637" s="137"/>
      <c r="AA1637" s="137"/>
      <c r="AB1637" s="137"/>
      <c r="AC1637" s="137"/>
      <c r="AD1637" s="137"/>
      <c r="AE1637" s="137"/>
      <c r="AF1637" s="137"/>
      <c r="AG1637" s="137"/>
      <c r="AH1637" s="137"/>
      <c r="AI1637" s="137"/>
      <c r="AJ1637" s="137"/>
      <c r="AK1637" s="137"/>
    </row>
    <row r="1638" spans="13:37" x14ac:dyDescent="0.25">
      <c r="M1638" s="137"/>
      <c r="N1638" s="137"/>
      <c r="O1638" s="137"/>
      <c r="P1638" s="137"/>
      <c r="R1638" s="137"/>
      <c r="S1638" s="137"/>
      <c r="T1638" s="137"/>
      <c r="U1638" s="137"/>
      <c r="V1638" s="137"/>
      <c r="W1638" s="137"/>
      <c r="X1638" s="137"/>
      <c r="Y1638" s="137"/>
      <c r="Z1638" s="137"/>
      <c r="AA1638" s="137"/>
      <c r="AB1638" s="137"/>
      <c r="AC1638" s="137"/>
      <c r="AD1638" s="137"/>
      <c r="AE1638" s="137"/>
      <c r="AF1638" s="137"/>
      <c r="AG1638" s="137"/>
      <c r="AH1638" s="137"/>
      <c r="AI1638" s="137"/>
      <c r="AJ1638" s="137"/>
      <c r="AK1638" s="137"/>
    </row>
    <row r="1639" spans="13:37" x14ac:dyDescent="0.25">
      <c r="M1639" s="137"/>
      <c r="N1639" s="137"/>
      <c r="O1639" s="137"/>
      <c r="P1639" s="137"/>
      <c r="R1639" s="137"/>
      <c r="S1639" s="137"/>
      <c r="T1639" s="137"/>
      <c r="U1639" s="137"/>
      <c r="V1639" s="137"/>
      <c r="W1639" s="137"/>
      <c r="X1639" s="137"/>
      <c r="Y1639" s="137"/>
      <c r="Z1639" s="137"/>
      <c r="AA1639" s="137"/>
      <c r="AB1639" s="137"/>
      <c r="AC1639" s="137"/>
      <c r="AD1639" s="137"/>
      <c r="AE1639" s="137"/>
      <c r="AF1639" s="137"/>
      <c r="AG1639" s="137"/>
      <c r="AH1639" s="137"/>
      <c r="AI1639" s="137"/>
      <c r="AJ1639" s="137"/>
      <c r="AK1639" s="137"/>
    </row>
    <row r="1640" spans="13:37" x14ac:dyDescent="0.25">
      <c r="M1640" s="137"/>
      <c r="N1640" s="137"/>
      <c r="O1640" s="137"/>
      <c r="P1640" s="137"/>
      <c r="R1640" s="137"/>
      <c r="S1640" s="137"/>
      <c r="T1640" s="137"/>
      <c r="U1640" s="137"/>
      <c r="V1640" s="137"/>
      <c r="W1640" s="137"/>
      <c r="X1640" s="137"/>
      <c r="Y1640" s="137"/>
      <c r="Z1640" s="137"/>
      <c r="AA1640" s="137"/>
      <c r="AB1640" s="137"/>
      <c r="AC1640" s="137"/>
      <c r="AD1640" s="137"/>
      <c r="AE1640" s="137"/>
      <c r="AF1640" s="137"/>
      <c r="AG1640" s="137"/>
      <c r="AH1640" s="137"/>
      <c r="AI1640" s="137"/>
      <c r="AJ1640" s="137"/>
      <c r="AK1640" s="137"/>
    </row>
    <row r="1641" spans="13:37" x14ac:dyDescent="0.25">
      <c r="M1641" s="137"/>
      <c r="N1641" s="137"/>
      <c r="O1641" s="137"/>
      <c r="P1641" s="137"/>
      <c r="R1641" s="137"/>
      <c r="S1641" s="137"/>
      <c r="T1641" s="137"/>
      <c r="U1641" s="137"/>
      <c r="V1641" s="137"/>
      <c r="W1641" s="137"/>
      <c r="X1641" s="137"/>
      <c r="Y1641" s="137"/>
      <c r="Z1641" s="137"/>
      <c r="AA1641" s="137"/>
      <c r="AB1641" s="137"/>
      <c r="AC1641" s="137"/>
      <c r="AD1641" s="137"/>
      <c r="AE1641" s="137"/>
      <c r="AF1641" s="137"/>
      <c r="AG1641" s="137"/>
      <c r="AH1641" s="137"/>
      <c r="AI1641" s="137"/>
      <c r="AJ1641" s="137"/>
      <c r="AK1641" s="137"/>
    </row>
    <row r="1642" spans="13:37" x14ac:dyDescent="0.25">
      <c r="M1642" s="137"/>
      <c r="N1642" s="137"/>
      <c r="O1642" s="137"/>
      <c r="P1642" s="137"/>
      <c r="R1642" s="137"/>
      <c r="S1642" s="137"/>
      <c r="T1642" s="137"/>
      <c r="U1642" s="137"/>
      <c r="V1642" s="137"/>
      <c r="W1642" s="137"/>
      <c r="X1642" s="137"/>
      <c r="Y1642" s="137"/>
      <c r="Z1642" s="137"/>
      <c r="AA1642" s="137"/>
      <c r="AB1642" s="137"/>
      <c r="AC1642" s="137"/>
      <c r="AD1642" s="137"/>
      <c r="AE1642" s="137"/>
      <c r="AF1642" s="137"/>
      <c r="AG1642" s="137"/>
      <c r="AH1642" s="137"/>
      <c r="AI1642" s="137"/>
      <c r="AJ1642" s="137"/>
      <c r="AK1642" s="137"/>
    </row>
    <row r="1643" spans="13:37" x14ac:dyDescent="0.25">
      <c r="M1643" s="137"/>
      <c r="N1643" s="137"/>
      <c r="O1643" s="137"/>
      <c r="P1643" s="137"/>
      <c r="R1643" s="137"/>
      <c r="S1643" s="137"/>
      <c r="T1643" s="137"/>
      <c r="U1643" s="137"/>
      <c r="V1643" s="137"/>
      <c r="W1643" s="137"/>
      <c r="X1643" s="137"/>
      <c r="Y1643" s="137"/>
      <c r="Z1643" s="137"/>
      <c r="AA1643" s="137"/>
      <c r="AB1643" s="137"/>
      <c r="AC1643" s="137"/>
      <c r="AD1643" s="137"/>
      <c r="AE1643" s="137"/>
      <c r="AF1643" s="137"/>
      <c r="AG1643" s="137"/>
      <c r="AH1643" s="137"/>
      <c r="AI1643" s="137"/>
      <c r="AJ1643" s="137"/>
      <c r="AK1643" s="137"/>
    </row>
    <row r="1644" spans="13:37" x14ac:dyDescent="0.25">
      <c r="M1644" s="137"/>
      <c r="N1644" s="137"/>
      <c r="O1644" s="137"/>
      <c r="P1644" s="137"/>
      <c r="R1644" s="137"/>
      <c r="S1644" s="137"/>
      <c r="T1644" s="137"/>
      <c r="U1644" s="137"/>
      <c r="V1644" s="137"/>
      <c r="W1644" s="137"/>
      <c r="X1644" s="137"/>
      <c r="Y1644" s="137"/>
      <c r="Z1644" s="137"/>
      <c r="AA1644" s="137"/>
      <c r="AB1644" s="137"/>
      <c r="AC1644" s="137"/>
      <c r="AD1644" s="137"/>
      <c r="AE1644" s="137"/>
      <c r="AF1644" s="137"/>
      <c r="AG1644" s="137"/>
      <c r="AH1644" s="137"/>
      <c r="AI1644" s="137"/>
      <c r="AJ1644" s="137"/>
      <c r="AK1644" s="137"/>
    </row>
    <row r="1645" spans="13:37" x14ac:dyDescent="0.25">
      <c r="M1645" s="137"/>
      <c r="N1645" s="137"/>
      <c r="O1645" s="137"/>
      <c r="P1645" s="137"/>
      <c r="R1645" s="137"/>
      <c r="S1645" s="137"/>
      <c r="T1645" s="137"/>
      <c r="U1645" s="137"/>
      <c r="V1645" s="137"/>
      <c r="W1645" s="137"/>
      <c r="X1645" s="137"/>
      <c r="Y1645" s="137"/>
      <c r="Z1645" s="137"/>
      <c r="AA1645" s="137"/>
      <c r="AB1645" s="137"/>
      <c r="AC1645" s="137"/>
      <c r="AD1645" s="137"/>
      <c r="AE1645" s="137"/>
      <c r="AF1645" s="137"/>
      <c r="AG1645" s="137"/>
      <c r="AH1645" s="137"/>
      <c r="AI1645" s="137"/>
      <c r="AJ1645" s="137"/>
      <c r="AK1645" s="137"/>
    </row>
    <row r="1646" spans="13:37" x14ac:dyDescent="0.25">
      <c r="M1646" s="137"/>
      <c r="N1646" s="137"/>
      <c r="O1646" s="137"/>
      <c r="P1646" s="137"/>
      <c r="R1646" s="137"/>
      <c r="S1646" s="137"/>
      <c r="T1646" s="137"/>
      <c r="U1646" s="137"/>
      <c r="V1646" s="137"/>
      <c r="W1646" s="137"/>
      <c r="X1646" s="137"/>
      <c r="Y1646" s="137"/>
      <c r="Z1646" s="137"/>
      <c r="AA1646" s="137"/>
      <c r="AB1646" s="137"/>
      <c r="AC1646" s="137"/>
      <c r="AD1646" s="137"/>
      <c r="AE1646" s="137"/>
      <c r="AF1646" s="137"/>
      <c r="AG1646" s="137"/>
      <c r="AH1646" s="137"/>
      <c r="AI1646" s="137"/>
      <c r="AJ1646" s="137"/>
      <c r="AK1646" s="137"/>
    </row>
    <row r="1647" spans="13:37" x14ac:dyDescent="0.25">
      <c r="M1647" s="137"/>
      <c r="N1647" s="137"/>
      <c r="O1647" s="137"/>
      <c r="P1647" s="137"/>
      <c r="R1647" s="137"/>
      <c r="S1647" s="137"/>
      <c r="T1647" s="137"/>
      <c r="U1647" s="137"/>
      <c r="V1647" s="137"/>
      <c r="W1647" s="137"/>
      <c r="X1647" s="137"/>
      <c r="Y1647" s="137"/>
      <c r="Z1647" s="137"/>
      <c r="AA1647" s="137"/>
      <c r="AB1647" s="137"/>
      <c r="AC1647" s="137"/>
      <c r="AD1647" s="137"/>
      <c r="AE1647" s="137"/>
      <c r="AF1647" s="137"/>
      <c r="AG1647" s="137"/>
      <c r="AH1647" s="137"/>
      <c r="AI1647" s="137"/>
      <c r="AJ1647" s="137"/>
      <c r="AK1647" s="137"/>
    </row>
    <row r="1648" spans="13:37" x14ac:dyDescent="0.25">
      <c r="M1648" s="137"/>
      <c r="N1648" s="137"/>
      <c r="O1648" s="137"/>
      <c r="P1648" s="137"/>
      <c r="R1648" s="137"/>
      <c r="S1648" s="137"/>
      <c r="T1648" s="137"/>
      <c r="U1648" s="137"/>
      <c r="V1648" s="137"/>
      <c r="W1648" s="137"/>
      <c r="X1648" s="137"/>
      <c r="Y1648" s="137"/>
      <c r="Z1648" s="137"/>
      <c r="AA1648" s="137"/>
      <c r="AB1648" s="137"/>
      <c r="AC1648" s="137"/>
      <c r="AD1648" s="137"/>
      <c r="AE1648" s="137"/>
      <c r="AF1648" s="137"/>
      <c r="AG1648" s="137"/>
      <c r="AH1648" s="137"/>
      <c r="AI1648" s="137"/>
      <c r="AJ1648" s="137"/>
      <c r="AK1648" s="137"/>
    </row>
    <row r="1649" spans="13:37" x14ac:dyDescent="0.25">
      <c r="M1649" s="137"/>
      <c r="N1649" s="137"/>
      <c r="O1649" s="137"/>
      <c r="P1649" s="137"/>
      <c r="R1649" s="137"/>
      <c r="S1649" s="137"/>
      <c r="T1649" s="137"/>
      <c r="U1649" s="137"/>
      <c r="V1649" s="137"/>
      <c r="W1649" s="137"/>
      <c r="X1649" s="137"/>
      <c r="Y1649" s="137"/>
      <c r="Z1649" s="137"/>
      <c r="AA1649" s="137"/>
      <c r="AB1649" s="137"/>
      <c r="AC1649" s="137"/>
      <c r="AD1649" s="137"/>
      <c r="AE1649" s="137"/>
      <c r="AF1649" s="137"/>
      <c r="AG1649" s="137"/>
      <c r="AH1649" s="137"/>
      <c r="AI1649" s="137"/>
      <c r="AJ1649" s="137"/>
      <c r="AK1649" s="137"/>
    </row>
    <row r="1650" spans="13:37" x14ac:dyDescent="0.25">
      <c r="M1650" s="137"/>
      <c r="N1650" s="137"/>
      <c r="O1650" s="137"/>
      <c r="P1650" s="137"/>
      <c r="R1650" s="137"/>
      <c r="S1650" s="137"/>
      <c r="T1650" s="137"/>
      <c r="U1650" s="137"/>
      <c r="V1650" s="137"/>
      <c r="W1650" s="137"/>
      <c r="X1650" s="137"/>
      <c r="Y1650" s="137"/>
      <c r="Z1650" s="137"/>
      <c r="AA1650" s="137"/>
      <c r="AB1650" s="137"/>
      <c r="AC1650" s="137"/>
      <c r="AD1650" s="137"/>
      <c r="AE1650" s="137"/>
      <c r="AF1650" s="137"/>
      <c r="AG1650" s="137"/>
      <c r="AH1650" s="137"/>
      <c r="AI1650" s="137"/>
      <c r="AJ1650" s="137"/>
      <c r="AK1650" s="137"/>
    </row>
    <row r="1651" spans="13:37" x14ac:dyDescent="0.25">
      <c r="M1651" s="137"/>
      <c r="N1651" s="137"/>
      <c r="O1651" s="137"/>
      <c r="P1651" s="137"/>
      <c r="R1651" s="137"/>
      <c r="S1651" s="137"/>
      <c r="T1651" s="137"/>
      <c r="U1651" s="137"/>
      <c r="V1651" s="137"/>
      <c r="W1651" s="137"/>
      <c r="X1651" s="137"/>
      <c r="Y1651" s="137"/>
      <c r="Z1651" s="137"/>
      <c r="AA1651" s="137"/>
      <c r="AB1651" s="137"/>
      <c r="AC1651" s="137"/>
      <c r="AD1651" s="137"/>
      <c r="AE1651" s="137"/>
      <c r="AF1651" s="137"/>
      <c r="AG1651" s="137"/>
      <c r="AH1651" s="137"/>
      <c r="AI1651" s="137"/>
      <c r="AJ1651" s="137"/>
      <c r="AK1651" s="137"/>
    </row>
    <row r="1652" spans="13:37" x14ac:dyDescent="0.25">
      <c r="M1652" s="137"/>
      <c r="N1652" s="137"/>
      <c r="O1652" s="137"/>
      <c r="P1652" s="137"/>
      <c r="R1652" s="137"/>
      <c r="S1652" s="137"/>
      <c r="T1652" s="137"/>
      <c r="U1652" s="137"/>
      <c r="V1652" s="137"/>
      <c r="W1652" s="137"/>
      <c r="X1652" s="137"/>
      <c r="Y1652" s="137"/>
      <c r="Z1652" s="137"/>
      <c r="AA1652" s="137"/>
      <c r="AB1652" s="137"/>
      <c r="AC1652" s="137"/>
      <c r="AD1652" s="137"/>
      <c r="AE1652" s="137"/>
      <c r="AF1652" s="137"/>
      <c r="AG1652" s="137"/>
      <c r="AH1652" s="137"/>
      <c r="AI1652" s="137"/>
      <c r="AJ1652" s="137"/>
      <c r="AK1652" s="137"/>
    </row>
    <row r="1653" spans="13:37" x14ac:dyDescent="0.25">
      <c r="M1653" s="137"/>
      <c r="N1653" s="137"/>
      <c r="O1653" s="137"/>
      <c r="P1653" s="137"/>
      <c r="R1653" s="137"/>
      <c r="S1653" s="137"/>
      <c r="T1653" s="137"/>
      <c r="U1653" s="137"/>
      <c r="V1653" s="137"/>
      <c r="W1653" s="137"/>
      <c r="X1653" s="137"/>
      <c r="Y1653" s="137"/>
      <c r="Z1653" s="137"/>
      <c r="AA1653" s="137"/>
      <c r="AB1653" s="137"/>
      <c r="AC1653" s="137"/>
      <c r="AD1653" s="137"/>
      <c r="AE1653" s="137"/>
      <c r="AF1653" s="137"/>
      <c r="AG1653" s="137"/>
      <c r="AH1653" s="137"/>
      <c r="AI1653" s="137"/>
      <c r="AJ1653" s="137"/>
      <c r="AK1653" s="137"/>
    </row>
    <row r="1654" spans="13:37" x14ac:dyDescent="0.25">
      <c r="M1654" s="137"/>
      <c r="N1654" s="137"/>
      <c r="O1654" s="137"/>
      <c r="P1654" s="137"/>
      <c r="R1654" s="137"/>
      <c r="S1654" s="137"/>
      <c r="T1654" s="137"/>
      <c r="U1654" s="137"/>
      <c r="V1654" s="137"/>
      <c r="W1654" s="137"/>
      <c r="X1654" s="137"/>
      <c r="Y1654" s="137"/>
      <c r="Z1654" s="137"/>
      <c r="AA1654" s="137"/>
      <c r="AB1654" s="137"/>
      <c r="AC1654" s="137"/>
      <c r="AD1654" s="137"/>
      <c r="AE1654" s="137"/>
      <c r="AF1654" s="137"/>
      <c r="AG1654" s="137"/>
      <c r="AH1654" s="137"/>
      <c r="AI1654" s="137"/>
      <c r="AJ1654" s="137"/>
      <c r="AK1654" s="137"/>
    </row>
    <row r="1655" spans="13:37" x14ac:dyDescent="0.25">
      <c r="M1655" s="137"/>
      <c r="N1655" s="137"/>
      <c r="O1655" s="137"/>
      <c r="P1655" s="137"/>
      <c r="R1655" s="137"/>
      <c r="S1655" s="137"/>
      <c r="T1655" s="137"/>
      <c r="U1655" s="137"/>
      <c r="V1655" s="137"/>
      <c r="W1655" s="137"/>
      <c r="X1655" s="137"/>
      <c r="Y1655" s="137"/>
      <c r="Z1655" s="137"/>
      <c r="AA1655" s="137"/>
      <c r="AB1655" s="137"/>
      <c r="AC1655" s="137"/>
      <c r="AD1655" s="137"/>
      <c r="AE1655" s="137"/>
      <c r="AF1655" s="137"/>
      <c r="AG1655" s="137"/>
      <c r="AH1655" s="137"/>
      <c r="AI1655" s="137"/>
      <c r="AJ1655" s="137"/>
      <c r="AK1655" s="137"/>
    </row>
    <row r="1656" spans="13:37" x14ac:dyDescent="0.25">
      <c r="M1656" s="137"/>
      <c r="N1656" s="137"/>
      <c r="O1656" s="137"/>
      <c r="P1656" s="137"/>
      <c r="R1656" s="137"/>
      <c r="S1656" s="137"/>
      <c r="T1656" s="137"/>
      <c r="U1656" s="137"/>
      <c r="V1656" s="137"/>
      <c r="W1656" s="137"/>
      <c r="X1656" s="137"/>
      <c r="Y1656" s="137"/>
      <c r="Z1656" s="137"/>
      <c r="AA1656" s="137"/>
      <c r="AB1656" s="137"/>
      <c r="AC1656" s="137"/>
      <c r="AD1656" s="137"/>
      <c r="AE1656" s="137"/>
      <c r="AF1656" s="137"/>
      <c r="AG1656" s="137"/>
      <c r="AH1656" s="137"/>
      <c r="AI1656" s="137"/>
      <c r="AJ1656" s="137"/>
      <c r="AK1656" s="137"/>
    </row>
    <row r="1657" spans="13:37" x14ac:dyDescent="0.25">
      <c r="M1657" s="137"/>
      <c r="N1657" s="137"/>
      <c r="O1657" s="137"/>
      <c r="P1657" s="137"/>
      <c r="R1657" s="137"/>
      <c r="S1657" s="137"/>
      <c r="T1657" s="137"/>
      <c r="U1657" s="137"/>
      <c r="V1657" s="137"/>
      <c r="W1657" s="137"/>
      <c r="X1657" s="137"/>
      <c r="Y1657" s="137"/>
      <c r="Z1657" s="137"/>
      <c r="AA1657" s="137"/>
      <c r="AB1657" s="137"/>
      <c r="AC1657" s="137"/>
      <c r="AD1657" s="137"/>
      <c r="AE1657" s="137"/>
      <c r="AF1657" s="137"/>
      <c r="AG1657" s="137"/>
      <c r="AH1657" s="137"/>
      <c r="AI1657" s="137"/>
      <c r="AJ1657" s="137"/>
      <c r="AK1657" s="137"/>
    </row>
    <row r="1658" spans="13:37" x14ac:dyDescent="0.25">
      <c r="M1658" s="137"/>
      <c r="N1658" s="137"/>
      <c r="O1658" s="137"/>
      <c r="P1658" s="137"/>
      <c r="R1658" s="137"/>
      <c r="S1658" s="137"/>
      <c r="T1658" s="137"/>
      <c r="U1658" s="137"/>
      <c r="V1658" s="137"/>
      <c r="W1658" s="137"/>
      <c r="X1658" s="137"/>
      <c r="Y1658" s="137"/>
      <c r="Z1658" s="137"/>
      <c r="AA1658" s="137"/>
      <c r="AB1658" s="137"/>
      <c r="AC1658" s="137"/>
      <c r="AD1658" s="137"/>
      <c r="AE1658" s="137"/>
      <c r="AF1658" s="137"/>
      <c r="AG1658" s="137"/>
      <c r="AH1658" s="137"/>
      <c r="AI1658" s="137"/>
      <c r="AJ1658" s="137"/>
      <c r="AK1658" s="137"/>
    </row>
    <row r="1659" spans="13:37" x14ac:dyDescent="0.25">
      <c r="M1659" s="137"/>
      <c r="N1659" s="137"/>
      <c r="O1659" s="137"/>
      <c r="P1659" s="137"/>
      <c r="R1659" s="137"/>
      <c r="S1659" s="137"/>
      <c r="T1659" s="137"/>
      <c r="U1659" s="137"/>
      <c r="V1659" s="137"/>
      <c r="W1659" s="137"/>
      <c r="X1659" s="137"/>
      <c r="Y1659" s="137"/>
      <c r="Z1659" s="137"/>
      <c r="AA1659" s="137"/>
      <c r="AB1659" s="137"/>
      <c r="AC1659" s="137"/>
      <c r="AD1659" s="137"/>
      <c r="AE1659" s="137"/>
      <c r="AF1659" s="137"/>
      <c r="AG1659" s="137"/>
      <c r="AH1659" s="137"/>
      <c r="AI1659" s="137"/>
      <c r="AJ1659" s="137"/>
      <c r="AK1659" s="137"/>
    </row>
    <row r="1660" spans="13:37" x14ac:dyDescent="0.25">
      <c r="M1660" s="137"/>
      <c r="N1660" s="137"/>
      <c r="O1660" s="137"/>
      <c r="P1660" s="137"/>
      <c r="R1660" s="137"/>
      <c r="S1660" s="137"/>
      <c r="T1660" s="137"/>
      <c r="U1660" s="137"/>
      <c r="V1660" s="137"/>
      <c r="W1660" s="137"/>
      <c r="X1660" s="137"/>
      <c r="Y1660" s="137"/>
      <c r="Z1660" s="137"/>
      <c r="AA1660" s="137"/>
      <c r="AB1660" s="137"/>
      <c r="AC1660" s="137"/>
      <c r="AD1660" s="137"/>
      <c r="AE1660" s="137"/>
      <c r="AF1660" s="137"/>
      <c r="AG1660" s="137"/>
      <c r="AH1660" s="137"/>
      <c r="AI1660" s="137"/>
      <c r="AJ1660" s="137"/>
      <c r="AK1660" s="137"/>
    </row>
    <row r="1661" spans="13:37" x14ac:dyDescent="0.25">
      <c r="M1661" s="137"/>
      <c r="N1661" s="137"/>
      <c r="O1661" s="137"/>
      <c r="P1661" s="137"/>
      <c r="R1661" s="137"/>
      <c r="S1661" s="137"/>
      <c r="T1661" s="137"/>
      <c r="U1661" s="137"/>
      <c r="V1661" s="137"/>
      <c r="W1661" s="137"/>
      <c r="X1661" s="137"/>
      <c r="Y1661" s="137"/>
      <c r="Z1661" s="137"/>
      <c r="AA1661" s="137"/>
      <c r="AB1661" s="137"/>
      <c r="AC1661" s="137"/>
      <c r="AD1661" s="137"/>
      <c r="AE1661" s="137"/>
      <c r="AF1661" s="137"/>
      <c r="AG1661" s="137"/>
      <c r="AH1661" s="137"/>
      <c r="AI1661" s="137"/>
      <c r="AJ1661" s="137"/>
      <c r="AK1661" s="137"/>
    </row>
    <row r="1662" spans="13:37" x14ac:dyDescent="0.25">
      <c r="M1662" s="137"/>
      <c r="N1662" s="137"/>
      <c r="O1662" s="137"/>
      <c r="P1662" s="137"/>
      <c r="R1662" s="137"/>
      <c r="S1662" s="137"/>
      <c r="T1662" s="137"/>
      <c r="U1662" s="137"/>
      <c r="V1662" s="137"/>
      <c r="W1662" s="137"/>
      <c r="X1662" s="137"/>
      <c r="Y1662" s="137"/>
      <c r="Z1662" s="137"/>
      <c r="AA1662" s="137"/>
      <c r="AB1662" s="137"/>
      <c r="AC1662" s="137"/>
      <c r="AD1662" s="137"/>
      <c r="AE1662" s="137"/>
      <c r="AF1662" s="137"/>
      <c r="AG1662" s="137"/>
      <c r="AH1662" s="137"/>
      <c r="AI1662" s="137"/>
      <c r="AJ1662" s="137"/>
      <c r="AK1662" s="137"/>
    </row>
    <row r="1663" spans="13:37" x14ac:dyDescent="0.25">
      <c r="M1663" s="137"/>
      <c r="N1663" s="137"/>
      <c r="O1663" s="137"/>
      <c r="P1663" s="137"/>
      <c r="R1663" s="137"/>
      <c r="S1663" s="137"/>
      <c r="T1663" s="137"/>
      <c r="U1663" s="137"/>
      <c r="V1663" s="137"/>
      <c r="W1663" s="137"/>
      <c r="X1663" s="137"/>
      <c r="Y1663" s="137"/>
      <c r="Z1663" s="137"/>
      <c r="AA1663" s="137"/>
      <c r="AB1663" s="137"/>
      <c r="AC1663" s="137"/>
      <c r="AD1663" s="137"/>
      <c r="AE1663" s="137"/>
      <c r="AF1663" s="137"/>
      <c r="AG1663" s="137"/>
      <c r="AH1663" s="137"/>
      <c r="AI1663" s="137"/>
      <c r="AJ1663" s="137"/>
      <c r="AK1663" s="137"/>
    </row>
    <row r="1664" spans="13:37" x14ac:dyDescent="0.25">
      <c r="M1664" s="137"/>
      <c r="N1664" s="137"/>
      <c r="O1664" s="137"/>
      <c r="P1664" s="137"/>
      <c r="R1664" s="137"/>
      <c r="S1664" s="137"/>
      <c r="T1664" s="137"/>
      <c r="U1664" s="137"/>
      <c r="V1664" s="137"/>
      <c r="W1664" s="137"/>
      <c r="X1664" s="137"/>
      <c r="Y1664" s="137"/>
      <c r="Z1664" s="137"/>
      <c r="AA1664" s="137"/>
      <c r="AB1664" s="137"/>
      <c r="AC1664" s="137"/>
      <c r="AD1664" s="137"/>
      <c r="AE1664" s="137"/>
      <c r="AF1664" s="137"/>
      <c r="AG1664" s="137"/>
      <c r="AH1664" s="137"/>
      <c r="AI1664" s="137"/>
      <c r="AJ1664" s="137"/>
      <c r="AK1664" s="137"/>
    </row>
    <row r="1665" spans="13:37" x14ac:dyDescent="0.25">
      <c r="M1665" s="137"/>
      <c r="N1665" s="137"/>
      <c r="O1665" s="137"/>
      <c r="P1665" s="137"/>
      <c r="R1665" s="137"/>
      <c r="S1665" s="137"/>
      <c r="T1665" s="137"/>
      <c r="U1665" s="137"/>
      <c r="V1665" s="137"/>
      <c r="W1665" s="137"/>
      <c r="X1665" s="137"/>
      <c r="Y1665" s="137"/>
      <c r="Z1665" s="137"/>
      <c r="AA1665" s="137"/>
      <c r="AB1665" s="137"/>
      <c r="AC1665" s="137"/>
      <c r="AD1665" s="137"/>
      <c r="AE1665" s="137"/>
      <c r="AF1665" s="137"/>
      <c r="AG1665" s="137"/>
      <c r="AH1665" s="137"/>
      <c r="AI1665" s="137"/>
      <c r="AJ1665" s="137"/>
      <c r="AK1665" s="137"/>
    </row>
    <row r="1666" spans="13:37" x14ac:dyDescent="0.25">
      <c r="M1666" s="137"/>
      <c r="N1666" s="137"/>
      <c r="O1666" s="137"/>
      <c r="P1666" s="137"/>
      <c r="R1666" s="137"/>
      <c r="S1666" s="137"/>
      <c r="T1666" s="137"/>
      <c r="U1666" s="137"/>
      <c r="V1666" s="137"/>
      <c r="W1666" s="137"/>
      <c r="X1666" s="137"/>
      <c r="Y1666" s="137"/>
      <c r="Z1666" s="137"/>
      <c r="AA1666" s="137"/>
      <c r="AB1666" s="137"/>
      <c r="AC1666" s="137"/>
      <c r="AD1666" s="137"/>
      <c r="AE1666" s="137"/>
      <c r="AF1666" s="137"/>
      <c r="AG1666" s="137"/>
      <c r="AH1666" s="137"/>
      <c r="AI1666" s="137"/>
      <c r="AJ1666" s="137"/>
      <c r="AK1666" s="137"/>
    </row>
    <row r="1667" spans="13:37" x14ac:dyDescent="0.25">
      <c r="M1667" s="137"/>
      <c r="N1667" s="137"/>
      <c r="O1667" s="137"/>
      <c r="P1667" s="137"/>
      <c r="R1667" s="137"/>
      <c r="S1667" s="137"/>
      <c r="T1667" s="137"/>
      <c r="U1667" s="137"/>
      <c r="V1667" s="137"/>
      <c r="W1667" s="137"/>
      <c r="X1667" s="137"/>
      <c r="Y1667" s="137"/>
      <c r="Z1667" s="137"/>
      <c r="AA1667" s="137"/>
      <c r="AB1667" s="137"/>
      <c r="AC1667" s="137"/>
      <c r="AD1667" s="137"/>
      <c r="AE1667" s="137"/>
      <c r="AF1667" s="137"/>
      <c r="AG1667" s="137"/>
      <c r="AH1667" s="137"/>
      <c r="AI1667" s="137"/>
      <c r="AJ1667" s="137"/>
      <c r="AK1667" s="137"/>
    </row>
    <row r="1668" spans="13:37" x14ac:dyDescent="0.25">
      <c r="M1668" s="137"/>
      <c r="N1668" s="137"/>
      <c r="O1668" s="137"/>
      <c r="P1668" s="137"/>
      <c r="R1668" s="137"/>
      <c r="S1668" s="137"/>
      <c r="T1668" s="137"/>
      <c r="U1668" s="137"/>
      <c r="V1668" s="137"/>
      <c r="W1668" s="137"/>
      <c r="X1668" s="137"/>
      <c r="Y1668" s="137"/>
      <c r="Z1668" s="137"/>
      <c r="AA1668" s="137"/>
      <c r="AB1668" s="137"/>
      <c r="AC1668" s="137"/>
      <c r="AD1668" s="137"/>
      <c r="AE1668" s="137"/>
      <c r="AF1668" s="137"/>
      <c r="AG1668" s="137"/>
      <c r="AH1668" s="137"/>
      <c r="AI1668" s="137"/>
      <c r="AJ1668" s="137"/>
      <c r="AK1668" s="137"/>
    </row>
    <row r="1669" spans="13:37" x14ac:dyDescent="0.25">
      <c r="M1669" s="137"/>
      <c r="N1669" s="137"/>
      <c r="O1669" s="137"/>
      <c r="P1669" s="137"/>
      <c r="R1669" s="137"/>
      <c r="S1669" s="137"/>
      <c r="T1669" s="137"/>
      <c r="U1669" s="137"/>
      <c r="V1669" s="137"/>
      <c r="W1669" s="137"/>
      <c r="X1669" s="137"/>
      <c r="Y1669" s="137"/>
      <c r="Z1669" s="137"/>
      <c r="AA1669" s="137"/>
      <c r="AB1669" s="137"/>
      <c r="AC1669" s="137"/>
      <c r="AD1669" s="137"/>
      <c r="AE1669" s="137"/>
      <c r="AF1669" s="137"/>
      <c r="AG1669" s="137"/>
      <c r="AH1669" s="137"/>
      <c r="AI1669" s="137"/>
      <c r="AJ1669" s="137"/>
      <c r="AK1669" s="137"/>
    </row>
    <row r="1670" spans="13:37" x14ac:dyDescent="0.25">
      <c r="M1670" s="137"/>
      <c r="N1670" s="137"/>
      <c r="O1670" s="137"/>
      <c r="P1670" s="137"/>
      <c r="R1670" s="137"/>
      <c r="S1670" s="137"/>
      <c r="T1670" s="137"/>
      <c r="U1670" s="137"/>
      <c r="V1670" s="137"/>
      <c r="W1670" s="137"/>
      <c r="X1670" s="137"/>
      <c r="Y1670" s="137"/>
      <c r="Z1670" s="137"/>
      <c r="AA1670" s="137"/>
      <c r="AB1670" s="137"/>
      <c r="AC1670" s="137"/>
      <c r="AD1670" s="137"/>
      <c r="AE1670" s="137"/>
      <c r="AF1670" s="137"/>
      <c r="AG1670" s="137"/>
      <c r="AH1670" s="137"/>
      <c r="AI1670" s="137"/>
      <c r="AJ1670" s="137"/>
      <c r="AK1670" s="137"/>
    </row>
    <row r="1671" spans="13:37" x14ac:dyDescent="0.25">
      <c r="M1671" s="137"/>
      <c r="N1671" s="137"/>
      <c r="O1671" s="137"/>
      <c r="P1671" s="137"/>
      <c r="R1671" s="137"/>
      <c r="S1671" s="137"/>
      <c r="T1671" s="137"/>
      <c r="U1671" s="137"/>
      <c r="V1671" s="137"/>
      <c r="W1671" s="137"/>
      <c r="X1671" s="137"/>
      <c r="Y1671" s="137"/>
      <c r="Z1671" s="137"/>
      <c r="AA1671" s="137"/>
      <c r="AB1671" s="137"/>
      <c r="AC1671" s="137"/>
      <c r="AD1671" s="137"/>
      <c r="AE1671" s="137"/>
      <c r="AF1671" s="137"/>
      <c r="AG1671" s="137"/>
      <c r="AH1671" s="137"/>
      <c r="AI1671" s="137"/>
      <c r="AJ1671" s="137"/>
      <c r="AK1671" s="137"/>
    </row>
    <row r="1672" spans="13:37" x14ac:dyDescent="0.25">
      <c r="M1672" s="137"/>
      <c r="N1672" s="137"/>
      <c r="O1672" s="137"/>
      <c r="P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row>
    <row r="1673" spans="13:37" x14ac:dyDescent="0.25">
      <c r="M1673" s="137"/>
      <c r="N1673" s="137"/>
      <c r="O1673" s="137"/>
      <c r="P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row>
    <row r="1674" spans="13:37" x14ac:dyDescent="0.25">
      <c r="M1674" s="137"/>
      <c r="N1674" s="137"/>
      <c r="O1674" s="137"/>
      <c r="P1674" s="137"/>
      <c r="R1674" s="137"/>
      <c r="S1674" s="137"/>
      <c r="T1674" s="137"/>
      <c r="U1674" s="137"/>
      <c r="V1674" s="137"/>
      <c r="W1674" s="137"/>
      <c r="X1674" s="137"/>
      <c r="Y1674" s="137"/>
      <c r="Z1674" s="137"/>
      <c r="AA1674" s="137"/>
      <c r="AB1674" s="137"/>
      <c r="AC1674" s="137"/>
      <c r="AD1674" s="137"/>
      <c r="AE1674" s="137"/>
      <c r="AF1674" s="137"/>
      <c r="AG1674" s="137"/>
      <c r="AH1674" s="137"/>
      <c r="AI1674" s="137"/>
      <c r="AJ1674" s="137"/>
      <c r="AK1674" s="137"/>
    </row>
    <row r="1675" spans="13:37" x14ac:dyDescent="0.25">
      <c r="M1675" s="137"/>
      <c r="N1675" s="137"/>
      <c r="O1675" s="137"/>
      <c r="P1675" s="137"/>
      <c r="R1675" s="137"/>
      <c r="S1675" s="137"/>
      <c r="T1675" s="137"/>
      <c r="U1675" s="137"/>
      <c r="V1675" s="137"/>
      <c r="W1675" s="137"/>
      <c r="X1675" s="137"/>
      <c r="Y1675" s="137"/>
      <c r="Z1675" s="137"/>
      <c r="AA1675" s="137"/>
      <c r="AB1675" s="137"/>
      <c r="AC1675" s="137"/>
      <c r="AD1675" s="137"/>
      <c r="AE1675" s="137"/>
      <c r="AF1675" s="137"/>
      <c r="AG1675" s="137"/>
      <c r="AH1675" s="137"/>
      <c r="AI1675" s="137"/>
      <c r="AJ1675" s="137"/>
      <c r="AK1675" s="137"/>
    </row>
    <row r="1676" spans="13:37" x14ac:dyDescent="0.25">
      <c r="M1676" s="137"/>
      <c r="N1676" s="137"/>
      <c r="O1676" s="137"/>
      <c r="P1676" s="137"/>
      <c r="R1676" s="137"/>
      <c r="S1676" s="137"/>
      <c r="T1676" s="137"/>
      <c r="U1676" s="137"/>
      <c r="V1676" s="137"/>
      <c r="W1676" s="137"/>
      <c r="X1676" s="137"/>
      <c r="Y1676" s="137"/>
      <c r="Z1676" s="137"/>
      <c r="AA1676" s="137"/>
      <c r="AB1676" s="137"/>
      <c r="AC1676" s="137"/>
      <c r="AD1676" s="137"/>
      <c r="AE1676" s="137"/>
      <c r="AF1676" s="137"/>
      <c r="AG1676" s="137"/>
      <c r="AH1676" s="137"/>
      <c r="AI1676" s="137"/>
      <c r="AJ1676" s="137"/>
      <c r="AK1676" s="137"/>
    </row>
    <row r="1677" spans="13:37" x14ac:dyDescent="0.25">
      <c r="M1677" s="137"/>
      <c r="N1677" s="137"/>
      <c r="O1677" s="137"/>
      <c r="P1677" s="137"/>
      <c r="R1677" s="137"/>
      <c r="S1677" s="137"/>
      <c r="T1677" s="137"/>
      <c r="U1677" s="137"/>
      <c r="V1677" s="137"/>
      <c r="W1677" s="137"/>
      <c r="X1677" s="137"/>
      <c r="Y1677" s="137"/>
      <c r="Z1677" s="137"/>
      <c r="AA1677" s="137"/>
      <c r="AB1677" s="137"/>
      <c r="AC1677" s="137"/>
      <c r="AD1677" s="137"/>
      <c r="AE1677" s="137"/>
      <c r="AF1677" s="137"/>
      <c r="AG1677" s="137"/>
      <c r="AH1677" s="137"/>
      <c r="AI1677" s="137"/>
      <c r="AJ1677" s="137"/>
      <c r="AK1677" s="137"/>
    </row>
    <row r="1678" spans="13:37" x14ac:dyDescent="0.25">
      <c r="M1678" s="137"/>
      <c r="N1678" s="137"/>
      <c r="O1678" s="137"/>
      <c r="P1678" s="137"/>
      <c r="R1678" s="137"/>
      <c r="S1678" s="137"/>
      <c r="T1678" s="137"/>
      <c r="U1678" s="137"/>
      <c r="V1678" s="137"/>
      <c r="W1678" s="137"/>
      <c r="X1678" s="137"/>
      <c r="Y1678" s="137"/>
      <c r="Z1678" s="137"/>
      <c r="AA1678" s="137"/>
      <c r="AB1678" s="137"/>
      <c r="AC1678" s="137"/>
      <c r="AD1678" s="137"/>
      <c r="AE1678" s="137"/>
      <c r="AF1678" s="137"/>
      <c r="AG1678" s="137"/>
      <c r="AH1678" s="137"/>
      <c r="AI1678" s="137"/>
      <c r="AJ1678" s="137"/>
      <c r="AK1678" s="137"/>
    </row>
    <row r="1679" spans="13:37" x14ac:dyDescent="0.25">
      <c r="M1679" s="137"/>
      <c r="N1679" s="137"/>
      <c r="O1679" s="137"/>
      <c r="P1679" s="137"/>
      <c r="R1679" s="137"/>
      <c r="S1679" s="137"/>
      <c r="T1679" s="137"/>
      <c r="U1679" s="137"/>
      <c r="V1679" s="137"/>
      <c r="W1679" s="137"/>
      <c r="X1679" s="137"/>
      <c r="Y1679" s="137"/>
      <c r="Z1679" s="137"/>
      <c r="AA1679" s="137"/>
      <c r="AB1679" s="137"/>
      <c r="AC1679" s="137"/>
      <c r="AD1679" s="137"/>
      <c r="AE1679" s="137"/>
      <c r="AF1679" s="137"/>
      <c r="AG1679" s="137"/>
      <c r="AH1679" s="137"/>
      <c r="AI1679" s="137"/>
      <c r="AJ1679" s="137"/>
      <c r="AK1679" s="137"/>
    </row>
    <row r="1680" spans="13:37" x14ac:dyDescent="0.25">
      <c r="M1680" s="137"/>
      <c r="N1680" s="137"/>
      <c r="O1680" s="137"/>
      <c r="P1680" s="137"/>
      <c r="R1680" s="137"/>
      <c r="S1680" s="137"/>
      <c r="T1680" s="137"/>
      <c r="U1680" s="137"/>
      <c r="V1680" s="137"/>
      <c r="W1680" s="137"/>
      <c r="X1680" s="137"/>
      <c r="Y1680" s="137"/>
      <c r="Z1680" s="137"/>
      <c r="AA1680" s="137"/>
      <c r="AB1680" s="137"/>
      <c r="AC1680" s="137"/>
      <c r="AD1680" s="137"/>
      <c r="AE1680" s="137"/>
      <c r="AF1680" s="137"/>
      <c r="AG1680" s="137"/>
      <c r="AH1680" s="137"/>
      <c r="AI1680" s="137"/>
      <c r="AJ1680" s="137"/>
      <c r="AK1680" s="137"/>
    </row>
    <row r="1681" spans="13:37" x14ac:dyDescent="0.25">
      <c r="M1681" s="137"/>
      <c r="N1681" s="137"/>
      <c r="O1681" s="137"/>
      <c r="P1681" s="137"/>
      <c r="R1681" s="137"/>
      <c r="S1681" s="137"/>
      <c r="T1681" s="137"/>
      <c r="U1681" s="137"/>
      <c r="V1681" s="137"/>
      <c r="W1681" s="137"/>
      <c r="X1681" s="137"/>
      <c r="Y1681" s="137"/>
      <c r="Z1681" s="137"/>
      <c r="AA1681" s="137"/>
      <c r="AB1681" s="137"/>
      <c r="AC1681" s="137"/>
      <c r="AD1681" s="137"/>
      <c r="AE1681" s="137"/>
      <c r="AF1681" s="137"/>
      <c r="AG1681" s="137"/>
      <c r="AH1681" s="137"/>
      <c r="AI1681" s="137"/>
      <c r="AJ1681" s="137"/>
      <c r="AK1681" s="137"/>
    </row>
    <row r="1682" spans="13:37" x14ac:dyDescent="0.25">
      <c r="M1682" s="137"/>
      <c r="N1682" s="137"/>
      <c r="O1682" s="137"/>
      <c r="P1682" s="137"/>
      <c r="R1682" s="137"/>
      <c r="S1682" s="137"/>
      <c r="T1682" s="137"/>
      <c r="U1682" s="137"/>
      <c r="V1682" s="137"/>
      <c r="W1682" s="137"/>
      <c r="X1682" s="137"/>
      <c r="Y1682" s="137"/>
      <c r="Z1682" s="137"/>
      <c r="AA1682" s="137"/>
      <c r="AB1682" s="137"/>
      <c r="AC1682" s="137"/>
      <c r="AD1682" s="137"/>
      <c r="AE1682" s="137"/>
      <c r="AF1682" s="137"/>
      <c r="AG1682" s="137"/>
      <c r="AH1682" s="137"/>
      <c r="AI1682" s="137"/>
      <c r="AJ1682" s="137"/>
      <c r="AK1682" s="137"/>
    </row>
    <row r="1683" spans="13:37" x14ac:dyDescent="0.25">
      <c r="M1683" s="137"/>
      <c r="N1683" s="137"/>
      <c r="O1683" s="137"/>
      <c r="P1683" s="137"/>
      <c r="R1683" s="137"/>
      <c r="S1683" s="137"/>
      <c r="T1683" s="137"/>
      <c r="U1683" s="137"/>
      <c r="V1683" s="137"/>
      <c r="W1683" s="137"/>
      <c r="X1683" s="137"/>
      <c r="Y1683" s="137"/>
      <c r="Z1683" s="137"/>
      <c r="AA1683" s="137"/>
      <c r="AB1683" s="137"/>
      <c r="AC1683" s="137"/>
      <c r="AD1683" s="137"/>
      <c r="AE1683" s="137"/>
      <c r="AF1683" s="137"/>
      <c r="AG1683" s="137"/>
      <c r="AH1683" s="137"/>
      <c r="AI1683" s="137"/>
      <c r="AJ1683" s="137"/>
      <c r="AK1683" s="137"/>
    </row>
    <row r="1684" spans="13:37" x14ac:dyDescent="0.25">
      <c r="M1684" s="137"/>
      <c r="N1684" s="137"/>
      <c r="O1684" s="137"/>
      <c r="P1684" s="137"/>
      <c r="R1684" s="137"/>
      <c r="S1684" s="137"/>
      <c r="T1684" s="137"/>
      <c r="U1684" s="137"/>
      <c r="V1684" s="137"/>
      <c r="W1684" s="137"/>
      <c r="X1684" s="137"/>
      <c r="Y1684" s="137"/>
      <c r="Z1684" s="137"/>
      <c r="AA1684" s="137"/>
      <c r="AB1684" s="137"/>
      <c r="AC1684" s="137"/>
      <c r="AD1684" s="137"/>
      <c r="AE1684" s="137"/>
      <c r="AF1684" s="137"/>
      <c r="AG1684" s="137"/>
      <c r="AH1684" s="137"/>
      <c r="AI1684" s="137"/>
      <c r="AJ1684" s="137"/>
      <c r="AK1684" s="137"/>
    </row>
    <row r="1685" spans="13:37" x14ac:dyDescent="0.25">
      <c r="M1685" s="137"/>
      <c r="N1685" s="137"/>
      <c r="O1685" s="137"/>
      <c r="P1685" s="137"/>
      <c r="R1685" s="137"/>
      <c r="S1685" s="137"/>
      <c r="T1685" s="137"/>
      <c r="U1685" s="137"/>
      <c r="V1685" s="137"/>
      <c r="W1685" s="137"/>
      <c r="X1685" s="137"/>
      <c r="Y1685" s="137"/>
      <c r="Z1685" s="137"/>
      <c r="AA1685" s="137"/>
      <c r="AB1685" s="137"/>
      <c r="AC1685" s="137"/>
      <c r="AD1685" s="137"/>
      <c r="AE1685" s="137"/>
      <c r="AF1685" s="137"/>
      <c r="AG1685" s="137"/>
      <c r="AH1685" s="137"/>
      <c r="AI1685" s="137"/>
      <c r="AJ1685" s="137"/>
      <c r="AK1685" s="137"/>
    </row>
    <row r="1686" spans="13:37" x14ac:dyDescent="0.25">
      <c r="M1686" s="137"/>
      <c r="N1686" s="137"/>
      <c r="O1686" s="137"/>
      <c r="P1686" s="137"/>
      <c r="R1686" s="137"/>
      <c r="S1686" s="137"/>
      <c r="T1686" s="137"/>
      <c r="U1686" s="137"/>
      <c r="V1686" s="137"/>
      <c r="W1686" s="137"/>
      <c r="X1686" s="137"/>
      <c r="Y1686" s="137"/>
      <c r="Z1686" s="137"/>
      <c r="AA1686" s="137"/>
      <c r="AB1686" s="137"/>
      <c r="AC1686" s="137"/>
      <c r="AD1686" s="137"/>
      <c r="AE1686" s="137"/>
      <c r="AF1686" s="137"/>
      <c r="AG1686" s="137"/>
      <c r="AH1686" s="137"/>
      <c r="AI1686" s="137"/>
      <c r="AJ1686" s="137"/>
      <c r="AK1686" s="137"/>
    </row>
    <row r="1687" spans="13:37" x14ac:dyDescent="0.25">
      <c r="M1687" s="137"/>
      <c r="N1687" s="137"/>
      <c r="O1687" s="137"/>
      <c r="P1687" s="137"/>
      <c r="R1687" s="137"/>
      <c r="S1687" s="137"/>
      <c r="T1687" s="137"/>
      <c r="U1687" s="137"/>
      <c r="V1687" s="137"/>
      <c r="W1687" s="137"/>
      <c r="X1687" s="137"/>
      <c r="Y1687" s="137"/>
      <c r="Z1687" s="137"/>
      <c r="AA1687" s="137"/>
      <c r="AB1687" s="137"/>
      <c r="AC1687" s="137"/>
      <c r="AD1687" s="137"/>
      <c r="AE1687" s="137"/>
      <c r="AF1687" s="137"/>
      <c r="AG1687" s="137"/>
      <c r="AH1687" s="137"/>
      <c r="AI1687" s="137"/>
      <c r="AJ1687" s="137"/>
      <c r="AK1687" s="137"/>
    </row>
    <row r="1688" spans="13:37" x14ac:dyDescent="0.25">
      <c r="M1688" s="137"/>
      <c r="N1688" s="137"/>
      <c r="O1688" s="137"/>
      <c r="P1688" s="137"/>
      <c r="R1688" s="137"/>
      <c r="S1688" s="137"/>
      <c r="T1688" s="137"/>
      <c r="U1688" s="137"/>
      <c r="V1688" s="137"/>
      <c r="W1688" s="137"/>
      <c r="X1688" s="137"/>
      <c r="Y1688" s="137"/>
      <c r="Z1688" s="137"/>
      <c r="AA1688" s="137"/>
      <c r="AB1688" s="137"/>
      <c r="AC1688" s="137"/>
      <c r="AD1688" s="137"/>
      <c r="AE1688" s="137"/>
      <c r="AF1688" s="137"/>
      <c r="AG1688" s="137"/>
      <c r="AH1688" s="137"/>
      <c r="AI1688" s="137"/>
      <c r="AJ1688" s="137"/>
      <c r="AK1688" s="137"/>
    </row>
    <row r="1689" spans="13:37" x14ac:dyDescent="0.25">
      <c r="M1689" s="137"/>
      <c r="N1689" s="137"/>
      <c r="O1689" s="137"/>
      <c r="P1689" s="137"/>
      <c r="R1689" s="137"/>
      <c r="S1689" s="137"/>
      <c r="T1689" s="137"/>
      <c r="U1689" s="137"/>
      <c r="V1689" s="137"/>
      <c r="W1689" s="137"/>
      <c r="X1689" s="137"/>
      <c r="Y1689" s="137"/>
      <c r="Z1689" s="137"/>
      <c r="AA1689" s="137"/>
      <c r="AB1689" s="137"/>
      <c r="AC1689" s="137"/>
      <c r="AD1689" s="137"/>
      <c r="AE1689" s="137"/>
      <c r="AF1689" s="137"/>
      <c r="AG1689" s="137"/>
      <c r="AH1689" s="137"/>
      <c r="AI1689" s="137"/>
      <c r="AJ1689" s="137"/>
      <c r="AK1689" s="137"/>
    </row>
    <row r="1690" spans="13:37" x14ac:dyDescent="0.25">
      <c r="M1690" s="137"/>
      <c r="N1690" s="137"/>
      <c r="O1690" s="137"/>
      <c r="P1690" s="137"/>
      <c r="R1690" s="137"/>
      <c r="S1690" s="137"/>
      <c r="T1690" s="137"/>
      <c r="U1690" s="137"/>
      <c r="V1690" s="137"/>
      <c r="W1690" s="137"/>
      <c r="X1690" s="137"/>
      <c r="Y1690" s="137"/>
      <c r="Z1690" s="137"/>
      <c r="AA1690" s="137"/>
      <c r="AB1690" s="137"/>
      <c r="AC1690" s="137"/>
      <c r="AD1690" s="137"/>
      <c r="AE1690" s="137"/>
      <c r="AF1690" s="137"/>
      <c r="AG1690" s="137"/>
      <c r="AH1690" s="137"/>
      <c r="AI1690" s="137"/>
      <c r="AJ1690" s="137"/>
      <c r="AK1690" s="137"/>
    </row>
    <row r="1691" spans="13:37" x14ac:dyDescent="0.25">
      <c r="M1691" s="137"/>
      <c r="N1691" s="137"/>
      <c r="O1691" s="137"/>
      <c r="P1691" s="137"/>
      <c r="R1691" s="137"/>
      <c r="S1691" s="137"/>
      <c r="T1691" s="137"/>
      <c r="U1691" s="137"/>
      <c r="V1691" s="137"/>
      <c r="W1691" s="137"/>
      <c r="X1691" s="137"/>
      <c r="Y1691" s="137"/>
      <c r="Z1691" s="137"/>
      <c r="AA1691" s="137"/>
      <c r="AB1691" s="137"/>
      <c r="AC1691" s="137"/>
      <c r="AD1691" s="137"/>
      <c r="AE1691" s="137"/>
      <c r="AF1691" s="137"/>
      <c r="AG1691" s="137"/>
      <c r="AH1691" s="137"/>
      <c r="AI1691" s="137"/>
      <c r="AJ1691" s="137"/>
      <c r="AK1691" s="137"/>
    </row>
    <row r="1692" spans="13:37" x14ac:dyDescent="0.25">
      <c r="M1692" s="137"/>
      <c r="N1692" s="137"/>
      <c r="O1692" s="137"/>
      <c r="P1692" s="137"/>
      <c r="R1692" s="137"/>
      <c r="S1692" s="137"/>
      <c r="T1692" s="137"/>
      <c r="U1692" s="137"/>
      <c r="V1692" s="137"/>
      <c r="W1692" s="137"/>
      <c r="X1692" s="137"/>
      <c r="Y1692" s="137"/>
      <c r="Z1692" s="137"/>
      <c r="AA1692" s="137"/>
      <c r="AB1692" s="137"/>
      <c r="AC1692" s="137"/>
      <c r="AD1692" s="137"/>
      <c r="AE1692" s="137"/>
      <c r="AF1692" s="137"/>
      <c r="AG1692" s="137"/>
      <c r="AH1692" s="137"/>
      <c r="AI1692" s="137"/>
      <c r="AJ1692" s="137"/>
      <c r="AK1692" s="137"/>
    </row>
    <row r="1693" spans="13:37" x14ac:dyDescent="0.25">
      <c r="M1693" s="137"/>
      <c r="N1693" s="137"/>
      <c r="O1693" s="137"/>
      <c r="P1693" s="137"/>
      <c r="R1693" s="137"/>
      <c r="S1693" s="137"/>
      <c r="T1693" s="137"/>
      <c r="U1693" s="137"/>
      <c r="V1693" s="137"/>
      <c r="W1693" s="137"/>
      <c r="X1693" s="137"/>
      <c r="Y1693" s="137"/>
      <c r="Z1693" s="137"/>
      <c r="AA1693" s="137"/>
      <c r="AB1693" s="137"/>
      <c r="AC1693" s="137"/>
      <c r="AD1693" s="137"/>
      <c r="AE1693" s="137"/>
      <c r="AF1693" s="137"/>
      <c r="AG1693" s="137"/>
      <c r="AH1693" s="137"/>
      <c r="AI1693" s="137"/>
      <c r="AJ1693" s="137"/>
      <c r="AK1693" s="137"/>
    </row>
    <row r="1694" spans="13:37" x14ac:dyDescent="0.25">
      <c r="M1694" s="137"/>
      <c r="N1694" s="137"/>
      <c r="O1694" s="137"/>
      <c r="P1694" s="137"/>
      <c r="R1694" s="137"/>
      <c r="S1694" s="137"/>
      <c r="T1694" s="137"/>
      <c r="U1694" s="137"/>
      <c r="V1694" s="137"/>
      <c r="W1694" s="137"/>
      <c r="X1694" s="137"/>
      <c r="Y1694" s="137"/>
      <c r="Z1694" s="137"/>
      <c r="AA1694" s="137"/>
      <c r="AB1694" s="137"/>
      <c r="AC1694" s="137"/>
      <c r="AD1694" s="137"/>
      <c r="AE1694" s="137"/>
      <c r="AF1694" s="137"/>
      <c r="AG1694" s="137"/>
      <c r="AH1694" s="137"/>
      <c r="AI1694" s="137"/>
      <c r="AJ1694" s="137"/>
      <c r="AK1694" s="137"/>
    </row>
    <row r="1695" spans="13:37" x14ac:dyDescent="0.25">
      <c r="M1695" s="137"/>
      <c r="N1695" s="137"/>
      <c r="O1695" s="137"/>
      <c r="P1695" s="137"/>
      <c r="R1695" s="137"/>
      <c r="S1695" s="137"/>
      <c r="T1695" s="137"/>
      <c r="U1695" s="137"/>
      <c r="V1695" s="137"/>
      <c r="W1695" s="137"/>
      <c r="X1695" s="137"/>
      <c r="Y1695" s="137"/>
      <c r="Z1695" s="137"/>
      <c r="AA1695" s="137"/>
      <c r="AB1695" s="137"/>
      <c r="AC1695" s="137"/>
      <c r="AD1695" s="137"/>
      <c r="AE1695" s="137"/>
      <c r="AF1695" s="137"/>
      <c r="AG1695" s="137"/>
      <c r="AH1695" s="137"/>
      <c r="AI1695" s="137"/>
      <c r="AJ1695" s="137"/>
      <c r="AK1695" s="137"/>
    </row>
    <row r="1696" spans="13:37" x14ac:dyDescent="0.25">
      <c r="M1696" s="137"/>
      <c r="N1696" s="137"/>
      <c r="O1696" s="137"/>
      <c r="P1696" s="137"/>
      <c r="R1696" s="137"/>
      <c r="S1696" s="137"/>
      <c r="T1696" s="137"/>
      <c r="U1696" s="137"/>
      <c r="V1696" s="137"/>
      <c r="W1696" s="137"/>
      <c r="X1696" s="137"/>
      <c r="Y1696" s="137"/>
      <c r="Z1696" s="137"/>
      <c r="AA1696" s="137"/>
      <c r="AB1696" s="137"/>
      <c r="AC1696" s="137"/>
      <c r="AD1696" s="137"/>
      <c r="AE1696" s="137"/>
      <c r="AF1696" s="137"/>
      <c r="AG1696" s="137"/>
      <c r="AH1696" s="137"/>
      <c r="AI1696" s="137"/>
      <c r="AJ1696" s="137"/>
      <c r="AK1696" s="137"/>
    </row>
    <row r="1697" spans="13:37" x14ac:dyDescent="0.25">
      <c r="M1697" s="137"/>
      <c r="N1697" s="137"/>
      <c r="O1697" s="137"/>
      <c r="P1697" s="137"/>
      <c r="R1697" s="137"/>
      <c r="S1697" s="137"/>
      <c r="T1697" s="137"/>
      <c r="U1697" s="137"/>
      <c r="V1697" s="137"/>
      <c r="W1697" s="137"/>
      <c r="X1697" s="137"/>
      <c r="Y1697" s="137"/>
      <c r="Z1697" s="137"/>
      <c r="AA1697" s="137"/>
      <c r="AB1697" s="137"/>
      <c r="AC1697" s="137"/>
      <c r="AD1697" s="137"/>
      <c r="AE1697" s="137"/>
      <c r="AF1697" s="137"/>
      <c r="AG1697" s="137"/>
      <c r="AH1697" s="137"/>
      <c r="AI1697" s="137"/>
      <c r="AJ1697" s="137"/>
      <c r="AK1697" s="137"/>
    </row>
    <row r="1698" spans="13:37" x14ac:dyDescent="0.25">
      <c r="M1698" s="137"/>
      <c r="N1698" s="137"/>
      <c r="O1698" s="137"/>
      <c r="P1698" s="137"/>
      <c r="R1698" s="137"/>
      <c r="S1698" s="137"/>
      <c r="T1698" s="137"/>
      <c r="U1698" s="137"/>
      <c r="V1698" s="137"/>
      <c r="W1698" s="137"/>
      <c r="X1698" s="137"/>
      <c r="Y1698" s="137"/>
      <c r="Z1698" s="137"/>
      <c r="AA1698" s="137"/>
      <c r="AB1698" s="137"/>
      <c r="AC1698" s="137"/>
      <c r="AD1698" s="137"/>
      <c r="AE1698" s="137"/>
      <c r="AF1698" s="137"/>
      <c r="AG1698" s="137"/>
      <c r="AH1698" s="137"/>
      <c r="AI1698" s="137"/>
      <c r="AJ1698" s="137"/>
      <c r="AK1698" s="137"/>
    </row>
    <row r="1699" spans="13:37" x14ac:dyDescent="0.25">
      <c r="M1699" s="137"/>
      <c r="N1699" s="137"/>
      <c r="O1699" s="137"/>
      <c r="P1699" s="137"/>
      <c r="R1699" s="137"/>
      <c r="S1699" s="137"/>
      <c r="T1699" s="137"/>
      <c r="U1699" s="137"/>
      <c r="V1699" s="137"/>
      <c r="W1699" s="137"/>
      <c r="X1699" s="137"/>
      <c r="Y1699" s="137"/>
      <c r="Z1699" s="137"/>
      <c r="AA1699" s="137"/>
      <c r="AB1699" s="137"/>
      <c r="AC1699" s="137"/>
      <c r="AD1699" s="137"/>
      <c r="AE1699" s="137"/>
      <c r="AF1699" s="137"/>
      <c r="AG1699" s="137"/>
      <c r="AH1699" s="137"/>
      <c r="AI1699" s="137"/>
      <c r="AJ1699" s="137"/>
      <c r="AK1699" s="137"/>
    </row>
    <row r="1700" spans="13:37" x14ac:dyDescent="0.25">
      <c r="M1700" s="137"/>
      <c r="N1700" s="137"/>
      <c r="O1700" s="137"/>
      <c r="P1700" s="137"/>
      <c r="R1700" s="137"/>
      <c r="S1700" s="137"/>
      <c r="T1700" s="137"/>
      <c r="U1700" s="137"/>
      <c r="V1700" s="137"/>
      <c r="W1700" s="137"/>
      <c r="X1700" s="137"/>
      <c r="Y1700" s="137"/>
      <c r="Z1700" s="137"/>
      <c r="AA1700" s="137"/>
      <c r="AB1700" s="137"/>
      <c r="AC1700" s="137"/>
      <c r="AD1700" s="137"/>
      <c r="AE1700" s="137"/>
      <c r="AF1700" s="137"/>
      <c r="AG1700" s="137"/>
      <c r="AH1700" s="137"/>
      <c r="AI1700" s="137"/>
      <c r="AJ1700" s="137"/>
      <c r="AK1700" s="137"/>
    </row>
    <row r="1701" spans="13:37" x14ac:dyDescent="0.25">
      <c r="M1701" s="137"/>
      <c r="N1701" s="137"/>
      <c r="O1701" s="137"/>
      <c r="P1701" s="137"/>
      <c r="R1701" s="137"/>
      <c r="S1701" s="137"/>
      <c r="T1701" s="137"/>
      <c r="U1701" s="137"/>
      <c r="V1701" s="137"/>
      <c r="W1701" s="137"/>
      <c r="X1701" s="137"/>
      <c r="Y1701" s="137"/>
      <c r="Z1701" s="137"/>
      <c r="AA1701" s="137"/>
      <c r="AB1701" s="137"/>
      <c r="AC1701" s="137"/>
      <c r="AD1701" s="137"/>
      <c r="AE1701" s="137"/>
      <c r="AF1701" s="137"/>
      <c r="AG1701" s="137"/>
      <c r="AH1701" s="137"/>
      <c r="AI1701" s="137"/>
      <c r="AJ1701" s="137"/>
      <c r="AK1701" s="137"/>
    </row>
    <row r="1702" spans="13:37" x14ac:dyDescent="0.25">
      <c r="M1702" s="137"/>
      <c r="N1702" s="137"/>
      <c r="O1702" s="137"/>
      <c r="P1702" s="137"/>
      <c r="R1702" s="137"/>
      <c r="S1702" s="137"/>
      <c r="T1702" s="137"/>
      <c r="U1702" s="137"/>
      <c r="V1702" s="137"/>
      <c r="W1702" s="137"/>
      <c r="X1702" s="137"/>
      <c r="Y1702" s="137"/>
      <c r="Z1702" s="137"/>
      <c r="AA1702" s="137"/>
      <c r="AB1702" s="137"/>
      <c r="AC1702" s="137"/>
      <c r="AD1702" s="137"/>
      <c r="AE1702" s="137"/>
      <c r="AF1702" s="137"/>
      <c r="AG1702" s="137"/>
      <c r="AH1702" s="137"/>
      <c r="AI1702" s="137"/>
      <c r="AJ1702" s="137"/>
      <c r="AK1702" s="137"/>
    </row>
    <row r="1703" spans="13:37" x14ac:dyDescent="0.25">
      <c r="M1703" s="137"/>
      <c r="N1703" s="137"/>
      <c r="O1703" s="137"/>
      <c r="P1703" s="137"/>
      <c r="R1703" s="137"/>
      <c r="S1703" s="137"/>
      <c r="T1703" s="137"/>
      <c r="U1703" s="137"/>
      <c r="V1703" s="137"/>
      <c r="W1703" s="137"/>
      <c r="X1703" s="137"/>
      <c r="Y1703" s="137"/>
      <c r="Z1703" s="137"/>
      <c r="AA1703" s="137"/>
      <c r="AB1703" s="137"/>
      <c r="AC1703" s="137"/>
      <c r="AD1703" s="137"/>
      <c r="AE1703" s="137"/>
      <c r="AF1703" s="137"/>
      <c r="AG1703" s="137"/>
      <c r="AH1703" s="137"/>
      <c r="AI1703" s="137"/>
      <c r="AJ1703" s="137"/>
      <c r="AK1703" s="137"/>
    </row>
    <row r="1704" spans="13:37" x14ac:dyDescent="0.25">
      <c r="M1704" s="137"/>
      <c r="N1704" s="137"/>
      <c r="O1704" s="137"/>
      <c r="P1704" s="137"/>
      <c r="R1704" s="137"/>
      <c r="S1704" s="137"/>
      <c r="T1704" s="137"/>
      <c r="U1704" s="137"/>
      <c r="V1704" s="137"/>
      <c r="W1704" s="137"/>
      <c r="X1704" s="137"/>
      <c r="Y1704" s="137"/>
      <c r="Z1704" s="137"/>
      <c r="AA1704" s="137"/>
      <c r="AB1704" s="137"/>
      <c r="AC1704" s="137"/>
      <c r="AD1704" s="137"/>
      <c r="AE1704" s="137"/>
      <c r="AF1704" s="137"/>
      <c r="AG1704" s="137"/>
      <c r="AH1704" s="137"/>
      <c r="AI1704" s="137"/>
      <c r="AJ1704" s="137"/>
      <c r="AK1704" s="137"/>
    </row>
    <row r="1705" spans="13:37" x14ac:dyDescent="0.25">
      <c r="M1705" s="137"/>
      <c r="N1705" s="137"/>
      <c r="O1705" s="137"/>
      <c r="P1705" s="137"/>
      <c r="R1705" s="137"/>
      <c r="S1705" s="137"/>
      <c r="T1705" s="137"/>
      <c r="U1705" s="137"/>
      <c r="V1705" s="137"/>
      <c r="W1705" s="137"/>
      <c r="X1705" s="137"/>
      <c r="Y1705" s="137"/>
      <c r="Z1705" s="137"/>
      <c r="AA1705" s="137"/>
      <c r="AB1705" s="137"/>
      <c r="AC1705" s="137"/>
      <c r="AD1705" s="137"/>
      <c r="AE1705" s="137"/>
      <c r="AF1705" s="137"/>
      <c r="AG1705" s="137"/>
      <c r="AH1705" s="137"/>
      <c r="AI1705" s="137"/>
      <c r="AJ1705" s="137"/>
      <c r="AK1705" s="137"/>
    </row>
    <row r="1706" spans="13:37" x14ac:dyDescent="0.25">
      <c r="M1706" s="137"/>
      <c r="N1706" s="137"/>
      <c r="O1706" s="137"/>
      <c r="P1706" s="137"/>
      <c r="R1706" s="137"/>
      <c r="S1706" s="137"/>
      <c r="T1706" s="137"/>
      <c r="U1706" s="137"/>
      <c r="V1706" s="137"/>
      <c r="W1706" s="137"/>
      <c r="X1706" s="137"/>
      <c r="Y1706" s="137"/>
      <c r="Z1706" s="137"/>
      <c r="AA1706" s="137"/>
      <c r="AB1706" s="137"/>
      <c r="AC1706" s="137"/>
      <c r="AD1706" s="137"/>
      <c r="AE1706" s="137"/>
      <c r="AF1706" s="137"/>
      <c r="AG1706" s="137"/>
      <c r="AH1706" s="137"/>
      <c r="AI1706" s="137"/>
      <c r="AJ1706" s="137"/>
      <c r="AK1706" s="137"/>
    </row>
    <row r="1707" spans="13:37" x14ac:dyDescent="0.25">
      <c r="M1707" s="137"/>
      <c r="N1707" s="137"/>
      <c r="O1707" s="137"/>
      <c r="P1707" s="137"/>
      <c r="R1707" s="137"/>
      <c r="S1707" s="137"/>
      <c r="T1707" s="137"/>
      <c r="U1707" s="137"/>
      <c r="V1707" s="137"/>
      <c r="W1707" s="137"/>
      <c r="X1707" s="137"/>
      <c r="Y1707" s="137"/>
      <c r="Z1707" s="137"/>
      <c r="AA1707" s="137"/>
      <c r="AB1707" s="137"/>
      <c r="AC1707" s="137"/>
      <c r="AD1707" s="137"/>
      <c r="AE1707" s="137"/>
      <c r="AF1707" s="137"/>
      <c r="AG1707" s="137"/>
      <c r="AH1707" s="137"/>
      <c r="AI1707" s="137"/>
      <c r="AJ1707" s="137"/>
      <c r="AK1707" s="137"/>
    </row>
    <row r="1708" spans="13:37" x14ac:dyDescent="0.25">
      <c r="M1708" s="137"/>
      <c r="N1708" s="137"/>
      <c r="O1708" s="137"/>
      <c r="P1708" s="137"/>
      <c r="R1708" s="137"/>
      <c r="S1708" s="137"/>
      <c r="T1708" s="137"/>
      <c r="U1708" s="137"/>
      <c r="V1708" s="137"/>
      <c r="W1708" s="137"/>
      <c r="X1708" s="137"/>
      <c r="Y1708" s="137"/>
      <c r="Z1708" s="137"/>
      <c r="AA1708" s="137"/>
      <c r="AB1708" s="137"/>
      <c r="AC1708" s="137"/>
      <c r="AD1708" s="137"/>
      <c r="AE1708" s="137"/>
      <c r="AF1708" s="137"/>
      <c r="AG1708" s="137"/>
      <c r="AH1708" s="137"/>
      <c r="AI1708" s="137"/>
      <c r="AJ1708" s="137"/>
      <c r="AK1708" s="137"/>
    </row>
    <row r="1709" spans="13:37" x14ac:dyDescent="0.25">
      <c r="M1709" s="137"/>
      <c r="N1709" s="137"/>
      <c r="O1709" s="137"/>
      <c r="P1709" s="137"/>
      <c r="R1709" s="137"/>
      <c r="S1709" s="137"/>
      <c r="T1709" s="137"/>
      <c r="U1709" s="137"/>
      <c r="V1709" s="137"/>
      <c r="W1709" s="137"/>
      <c r="X1709" s="137"/>
      <c r="Y1709" s="137"/>
      <c r="Z1709" s="137"/>
      <c r="AA1709" s="137"/>
      <c r="AB1709" s="137"/>
      <c r="AC1709" s="137"/>
      <c r="AD1709" s="137"/>
      <c r="AE1709" s="137"/>
      <c r="AF1709" s="137"/>
      <c r="AG1709" s="137"/>
      <c r="AH1709" s="137"/>
      <c r="AI1709" s="137"/>
      <c r="AJ1709" s="137"/>
      <c r="AK1709" s="137"/>
    </row>
    <row r="1710" spans="13:37" x14ac:dyDescent="0.25">
      <c r="M1710" s="137"/>
      <c r="N1710" s="137"/>
      <c r="O1710" s="137"/>
      <c r="P1710" s="137"/>
      <c r="R1710" s="137"/>
      <c r="S1710" s="137"/>
      <c r="T1710" s="137"/>
      <c r="U1710" s="137"/>
      <c r="V1710" s="137"/>
      <c r="W1710" s="137"/>
      <c r="X1710" s="137"/>
      <c r="Y1710" s="137"/>
      <c r="Z1710" s="137"/>
      <c r="AA1710" s="137"/>
      <c r="AB1710" s="137"/>
      <c r="AC1710" s="137"/>
      <c r="AD1710" s="137"/>
      <c r="AE1710" s="137"/>
      <c r="AF1710" s="137"/>
      <c r="AG1710" s="137"/>
      <c r="AH1710" s="137"/>
      <c r="AI1710" s="137"/>
      <c r="AJ1710" s="137"/>
      <c r="AK1710" s="137"/>
    </row>
    <row r="1711" spans="13:37" x14ac:dyDescent="0.25">
      <c r="M1711" s="137"/>
      <c r="N1711" s="137"/>
      <c r="O1711" s="137"/>
      <c r="P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row>
    <row r="1712" spans="13:37" x14ac:dyDescent="0.25">
      <c r="M1712" s="137"/>
      <c r="N1712" s="137"/>
      <c r="O1712" s="137"/>
      <c r="P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row>
    <row r="1713" spans="13:37" x14ac:dyDescent="0.25">
      <c r="M1713" s="137"/>
      <c r="N1713" s="137"/>
      <c r="O1713" s="137"/>
      <c r="P1713" s="137"/>
      <c r="R1713" s="137"/>
      <c r="S1713" s="137"/>
      <c r="T1713" s="137"/>
      <c r="U1713" s="137"/>
      <c r="V1713" s="137"/>
      <c r="W1713" s="137"/>
      <c r="X1713" s="137"/>
      <c r="Y1713" s="137"/>
      <c r="Z1713" s="137"/>
      <c r="AA1713" s="137"/>
      <c r="AB1713" s="137"/>
      <c r="AC1713" s="137"/>
      <c r="AD1713" s="137"/>
      <c r="AE1713" s="137"/>
      <c r="AF1713" s="137"/>
      <c r="AG1713" s="137"/>
      <c r="AH1713" s="137"/>
      <c r="AI1713" s="137"/>
      <c r="AJ1713" s="137"/>
      <c r="AK1713" s="137"/>
    </row>
    <row r="1714" spans="13:37" x14ac:dyDescent="0.25">
      <c r="M1714" s="137"/>
      <c r="N1714" s="137"/>
      <c r="O1714" s="137"/>
      <c r="P1714" s="137"/>
      <c r="R1714" s="137"/>
      <c r="S1714" s="137"/>
      <c r="T1714" s="137"/>
      <c r="U1714" s="137"/>
      <c r="V1714" s="137"/>
      <c r="W1714" s="137"/>
      <c r="X1714" s="137"/>
      <c r="Y1714" s="137"/>
      <c r="Z1714" s="137"/>
      <c r="AA1714" s="137"/>
      <c r="AB1714" s="137"/>
      <c r="AC1714" s="137"/>
      <c r="AD1714" s="137"/>
      <c r="AE1714" s="137"/>
      <c r="AF1714" s="137"/>
      <c r="AG1714" s="137"/>
      <c r="AH1714" s="137"/>
      <c r="AI1714" s="137"/>
      <c r="AJ1714" s="137"/>
      <c r="AK1714" s="137"/>
    </row>
    <row r="1715" spans="13:37" x14ac:dyDescent="0.25">
      <c r="M1715" s="137"/>
      <c r="N1715" s="137"/>
      <c r="O1715" s="137"/>
      <c r="P1715" s="137"/>
      <c r="R1715" s="137"/>
      <c r="S1715" s="137"/>
      <c r="T1715" s="137"/>
      <c r="U1715" s="137"/>
      <c r="V1715" s="137"/>
      <c r="W1715" s="137"/>
      <c r="X1715" s="137"/>
      <c r="Y1715" s="137"/>
      <c r="Z1715" s="137"/>
      <c r="AA1715" s="137"/>
      <c r="AB1715" s="137"/>
      <c r="AC1715" s="137"/>
      <c r="AD1715" s="137"/>
      <c r="AE1715" s="137"/>
      <c r="AF1715" s="137"/>
      <c r="AG1715" s="137"/>
      <c r="AH1715" s="137"/>
      <c r="AI1715" s="137"/>
      <c r="AJ1715" s="137"/>
      <c r="AK1715" s="137"/>
    </row>
    <row r="1716" spans="13:37" x14ac:dyDescent="0.25">
      <c r="M1716" s="137"/>
      <c r="N1716" s="137"/>
      <c r="O1716" s="137"/>
      <c r="P1716" s="137"/>
      <c r="R1716" s="137"/>
      <c r="S1716" s="137"/>
      <c r="T1716" s="137"/>
      <c r="U1716" s="137"/>
      <c r="V1716" s="137"/>
      <c r="W1716" s="137"/>
      <c r="X1716" s="137"/>
      <c r="Y1716" s="137"/>
      <c r="Z1716" s="137"/>
      <c r="AA1716" s="137"/>
      <c r="AB1716" s="137"/>
      <c r="AC1716" s="137"/>
      <c r="AD1716" s="137"/>
      <c r="AE1716" s="137"/>
      <c r="AF1716" s="137"/>
      <c r="AG1716" s="137"/>
      <c r="AH1716" s="137"/>
      <c r="AI1716" s="137"/>
      <c r="AJ1716" s="137"/>
      <c r="AK1716" s="137"/>
    </row>
    <row r="1717" spans="13:37" x14ac:dyDescent="0.25">
      <c r="M1717" s="137"/>
      <c r="N1717" s="137"/>
      <c r="O1717" s="137"/>
      <c r="P1717" s="137"/>
      <c r="R1717" s="137"/>
      <c r="S1717" s="137"/>
      <c r="T1717" s="137"/>
      <c r="U1717" s="137"/>
      <c r="V1717" s="137"/>
      <c r="W1717" s="137"/>
      <c r="X1717" s="137"/>
      <c r="Y1717" s="137"/>
      <c r="Z1717" s="137"/>
      <c r="AA1717" s="137"/>
      <c r="AB1717" s="137"/>
      <c r="AC1717" s="137"/>
      <c r="AD1717" s="137"/>
      <c r="AE1717" s="137"/>
      <c r="AF1717" s="137"/>
      <c r="AG1717" s="137"/>
      <c r="AH1717" s="137"/>
      <c r="AI1717" s="137"/>
      <c r="AJ1717" s="137"/>
      <c r="AK1717" s="137"/>
    </row>
    <row r="1718" spans="13:37" x14ac:dyDescent="0.25">
      <c r="M1718" s="137"/>
      <c r="N1718" s="137"/>
      <c r="O1718" s="137"/>
      <c r="P1718" s="137"/>
      <c r="R1718" s="137"/>
      <c r="S1718" s="137"/>
      <c r="T1718" s="137"/>
      <c r="U1718" s="137"/>
      <c r="V1718" s="137"/>
      <c r="W1718" s="137"/>
      <c r="X1718" s="137"/>
      <c r="Y1718" s="137"/>
      <c r="Z1718" s="137"/>
      <c r="AA1718" s="137"/>
      <c r="AB1718" s="137"/>
      <c r="AC1718" s="137"/>
      <c r="AD1718" s="137"/>
      <c r="AE1718" s="137"/>
      <c r="AF1718" s="137"/>
      <c r="AG1718" s="137"/>
      <c r="AH1718" s="137"/>
      <c r="AI1718" s="137"/>
      <c r="AJ1718" s="137"/>
      <c r="AK1718" s="137"/>
    </row>
    <row r="1719" spans="13:37" x14ac:dyDescent="0.25">
      <c r="M1719" s="137"/>
      <c r="N1719" s="137"/>
      <c r="O1719" s="137"/>
      <c r="P1719" s="137"/>
      <c r="R1719" s="137"/>
      <c r="S1719" s="137"/>
      <c r="T1719" s="137"/>
      <c r="U1719" s="137"/>
      <c r="V1719" s="137"/>
      <c r="W1719" s="137"/>
      <c r="X1719" s="137"/>
      <c r="Y1719" s="137"/>
      <c r="Z1719" s="137"/>
      <c r="AA1719" s="137"/>
      <c r="AB1719" s="137"/>
      <c r="AC1719" s="137"/>
      <c r="AD1719" s="137"/>
      <c r="AE1719" s="137"/>
      <c r="AF1719" s="137"/>
      <c r="AG1719" s="137"/>
      <c r="AH1719" s="137"/>
      <c r="AI1719" s="137"/>
      <c r="AJ1719" s="137"/>
      <c r="AK1719" s="137"/>
    </row>
    <row r="1720" spans="13:37" x14ac:dyDescent="0.25">
      <c r="M1720" s="137"/>
      <c r="N1720" s="137"/>
      <c r="O1720" s="137"/>
      <c r="P1720" s="137"/>
      <c r="R1720" s="137"/>
      <c r="S1720" s="137"/>
      <c r="T1720" s="137"/>
      <c r="U1720" s="137"/>
      <c r="V1720" s="137"/>
      <c r="W1720" s="137"/>
      <c r="X1720" s="137"/>
      <c r="Y1720" s="137"/>
      <c r="Z1720" s="137"/>
      <c r="AA1720" s="137"/>
      <c r="AB1720" s="137"/>
      <c r="AC1720" s="137"/>
      <c r="AD1720" s="137"/>
      <c r="AE1720" s="137"/>
      <c r="AF1720" s="137"/>
      <c r="AG1720" s="137"/>
      <c r="AH1720" s="137"/>
      <c r="AI1720" s="137"/>
      <c r="AJ1720" s="137"/>
      <c r="AK1720" s="137"/>
    </row>
    <row r="1721" spans="13:37" x14ac:dyDescent="0.25">
      <c r="M1721" s="137"/>
      <c r="N1721" s="137"/>
      <c r="O1721" s="137"/>
      <c r="P1721" s="137"/>
      <c r="R1721" s="137"/>
      <c r="S1721" s="137"/>
      <c r="T1721" s="137"/>
      <c r="U1721" s="137"/>
      <c r="V1721" s="137"/>
      <c r="W1721" s="137"/>
      <c r="X1721" s="137"/>
      <c r="Y1721" s="137"/>
      <c r="Z1721" s="137"/>
      <c r="AA1721" s="137"/>
      <c r="AB1721" s="137"/>
      <c r="AC1721" s="137"/>
      <c r="AD1721" s="137"/>
      <c r="AE1721" s="137"/>
      <c r="AF1721" s="137"/>
      <c r="AG1721" s="137"/>
      <c r="AH1721" s="137"/>
      <c r="AI1721" s="137"/>
      <c r="AJ1721" s="137"/>
      <c r="AK1721" s="137"/>
    </row>
    <row r="1722" spans="13:37" x14ac:dyDescent="0.25">
      <c r="M1722" s="137"/>
      <c r="N1722" s="137"/>
      <c r="O1722" s="137"/>
      <c r="P1722" s="137"/>
      <c r="R1722" s="137"/>
      <c r="S1722" s="137"/>
      <c r="T1722" s="137"/>
      <c r="U1722" s="137"/>
      <c r="V1722" s="137"/>
      <c r="W1722" s="137"/>
      <c r="X1722" s="137"/>
      <c r="Y1722" s="137"/>
      <c r="Z1722" s="137"/>
      <c r="AA1722" s="137"/>
      <c r="AB1722" s="137"/>
      <c r="AC1722" s="137"/>
      <c r="AD1722" s="137"/>
      <c r="AE1722" s="137"/>
      <c r="AF1722" s="137"/>
      <c r="AG1722" s="137"/>
      <c r="AH1722" s="137"/>
      <c r="AI1722" s="137"/>
      <c r="AJ1722" s="137"/>
      <c r="AK1722" s="137"/>
    </row>
    <row r="1723" spans="13:37" x14ac:dyDescent="0.25">
      <c r="M1723" s="137"/>
      <c r="N1723" s="137"/>
      <c r="O1723" s="137"/>
      <c r="P1723" s="137"/>
      <c r="R1723" s="137"/>
      <c r="S1723" s="137"/>
      <c r="T1723" s="137"/>
      <c r="U1723" s="137"/>
      <c r="V1723" s="137"/>
      <c r="W1723" s="137"/>
      <c r="X1723" s="137"/>
      <c r="Y1723" s="137"/>
      <c r="Z1723" s="137"/>
      <c r="AA1723" s="137"/>
      <c r="AB1723" s="137"/>
      <c r="AC1723" s="137"/>
      <c r="AD1723" s="137"/>
      <c r="AE1723" s="137"/>
      <c r="AF1723" s="137"/>
      <c r="AG1723" s="137"/>
      <c r="AH1723" s="137"/>
      <c r="AI1723" s="137"/>
      <c r="AJ1723" s="137"/>
      <c r="AK1723" s="137"/>
    </row>
    <row r="1724" spans="13:37" x14ac:dyDescent="0.25">
      <c r="M1724" s="137"/>
      <c r="N1724" s="137"/>
      <c r="O1724" s="137"/>
      <c r="P1724" s="137"/>
      <c r="R1724" s="137"/>
      <c r="S1724" s="137"/>
      <c r="T1724" s="137"/>
      <c r="U1724" s="137"/>
      <c r="V1724" s="137"/>
      <c r="W1724" s="137"/>
      <c r="X1724" s="137"/>
      <c r="Y1724" s="137"/>
      <c r="Z1724" s="137"/>
      <c r="AA1724" s="137"/>
      <c r="AB1724" s="137"/>
      <c r="AC1724" s="137"/>
      <c r="AD1724" s="137"/>
      <c r="AE1724" s="137"/>
      <c r="AF1724" s="137"/>
      <c r="AG1724" s="137"/>
      <c r="AH1724" s="137"/>
      <c r="AI1724" s="137"/>
      <c r="AJ1724" s="137"/>
      <c r="AK1724" s="137"/>
    </row>
    <row r="1725" spans="13:37" x14ac:dyDescent="0.25">
      <c r="M1725" s="137"/>
      <c r="N1725" s="137"/>
      <c r="O1725" s="137"/>
      <c r="P1725" s="137"/>
      <c r="R1725" s="137"/>
      <c r="S1725" s="137"/>
      <c r="T1725" s="137"/>
      <c r="U1725" s="137"/>
      <c r="V1725" s="137"/>
      <c r="W1725" s="137"/>
      <c r="X1725" s="137"/>
      <c r="Y1725" s="137"/>
      <c r="Z1725" s="137"/>
      <c r="AA1725" s="137"/>
      <c r="AB1725" s="137"/>
      <c r="AC1725" s="137"/>
      <c r="AD1725" s="137"/>
      <c r="AE1725" s="137"/>
      <c r="AF1725" s="137"/>
      <c r="AG1725" s="137"/>
      <c r="AH1725" s="137"/>
      <c r="AI1725" s="137"/>
      <c r="AJ1725" s="137"/>
      <c r="AK1725" s="137"/>
    </row>
    <row r="1726" spans="13:37" x14ac:dyDescent="0.25">
      <c r="M1726" s="137"/>
      <c r="N1726" s="137"/>
      <c r="O1726" s="137"/>
      <c r="P1726" s="137"/>
      <c r="R1726" s="137"/>
      <c r="S1726" s="137"/>
      <c r="T1726" s="137"/>
      <c r="U1726" s="137"/>
      <c r="V1726" s="137"/>
      <c r="W1726" s="137"/>
      <c r="X1726" s="137"/>
      <c r="Y1726" s="137"/>
      <c r="Z1726" s="137"/>
      <c r="AA1726" s="137"/>
      <c r="AB1726" s="137"/>
      <c r="AC1726" s="137"/>
      <c r="AD1726" s="137"/>
      <c r="AE1726" s="137"/>
      <c r="AF1726" s="137"/>
      <c r="AG1726" s="137"/>
      <c r="AH1726" s="137"/>
      <c r="AI1726" s="137"/>
      <c r="AJ1726" s="137"/>
      <c r="AK1726" s="137"/>
    </row>
    <row r="1727" spans="13:37" x14ac:dyDescent="0.25">
      <c r="M1727" s="137"/>
      <c r="N1727" s="137"/>
      <c r="O1727" s="137"/>
      <c r="P1727" s="137"/>
      <c r="R1727" s="137"/>
      <c r="S1727" s="137"/>
      <c r="T1727" s="137"/>
      <c r="U1727" s="137"/>
      <c r="V1727" s="137"/>
      <c r="W1727" s="137"/>
      <c r="X1727" s="137"/>
      <c r="Y1727" s="137"/>
      <c r="Z1727" s="137"/>
      <c r="AA1727" s="137"/>
      <c r="AB1727" s="137"/>
      <c r="AC1727" s="137"/>
      <c r="AD1727" s="137"/>
      <c r="AE1727" s="137"/>
      <c r="AF1727" s="137"/>
      <c r="AG1727" s="137"/>
      <c r="AH1727" s="137"/>
      <c r="AI1727" s="137"/>
      <c r="AJ1727" s="137"/>
      <c r="AK1727" s="137"/>
    </row>
    <row r="1728" spans="13:37" x14ac:dyDescent="0.25">
      <c r="M1728" s="137"/>
      <c r="N1728" s="137"/>
      <c r="O1728" s="137"/>
      <c r="P1728" s="137"/>
      <c r="R1728" s="137"/>
      <c r="S1728" s="137"/>
      <c r="T1728" s="137"/>
      <c r="U1728" s="137"/>
      <c r="V1728" s="137"/>
      <c r="W1728" s="137"/>
      <c r="X1728" s="137"/>
      <c r="Y1728" s="137"/>
      <c r="Z1728" s="137"/>
      <c r="AA1728" s="137"/>
      <c r="AB1728" s="137"/>
      <c r="AC1728" s="137"/>
      <c r="AD1728" s="137"/>
      <c r="AE1728" s="137"/>
      <c r="AF1728" s="137"/>
      <c r="AG1728" s="137"/>
      <c r="AH1728" s="137"/>
      <c r="AI1728" s="137"/>
      <c r="AJ1728" s="137"/>
      <c r="AK1728" s="137"/>
    </row>
    <row r="1729" spans="13:37" x14ac:dyDescent="0.25">
      <c r="M1729" s="137"/>
      <c r="N1729" s="137"/>
      <c r="O1729" s="137"/>
      <c r="P1729" s="137"/>
      <c r="R1729" s="137"/>
      <c r="S1729" s="137"/>
      <c r="T1729" s="137"/>
      <c r="U1729" s="137"/>
      <c r="V1729" s="137"/>
      <c r="W1729" s="137"/>
      <c r="X1729" s="137"/>
      <c r="Y1729" s="137"/>
      <c r="Z1729" s="137"/>
      <c r="AA1729" s="137"/>
      <c r="AB1729" s="137"/>
      <c r="AC1729" s="137"/>
      <c r="AD1729" s="137"/>
      <c r="AE1729" s="137"/>
      <c r="AF1729" s="137"/>
      <c r="AG1729" s="137"/>
      <c r="AH1729" s="137"/>
      <c r="AI1729" s="137"/>
      <c r="AJ1729" s="137"/>
      <c r="AK1729" s="137"/>
    </row>
    <row r="1730" spans="13:37" x14ac:dyDescent="0.25">
      <c r="M1730" s="137"/>
      <c r="N1730" s="137"/>
      <c r="O1730" s="137"/>
      <c r="P1730" s="137"/>
      <c r="R1730" s="137"/>
      <c r="S1730" s="137"/>
      <c r="T1730" s="137"/>
      <c r="U1730" s="137"/>
      <c r="V1730" s="137"/>
      <c r="W1730" s="137"/>
      <c r="X1730" s="137"/>
      <c r="Y1730" s="137"/>
      <c r="Z1730" s="137"/>
      <c r="AA1730" s="137"/>
      <c r="AB1730" s="137"/>
      <c r="AC1730" s="137"/>
      <c r="AD1730" s="137"/>
      <c r="AE1730" s="137"/>
      <c r="AF1730" s="137"/>
      <c r="AG1730" s="137"/>
      <c r="AH1730" s="137"/>
      <c r="AI1730" s="137"/>
      <c r="AJ1730" s="137"/>
      <c r="AK1730" s="137"/>
    </row>
    <row r="1731" spans="13:37" x14ac:dyDescent="0.25">
      <c r="M1731" s="137"/>
      <c r="N1731" s="137"/>
      <c r="O1731" s="137"/>
      <c r="P1731" s="137"/>
      <c r="R1731" s="137"/>
      <c r="S1731" s="137"/>
      <c r="T1731" s="137"/>
      <c r="U1731" s="137"/>
      <c r="V1731" s="137"/>
      <c r="W1731" s="137"/>
      <c r="X1731" s="137"/>
      <c r="Y1731" s="137"/>
      <c r="Z1731" s="137"/>
      <c r="AA1731" s="137"/>
      <c r="AB1731" s="137"/>
      <c r="AC1731" s="137"/>
      <c r="AD1731" s="137"/>
      <c r="AE1731" s="137"/>
      <c r="AF1731" s="137"/>
      <c r="AG1731" s="137"/>
      <c r="AH1731" s="137"/>
      <c r="AI1731" s="137"/>
      <c r="AJ1731" s="137"/>
      <c r="AK1731" s="137"/>
    </row>
    <row r="1732" spans="13:37" x14ac:dyDescent="0.25">
      <c r="M1732" s="137"/>
      <c r="N1732" s="137"/>
      <c r="O1732" s="137"/>
      <c r="P1732" s="137"/>
      <c r="R1732" s="137"/>
      <c r="S1732" s="137"/>
      <c r="T1732" s="137"/>
      <c r="U1732" s="137"/>
      <c r="V1732" s="137"/>
      <c r="W1732" s="137"/>
      <c r="X1732" s="137"/>
      <c r="Y1732" s="137"/>
      <c r="Z1732" s="137"/>
      <c r="AA1732" s="137"/>
      <c r="AB1732" s="137"/>
      <c r="AC1732" s="137"/>
      <c r="AD1732" s="137"/>
      <c r="AE1732" s="137"/>
      <c r="AF1732" s="137"/>
      <c r="AG1732" s="137"/>
      <c r="AH1732" s="137"/>
      <c r="AI1732" s="137"/>
      <c r="AJ1732" s="137"/>
      <c r="AK1732" s="137"/>
    </row>
    <row r="1733" spans="13:37" x14ac:dyDescent="0.25">
      <c r="M1733" s="137"/>
      <c r="N1733" s="137"/>
      <c r="O1733" s="137"/>
      <c r="P1733" s="137"/>
      <c r="R1733" s="137"/>
      <c r="S1733" s="137"/>
      <c r="T1733" s="137"/>
      <c r="U1733" s="137"/>
      <c r="V1733" s="137"/>
      <c r="W1733" s="137"/>
      <c r="X1733" s="137"/>
      <c r="Y1733" s="137"/>
      <c r="Z1733" s="137"/>
      <c r="AA1733" s="137"/>
      <c r="AB1733" s="137"/>
      <c r="AC1733" s="137"/>
      <c r="AD1733" s="137"/>
      <c r="AE1733" s="137"/>
      <c r="AF1733" s="137"/>
      <c r="AG1733" s="137"/>
      <c r="AH1733" s="137"/>
      <c r="AI1733" s="137"/>
      <c r="AJ1733" s="137"/>
      <c r="AK1733" s="137"/>
    </row>
    <row r="1734" spans="13:37" x14ac:dyDescent="0.25">
      <c r="M1734" s="137"/>
      <c r="N1734" s="137"/>
      <c r="O1734" s="137"/>
      <c r="P1734" s="137"/>
      <c r="R1734" s="137"/>
      <c r="S1734" s="137"/>
      <c r="T1734" s="137"/>
      <c r="U1734" s="137"/>
      <c r="V1734" s="137"/>
      <c r="W1734" s="137"/>
      <c r="X1734" s="137"/>
      <c r="Y1734" s="137"/>
      <c r="Z1734" s="137"/>
      <c r="AA1734" s="137"/>
      <c r="AB1734" s="137"/>
      <c r="AC1734" s="137"/>
      <c r="AD1734" s="137"/>
      <c r="AE1734" s="137"/>
      <c r="AF1734" s="137"/>
      <c r="AG1734" s="137"/>
      <c r="AH1734" s="137"/>
      <c r="AI1734" s="137"/>
      <c r="AJ1734" s="137"/>
      <c r="AK1734" s="137"/>
    </row>
    <row r="1735" spans="13:37" x14ac:dyDescent="0.25">
      <c r="M1735" s="137"/>
      <c r="N1735" s="137"/>
      <c r="O1735" s="137"/>
      <c r="P1735" s="137"/>
      <c r="R1735" s="137"/>
      <c r="S1735" s="137"/>
      <c r="T1735" s="137"/>
      <c r="U1735" s="137"/>
      <c r="V1735" s="137"/>
      <c r="W1735" s="137"/>
      <c r="X1735" s="137"/>
      <c r="Y1735" s="137"/>
      <c r="Z1735" s="137"/>
      <c r="AA1735" s="137"/>
      <c r="AB1735" s="137"/>
      <c r="AC1735" s="137"/>
      <c r="AD1735" s="137"/>
      <c r="AE1735" s="137"/>
      <c r="AF1735" s="137"/>
      <c r="AG1735" s="137"/>
      <c r="AH1735" s="137"/>
      <c r="AI1735" s="137"/>
      <c r="AJ1735" s="137"/>
      <c r="AK1735" s="137"/>
    </row>
    <row r="1736" spans="13:37" x14ac:dyDescent="0.25">
      <c r="M1736" s="137"/>
      <c r="N1736" s="137"/>
      <c r="O1736" s="137"/>
      <c r="P1736" s="137"/>
      <c r="R1736" s="137"/>
      <c r="S1736" s="137"/>
      <c r="T1736" s="137"/>
      <c r="U1736" s="137"/>
      <c r="V1736" s="137"/>
      <c r="W1736" s="137"/>
      <c r="X1736" s="137"/>
      <c r="Y1736" s="137"/>
      <c r="Z1736" s="137"/>
      <c r="AA1736" s="137"/>
      <c r="AB1736" s="137"/>
      <c r="AC1736" s="137"/>
      <c r="AD1736" s="137"/>
      <c r="AE1736" s="137"/>
      <c r="AF1736" s="137"/>
      <c r="AG1736" s="137"/>
      <c r="AH1736" s="137"/>
      <c r="AI1736" s="137"/>
      <c r="AJ1736" s="137"/>
      <c r="AK1736" s="137"/>
    </row>
    <row r="1737" spans="13:37" x14ac:dyDescent="0.25">
      <c r="M1737" s="137"/>
      <c r="N1737" s="137"/>
      <c r="O1737" s="137"/>
      <c r="P1737" s="137"/>
      <c r="R1737" s="137"/>
      <c r="S1737" s="137"/>
      <c r="T1737" s="137"/>
      <c r="U1737" s="137"/>
      <c r="V1737" s="137"/>
      <c r="W1737" s="137"/>
      <c r="X1737" s="137"/>
      <c r="Y1737" s="137"/>
      <c r="Z1737" s="137"/>
      <c r="AA1737" s="137"/>
      <c r="AB1737" s="137"/>
      <c r="AC1737" s="137"/>
      <c r="AD1737" s="137"/>
      <c r="AE1737" s="137"/>
      <c r="AF1737" s="137"/>
      <c r="AG1737" s="137"/>
      <c r="AH1737" s="137"/>
      <c r="AI1737" s="137"/>
      <c r="AJ1737" s="137"/>
      <c r="AK1737" s="137"/>
    </row>
    <row r="1738" spans="13:37" x14ac:dyDescent="0.25">
      <c r="M1738" s="137"/>
      <c r="N1738" s="137"/>
      <c r="O1738" s="137"/>
      <c r="P1738" s="137"/>
      <c r="R1738" s="137"/>
      <c r="S1738" s="137"/>
      <c r="T1738" s="137"/>
      <c r="U1738" s="137"/>
      <c r="V1738" s="137"/>
      <c r="W1738" s="137"/>
      <c r="X1738" s="137"/>
      <c r="Y1738" s="137"/>
      <c r="Z1738" s="137"/>
      <c r="AA1738" s="137"/>
      <c r="AB1738" s="137"/>
      <c r="AC1738" s="137"/>
      <c r="AD1738" s="137"/>
      <c r="AE1738" s="137"/>
      <c r="AF1738" s="137"/>
      <c r="AG1738" s="137"/>
      <c r="AH1738" s="137"/>
      <c r="AI1738" s="137"/>
      <c r="AJ1738" s="137"/>
      <c r="AK1738" s="137"/>
    </row>
    <row r="1739" spans="13:37" x14ac:dyDescent="0.25">
      <c r="M1739" s="137"/>
      <c r="N1739" s="137"/>
      <c r="O1739" s="137"/>
      <c r="P1739" s="137"/>
      <c r="R1739" s="137"/>
      <c r="S1739" s="137"/>
      <c r="T1739" s="137"/>
      <c r="U1739" s="137"/>
      <c r="V1739" s="137"/>
      <c r="W1739" s="137"/>
      <c r="X1739" s="137"/>
      <c r="Y1739" s="137"/>
      <c r="Z1739" s="137"/>
      <c r="AA1739" s="137"/>
      <c r="AB1739" s="137"/>
      <c r="AC1739" s="137"/>
      <c r="AD1739" s="137"/>
      <c r="AE1739" s="137"/>
      <c r="AF1739" s="137"/>
      <c r="AG1739" s="137"/>
      <c r="AH1739" s="137"/>
      <c r="AI1739" s="137"/>
      <c r="AJ1739" s="137"/>
      <c r="AK1739" s="137"/>
    </row>
    <row r="1740" spans="13:37" x14ac:dyDescent="0.25">
      <c r="M1740" s="137"/>
      <c r="N1740" s="137"/>
      <c r="O1740" s="137"/>
      <c r="P1740" s="137"/>
      <c r="R1740" s="137"/>
      <c r="S1740" s="137"/>
      <c r="T1740" s="137"/>
      <c r="U1740" s="137"/>
      <c r="V1740" s="137"/>
      <c r="W1740" s="137"/>
      <c r="X1740" s="137"/>
      <c r="Y1740" s="137"/>
      <c r="Z1740" s="137"/>
      <c r="AA1740" s="137"/>
      <c r="AB1740" s="137"/>
      <c r="AC1740" s="137"/>
      <c r="AD1740" s="137"/>
      <c r="AE1740" s="137"/>
      <c r="AF1740" s="137"/>
      <c r="AG1740" s="137"/>
      <c r="AH1740" s="137"/>
      <c r="AI1740" s="137"/>
      <c r="AJ1740" s="137"/>
      <c r="AK1740" s="137"/>
    </row>
    <row r="1741" spans="13:37" x14ac:dyDescent="0.25">
      <c r="M1741" s="137"/>
      <c r="N1741" s="137"/>
      <c r="O1741" s="137"/>
      <c r="P1741" s="137"/>
      <c r="R1741" s="137"/>
      <c r="S1741" s="137"/>
      <c r="T1741" s="137"/>
      <c r="U1741" s="137"/>
      <c r="V1741" s="137"/>
      <c r="W1741" s="137"/>
      <c r="X1741" s="137"/>
      <c r="Y1741" s="137"/>
      <c r="Z1741" s="137"/>
      <c r="AA1741" s="137"/>
      <c r="AB1741" s="137"/>
      <c r="AC1741" s="137"/>
      <c r="AD1741" s="137"/>
      <c r="AE1741" s="137"/>
      <c r="AF1741" s="137"/>
      <c r="AG1741" s="137"/>
      <c r="AH1741" s="137"/>
      <c r="AI1741" s="137"/>
      <c r="AJ1741" s="137"/>
      <c r="AK1741" s="137"/>
    </row>
    <row r="1742" spans="13:37" x14ac:dyDescent="0.25">
      <c r="M1742" s="137"/>
      <c r="N1742" s="137"/>
      <c r="O1742" s="137"/>
      <c r="P1742" s="137"/>
      <c r="R1742" s="137"/>
      <c r="S1742" s="137"/>
      <c r="T1742" s="137"/>
      <c r="U1742" s="137"/>
      <c r="V1742" s="137"/>
      <c r="W1742" s="137"/>
      <c r="X1742" s="137"/>
      <c r="Y1742" s="137"/>
      <c r="Z1742" s="137"/>
      <c r="AA1742" s="137"/>
      <c r="AB1742" s="137"/>
      <c r="AC1742" s="137"/>
      <c r="AD1742" s="137"/>
      <c r="AE1742" s="137"/>
      <c r="AF1742" s="137"/>
      <c r="AG1742" s="137"/>
      <c r="AH1742" s="137"/>
      <c r="AI1742" s="137"/>
      <c r="AJ1742" s="137"/>
      <c r="AK1742" s="137"/>
    </row>
    <row r="1743" spans="13:37" x14ac:dyDescent="0.25">
      <c r="M1743" s="137"/>
      <c r="N1743" s="137"/>
      <c r="O1743" s="137"/>
      <c r="P1743" s="137"/>
      <c r="R1743" s="137"/>
      <c r="S1743" s="137"/>
      <c r="T1743" s="137"/>
      <c r="U1743" s="137"/>
      <c r="V1743" s="137"/>
      <c r="W1743" s="137"/>
      <c r="X1743" s="137"/>
      <c r="Y1743" s="137"/>
      <c r="Z1743" s="137"/>
      <c r="AA1743" s="137"/>
      <c r="AB1743" s="137"/>
      <c r="AC1743" s="137"/>
      <c r="AD1743" s="137"/>
      <c r="AE1743" s="137"/>
      <c r="AF1743" s="137"/>
      <c r="AG1743" s="137"/>
      <c r="AH1743" s="137"/>
      <c r="AI1743" s="137"/>
      <c r="AJ1743" s="137"/>
      <c r="AK1743" s="137"/>
    </row>
    <row r="1744" spans="13:37" x14ac:dyDescent="0.25">
      <c r="M1744" s="137"/>
      <c r="N1744" s="137"/>
      <c r="O1744" s="137"/>
      <c r="P1744" s="137"/>
      <c r="R1744" s="137"/>
      <c r="S1744" s="137"/>
      <c r="T1744" s="137"/>
      <c r="U1744" s="137"/>
      <c r="V1744" s="137"/>
      <c r="W1744" s="137"/>
      <c r="X1744" s="137"/>
      <c r="Y1744" s="137"/>
      <c r="Z1744" s="137"/>
      <c r="AA1744" s="137"/>
      <c r="AB1744" s="137"/>
      <c r="AC1744" s="137"/>
      <c r="AD1744" s="137"/>
      <c r="AE1744" s="137"/>
      <c r="AF1744" s="137"/>
      <c r="AG1744" s="137"/>
      <c r="AH1744" s="137"/>
      <c r="AI1744" s="137"/>
      <c r="AJ1744" s="137"/>
      <c r="AK1744" s="137"/>
    </row>
    <row r="1745" spans="13:37" x14ac:dyDescent="0.25">
      <c r="M1745" s="137"/>
      <c r="N1745" s="137"/>
      <c r="O1745" s="137"/>
      <c r="P1745" s="137"/>
      <c r="R1745" s="137"/>
      <c r="S1745" s="137"/>
      <c r="T1745" s="137"/>
      <c r="U1745" s="137"/>
      <c r="V1745" s="137"/>
      <c r="W1745" s="137"/>
      <c r="X1745" s="137"/>
      <c r="Y1745" s="137"/>
      <c r="Z1745" s="137"/>
      <c r="AA1745" s="137"/>
      <c r="AB1745" s="137"/>
      <c r="AC1745" s="137"/>
      <c r="AD1745" s="137"/>
      <c r="AE1745" s="137"/>
      <c r="AF1745" s="137"/>
      <c r="AG1745" s="137"/>
      <c r="AH1745" s="137"/>
      <c r="AI1745" s="137"/>
      <c r="AJ1745" s="137"/>
      <c r="AK1745" s="137"/>
    </row>
    <row r="1746" spans="13:37" x14ac:dyDescent="0.25">
      <c r="M1746" s="137"/>
      <c r="N1746" s="137"/>
      <c r="O1746" s="137"/>
      <c r="P1746" s="137"/>
      <c r="R1746" s="137"/>
      <c r="S1746" s="137"/>
      <c r="T1746" s="137"/>
      <c r="U1746" s="137"/>
      <c r="V1746" s="137"/>
      <c r="W1746" s="137"/>
      <c r="X1746" s="137"/>
      <c r="Y1746" s="137"/>
      <c r="Z1746" s="137"/>
      <c r="AA1746" s="137"/>
      <c r="AB1746" s="137"/>
      <c r="AC1746" s="137"/>
      <c r="AD1746" s="137"/>
      <c r="AE1746" s="137"/>
      <c r="AF1746" s="137"/>
      <c r="AG1746" s="137"/>
      <c r="AH1746" s="137"/>
      <c r="AI1746" s="137"/>
      <c r="AJ1746" s="137"/>
      <c r="AK1746" s="137"/>
    </row>
    <row r="1747" spans="13:37" x14ac:dyDescent="0.25">
      <c r="M1747" s="137"/>
      <c r="N1747" s="137"/>
      <c r="O1747" s="137"/>
      <c r="P1747" s="137"/>
      <c r="R1747" s="137"/>
      <c r="S1747" s="137"/>
      <c r="T1747" s="137"/>
      <c r="U1747" s="137"/>
      <c r="V1747" s="137"/>
      <c r="W1747" s="137"/>
      <c r="X1747" s="137"/>
      <c r="Y1747" s="137"/>
      <c r="Z1747" s="137"/>
      <c r="AA1747" s="137"/>
      <c r="AB1747" s="137"/>
      <c r="AC1747" s="137"/>
      <c r="AD1747" s="137"/>
      <c r="AE1747" s="137"/>
      <c r="AF1747" s="137"/>
      <c r="AG1747" s="137"/>
      <c r="AH1747" s="137"/>
      <c r="AI1747" s="137"/>
      <c r="AJ1747" s="137"/>
      <c r="AK1747" s="137"/>
    </row>
    <row r="1748" spans="13:37" x14ac:dyDescent="0.25">
      <c r="M1748" s="137"/>
      <c r="N1748" s="137"/>
      <c r="O1748" s="137"/>
      <c r="P1748" s="137"/>
      <c r="R1748" s="137"/>
      <c r="S1748" s="137"/>
      <c r="T1748" s="137"/>
      <c r="U1748" s="137"/>
      <c r="V1748" s="137"/>
      <c r="W1748" s="137"/>
      <c r="X1748" s="137"/>
      <c r="Y1748" s="137"/>
      <c r="Z1748" s="137"/>
      <c r="AA1748" s="137"/>
      <c r="AB1748" s="137"/>
      <c r="AC1748" s="137"/>
      <c r="AD1748" s="137"/>
      <c r="AE1748" s="137"/>
      <c r="AF1748" s="137"/>
      <c r="AG1748" s="137"/>
      <c r="AH1748" s="137"/>
      <c r="AI1748" s="137"/>
      <c r="AJ1748" s="137"/>
      <c r="AK1748" s="137"/>
    </row>
    <row r="1749" spans="13:37" x14ac:dyDescent="0.25">
      <c r="M1749" s="137"/>
      <c r="N1749" s="137"/>
      <c r="O1749" s="137"/>
      <c r="P1749" s="137"/>
      <c r="R1749" s="137"/>
      <c r="S1749" s="137"/>
      <c r="T1749" s="137"/>
      <c r="U1749" s="137"/>
      <c r="V1749" s="137"/>
      <c r="W1749" s="137"/>
      <c r="X1749" s="137"/>
      <c r="Y1749" s="137"/>
      <c r="Z1749" s="137"/>
      <c r="AA1749" s="137"/>
      <c r="AB1749" s="137"/>
      <c r="AC1749" s="137"/>
      <c r="AD1749" s="137"/>
      <c r="AE1749" s="137"/>
      <c r="AF1749" s="137"/>
      <c r="AG1749" s="137"/>
      <c r="AH1749" s="137"/>
      <c r="AI1749" s="137"/>
      <c r="AJ1749" s="137"/>
      <c r="AK1749" s="137"/>
    </row>
    <row r="1750" spans="13:37" x14ac:dyDescent="0.25">
      <c r="M1750" s="137"/>
      <c r="N1750" s="137"/>
      <c r="O1750" s="137"/>
      <c r="P1750" s="137"/>
      <c r="R1750" s="137"/>
      <c r="S1750" s="137"/>
      <c r="T1750" s="137"/>
      <c r="U1750" s="137"/>
      <c r="V1750" s="137"/>
      <c r="W1750" s="137"/>
      <c r="X1750" s="137"/>
      <c r="Y1750" s="137"/>
      <c r="Z1750" s="137"/>
      <c r="AA1750" s="137"/>
      <c r="AB1750" s="137"/>
      <c r="AC1750" s="137"/>
      <c r="AD1750" s="137"/>
      <c r="AE1750" s="137"/>
      <c r="AF1750" s="137"/>
      <c r="AG1750" s="137"/>
      <c r="AH1750" s="137"/>
      <c r="AI1750" s="137"/>
      <c r="AJ1750" s="137"/>
      <c r="AK1750" s="137"/>
    </row>
    <row r="1751" spans="13:37" x14ac:dyDescent="0.25">
      <c r="M1751" s="137"/>
      <c r="N1751" s="137"/>
      <c r="O1751" s="137"/>
      <c r="P1751" s="137"/>
      <c r="R1751" s="137"/>
      <c r="S1751" s="137"/>
      <c r="T1751" s="137"/>
      <c r="U1751" s="137"/>
      <c r="V1751" s="137"/>
      <c r="W1751" s="137"/>
      <c r="X1751" s="137"/>
      <c r="Y1751" s="137"/>
      <c r="Z1751" s="137"/>
      <c r="AA1751" s="137"/>
      <c r="AB1751" s="137"/>
      <c r="AC1751" s="137"/>
      <c r="AD1751" s="137"/>
      <c r="AE1751" s="137"/>
      <c r="AF1751" s="137"/>
      <c r="AG1751" s="137"/>
      <c r="AH1751" s="137"/>
      <c r="AI1751" s="137"/>
      <c r="AJ1751" s="137"/>
      <c r="AK1751" s="137"/>
    </row>
    <row r="1752" spans="13:37" x14ac:dyDescent="0.25">
      <c r="M1752" s="137"/>
      <c r="N1752" s="137"/>
      <c r="O1752" s="137"/>
      <c r="P1752" s="137"/>
      <c r="R1752" s="137"/>
      <c r="S1752" s="137"/>
      <c r="T1752" s="137"/>
      <c r="U1752" s="137"/>
      <c r="V1752" s="137"/>
      <c r="W1752" s="137"/>
      <c r="X1752" s="137"/>
      <c r="Y1752" s="137"/>
      <c r="Z1752" s="137"/>
      <c r="AA1752" s="137"/>
      <c r="AB1752" s="137"/>
      <c r="AC1752" s="137"/>
      <c r="AD1752" s="137"/>
      <c r="AE1752" s="137"/>
      <c r="AF1752" s="137"/>
      <c r="AG1752" s="137"/>
      <c r="AH1752" s="137"/>
      <c r="AI1752" s="137"/>
      <c r="AJ1752" s="137"/>
      <c r="AK1752" s="137"/>
    </row>
    <row r="1753" spans="13:37" x14ac:dyDescent="0.25">
      <c r="M1753" s="137"/>
      <c r="N1753" s="137"/>
      <c r="O1753" s="137"/>
      <c r="P1753" s="137"/>
      <c r="R1753" s="137"/>
      <c r="S1753" s="137"/>
      <c r="T1753" s="137"/>
      <c r="U1753" s="137"/>
      <c r="V1753" s="137"/>
      <c r="W1753" s="137"/>
      <c r="X1753" s="137"/>
      <c r="Y1753" s="137"/>
      <c r="Z1753" s="137"/>
      <c r="AA1753" s="137"/>
      <c r="AB1753" s="137"/>
      <c r="AC1753" s="137"/>
      <c r="AD1753" s="137"/>
      <c r="AE1753" s="137"/>
      <c r="AF1753" s="137"/>
      <c r="AG1753" s="137"/>
      <c r="AH1753" s="137"/>
      <c r="AI1753" s="137"/>
      <c r="AJ1753" s="137"/>
      <c r="AK1753" s="137"/>
    </row>
    <row r="1754" spans="13:37" x14ac:dyDescent="0.25">
      <c r="M1754" s="137"/>
      <c r="N1754" s="137"/>
      <c r="O1754" s="137"/>
      <c r="P1754" s="137"/>
      <c r="R1754" s="137"/>
      <c r="S1754" s="137"/>
      <c r="T1754" s="137"/>
      <c r="U1754" s="137"/>
      <c r="V1754" s="137"/>
      <c r="W1754" s="137"/>
      <c r="X1754" s="137"/>
      <c r="Y1754" s="137"/>
      <c r="Z1754" s="137"/>
      <c r="AA1754" s="137"/>
      <c r="AB1754" s="137"/>
      <c r="AC1754" s="137"/>
      <c r="AD1754" s="137"/>
      <c r="AE1754" s="137"/>
      <c r="AF1754" s="137"/>
      <c r="AG1754" s="137"/>
      <c r="AH1754" s="137"/>
      <c r="AI1754" s="137"/>
      <c r="AJ1754" s="137"/>
      <c r="AK1754" s="137"/>
    </row>
    <row r="1755" spans="13:37" x14ac:dyDescent="0.25">
      <c r="M1755" s="137"/>
      <c r="N1755" s="137"/>
      <c r="O1755" s="137"/>
      <c r="P1755" s="137"/>
      <c r="R1755" s="137"/>
      <c r="S1755" s="137"/>
      <c r="T1755" s="137"/>
      <c r="U1755" s="137"/>
      <c r="V1755" s="137"/>
      <c r="W1755" s="137"/>
      <c r="X1755" s="137"/>
      <c r="Y1755" s="137"/>
      <c r="Z1755" s="137"/>
      <c r="AA1755" s="137"/>
      <c r="AB1755" s="137"/>
      <c r="AC1755" s="137"/>
      <c r="AD1755" s="137"/>
      <c r="AE1755" s="137"/>
      <c r="AF1755" s="137"/>
      <c r="AG1755" s="137"/>
      <c r="AH1755" s="137"/>
      <c r="AI1755" s="137"/>
      <c r="AJ1755" s="137"/>
      <c r="AK1755" s="137"/>
    </row>
    <row r="1756" spans="13:37" x14ac:dyDescent="0.25">
      <c r="M1756" s="137"/>
      <c r="N1756" s="137"/>
      <c r="O1756" s="137"/>
      <c r="P1756" s="137"/>
      <c r="R1756" s="137"/>
      <c r="S1756" s="137"/>
      <c r="T1756" s="137"/>
      <c r="U1756" s="137"/>
      <c r="V1756" s="137"/>
      <c r="W1756" s="137"/>
      <c r="X1756" s="137"/>
      <c r="Y1756" s="137"/>
      <c r="Z1756" s="137"/>
      <c r="AA1756" s="137"/>
      <c r="AB1756" s="137"/>
      <c r="AC1756" s="137"/>
      <c r="AD1756" s="137"/>
      <c r="AE1756" s="137"/>
      <c r="AF1756" s="137"/>
      <c r="AG1756" s="137"/>
      <c r="AH1756" s="137"/>
      <c r="AI1756" s="137"/>
      <c r="AJ1756" s="137"/>
      <c r="AK1756" s="137"/>
    </row>
    <row r="1757" spans="13:37" x14ac:dyDescent="0.25">
      <c r="M1757" s="137"/>
      <c r="N1757" s="137"/>
      <c r="O1757" s="137"/>
      <c r="P1757" s="137"/>
      <c r="R1757" s="137"/>
      <c r="S1757" s="137"/>
      <c r="T1757" s="137"/>
      <c r="U1757" s="137"/>
      <c r="V1757" s="137"/>
      <c r="W1757" s="137"/>
      <c r="X1757" s="137"/>
      <c r="Y1757" s="137"/>
      <c r="Z1757" s="137"/>
      <c r="AA1757" s="137"/>
      <c r="AB1757" s="137"/>
      <c r="AC1757" s="137"/>
      <c r="AD1757" s="137"/>
      <c r="AE1757" s="137"/>
      <c r="AF1757" s="137"/>
      <c r="AG1757" s="137"/>
      <c r="AH1757" s="137"/>
      <c r="AI1757" s="137"/>
      <c r="AJ1757" s="137"/>
      <c r="AK1757" s="137"/>
    </row>
    <row r="1758" spans="13:37" x14ac:dyDescent="0.25">
      <c r="M1758" s="137"/>
      <c r="N1758" s="137"/>
      <c r="O1758" s="137"/>
      <c r="P1758" s="137"/>
      <c r="R1758" s="137"/>
      <c r="S1758" s="137"/>
      <c r="T1758" s="137"/>
      <c r="U1758" s="137"/>
      <c r="V1758" s="137"/>
      <c r="W1758" s="137"/>
      <c r="X1758" s="137"/>
      <c r="Y1758" s="137"/>
      <c r="Z1758" s="137"/>
      <c r="AA1758" s="137"/>
      <c r="AB1758" s="137"/>
      <c r="AC1758" s="137"/>
      <c r="AD1758" s="137"/>
      <c r="AE1758" s="137"/>
      <c r="AF1758" s="137"/>
      <c r="AG1758" s="137"/>
      <c r="AH1758" s="137"/>
      <c r="AI1758" s="137"/>
      <c r="AJ1758" s="137"/>
      <c r="AK1758" s="137"/>
    </row>
    <row r="1759" spans="13:37" x14ac:dyDescent="0.25">
      <c r="M1759" s="137"/>
      <c r="N1759" s="137"/>
      <c r="O1759" s="137"/>
      <c r="P1759" s="137"/>
      <c r="R1759" s="137"/>
      <c r="S1759" s="137"/>
      <c r="T1759" s="137"/>
      <c r="U1759" s="137"/>
      <c r="V1759" s="137"/>
      <c r="W1759" s="137"/>
      <c r="X1759" s="137"/>
      <c r="Y1759" s="137"/>
      <c r="Z1759" s="137"/>
      <c r="AA1759" s="137"/>
      <c r="AB1759" s="137"/>
      <c r="AC1759" s="137"/>
      <c r="AD1759" s="137"/>
      <c r="AE1759" s="137"/>
      <c r="AF1759" s="137"/>
      <c r="AG1759" s="137"/>
      <c r="AH1759" s="137"/>
      <c r="AI1759" s="137"/>
      <c r="AJ1759" s="137"/>
      <c r="AK1759" s="137"/>
    </row>
    <row r="1760" spans="13:37" x14ac:dyDescent="0.25">
      <c r="M1760" s="137"/>
      <c r="N1760" s="137"/>
      <c r="O1760" s="137"/>
      <c r="P1760" s="137"/>
      <c r="R1760" s="137"/>
      <c r="S1760" s="137"/>
      <c r="T1760" s="137"/>
      <c r="U1760" s="137"/>
      <c r="V1760" s="137"/>
      <c r="W1760" s="137"/>
      <c r="X1760" s="137"/>
      <c r="Y1760" s="137"/>
      <c r="Z1760" s="137"/>
      <c r="AA1760" s="137"/>
      <c r="AB1760" s="137"/>
      <c r="AC1760" s="137"/>
      <c r="AD1760" s="137"/>
      <c r="AE1760" s="137"/>
      <c r="AF1760" s="137"/>
      <c r="AG1760" s="137"/>
      <c r="AH1760" s="137"/>
      <c r="AI1760" s="137"/>
      <c r="AJ1760" s="137"/>
      <c r="AK1760" s="137"/>
    </row>
    <row r="1761" spans="13:37" x14ac:dyDescent="0.25">
      <c r="M1761" s="137"/>
      <c r="N1761" s="137"/>
      <c r="O1761" s="137"/>
      <c r="P1761" s="137"/>
      <c r="R1761" s="137"/>
      <c r="S1761" s="137"/>
      <c r="T1761" s="137"/>
      <c r="U1761" s="137"/>
      <c r="V1761" s="137"/>
      <c r="W1761" s="137"/>
      <c r="X1761" s="137"/>
      <c r="Y1761" s="137"/>
      <c r="Z1761" s="137"/>
      <c r="AA1761" s="137"/>
      <c r="AB1761" s="137"/>
      <c r="AC1761" s="137"/>
      <c r="AD1761" s="137"/>
      <c r="AE1761" s="137"/>
      <c r="AF1761" s="137"/>
      <c r="AG1761" s="137"/>
      <c r="AH1761" s="137"/>
      <c r="AI1761" s="137"/>
      <c r="AJ1761" s="137"/>
      <c r="AK1761" s="137"/>
    </row>
    <row r="1762" spans="13:37" x14ac:dyDescent="0.25">
      <c r="M1762" s="137"/>
      <c r="N1762" s="137"/>
      <c r="O1762" s="137"/>
      <c r="P1762" s="137"/>
      <c r="R1762" s="137"/>
      <c r="S1762" s="137"/>
      <c r="T1762" s="137"/>
      <c r="U1762" s="137"/>
      <c r="V1762" s="137"/>
      <c r="W1762" s="137"/>
      <c r="X1762" s="137"/>
      <c r="Y1762" s="137"/>
      <c r="Z1762" s="137"/>
      <c r="AA1762" s="137"/>
      <c r="AB1762" s="137"/>
      <c r="AC1762" s="137"/>
      <c r="AD1762" s="137"/>
      <c r="AE1762" s="137"/>
      <c r="AF1762" s="137"/>
      <c r="AG1762" s="137"/>
      <c r="AH1762" s="137"/>
      <c r="AI1762" s="137"/>
      <c r="AJ1762" s="137"/>
      <c r="AK1762" s="137"/>
    </row>
    <row r="1763" spans="13:37" x14ac:dyDescent="0.25">
      <c r="M1763" s="137"/>
      <c r="N1763" s="137"/>
      <c r="O1763" s="137"/>
      <c r="P1763" s="137"/>
      <c r="R1763" s="137"/>
      <c r="S1763" s="137"/>
      <c r="T1763" s="137"/>
      <c r="U1763" s="137"/>
      <c r="V1763" s="137"/>
      <c r="W1763" s="137"/>
      <c r="X1763" s="137"/>
      <c r="Y1763" s="137"/>
      <c r="Z1763" s="137"/>
      <c r="AA1763" s="137"/>
      <c r="AB1763" s="137"/>
      <c r="AC1763" s="137"/>
      <c r="AD1763" s="137"/>
      <c r="AE1763" s="137"/>
      <c r="AF1763" s="137"/>
      <c r="AG1763" s="137"/>
      <c r="AH1763" s="137"/>
      <c r="AI1763" s="137"/>
      <c r="AJ1763" s="137"/>
      <c r="AK1763" s="137"/>
    </row>
    <row r="1764" spans="13:37" x14ac:dyDescent="0.25">
      <c r="M1764" s="137"/>
      <c r="N1764" s="137"/>
      <c r="O1764" s="137"/>
      <c r="P1764" s="137"/>
      <c r="R1764" s="137"/>
      <c r="S1764" s="137"/>
      <c r="T1764" s="137"/>
      <c r="U1764" s="137"/>
      <c r="V1764" s="137"/>
      <c r="W1764" s="137"/>
      <c r="X1764" s="137"/>
      <c r="Y1764" s="137"/>
      <c r="Z1764" s="137"/>
      <c r="AA1764" s="137"/>
      <c r="AB1764" s="137"/>
      <c r="AC1764" s="137"/>
      <c r="AD1764" s="137"/>
      <c r="AE1764" s="137"/>
      <c r="AF1764" s="137"/>
      <c r="AG1764" s="137"/>
      <c r="AH1764" s="137"/>
      <c r="AI1764" s="137"/>
      <c r="AJ1764" s="137"/>
      <c r="AK1764" s="137"/>
    </row>
    <row r="1765" spans="13:37" x14ac:dyDescent="0.25">
      <c r="M1765" s="137"/>
      <c r="N1765" s="137"/>
      <c r="O1765" s="137"/>
      <c r="P1765" s="137"/>
      <c r="R1765" s="137"/>
      <c r="S1765" s="137"/>
      <c r="T1765" s="137"/>
      <c r="U1765" s="137"/>
      <c r="V1765" s="137"/>
      <c r="W1765" s="137"/>
      <c r="X1765" s="137"/>
      <c r="Y1765" s="137"/>
      <c r="Z1765" s="137"/>
      <c r="AA1765" s="137"/>
      <c r="AB1765" s="137"/>
      <c r="AC1765" s="137"/>
      <c r="AD1765" s="137"/>
      <c r="AE1765" s="137"/>
      <c r="AF1765" s="137"/>
      <c r="AG1765" s="137"/>
      <c r="AH1765" s="137"/>
      <c r="AI1765" s="137"/>
      <c r="AJ1765" s="137"/>
      <c r="AK1765" s="137"/>
    </row>
    <row r="1766" spans="13:37" x14ac:dyDescent="0.25">
      <c r="M1766" s="137"/>
      <c r="N1766" s="137"/>
      <c r="O1766" s="137"/>
      <c r="P1766" s="137"/>
      <c r="R1766" s="137"/>
      <c r="S1766" s="137"/>
      <c r="T1766" s="137"/>
      <c r="U1766" s="137"/>
      <c r="V1766" s="137"/>
      <c r="W1766" s="137"/>
      <c r="X1766" s="137"/>
      <c r="Y1766" s="137"/>
      <c r="Z1766" s="137"/>
      <c r="AA1766" s="137"/>
      <c r="AB1766" s="137"/>
      <c r="AC1766" s="137"/>
      <c r="AD1766" s="137"/>
      <c r="AE1766" s="137"/>
      <c r="AF1766" s="137"/>
      <c r="AG1766" s="137"/>
      <c r="AH1766" s="137"/>
      <c r="AI1766" s="137"/>
      <c r="AJ1766" s="137"/>
      <c r="AK1766" s="137"/>
    </row>
    <row r="1767" spans="13:37" x14ac:dyDescent="0.25">
      <c r="M1767" s="137"/>
      <c r="N1767" s="137"/>
      <c r="O1767" s="137"/>
      <c r="P1767" s="137"/>
      <c r="R1767" s="137"/>
      <c r="S1767" s="137"/>
      <c r="T1767" s="137"/>
      <c r="U1767" s="137"/>
      <c r="V1767" s="137"/>
      <c r="W1767" s="137"/>
      <c r="X1767" s="137"/>
      <c r="Y1767" s="137"/>
      <c r="Z1767" s="137"/>
      <c r="AA1767" s="137"/>
      <c r="AB1767" s="137"/>
      <c r="AC1767" s="137"/>
      <c r="AD1767" s="137"/>
      <c r="AE1767" s="137"/>
      <c r="AF1767" s="137"/>
      <c r="AG1767" s="137"/>
      <c r="AH1767" s="137"/>
      <c r="AI1767" s="137"/>
      <c r="AJ1767" s="137"/>
      <c r="AK1767" s="137"/>
    </row>
    <row r="1768" spans="13:37" x14ac:dyDescent="0.25">
      <c r="M1768" s="137"/>
      <c r="N1768" s="137"/>
      <c r="O1768" s="137"/>
      <c r="P1768" s="137"/>
      <c r="R1768" s="137"/>
      <c r="S1768" s="137"/>
      <c r="T1768" s="137"/>
      <c r="U1768" s="137"/>
      <c r="V1768" s="137"/>
      <c r="W1768" s="137"/>
      <c r="X1768" s="137"/>
      <c r="Y1768" s="137"/>
      <c r="Z1768" s="137"/>
      <c r="AA1768" s="137"/>
      <c r="AB1768" s="137"/>
      <c r="AC1768" s="137"/>
      <c r="AD1768" s="137"/>
      <c r="AE1768" s="137"/>
      <c r="AF1768" s="137"/>
      <c r="AG1768" s="137"/>
      <c r="AH1768" s="137"/>
      <c r="AI1768" s="137"/>
      <c r="AJ1768" s="137"/>
      <c r="AK1768" s="137"/>
    </row>
    <row r="1769" spans="13:37" x14ac:dyDescent="0.25">
      <c r="M1769" s="137"/>
      <c r="N1769" s="137"/>
      <c r="O1769" s="137"/>
      <c r="P1769" s="137"/>
      <c r="R1769" s="137"/>
      <c r="S1769" s="137"/>
      <c r="T1769" s="137"/>
      <c r="U1769" s="137"/>
      <c r="V1769" s="137"/>
      <c r="W1769" s="137"/>
      <c r="X1769" s="137"/>
      <c r="Y1769" s="137"/>
      <c r="Z1769" s="137"/>
      <c r="AA1769" s="137"/>
      <c r="AB1769" s="137"/>
      <c r="AC1769" s="137"/>
      <c r="AD1769" s="137"/>
      <c r="AE1769" s="137"/>
      <c r="AF1769" s="137"/>
      <c r="AG1769" s="137"/>
      <c r="AH1769" s="137"/>
      <c r="AI1769" s="137"/>
      <c r="AJ1769" s="137"/>
      <c r="AK1769" s="137"/>
    </row>
    <row r="1770" spans="13:37" x14ac:dyDescent="0.25">
      <c r="M1770" s="137"/>
      <c r="N1770" s="137"/>
      <c r="O1770" s="137"/>
      <c r="P1770" s="137"/>
      <c r="R1770" s="137"/>
      <c r="S1770" s="137"/>
      <c r="T1770" s="137"/>
      <c r="U1770" s="137"/>
      <c r="V1770" s="137"/>
      <c r="W1770" s="137"/>
      <c r="X1770" s="137"/>
      <c r="Y1770" s="137"/>
      <c r="Z1770" s="137"/>
      <c r="AA1770" s="137"/>
      <c r="AB1770" s="137"/>
      <c r="AC1770" s="137"/>
      <c r="AD1770" s="137"/>
      <c r="AE1770" s="137"/>
      <c r="AF1770" s="137"/>
      <c r="AG1770" s="137"/>
      <c r="AH1770" s="137"/>
      <c r="AI1770" s="137"/>
      <c r="AJ1770" s="137"/>
      <c r="AK1770" s="137"/>
    </row>
    <row r="1771" spans="13:37" x14ac:dyDescent="0.25">
      <c r="M1771" s="137"/>
      <c r="N1771" s="137"/>
      <c r="O1771" s="137"/>
      <c r="P1771" s="137"/>
      <c r="R1771" s="137"/>
      <c r="S1771" s="137"/>
      <c r="T1771" s="137"/>
      <c r="U1771" s="137"/>
      <c r="V1771" s="137"/>
      <c r="W1771" s="137"/>
      <c r="X1771" s="137"/>
      <c r="Y1771" s="137"/>
      <c r="Z1771" s="137"/>
      <c r="AA1771" s="137"/>
      <c r="AB1771" s="137"/>
      <c r="AC1771" s="137"/>
      <c r="AD1771" s="137"/>
      <c r="AE1771" s="137"/>
      <c r="AF1771" s="137"/>
      <c r="AG1771" s="137"/>
      <c r="AH1771" s="137"/>
      <c r="AI1771" s="137"/>
      <c r="AJ1771" s="137"/>
      <c r="AK1771" s="137"/>
    </row>
    <row r="1772" spans="13:37" x14ac:dyDescent="0.25">
      <c r="M1772" s="137"/>
      <c r="N1772" s="137"/>
      <c r="O1772" s="137"/>
      <c r="P1772" s="137"/>
      <c r="R1772" s="137"/>
      <c r="S1772" s="137"/>
      <c r="T1772" s="137"/>
      <c r="U1772" s="137"/>
      <c r="V1772" s="137"/>
      <c r="W1772" s="137"/>
      <c r="X1772" s="137"/>
      <c r="Y1772" s="137"/>
      <c r="Z1772" s="137"/>
      <c r="AA1772" s="137"/>
      <c r="AB1772" s="137"/>
      <c r="AC1772" s="137"/>
      <c r="AD1772" s="137"/>
      <c r="AE1772" s="137"/>
      <c r="AF1772" s="137"/>
      <c r="AG1772" s="137"/>
      <c r="AH1772" s="137"/>
      <c r="AI1772" s="137"/>
      <c r="AJ1772" s="137"/>
      <c r="AK1772" s="137"/>
    </row>
    <row r="1773" spans="13:37" x14ac:dyDescent="0.25">
      <c r="M1773" s="137"/>
      <c r="N1773" s="137"/>
      <c r="O1773" s="137"/>
      <c r="P1773" s="137"/>
      <c r="R1773" s="137"/>
      <c r="S1773" s="137"/>
      <c r="T1773" s="137"/>
      <c r="U1773" s="137"/>
      <c r="V1773" s="137"/>
      <c r="W1773" s="137"/>
      <c r="X1773" s="137"/>
      <c r="Y1773" s="137"/>
      <c r="Z1773" s="137"/>
      <c r="AA1773" s="137"/>
      <c r="AB1773" s="137"/>
      <c r="AC1773" s="137"/>
      <c r="AD1773" s="137"/>
      <c r="AE1773" s="137"/>
      <c r="AF1773" s="137"/>
      <c r="AG1773" s="137"/>
      <c r="AH1773" s="137"/>
      <c r="AI1773" s="137"/>
      <c r="AJ1773" s="137"/>
      <c r="AK1773" s="137"/>
    </row>
    <row r="1774" spans="13:37" x14ac:dyDescent="0.25">
      <c r="M1774" s="137"/>
      <c r="N1774" s="137"/>
      <c r="O1774" s="137"/>
      <c r="P1774" s="137"/>
      <c r="R1774" s="137"/>
      <c r="S1774" s="137"/>
      <c r="T1774" s="137"/>
      <c r="U1774" s="137"/>
      <c r="V1774" s="137"/>
      <c r="W1774" s="137"/>
      <c r="X1774" s="137"/>
      <c r="Y1774" s="137"/>
      <c r="Z1774" s="137"/>
      <c r="AA1774" s="137"/>
      <c r="AB1774" s="137"/>
      <c r="AC1774" s="137"/>
      <c r="AD1774" s="137"/>
      <c r="AE1774" s="137"/>
      <c r="AF1774" s="137"/>
      <c r="AG1774" s="137"/>
      <c r="AH1774" s="137"/>
      <c r="AI1774" s="137"/>
      <c r="AJ1774" s="137"/>
      <c r="AK1774" s="137"/>
    </row>
    <row r="1775" spans="13:37" x14ac:dyDescent="0.25">
      <c r="M1775" s="137"/>
      <c r="N1775" s="137"/>
      <c r="O1775" s="137"/>
      <c r="P1775" s="137"/>
      <c r="R1775" s="137"/>
      <c r="S1775" s="137"/>
      <c r="T1775" s="137"/>
      <c r="U1775" s="137"/>
      <c r="V1775" s="137"/>
      <c r="W1775" s="137"/>
      <c r="X1775" s="137"/>
      <c r="Y1775" s="137"/>
      <c r="Z1775" s="137"/>
      <c r="AA1775" s="137"/>
      <c r="AB1775" s="137"/>
      <c r="AC1775" s="137"/>
      <c r="AD1775" s="137"/>
      <c r="AE1775" s="137"/>
      <c r="AF1775" s="137"/>
      <c r="AG1775" s="137"/>
      <c r="AH1775" s="137"/>
      <c r="AI1775" s="137"/>
      <c r="AJ1775" s="137"/>
      <c r="AK1775" s="137"/>
    </row>
    <row r="1776" spans="13:37" x14ac:dyDescent="0.25">
      <c r="M1776" s="137"/>
      <c r="N1776" s="137"/>
      <c r="O1776" s="137"/>
      <c r="P1776" s="137"/>
      <c r="R1776" s="137"/>
      <c r="S1776" s="137"/>
      <c r="T1776" s="137"/>
      <c r="U1776" s="137"/>
      <c r="V1776" s="137"/>
      <c r="W1776" s="137"/>
      <c r="X1776" s="137"/>
      <c r="Y1776" s="137"/>
      <c r="Z1776" s="137"/>
      <c r="AA1776" s="137"/>
      <c r="AB1776" s="137"/>
      <c r="AC1776" s="137"/>
      <c r="AD1776" s="137"/>
      <c r="AE1776" s="137"/>
      <c r="AF1776" s="137"/>
      <c r="AG1776" s="137"/>
      <c r="AH1776" s="137"/>
      <c r="AI1776" s="137"/>
      <c r="AJ1776" s="137"/>
      <c r="AK1776" s="137"/>
    </row>
    <row r="1777" spans="13:37" x14ac:dyDescent="0.25">
      <c r="M1777" s="137"/>
      <c r="N1777" s="137"/>
      <c r="O1777" s="137"/>
      <c r="P1777" s="137"/>
      <c r="R1777" s="137"/>
      <c r="S1777" s="137"/>
      <c r="T1777" s="137"/>
      <c r="U1777" s="137"/>
      <c r="V1777" s="137"/>
      <c r="W1777" s="137"/>
      <c r="X1777" s="137"/>
      <c r="Y1777" s="137"/>
      <c r="Z1777" s="137"/>
      <c r="AA1777" s="137"/>
      <c r="AB1777" s="137"/>
      <c r="AC1777" s="137"/>
      <c r="AD1777" s="137"/>
      <c r="AE1777" s="137"/>
      <c r="AF1777" s="137"/>
      <c r="AG1777" s="137"/>
      <c r="AH1777" s="137"/>
      <c r="AI1777" s="137"/>
      <c r="AJ1777" s="137"/>
      <c r="AK1777" s="137"/>
    </row>
    <row r="1778" spans="13:37" x14ac:dyDescent="0.25">
      <c r="M1778" s="137"/>
      <c r="N1778" s="137"/>
      <c r="O1778" s="137"/>
      <c r="P1778" s="137"/>
      <c r="R1778" s="137"/>
      <c r="S1778" s="137"/>
      <c r="T1778" s="137"/>
      <c r="U1778" s="137"/>
      <c r="V1778" s="137"/>
      <c r="W1778" s="137"/>
      <c r="X1778" s="137"/>
      <c r="Y1778" s="137"/>
      <c r="Z1778" s="137"/>
      <c r="AA1778" s="137"/>
      <c r="AB1778" s="137"/>
      <c r="AC1778" s="137"/>
      <c r="AD1778" s="137"/>
      <c r="AE1778" s="137"/>
      <c r="AF1778" s="137"/>
      <c r="AG1778" s="137"/>
      <c r="AH1778" s="137"/>
      <c r="AI1778" s="137"/>
      <c r="AJ1778" s="137"/>
      <c r="AK1778" s="137"/>
    </row>
    <row r="1779" spans="13:37" x14ac:dyDescent="0.25">
      <c r="M1779" s="137"/>
      <c r="N1779" s="137"/>
      <c r="O1779" s="137"/>
      <c r="P1779" s="137"/>
      <c r="R1779" s="137"/>
      <c r="S1779" s="137"/>
      <c r="T1779" s="137"/>
      <c r="U1779" s="137"/>
      <c r="V1779" s="137"/>
      <c r="W1779" s="137"/>
      <c r="X1779" s="137"/>
      <c r="Y1779" s="137"/>
      <c r="Z1779" s="137"/>
      <c r="AA1779" s="137"/>
      <c r="AB1779" s="137"/>
      <c r="AC1779" s="137"/>
      <c r="AD1779" s="137"/>
      <c r="AE1779" s="137"/>
      <c r="AF1779" s="137"/>
      <c r="AG1779" s="137"/>
      <c r="AH1779" s="137"/>
      <c r="AI1779" s="137"/>
      <c r="AJ1779" s="137"/>
      <c r="AK1779" s="137"/>
    </row>
    <row r="1780" spans="13:37" x14ac:dyDescent="0.25">
      <c r="M1780" s="137"/>
      <c r="N1780" s="137"/>
      <c r="O1780" s="137"/>
      <c r="P1780" s="137"/>
      <c r="R1780" s="137"/>
      <c r="S1780" s="137"/>
      <c r="T1780" s="137"/>
      <c r="U1780" s="137"/>
      <c r="V1780" s="137"/>
      <c r="W1780" s="137"/>
      <c r="X1780" s="137"/>
      <c r="Y1780" s="137"/>
      <c r="Z1780" s="137"/>
      <c r="AA1780" s="137"/>
      <c r="AB1780" s="137"/>
      <c r="AC1780" s="137"/>
      <c r="AD1780" s="137"/>
      <c r="AE1780" s="137"/>
      <c r="AF1780" s="137"/>
      <c r="AG1780" s="137"/>
      <c r="AH1780" s="137"/>
      <c r="AI1780" s="137"/>
      <c r="AJ1780" s="137"/>
      <c r="AK1780" s="137"/>
    </row>
    <row r="1781" spans="13:37" x14ac:dyDescent="0.25">
      <c r="M1781" s="137"/>
      <c r="N1781" s="137"/>
      <c r="O1781" s="137"/>
      <c r="P1781" s="137"/>
      <c r="R1781" s="137"/>
      <c r="S1781" s="137"/>
      <c r="T1781" s="137"/>
      <c r="U1781" s="137"/>
      <c r="V1781" s="137"/>
      <c r="W1781" s="137"/>
      <c r="X1781" s="137"/>
      <c r="Y1781" s="137"/>
      <c r="Z1781" s="137"/>
      <c r="AA1781" s="137"/>
      <c r="AB1781" s="137"/>
      <c r="AC1781" s="137"/>
      <c r="AD1781" s="137"/>
      <c r="AE1781" s="137"/>
      <c r="AF1781" s="137"/>
      <c r="AG1781" s="137"/>
      <c r="AH1781" s="137"/>
      <c r="AI1781" s="137"/>
      <c r="AJ1781" s="137"/>
      <c r="AK1781" s="137"/>
    </row>
    <row r="1782" spans="13:37" x14ac:dyDescent="0.25">
      <c r="M1782" s="137"/>
      <c r="N1782" s="137"/>
      <c r="O1782" s="137"/>
      <c r="P1782" s="137"/>
      <c r="R1782" s="137"/>
      <c r="S1782" s="137"/>
      <c r="T1782" s="137"/>
      <c r="U1782" s="137"/>
      <c r="V1782" s="137"/>
      <c r="W1782" s="137"/>
      <c r="X1782" s="137"/>
      <c r="Y1782" s="137"/>
      <c r="Z1782" s="137"/>
      <c r="AA1782" s="137"/>
      <c r="AB1782" s="137"/>
      <c r="AC1782" s="137"/>
      <c r="AD1782" s="137"/>
      <c r="AE1782" s="137"/>
      <c r="AF1782" s="137"/>
      <c r="AG1782" s="137"/>
      <c r="AH1782" s="137"/>
      <c r="AI1782" s="137"/>
      <c r="AJ1782" s="137"/>
      <c r="AK1782" s="137"/>
    </row>
    <row r="1783" spans="13:37" x14ac:dyDescent="0.25">
      <c r="M1783" s="137"/>
      <c r="N1783" s="137"/>
      <c r="O1783" s="137"/>
      <c r="P1783" s="137"/>
      <c r="R1783" s="137"/>
      <c r="S1783" s="137"/>
      <c r="T1783" s="137"/>
      <c r="U1783" s="137"/>
      <c r="V1783" s="137"/>
      <c r="W1783" s="137"/>
      <c r="X1783" s="137"/>
      <c r="Y1783" s="137"/>
      <c r="Z1783" s="137"/>
      <c r="AA1783" s="137"/>
      <c r="AB1783" s="137"/>
      <c r="AC1783" s="137"/>
      <c r="AD1783" s="137"/>
      <c r="AE1783" s="137"/>
      <c r="AF1783" s="137"/>
      <c r="AG1783" s="137"/>
      <c r="AH1783" s="137"/>
      <c r="AI1783" s="137"/>
      <c r="AJ1783" s="137"/>
      <c r="AK1783" s="137"/>
    </row>
    <row r="1784" spans="13:37" x14ac:dyDescent="0.25">
      <c r="M1784" s="137"/>
      <c r="N1784" s="137"/>
      <c r="O1784" s="137"/>
      <c r="P1784" s="137"/>
      <c r="R1784" s="137"/>
      <c r="S1784" s="137"/>
      <c r="T1784" s="137"/>
      <c r="U1784" s="137"/>
      <c r="V1784" s="137"/>
      <c r="W1784" s="137"/>
      <c r="X1784" s="137"/>
      <c r="Y1784" s="137"/>
      <c r="Z1784" s="137"/>
      <c r="AA1784" s="137"/>
      <c r="AB1784" s="137"/>
      <c r="AC1784" s="137"/>
      <c r="AD1784" s="137"/>
      <c r="AE1784" s="137"/>
      <c r="AF1784" s="137"/>
      <c r="AG1784" s="137"/>
      <c r="AH1784" s="137"/>
      <c r="AI1784" s="137"/>
      <c r="AJ1784" s="137"/>
      <c r="AK1784" s="137"/>
    </row>
    <row r="1785" spans="13:37" x14ac:dyDescent="0.25">
      <c r="M1785" s="137"/>
      <c r="N1785" s="137"/>
      <c r="O1785" s="137"/>
      <c r="P1785" s="137"/>
      <c r="R1785" s="137"/>
      <c r="S1785" s="137"/>
      <c r="T1785" s="137"/>
      <c r="U1785" s="137"/>
      <c r="V1785" s="137"/>
      <c r="W1785" s="137"/>
      <c r="X1785" s="137"/>
      <c r="Y1785" s="137"/>
      <c r="Z1785" s="137"/>
      <c r="AA1785" s="137"/>
      <c r="AB1785" s="137"/>
      <c r="AC1785" s="137"/>
      <c r="AD1785" s="137"/>
      <c r="AE1785" s="137"/>
      <c r="AF1785" s="137"/>
      <c r="AG1785" s="137"/>
      <c r="AH1785" s="137"/>
      <c r="AI1785" s="137"/>
      <c r="AJ1785" s="137"/>
      <c r="AK1785" s="137"/>
    </row>
    <row r="1786" spans="13:37" x14ac:dyDescent="0.25">
      <c r="M1786" s="137"/>
      <c r="N1786" s="137"/>
      <c r="O1786" s="137"/>
      <c r="P1786" s="137"/>
      <c r="R1786" s="137"/>
      <c r="S1786" s="137"/>
      <c r="T1786" s="137"/>
      <c r="U1786" s="137"/>
      <c r="V1786" s="137"/>
      <c r="W1786" s="137"/>
      <c r="X1786" s="137"/>
      <c r="Y1786" s="137"/>
      <c r="Z1786" s="137"/>
      <c r="AA1786" s="137"/>
      <c r="AB1786" s="137"/>
      <c r="AC1786" s="137"/>
      <c r="AD1786" s="137"/>
      <c r="AE1786" s="137"/>
      <c r="AF1786" s="137"/>
      <c r="AG1786" s="137"/>
      <c r="AH1786" s="137"/>
      <c r="AI1786" s="137"/>
      <c r="AJ1786" s="137"/>
      <c r="AK1786" s="137"/>
    </row>
    <row r="1787" spans="13:37" x14ac:dyDescent="0.25">
      <c r="M1787" s="137"/>
      <c r="N1787" s="137"/>
      <c r="O1787" s="137"/>
      <c r="P1787" s="137"/>
      <c r="R1787" s="137"/>
      <c r="S1787" s="137"/>
      <c r="T1787" s="137"/>
      <c r="U1787" s="137"/>
      <c r="V1787" s="137"/>
      <c r="W1787" s="137"/>
      <c r="X1787" s="137"/>
      <c r="Y1787" s="137"/>
      <c r="Z1787" s="137"/>
      <c r="AA1787" s="137"/>
      <c r="AB1787" s="137"/>
      <c r="AC1787" s="137"/>
      <c r="AD1787" s="137"/>
      <c r="AE1787" s="137"/>
      <c r="AF1787" s="137"/>
      <c r="AG1787" s="137"/>
      <c r="AH1787" s="137"/>
      <c r="AI1787" s="137"/>
      <c r="AJ1787" s="137"/>
      <c r="AK1787" s="137"/>
    </row>
    <row r="1788" spans="13:37" x14ac:dyDescent="0.25">
      <c r="M1788" s="137"/>
      <c r="N1788" s="137"/>
      <c r="O1788" s="137"/>
      <c r="P1788" s="137"/>
      <c r="R1788" s="137"/>
      <c r="S1788" s="137"/>
      <c r="T1788" s="137"/>
      <c r="U1788" s="137"/>
      <c r="V1788" s="137"/>
      <c r="W1788" s="137"/>
      <c r="X1788" s="137"/>
      <c r="Y1788" s="137"/>
      <c r="Z1788" s="137"/>
      <c r="AA1788" s="137"/>
      <c r="AB1788" s="137"/>
      <c r="AC1788" s="137"/>
      <c r="AD1788" s="137"/>
      <c r="AE1788" s="137"/>
      <c r="AF1788" s="137"/>
      <c r="AG1788" s="137"/>
      <c r="AH1788" s="137"/>
      <c r="AI1788" s="137"/>
      <c r="AJ1788" s="137"/>
      <c r="AK1788" s="137"/>
    </row>
    <row r="1789" spans="13:37" x14ac:dyDescent="0.25">
      <c r="M1789" s="137"/>
      <c r="N1789" s="137"/>
      <c r="O1789" s="137"/>
      <c r="P1789" s="137"/>
      <c r="R1789" s="137"/>
      <c r="S1789" s="137"/>
      <c r="T1789" s="137"/>
      <c r="U1789" s="137"/>
      <c r="V1789" s="137"/>
      <c r="W1789" s="137"/>
      <c r="X1789" s="137"/>
      <c r="Y1789" s="137"/>
      <c r="Z1789" s="137"/>
      <c r="AA1789" s="137"/>
      <c r="AB1789" s="137"/>
      <c r="AC1789" s="137"/>
      <c r="AD1789" s="137"/>
      <c r="AE1789" s="137"/>
      <c r="AF1789" s="137"/>
      <c r="AG1789" s="137"/>
      <c r="AH1789" s="137"/>
      <c r="AI1789" s="137"/>
      <c r="AJ1789" s="137"/>
      <c r="AK1789" s="137"/>
    </row>
    <row r="1790" spans="13:37" x14ac:dyDescent="0.25">
      <c r="M1790" s="137"/>
      <c r="N1790" s="137"/>
      <c r="O1790" s="137"/>
      <c r="P1790" s="137"/>
      <c r="R1790" s="137"/>
      <c r="S1790" s="137"/>
      <c r="T1790" s="137"/>
      <c r="U1790" s="137"/>
      <c r="V1790" s="137"/>
      <c r="W1790" s="137"/>
      <c r="X1790" s="137"/>
      <c r="Y1790" s="137"/>
      <c r="Z1790" s="137"/>
      <c r="AA1790" s="137"/>
      <c r="AB1790" s="137"/>
      <c r="AC1790" s="137"/>
      <c r="AD1790" s="137"/>
      <c r="AE1790" s="137"/>
      <c r="AF1790" s="137"/>
      <c r="AG1790" s="137"/>
      <c r="AH1790" s="137"/>
      <c r="AI1790" s="137"/>
      <c r="AJ1790" s="137"/>
      <c r="AK1790" s="137"/>
    </row>
    <row r="1791" spans="13:37" x14ac:dyDescent="0.25">
      <c r="M1791" s="137"/>
      <c r="N1791" s="137"/>
      <c r="O1791" s="137"/>
      <c r="P1791" s="137"/>
      <c r="R1791" s="137"/>
      <c r="S1791" s="137"/>
      <c r="T1791" s="137"/>
      <c r="U1791" s="137"/>
      <c r="V1791" s="137"/>
      <c r="W1791" s="137"/>
      <c r="X1791" s="137"/>
      <c r="Y1791" s="137"/>
      <c r="Z1791" s="137"/>
      <c r="AA1791" s="137"/>
      <c r="AB1791" s="137"/>
      <c r="AC1791" s="137"/>
      <c r="AD1791" s="137"/>
      <c r="AE1791" s="137"/>
      <c r="AF1791" s="137"/>
      <c r="AG1791" s="137"/>
      <c r="AH1791" s="137"/>
      <c r="AI1791" s="137"/>
      <c r="AJ1791" s="137"/>
      <c r="AK1791" s="137"/>
    </row>
    <row r="1792" spans="13:37" x14ac:dyDescent="0.25">
      <c r="M1792" s="137"/>
      <c r="N1792" s="137"/>
      <c r="O1792" s="137"/>
      <c r="P1792" s="137"/>
      <c r="R1792" s="137"/>
      <c r="S1792" s="137"/>
      <c r="T1792" s="137"/>
      <c r="U1792" s="137"/>
      <c r="V1792" s="137"/>
      <c r="W1792" s="137"/>
      <c r="X1792" s="137"/>
      <c r="Y1792" s="137"/>
      <c r="Z1792" s="137"/>
      <c r="AA1792" s="137"/>
      <c r="AB1792" s="137"/>
      <c r="AC1792" s="137"/>
      <c r="AD1792" s="137"/>
      <c r="AE1792" s="137"/>
      <c r="AF1792" s="137"/>
      <c r="AG1792" s="137"/>
      <c r="AH1792" s="137"/>
      <c r="AI1792" s="137"/>
      <c r="AJ1792" s="137"/>
      <c r="AK1792" s="137"/>
    </row>
    <row r="1793" spans="13:37" x14ac:dyDescent="0.25">
      <c r="M1793" s="137"/>
      <c r="N1793" s="137"/>
      <c r="O1793" s="137"/>
      <c r="P1793" s="137"/>
      <c r="R1793" s="137"/>
      <c r="S1793" s="137"/>
      <c r="T1793" s="137"/>
      <c r="U1793" s="137"/>
      <c r="V1793" s="137"/>
      <c r="W1793" s="137"/>
      <c r="X1793" s="137"/>
      <c r="Y1793" s="137"/>
      <c r="Z1793" s="137"/>
      <c r="AA1793" s="137"/>
      <c r="AB1793" s="137"/>
      <c r="AC1793" s="137"/>
      <c r="AD1793" s="137"/>
      <c r="AE1793" s="137"/>
      <c r="AF1793" s="137"/>
      <c r="AG1793" s="137"/>
      <c r="AH1793" s="137"/>
      <c r="AI1793" s="137"/>
      <c r="AJ1793" s="137"/>
      <c r="AK1793" s="137"/>
    </row>
    <row r="1794" spans="13:37" x14ac:dyDescent="0.25">
      <c r="M1794" s="137"/>
      <c r="N1794" s="137"/>
      <c r="O1794" s="137"/>
      <c r="P1794" s="137"/>
      <c r="R1794" s="137"/>
      <c r="S1794" s="137"/>
      <c r="T1794" s="137"/>
      <c r="U1794" s="137"/>
      <c r="V1794" s="137"/>
      <c r="W1794" s="137"/>
      <c r="X1794" s="137"/>
      <c r="Y1794" s="137"/>
      <c r="Z1794" s="137"/>
      <c r="AA1794" s="137"/>
      <c r="AB1794" s="137"/>
      <c r="AC1794" s="137"/>
      <c r="AD1794" s="137"/>
      <c r="AE1794" s="137"/>
      <c r="AF1794" s="137"/>
      <c r="AG1794" s="137"/>
      <c r="AH1794" s="137"/>
      <c r="AI1794" s="137"/>
      <c r="AJ1794" s="137"/>
      <c r="AK1794" s="137"/>
    </row>
    <row r="1795" spans="13:37" x14ac:dyDescent="0.25">
      <c r="M1795" s="137"/>
      <c r="N1795" s="137"/>
      <c r="O1795" s="137"/>
      <c r="P1795" s="137"/>
      <c r="R1795" s="137"/>
      <c r="S1795" s="137"/>
      <c r="T1795" s="137"/>
      <c r="U1795" s="137"/>
      <c r="V1795" s="137"/>
      <c r="W1795" s="137"/>
      <c r="X1795" s="137"/>
      <c r="Y1795" s="137"/>
      <c r="Z1795" s="137"/>
      <c r="AA1795" s="137"/>
      <c r="AB1795" s="137"/>
      <c r="AC1795" s="137"/>
      <c r="AD1795" s="137"/>
      <c r="AE1795" s="137"/>
      <c r="AF1795" s="137"/>
      <c r="AG1795" s="137"/>
      <c r="AH1795" s="137"/>
      <c r="AI1795" s="137"/>
      <c r="AJ1795" s="137"/>
      <c r="AK1795" s="137"/>
    </row>
    <row r="1796" spans="13:37" x14ac:dyDescent="0.25">
      <c r="M1796" s="137"/>
      <c r="N1796" s="137"/>
      <c r="O1796" s="137"/>
      <c r="P1796" s="137"/>
      <c r="R1796" s="137"/>
      <c r="S1796" s="137"/>
      <c r="T1796" s="137"/>
      <c r="U1796" s="137"/>
      <c r="V1796" s="137"/>
      <c r="W1796" s="137"/>
      <c r="X1796" s="137"/>
      <c r="Y1796" s="137"/>
      <c r="Z1796" s="137"/>
      <c r="AA1796" s="137"/>
      <c r="AB1796" s="137"/>
      <c r="AC1796" s="137"/>
      <c r="AD1796" s="137"/>
      <c r="AE1796" s="137"/>
      <c r="AF1796" s="137"/>
      <c r="AG1796" s="137"/>
      <c r="AH1796" s="137"/>
      <c r="AI1796" s="137"/>
      <c r="AJ1796" s="137"/>
      <c r="AK1796" s="137"/>
    </row>
    <row r="1797" spans="13:37" x14ac:dyDescent="0.25">
      <c r="M1797" s="137"/>
      <c r="N1797" s="137"/>
      <c r="O1797" s="137"/>
      <c r="P1797" s="137"/>
      <c r="R1797" s="137"/>
      <c r="S1797" s="137"/>
      <c r="T1797" s="137"/>
      <c r="U1797" s="137"/>
      <c r="V1797" s="137"/>
      <c r="W1797" s="137"/>
      <c r="X1797" s="137"/>
      <c r="Y1797" s="137"/>
      <c r="Z1797" s="137"/>
      <c r="AA1797" s="137"/>
      <c r="AB1797" s="137"/>
      <c r="AC1797" s="137"/>
      <c r="AD1797" s="137"/>
      <c r="AE1797" s="137"/>
      <c r="AF1797" s="137"/>
      <c r="AG1797" s="137"/>
      <c r="AH1797" s="137"/>
      <c r="AI1797" s="137"/>
      <c r="AJ1797" s="137"/>
      <c r="AK1797" s="137"/>
    </row>
    <row r="1798" spans="13:37" x14ac:dyDescent="0.25">
      <c r="M1798" s="137"/>
      <c r="N1798" s="137"/>
      <c r="O1798" s="137"/>
      <c r="P1798" s="137"/>
      <c r="R1798" s="137"/>
      <c r="S1798" s="137"/>
      <c r="T1798" s="137"/>
      <c r="U1798" s="137"/>
      <c r="V1798" s="137"/>
      <c r="W1798" s="137"/>
      <c r="X1798" s="137"/>
      <c r="Y1798" s="137"/>
      <c r="Z1798" s="137"/>
      <c r="AA1798" s="137"/>
      <c r="AB1798" s="137"/>
      <c r="AC1798" s="137"/>
      <c r="AD1798" s="137"/>
      <c r="AE1798" s="137"/>
      <c r="AF1798" s="137"/>
      <c r="AG1798" s="137"/>
      <c r="AH1798" s="137"/>
      <c r="AI1798" s="137"/>
      <c r="AJ1798" s="137"/>
      <c r="AK1798" s="137"/>
    </row>
    <row r="1799" spans="13:37" x14ac:dyDescent="0.25">
      <c r="M1799" s="137"/>
      <c r="N1799" s="137"/>
      <c r="O1799" s="137"/>
      <c r="P1799" s="137"/>
      <c r="R1799" s="137"/>
      <c r="S1799" s="137"/>
      <c r="T1799" s="137"/>
      <c r="U1799" s="137"/>
      <c r="V1799" s="137"/>
      <c r="W1799" s="137"/>
      <c r="X1799" s="137"/>
      <c r="Y1799" s="137"/>
      <c r="Z1799" s="137"/>
      <c r="AA1799" s="137"/>
      <c r="AB1799" s="137"/>
      <c r="AC1799" s="137"/>
      <c r="AD1799" s="137"/>
      <c r="AE1799" s="137"/>
      <c r="AF1799" s="137"/>
      <c r="AG1799" s="137"/>
      <c r="AH1799" s="137"/>
      <c r="AI1799" s="137"/>
      <c r="AJ1799" s="137"/>
      <c r="AK1799" s="137"/>
    </row>
    <row r="1800" spans="13:37" x14ac:dyDescent="0.25">
      <c r="M1800" s="137"/>
      <c r="N1800" s="137"/>
      <c r="O1800" s="137"/>
      <c r="P1800" s="137"/>
      <c r="R1800" s="137"/>
      <c r="S1800" s="137"/>
      <c r="T1800" s="137"/>
      <c r="U1800" s="137"/>
      <c r="V1800" s="137"/>
      <c r="W1800" s="137"/>
      <c r="X1800" s="137"/>
      <c r="Y1800" s="137"/>
      <c r="Z1800" s="137"/>
      <c r="AA1800" s="137"/>
      <c r="AB1800" s="137"/>
      <c r="AC1800" s="137"/>
      <c r="AD1800" s="137"/>
      <c r="AE1800" s="137"/>
      <c r="AF1800" s="137"/>
      <c r="AG1800" s="137"/>
      <c r="AH1800" s="137"/>
      <c r="AI1800" s="137"/>
      <c r="AJ1800" s="137"/>
      <c r="AK1800" s="137"/>
    </row>
    <row r="1801" spans="13:37" x14ac:dyDescent="0.25">
      <c r="M1801" s="137"/>
      <c r="N1801" s="137"/>
      <c r="O1801" s="137"/>
      <c r="P1801" s="137"/>
      <c r="R1801" s="137"/>
      <c r="S1801" s="137"/>
      <c r="T1801" s="137"/>
      <c r="U1801" s="137"/>
      <c r="V1801" s="137"/>
      <c r="W1801" s="137"/>
      <c r="X1801" s="137"/>
      <c r="Y1801" s="137"/>
      <c r="Z1801" s="137"/>
      <c r="AA1801" s="137"/>
      <c r="AB1801" s="137"/>
      <c r="AC1801" s="137"/>
      <c r="AD1801" s="137"/>
      <c r="AE1801" s="137"/>
      <c r="AF1801" s="137"/>
      <c r="AG1801" s="137"/>
      <c r="AH1801" s="137"/>
      <c r="AI1801" s="137"/>
      <c r="AJ1801" s="137"/>
      <c r="AK1801" s="137"/>
    </row>
    <row r="1802" spans="13:37" x14ac:dyDescent="0.25">
      <c r="M1802" s="137"/>
      <c r="N1802" s="137"/>
      <c r="O1802" s="137"/>
      <c r="P1802" s="137"/>
      <c r="R1802" s="137"/>
      <c r="S1802" s="137"/>
      <c r="T1802" s="137"/>
      <c r="U1802" s="137"/>
      <c r="V1802" s="137"/>
      <c r="W1802" s="137"/>
      <c r="X1802" s="137"/>
      <c r="Y1802" s="137"/>
      <c r="Z1802" s="137"/>
      <c r="AA1802" s="137"/>
      <c r="AB1802" s="137"/>
      <c r="AC1802" s="137"/>
      <c r="AD1802" s="137"/>
      <c r="AE1802" s="137"/>
      <c r="AF1802" s="137"/>
      <c r="AG1802" s="137"/>
      <c r="AH1802" s="137"/>
      <c r="AI1802" s="137"/>
      <c r="AJ1802" s="137"/>
      <c r="AK1802" s="137"/>
    </row>
    <row r="1803" spans="13:37" x14ac:dyDescent="0.25">
      <c r="M1803" s="137"/>
      <c r="N1803" s="137"/>
      <c r="O1803" s="137"/>
      <c r="P1803" s="137"/>
      <c r="R1803" s="137"/>
      <c r="S1803" s="137"/>
      <c r="T1803" s="137"/>
      <c r="U1803" s="137"/>
      <c r="V1803" s="137"/>
      <c r="W1803" s="137"/>
      <c r="X1803" s="137"/>
      <c r="Y1803" s="137"/>
      <c r="Z1803" s="137"/>
      <c r="AA1803" s="137"/>
      <c r="AB1803" s="137"/>
      <c r="AC1803" s="137"/>
      <c r="AD1803" s="137"/>
      <c r="AE1803" s="137"/>
      <c r="AF1803" s="137"/>
      <c r="AG1803" s="137"/>
      <c r="AH1803" s="137"/>
      <c r="AI1803" s="137"/>
      <c r="AJ1803" s="137"/>
      <c r="AK1803" s="137"/>
    </row>
    <row r="1804" spans="13:37" x14ac:dyDescent="0.25">
      <c r="M1804" s="137"/>
      <c r="N1804" s="137"/>
      <c r="O1804" s="137"/>
      <c r="P1804" s="137"/>
      <c r="R1804" s="137"/>
      <c r="S1804" s="137"/>
      <c r="T1804" s="137"/>
      <c r="U1804" s="137"/>
      <c r="V1804" s="137"/>
      <c r="W1804" s="137"/>
      <c r="X1804" s="137"/>
      <c r="Y1804" s="137"/>
      <c r="Z1804" s="137"/>
      <c r="AA1804" s="137"/>
      <c r="AB1804" s="137"/>
      <c r="AC1804" s="137"/>
      <c r="AD1804" s="137"/>
      <c r="AE1804" s="137"/>
      <c r="AF1804" s="137"/>
      <c r="AG1804" s="137"/>
      <c r="AH1804" s="137"/>
      <c r="AI1804" s="137"/>
      <c r="AJ1804" s="137"/>
      <c r="AK1804" s="137"/>
    </row>
    <row r="1805" spans="13:37" x14ac:dyDescent="0.25">
      <c r="M1805" s="137"/>
      <c r="N1805" s="137"/>
      <c r="O1805" s="137"/>
      <c r="P1805" s="137"/>
      <c r="R1805" s="137"/>
      <c r="S1805" s="137"/>
      <c r="T1805" s="137"/>
      <c r="U1805" s="137"/>
      <c r="V1805" s="137"/>
      <c r="W1805" s="137"/>
      <c r="X1805" s="137"/>
      <c r="Y1805" s="137"/>
      <c r="Z1805" s="137"/>
      <c r="AA1805" s="137"/>
      <c r="AB1805" s="137"/>
      <c r="AC1805" s="137"/>
      <c r="AD1805" s="137"/>
      <c r="AE1805" s="137"/>
      <c r="AF1805" s="137"/>
      <c r="AG1805" s="137"/>
      <c r="AH1805" s="137"/>
      <c r="AI1805" s="137"/>
      <c r="AJ1805" s="137"/>
      <c r="AK1805" s="137"/>
    </row>
    <row r="1806" spans="13:37" x14ac:dyDescent="0.25">
      <c r="M1806" s="137"/>
      <c r="N1806" s="137"/>
      <c r="O1806" s="137"/>
      <c r="P1806" s="137"/>
      <c r="R1806" s="137"/>
      <c r="S1806" s="137"/>
      <c r="T1806" s="137"/>
      <c r="U1806" s="137"/>
      <c r="V1806" s="137"/>
      <c r="W1806" s="137"/>
      <c r="X1806" s="137"/>
      <c r="Y1806" s="137"/>
      <c r="Z1806" s="137"/>
      <c r="AA1806" s="137"/>
      <c r="AB1806" s="137"/>
      <c r="AC1806" s="137"/>
      <c r="AD1806" s="137"/>
      <c r="AE1806" s="137"/>
      <c r="AF1806" s="137"/>
      <c r="AG1806" s="137"/>
      <c r="AH1806" s="137"/>
      <c r="AI1806" s="137"/>
      <c r="AJ1806" s="137"/>
      <c r="AK1806" s="137"/>
    </row>
    <row r="1807" spans="13:37" x14ac:dyDescent="0.25">
      <c r="M1807" s="137"/>
      <c r="N1807" s="137"/>
      <c r="O1807" s="137"/>
      <c r="P1807" s="137"/>
      <c r="R1807" s="137"/>
      <c r="S1807" s="137"/>
      <c r="T1807" s="137"/>
      <c r="U1807" s="137"/>
      <c r="V1807" s="137"/>
      <c r="W1807" s="137"/>
      <c r="X1807" s="137"/>
      <c r="Y1807" s="137"/>
      <c r="Z1807" s="137"/>
      <c r="AA1807" s="137"/>
      <c r="AB1807" s="137"/>
      <c r="AC1807" s="137"/>
      <c r="AD1807" s="137"/>
      <c r="AE1807" s="137"/>
      <c r="AF1807" s="137"/>
      <c r="AG1807" s="137"/>
      <c r="AH1807" s="137"/>
      <c r="AI1807" s="137"/>
      <c r="AJ1807" s="137"/>
      <c r="AK1807" s="137"/>
    </row>
    <row r="1808" spans="13:37" x14ac:dyDescent="0.25">
      <c r="M1808" s="137"/>
      <c r="N1808" s="137"/>
      <c r="O1808" s="137"/>
      <c r="P1808" s="137"/>
      <c r="R1808" s="137"/>
      <c r="S1808" s="137"/>
      <c r="T1808" s="137"/>
      <c r="U1808" s="137"/>
      <c r="V1808" s="137"/>
      <c r="W1808" s="137"/>
      <c r="X1808" s="137"/>
      <c r="Y1808" s="137"/>
      <c r="Z1808" s="137"/>
      <c r="AA1808" s="137"/>
      <c r="AB1808" s="137"/>
      <c r="AC1808" s="137"/>
      <c r="AD1808" s="137"/>
      <c r="AE1808" s="137"/>
      <c r="AF1808" s="137"/>
      <c r="AG1808" s="137"/>
      <c r="AH1808" s="137"/>
      <c r="AI1808" s="137"/>
      <c r="AJ1808" s="137"/>
      <c r="AK1808" s="137"/>
    </row>
    <row r="1809" spans="13:37" x14ac:dyDescent="0.25">
      <c r="M1809" s="137"/>
      <c r="N1809" s="137"/>
      <c r="O1809" s="137"/>
      <c r="P1809" s="137"/>
      <c r="R1809" s="137"/>
      <c r="S1809" s="137"/>
      <c r="T1809" s="137"/>
      <c r="U1809" s="137"/>
      <c r="V1809" s="137"/>
      <c r="W1809" s="137"/>
      <c r="X1809" s="137"/>
      <c r="Y1809" s="137"/>
      <c r="Z1809" s="137"/>
      <c r="AA1809" s="137"/>
      <c r="AB1809" s="137"/>
      <c r="AC1809" s="137"/>
      <c r="AD1809" s="137"/>
      <c r="AE1809" s="137"/>
      <c r="AF1809" s="137"/>
      <c r="AG1809" s="137"/>
      <c r="AH1809" s="137"/>
      <c r="AI1809" s="137"/>
      <c r="AJ1809" s="137"/>
      <c r="AK1809" s="137"/>
    </row>
    <row r="1810" spans="13:37" x14ac:dyDescent="0.25">
      <c r="M1810" s="137"/>
      <c r="N1810" s="137"/>
      <c r="O1810" s="137"/>
      <c r="P1810" s="137"/>
      <c r="R1810" s="137"/>
      <c r="S1810" s="137"/>
      <c r="T1810" s="137"/>
      <c r="U1810" s="137"/>
      <c r="V1810" s="137"/>
      <c r="W1810" s="137"/>
      <c r="X1810" s="137"/>
      <c r="Y1810" s="137"/>
      <c r="Z1810" s="137"/>
      <c r="AA1810" s="137"/>
      <c r="AB1810" s="137"/>
      <c r="AC1810" s="137"/>
      <c r="AD1810" s="137"/>
      <c r="AE1810" s="137"/>
      <c r="AF1810" s="137"/>
      <c r="AG1810" s="137"/>
      <c r="AH1810" s="137"/>
      <c r="AI1810" s="137"/>
      <c r="AJ1810" s="137"/>
      <c r="AK1810" s="137"/>
    </row>
    <row r="1811" spans="13:37" x14ac:dyDescent="0.25">
      <c r="M1811" s="137"/>
      <c r="N1811" s="137"/>
      <c r="O1811" s="137"/>
      <c r="P1811" s="137"/>
      <c r="R1811" s="137"/>
      <c r="S1811" s="137"/>
      <c r="T1811" s="137"/>
      <c r="U1811" s="137"/>
      <c r="V1811" s="137"/>
      <c r="W1811" s="137"/>
      <c r="X1811" s="137"/>
      <c r="Y1811" s="137"/>
      <c r="Z1811" s="137"/>
      <c r="AA1811" s="137"/>
      <c r="AB1811" s="137"/>
      <c r="AC1811" s="137"/>
      <c r="AD1811" s="137"/>
      <c r="AE1811" s="137"/>
      <c r="AF1811" s="137"/>
      <c r="AG1811" s="137"/>
      <c r="AH1811" s="137"/>
      <c r="AI1811" s="137"/>
      <c r="AJ1811" s="137"/>
      <c r="AK1811" s="137"/>
    </row>
    <row r="1812" spans="13:37" x14ac:dyDescent="0.25">
      <c r="M1812" s="137"/>
      <c r="N1812" s="137"/>
      <c r="O1812" s="137"/>
      <c r="P1812" s="137"/>
      <c r="R1812" s="137"/>
      <c r="S1812" s="137"/>
      <c r="T1812" s="137"/>
      <c r="U1812" s="137"/>
      <c r="V1812" s="137"/>
      <c r="W1812" s="137"/>
      <c r="X1812" s="137"/>
      <c r="Y1812" s="137"/>
      <c r="Z1812" s="137"/>
      <c r="AA1812" s="137"/>
      <c r="AB1812" s="137"/>
      <c r="AC1812" s="137"/>
      <c r="AD1812" s="137"/>
      <c r="AE1812" s="137"/>
      <c r="AF1812" s="137"/>
      <c r="AG1812" s="137"/>
      <c r="AH1812" s="137"/>
      <c r="AI1812" s="137"/>
      <c r="AJ1812" s="137"/>
      <c r="AK1812" s="137"/>
    </row>
    <row r="1813" spans="13:37" x14ac:dyDescent="0.25">
      <c r="M1813" s="137"/>
      <c r="N1813" s="137"/>
      <c r="O1813" s="137"/>
      <c r="P1813" s="137"/>
      <c r="R1813" s="137"/>
      <c r="S1813" s="137"/>
      <c r="T1813" s="137"/>
      <c r="U1813" s="137"/>
      <c r="V1813" s="137"/>
      <c r="W1813" s="137"/>
      <c r="X1813" s="137"/>
      <c r="Y1813" s="137"/>
      <c r="Z1813" s="137"/>
      <c r="AA1813" s="137"/>
      <c r="AB1813" s="137"/>
      <c r="AC1813" s="137"/>
      <c r="AD1813" s="137"/>
      <c r="AE1813" s="137"/>
      <c r="AF1813" s="137"/>
      <c r="AG1813" s="137"/>
      <c r="AH1813" s="137"/>
      <c r="AI1813" s="137"/>
      <c r="AJ1813" s="137"/>
      <c r="AK1813" s="137"/>
    </row>
    <row r="1814" spans="13:37" x14ac:dyDescent="0.25">
      <c r="M1814" s="137"/>
      <c r="N1814" s="137"/>
      <c r="O1814" s="137"/>
      <c r="P1814" s="137"/>
      <c r="R1814" s="137"/>
      <c r="S1814" s="137"/>
      <c r="T1814" s="137"/>
      <c r="U1814" s="137"/>
      <c r="V1814" s="137"/>
      <c r="W1814" s="137"/>
      <c r="X1814" s="137"/>
      <c r="Y1814" s="137"/>
      <c r="Z1814" s="137"/>
      <c r="AA1814" s="137"/>
      <c r="AB1814" s="137"/>
      <c r="AC1814" s="137"/>
      <c r="AD1814" s="137"/>
      <c r="AE1814" s="137"/>
      <c r="AF1814" s="137"/>
      <c r="AG1814" s="137"/>
      <c r="AH1814" s="137"/>
      <c r="AI1814" s="137"/>
      <c r="AJ1814" s="137"/>
      <c r="AK1814" s="137"/>
    </row>
    <row r="1815" spans="13:37" x14ac:dyDescent="0.25">
      <c r="M1815" s="137"/>
      <c r="N1815" s="137"/>
      <c r="O1815" s="137"/>
      <c r="P1815" s="137"/>
      <c r="R1815" s="137"/>
      <c r="S1815" s="137"/>
      <c r="T1815" s="137"/>
      <c r="U1815" s="137"/>
      <c r="V1815" s="137"/>
      <c r="W1815" s="137"/>
      <c r="X1815" s="137"/>
      <c r="Y1815" s="137"/>
      <c r="Z1815" s="137"/>
      <c r="AA1815" s="137"/>
      <c r="AB1815" s="137"/>
      <c r="AC1815" s="137"/>
      <c r="AD1815" s="137"/>
      <c r="AE1815" s="137"/>
      <c r="AF1815" s="137"/>
      <c r="AG1815" s="137"/>
      <c r="AH1815" s="137"/>
      <c r="AI1815" s="137"/>
      <c r="AJ1815" s="137"/>
      <c r="AK1815" s="137"/>
    </row>
    <row r="1816" spans="13:37" x14ac:dyDescent="0.25">
      <c r="M1816" s="137"/>
      <c r="N1816" s="137"/>
      <c r="O1816" s="137"/>
      <c r="P1816" s="137"/>
      <c r="R1816" s="137"/>
      <c r="S1816" s="137"/>
      <c r="T1816" s="137"/>
      <c r="U1816" s="137"/>
      <c r="V1816" s="137"/>
      <c r="W1816" s="137"/>
      <c r="X1816" s="137"/>
      <c r="Y1816" s="137"/>
      <c r="Z1816" s="137"/>
      <c r="AA1816" s="137"/>
      <c r="AB1816" s="137"/>
      <c r="AC1816" s="137"/>
      <c r="AD1816" s="137"/>
      <c r="AE1816" s="137"/>
      <c r="AF1816" s="137"/>
      <c r="AG1816" s="137"/>
      <c r="AH1816" s="137"/>
      <c r="AI1816" s="137"/>
      <c r="AJ1816" s="137"/>
      <c r="AK1816" s="137"/>
    </row>
    <row r="1817" spans="13:37" x14ac:dyDescent="0.25">
      <c r="M1817" s="137"/>
      <c r="N1817" s="137"/>
      <c r="O1817" s="137"/>
      <c r="P1817" s="137"/>
      <c r="R1817" s="137"/>
      <c r="S1817" s="137"/>
      <c r="T1817" s="137"/>
      <c r="U1817" s="137"/>
      <c r="V1817" s="137"/>
      <c r="W1817" s="137"/>
      <c r="X1817" s="137"/>
      <c r="Y1817" s="137"/>
      <c r="Z1817" s="137"/>
      <c r="AA1817" s="137"/>
      <c r="AB1817" s="137"/>
      <c r="AC1817" s="137"/>
      <c r="AD1817" s="137"/>
      <c r="AE1817" s="137"/>
      <c r="AF1817" s="137"/>
      <c r="AG1817" s="137"/>
      <c r="AH1817" s="137"/>
      <c r="AI1817" s="137"/>
      <c r="AJ1817" s="137"/>
      <c r="AK1817" s="137"/>
    </row>
    <row r="1818" spans="13:37" x14ac:dyDescent="0.25">
      <c r="M1818" s="137"/>
      <c r="N1818" s="137"/>
      <c r="O1818" s="137"/>
      <c r="P1818" s="137"/>
      <c r="R1818" s="137"/>
      <c r="S1818" s="137"/>
      <c r="T1818" s="137"/>
      <c r="U1818" s="137"/>
      <c r="V1818" s="137"/>
      <c r="W1818" s="137"/>
      <c r="X1818" s="137"/>
      <c r="Y1818" s="137"/>
      <c r="Z1818" s="137"/>
      <c r="AA1818" s="137"/>
      <c r="AB1818" s="137"/>
      <c r="AC1818" s="137"/>
      <c r="AD1818" s="137"/>
      <c r="AE1818" s="137"/>
      <c r="AF1818" s="137"/>
      <c r="AG1818" s="137"/>
      <c r="AH1818" s="137"/>
      <c r="AI1818" s="137"/>
      <c r="AJ1818" s="137"/>
      <c r="AK1818" s="137"/>
    </row>
    <row r="1819" spans="13:37" x14ac:dyDescent="0.25">
      <c r="M1819" s="137"/>
      <c r="N1819" s="137"/>
      <c r="O1819" s="137"/>
      <c r="P1819" s="137"/>
      <c r="R1819" s="137"/>
      <c r="S1819" s="137"/>
      <c r="T1819" s="137"/>
      <c r="U1819" s="137"/>
      <c r="V1819" s="137"/>
      <c r="W1819" s="137"/>
      <c r="X1819" s="137"/>
      <c r="Y1819" s="137"/>
      <c r="Z1819" s="137"/>
      <c r="AA1819" s="137"/>
      <c r="AB1819" s="137"/>
      <c r="AC1819" s="137"/>
      <c r="AD1819" s="137"/>
      <c r="AE1819" s="137"/>
      <c r="AF1819" s="137"/>
      <c r="AG1819" s="137"/>
      <c r="AH1819" s="137"/>
      <c r="AI1819" s="137"/>
      <c r="AJ1819" s="137"/>
      <c r="AK1819" s="137"/>
    </row>
    <row r="1820" spans="13:37" x14ac:dyDescent="0.25">
      <c r="M1820" s="137"/>
      <c r="N1820" s="137"/>
      <c r="O1820" s="137"/>
      <c r="P1820" s="137"/>
      <c r="R1820" s="137"/>
      <c r="S1820" s="137"/>
      <c r="T1820" s="137"/>
      <c r="U1820" s="137"/>
      <c r="V1820" s="137"/>
      <c r="W1820" s="137"/>
      <c r="X1820" s="137"/>
      <c r="Y1820" s="137"/>
      <c r="Z1820" s="137"/>
      <c r="AA1820" s="137"/>
      <c r="AB1820" s="137"/>
      <c r="AC1820" s="137"/>
      <c r="AD1820" s="137"/>
      <c r="AE1820" s="137"/>
      <c r="AF1820" s="137"/>
      <c r="AG1820" s="137"/>
      <c r="AH1820" s="137"/>
      <c r="AI1820" s="137"/>
      <c r="AJ1820" s="137"/>
      <c r="AK1820" s="137"/>
    </row>
    <row r="1821" spans="13:37" x14ac:dyDescent="0.25">
      <c r="M1821" s="137"/>
      <c r="N1821" s="137"/>
      <c r="O1821" s="137"/>
      <c r="P1821" s="137"/>
      <c r="R1821" s="137"/>
      <c r="S1821" s="137"/>
      <c r="T1821" s="137"/>
      <c r="U1821" s="137"/>
      <c r="V1821" s="137"/>
      <c r="W1821" s="137"/>
      <c r="X1821" s="137"/>
      <c r="Y1821" s="137"/>
      <c r="Z1821" s="137"/>
      <c r="AA1821" s="137"/>
      <c r="AB1821" s="137"/>
      <c r="AC1821" s="137"/>
      <c r="AD1821" s="137"/>
      <c r="AE1821" s="137"/>
      <c r="AF1821" s="137"/>
      <c r="AG1821" s="137"/>
      <c r="AH1821" s="137"/>
      <c r="AI1821" s="137"/>
      <c r="AJ1821" s="137"/>
      <c r="AK1821" s="137"/>
    </row>
    <row r="1822" spans="13:37" x14ac:dyDescent="0.25">
      <c r="M1822" s="137"/>
      <c r="N1822" s="137"/>
      <c r="O1822" s="137"/>
      <c r="P1822" s="137"/>
      <c r="R1822" s="137"/>
      <c r="S1822" s="137"/>
      <c r="T1822" s="137"/>
      <c r="U1822" s="137"/>
      <c r="V1822" s="137"/>
      <c r="W1822" s="137"/>
      <c r="X1822" s="137"/>
      <c r="Y1822" s="137"/>
      <c r="Z1822" s="137"/>
      <c r="AA1822" s="137"/>
      <c r="AB1822" s="137"/>
      <c r="AC1822" s="137"/>
      <c r="AD1822" s="137"/>
      <c r="AE1822" s="137"/>
      <c r="AF1822" s="137"/>
      <c r="AG1822" s="137"/>
      <c r="AH1822" s="137"/>
      <c r="AI1822" s="137"/>
      <c r="AJ1822" s="137"/>
      <c r="AK1822" s="137"/>
    </row>
    <row r="1823" spans="13:37" x14ac:dyDescent="0.25">
      <c r="M1823" s="137"/>
      <c r="N1823" s="137"/>
      <c r="O1823" s="137"/>
      <c r="P1823" s="137"/>
      <c r="R1823" s="137"/>
      <c r="S1823" s="137"/>
      <c r="T1823" s="137"/>
      <c r="U1823" s="137"/>
      <c r="V1823" s="137"/>
      <c r="W1823" s="137"/>
      <c r="X1823" s="137"/>
      <c r="Y1823" s="137"/>
      <c r="Z1823" s="137"/>
      <c r="AA1823" s="137"/>
      <c r="AB1823" s="137"/>
      <c r="AC1823" s="137"/>
      <c r="AD1823" s="137"/>
      <c r="AE1823" s="137"/>
      <c r="AF1823" s="137"/>
      <c r="AG1823" s="137"/>
      <c r="AH1823" s="137"/>
      <c r="AI1823" s="137"/>
      <c r="AJ1823" s="137"/>
      <c r="AK1823" s="137"/>
    </row>
    <row r="1824" spans="13:37" x14ac:dyDescent="0.25">
      <c r="M1824" s="137"/>
      <c r="N1824" s="137"/>
      <c r="O1824" s="137"/>
      <c r="P1824" s="137"/>
      <c r="R1824" s="137"/>
      <c r="S1824" s="137"/>
      <c r="T1824" s="137"/>
      <c r="U1824" s="137"/>
      <c r="V1824" s="137"/>
      <c r="W1824" s="137"/>
      <c r="X1824" s="137"/>
      <c r="Y1824" s="137"/>
      <c r="Z1824" s="137"/>
      <c r="AA1824" s="137"/>
      <c r="AB1824" s="137"/>
      <c r="AC1824" s="137"/>
      <c r="AD1824" s="137"/>
      <c r="AE1824" s="137"/>
      <c r="AF1824" s="137"/>
      <c r="AG1824" s="137"/>
      <c r="AH1824" s="137"/>
      <c r="AI1824" s="137"/>
      <c r="AJ1824" s="137"/>
      <c r="AK1824" s="137"/>
    </row>
    <row r="1825" spans="13:37" x14ac:dyDescent="0.25">
      <c r="M1825" s="137"/>
      <c r="N1825" s="137"/>
      <c r="O1825" s="137"/>
      <c r="P1825" s="137"/>
      <c r="R1825" s="137"/>
      <c r="S1825" s="137"/>
      <c r="T1825" s="137"/>
      <c r="U1825" s="137"/>
      <c r="V1825" s="137"/>
      <c r="W1825" s="137"/>
      <c r="X1825" s="137"/>
      <c r="Y1825" s="137"/>
      <c r="Z1825" s="137"/>
      <c r="AA1825" s="137"/>
      <c r="AB1825" s="137"/>
      <c r="AC1825" s="137"/>
      <c r="AD1825" s="137"/>
      <c r="AE1825" s="137"/>
      <c r="AF1825" s="137"/>
      <c r="AG1825" s="137"/>
      <c r="AH1825" s="137"/>
      <c r="AI1825" s="137"/>
      <c r="AJ1825" s="137"/>
      <c r="AK1825" s="137"/>
    </row>
    <row r="1826" spans="13:37" x14ac:dyDescent="0.25">
      <c r="M1826" s="137"/>
      <c r="N1826" s="137"/>
      <c r="O1826" s="137"/>
      <c r="P1826" s="137"/>
      <c r="R1826" s="137"/>
      <c r="S1826" s="137"/>
      <c r="T1826" s="137"/>
      <c r="U1826" s="137"/>
      <c r="V1826" s="137"/>
      <c r="W1826" s="137"/>
      <c r="X1826" s="137"/>
      <c r="Y1826" s="137"/>
      <c r="Z1826" s="137"/>
      <c r="AA1826" s="137"/>
      <c r="AB1826" s="137"/>
      <c r="AC1826" s="137"/>
      <c r="AD1826" s="137"/>
      <c r="AE1826" s="137"/>
      <c r="AF1826" s="137"/>
      <c r="AG1826" s="137"/>
      <c r="AH1826" s="137"/>
      <c r="AI1826" s="137"/>
      <c r="AJ1826" s="137"/>
      <c r="AK1826" s="137"/>
    </row>
    <row r="1827" spans="13:37" x14ac:dyDescent="0.25">
      <c r="M1827" s="137"/>
      <c r="N1827" s="137"/>
      <c r="O1827" s="137"/>
      <c r="P1827" s="137"/>
      <c r="R1827" s="137"/>
      <c r="S1827" s="137"/>
      <c r="T1827" s="137"/>
      <c r="U1827" s="137"/>
      <c r="V1827" s="137"/>
      <c r="W1827" s="137"/>
      <c r="X1827" s="137"/>
      <c r="Y1827" s="137"/>
      <c r="Z1827" s="137"/>
      <c r="AA1827" s="137"/>
      <c r="AB1827" s="137"/>
      <c r="AC1827" s="137"/>
      <c r="AD1827" s="137"/>
      <c r="AE1827" s="137"/>
      <c r="AF1827" s="137"/>
      <c r="AG1827" s="137"/>
      <c r="AH1827" s="137"/>
      <c r="AI1827" s="137"/>
      <c r="AJ1827" s="137"/>
      <c r="AK1827" s="137"/>
    </row>
    <row r="1828" spans="13:37" x14ac:dyDescent="0.25">
      <c r="M1828" s="137"/>
      <c r="N1828" s="137"/>
      <c r="O1828" s="137"/>
      <c r="P1828" s="137"/>
      <c r="R1828" s="137"/>
      <c r="S1828" s="137"/>
      <c r="T1828" s="137"/>
      <c r="U1828" s="137"/>
      <c r="V1828" s="137"/>
      <c r="W1828" s="137"/>
      <c r="X1828" s="137"/>
      <c r="Y1828" s="137"/>
      <c r="Z1828" s="137"/>
      <c r="AA1828" s="137"/>
      <c r="AB1828" s="137"/>
      <c r="AC1828" s="137"/>
      <c r="AD1828" s="137"/>
      <c r="AE1828" s="137"/>
      <c r="AF1828" s="137"/>
      <c r="AG1828" s="137"/>
      <c r="AH1828" s="137"/>
      <c r="AI1828" s="137"/>
      <c r="AJ1828" s="137"/>
      <c r="AK1828" s="137"/>
    </row>
    <row r="1829" spans="13:37" x14ac:dyDescent="0.25">
      <c r="M1829" s="137"/>
      <c r="N1829" s="137"/>
      <c r="O1829" s="137"/>
      <c r="P1829" s="137"/>
      <c r="R1829" s="137"/>
      <c r="S1829" s="137"/>
      <c r="T1829" s="137"/>
      <c r="U1829" s="137"/>
      <c r="V1829" s="137"/>
      <c r="W1829" s="137"/>
      <c r="X1829" s="137"/>
      <c r="Y1829" s="137"/>
      <c r="Z1829" s="137"/>
      <c r="AA1829" s="137"/>
      <c r="AB1829" s="137"/>
      <c r="AC1829" s="137"/>
      <c r="AD1829" s="137"/>
      <c r="AE1829" s="137"/>
      <c r="AF1829" s="137"/>
      <c r="AG1829" s="137"/>
      <c r="AH1829" s="137"/>
      <c r="AI1829" s="137"/>
      <c r="AJ1829" s="137"/>
      <c r="AK1829" s="137"/>
    </row>
    <row r="1830" spans="13:37" x14ac:dyDescent="0.25">
      <c r="M1830" s="137"/>
      <c r="N1830" s="137"/>
      <c r="O1830" s="137"/>
      <c r="P1830" s="137"/>
      <c r="R1830" s="137"/>
      <c r="S1830" s="137"/>
      <c r="T1830" s="137"/>
      <c r="U1830" s="137"/>
      <c r="V1830" s="137"/>
      <c r="W1830" s="137"/>
      <c r="X1830" s="137"/>
      <c r="Y1830" s="137"/>
      <c r="Z1830" s="137"/>
      <c r="AA1830" s="137"/>
      <c r="AB1830" s="137"/>
      <c r="AC1830" s="137"/>
      <c r="AD1830" s="137"/>
      <c r="AE1830" s="137"/>
      <c r="AF1830" s="137"/>
      <c r="AG1830" s="137"/>
      <c r="AH1830" s="137"/>
      <c r="AI1830" s="137"/>
      <c r="AJ1830" s="137"/>
      <c r="AK1830" s="137"/>
    </row>
    <row r="1831" spans="13:37" x14ac:dyDescent="0.25">
      <c r="M1831" s="137"/>
      <c r="N1831" s="137"/>
      <c r="O1831" s="137"/>
      <c r="P1831" s="137"/>
      <c r="R1831" s="137"/>
      <c r="S1831" s="137"/>
      <c r="T1831" s="137"/>
      <c r="U1831" s="137"/>
      <c r="V1831" s="137"/>
      <c r="W1831" s="137"/>
      <c r="X1831" s="137"/>
      <c r="Y1831" s="137"/>
      <c r="Z1831" s="137"/>
      <c r="AA1831" s="137"/>
      <c r="AB1831" s="137"/>
      <c r="AC1831" s="137"/>
      <c r="AD1831" s="137"/>
      <c r="AE1831" s="137"/>
      <c r="AF1831" s="137"/>
      <c r="AG1831" s="137"/>
      <c r="AH1831" s="137"/>
      <c r="AI1831" s="137"/>
      <c r="AJ1831" s="137"/>
      <c r="AK1831" s="137"/>
    </row>
    <row r="1832" spans="13:37" x14ac:dyDescent="0.25">
      <c r="M1832" s="137"/>
      <c r="N1832" s="137"/>
      <c r="O1832" s="137"/>
      <c r="P1832" s="137"/>
      <c r="R1832" s="137"/>
      <c r="S1832" s="137"/>
      <c r="T1832" s="137"/>
      <c r="U1832" s="137"/>
      <c r="V1832" s="137"/>
      <c r="W1832" s="137"/>
      <c r="X1832" s="137"/>
      <c r="Y1832" s="137"/>
      <c r="Z1832" s="137"/>
      <c r="AA1832" s="137"/>
      <c r="AB1832" s="137"/>
      <c r="AC1832" s="137"/>
      <c r="AD1832" s="137"/>
      <c r="AE1832" s="137"/>
      <c r="AF1832" s="137"/>
      <c r="AG1832" s="137"/>
      <c r="AH1832" s="137"/>
      <c r="AI1832" s="137"/>
      <c r="AJ1832" s="137"/>
      <c r="AK1832" s="137"/>
    </row>
    <row r="1833" spans="13:37" x14ac:dyDescent="0.25">
      <c r="M1833" s="137"/>
      <c r="N1833" s="137"/>
      <c r="O1833" s="137"/>
      <c r="P1833" s="137"/>
      <c r="R1833" s="137"/>
      <c r="S1833" s="137"/>
      <c r="T1833" s="137"/>
      <c r="U1833" s="137"/>
      <c r="V1833" s="137"/>
      <c r="W1833" s="137"/>
      <c r="X1833" s="137"/>
      <c r="Y1833" s="137"/>
      <c r="Z1833" s="137"/>
      <c r="AA1833" s="137"/>
      <c r="AB1833" s="137"/>
      <c r="AC1833" s="137"/>
      <c r="AD1833" s="137"/>
      <c r="AE1833" s="137"/>
      <c r="AF1833" s="137"/>
      <c r="AG1833" s="137"/>
      <c r="AH1833" s="137"/>
      <c r="AI1833" s="137"/>
      <c r="AJ1833" s="137"/>
      <c r="AK1833" s="137"/>
    </row>
    <row r="1834" spans="13:37" x14ac:dyDescent="0.25">
      <c r="M1834" s="137"/>
      <c r="N1834" s="137"/>
      <c r="O1834" s="137"/>
      <c r="P1834" s="137"/>
      <c r="R1834" s="137"/>
      <c r="S1834" s="137"/>
      <c r="T1834" s="137"/>
      <c r="U1834" s="137"/>
      <c r="V1834" s="137"/>
      <c r="W1834" s="137"/>
      <c r="X1834" s="137"/>
      <c r="Y1834" s="137"/>
      <c r="Z1834" s="137"/>
      <c r="AA1834" s="137"/>
      <c r="AB1834" s="137"/>
      <c r="AC1834" s="137"/>
      <c r="AD1834" s="137"/>
      <c r="AE1834" s="137"/>
      <c r="AF1834" s="137"/>
      <c r="AG1834" s="137"/>
      <c r="AH1834" s="137"/>
      <c r="AI1834" s="137"/>
      <c r="AJ1834" s="137"/>
      <c r="AK1834" s="137"/>
    </row>
    <row r="1835" spans="13:37" x14ac:dyDescent="0.25">
      <c r="M1835" s="137"/>
      <c r="N1835" s="137"/>
      <c r="O1835" s="137"/>
      <c r="P1835" s="137"/>
      <c r="R1835" s="137"/>
      <c r="S1835" s="137"/>
      <c r="T1835" s="137"/>
      <c r="U1835" s="137"/>
      <c r="V1835" s="137"/>
      <c r="W1835" s="137"/>
      <c r="X1835" s="137"/>
      <c r="Y1835" s="137"/>
      <c r="Z1835" s="137"/>
      <c r="AA1835" s="137"/>
      <c r="AB1835" s="137"/>
      <c r="AC1835" s="137"/>
      <c r="AD1835" s="137"/>
      <c r="AE1835" s="137"/>
      <c r="AF1835" s="137"/>
      <c r="AG1835" s="137"/>
      <c r="AH1835" s="137"/>
      <c r="AI1835" s="137"/>
      <c r="AJ1835" s="137"/>
      <c r="AK1835" s="137"/>
    </row>
    <row r="1836" spans="13:37" x14ac:dyDescent="0.25">
      <c r="M1836" s="137"/>
      <c r="N1836" s="137"/>
      <c r="O1836" s="137"/>
      <c r="P1836" s="137"/>
      <c r="R1836" s="137"/>
      <c r="S1836" s="137"/>
      <c r="T1836" s="137"/>
      <c r="U1836" s="137"/>
      <c r="V1836" s="137"/>
      <c r="W1836" s="137"/>
      <c r="X1836" s="137"/>
      <c r="Y1836" s="137"/>
      <c r="Z1836" s="137"/>
      <c r="AA1836" s="137"/>
      <c r="AB1836" s="137"/>
      <c r="AC1836" s="137"/>
      <c r="AD1836" s="137"/>
      <c r="AE1836" s="137"/>
      <c r="AF1836" s="137"/>
      <c r="AG1836" s="137"/>
      <c r="AH1836" s="137"/>
      <c r="AI1836" s="137"/>
      <c r="AJ1836" s="137"/>
      <c r="AK1836" s="137"/>
    </row>
    <row r="1837" spans="13:37" x14ac:dyDescent="0.25">
      <c r="M1837" s="137"/>
      <c r="N1837" s="137"/>
      <c r="O1837" s="137"/>
      <c r="P1837" s="137"/>
      <c r="R1837" s="137"/>
      <c r="S1837" s="137"/>
      <c r="T1837" s="137"/>
      <c r="U1837" s="137"/>
      <c r="V1837" s="137"/>
      <c r="W1837" s="137"/>
      <c r="X1837" s="137"/>
      <c r="Y1837" s="137"/>
      <c r="Z1837" s="137"/>
      <c r="AA1837" s="137"/>
      <c r="AB1837" s="137"/>
      <c r="AC1837" s="137"/>
      <c r="AD1837" s="137"/>
      <c r="AE1837" s="137"/>
      <c r="AF1837" s="137"/>
      <c r="AG1837" s="137"/>
      <c r="AH1837" s="137"/>
      <c r="AI1837" s="137"/>
      <c r="AJ1837" s="137"/>
      <c r="AK1837" s="137"/>
    </row>
    <row r="1838" spans="13:37" x14ac:dyDescent="0.25">
      <c r="M1838" s="137"/>
      <c r="N1838" s="137"/>
      <c r="O1838" s="137"/>
      <c r="P1838" s="137"/>
      <c r="R1838" s="137"/>
      <c r="S1838" s="137"/>
      <c r="T1838" s="137"/>
      <c r="U1838" s="137"/>
      <c r="V1838" s="137"/>
      <c r="W1838" s="137"/>
      <c r="X1838" s="137"/>
      <c r="Y1838" s="137"/>
      <c r="Z1838" s="137"/>
      <c r="AA1838" s="137"/>
      <c r="AB1838" s="137"/>
      <c r="AC1838" s="137"/>
      <c r="AD1838" s="137"/>
      <c r="AE1838" s="137"/>
      <c r="AF1838" s="137"/>
      <c r="AG1838" s="137"/>
      <c r="AH1838" s="137"/>
      <c r="AI1838" s="137"/>
      <c r="AJ1838" s="137"/>
      <c r="AK1838" s="137"/>
    </row>
    <row r="1839" spans="13:37" x14ac:dyDescent="0.25">
      <c r="M1839" s="137"/>
      <c r="N1839" s="137"/>
      <c r="O1839" s="137"/>
      <c r="P1839" s="137"/>
      <c r="R1839" s="137"/>
      <c r="S1839" s="137"/>
      <c r="T1839" s="137"/>
      <c r="U1839" s="137"/>
      <c r="V1839" s="137"/>
      <c r="W1839" s="137"/>
      <c r="X1839" s="137"/>
      <c r="Y1839" s="137"/>
      <c r="Z1839" s="137"/>
      <c r="AA1839" s="137"/>
      <c r="AB1839" s="137"/>
      <c r="AC1839" s="137"/>
      <c r="AD1839" s="137"/>
      <c r="AE1839" s="137"/>
      <c r="AF1839" s="137"/>
      <c r="AG1839" s="137"/>
      <c r="AH1839" s="137"/>
      <c r="AI1839" s="137"/>
      <c r="AJ1839" s="137"/>
      <c r="AK1839" s="137"/>
    </row>
    <row r="1840" spans="13:37" x14ac:dyDescent="0.25">
      <c r="M1840" s="137"/>
      <c r="N1840" s="137"/>
      <c r="O1840" s="137"/>
      <c r="P1840" s="137"/>
      <c r="R1840" s="137"/>
      <c r="S1840" s="137"/>
      <c r="T1840" s="137"/>
      <c r="U1840" s="137"/>
      <c r="V1840" s="137"/>
      <c r="W1840" s="137"/>
      <c r="X1840" s="137"/>
      <c r="Y1840" s="137"/>
      <c r="Z1840" s="137"/>
      <c r="AA1840" s="137"/>
      <c r="AB1840" s="137"/>
      <c r="AC1840" s="137"/>
      <c r="AD1840" s="137"/>
      <c r="AE1840" s="137"/>
      <c r="AF1840" s="137"/>
      <c r="AG1840" s="137"/>
      <c r="AH1840" s="137"/>
      <c r="AI1840" s="137"/>
      <c r="AJ1840" s="137"/>
      <c r="AK1840" s="137"/>
    </row>
    <row r="1841" spans="13:37" x14ac:dyDescent="0.25">
      <c r="M1841" s="137"/>
      <c r="N1841" s="137"/>
      <c r="O1841" s="137"/>
      <c r="P1841" s="137"/>
      <c r="R1841" s="137"/>
      <c r="S1841" s="137"/>
      <c r="T1841" s="137"/>
      <c r="U1841" s="137"/>
      <c r="V1841" s="137"/>
      <c r="W1841" s="137"/>
      <c r="X1841" s="137"/>
      <c r="Y1841" s="137"/>
      <c r="Z1841" s="137"/>
      <c r="AA1841" s="137"/>
      <c r="AB1841" s="137"/>
      <c r="AC1841" s="137"/>
      <c r="AD1841" s="137"/>
      <c r="AE1841" s="137"/>
      <c r="AF1841" s="137"/>
      <c r="AG1841" s="137"/>
      <c r="AH1841" s="137"/>
      <c r="AI1841" s="137"/>
      <c r="AJ1841" s="137"/>
      <c r="AK1841" s="137"/>
    </row>
    <row r="1842" spans="13:37" x14ac:dyDescent="0.25">
      <c r="M1842" s="137"/>
      <c r="N1842" s="137"/>
      <c r="O1842" s="137"/>
      <c r="P1842" s="137"/>
      <c r="R1842" s="137"/>
      <c r="S1842" s="137"/>
      <c r="T1842" s="137"/>
      <c r="U1842" s="137"/>
      <c r="V1842" s="137"/>
      <c r="W1842" s="137"/>
      <c r="X1842" s="137"/>
      <c r="Y1842" s="137"/>
      <c r="Z1842" s="137"/>
      <c r="AA1842" s="137"/>
      <c r="AB1842" s="137"/>
      <c r="AC1842" s="137"/>
      <c r="AD1842" s="137"/>
      <c r="AE1842" s="137"/>
      <c r="AF1842" s="137"/>
      <c r="AG1842" s="137"/>
      <c r="AH1842" s="137"/>
      <c r="AI1842" s="137"/>
      <c r="AJ1842" s="137"/>
      <c r="AK1842" s="137"/>
    </row>
    <row r="1843" spans="13:37" x14ac:dyDescent="0.25">
      <c r="M1843" s="137"/>
      <c r="N1843" s="137"/>
      <c r="O1843" s="137"/>
      <c r="P1843" s="137"/>
      <c r="R1843" s="137"/>
      <c r="S1843" s="137"/>
      <c r="T1843" s="137"/>
      <c r="U1843" s="137"/>
      <c r="V1843" s="137"/>
      <c r="W1843" s="137"/>
      <c r="X1843" s="137"/>
      <c r="Y1843" s="137"/>
      <c r="Z1843" s="137"/>
      <c r="AA1843" s="137"/>
      <c r="AB1843" s="137"/>
      <c r="AC1843" s="137"/>
      <c r="AD1843" s="137"/>
      <c r="AE1843" s="137"/>
      <c r="AF1843" s="137"/>
      <c r="AG1843" s="137"/>
      <c r="AH1843" s="137"/>
      <c r="AI1843" s="137"/>
      <c r="AJ1843" s="137"/>
      <c r="AK1843" s="137"/>
    </row>
    <row r="1844" spans="13:37" x14ac:dyDescent="0.25">
      <c r="M1844" s="137"/>
      <c r="N1844" s="137"/>
      <c r="O1844" s="137"/>
      <c r="P1844" s="137"/>
      <c r="R1844" s="137"/>
      <c r="S1844" s="137"/>
      <c r="T1844" s="137"/>
      <c r="U1844" s="137"/>
      <c r="V1844" s="137"/>
      <c r="W1844" s="137"/>
      <c r="X1844" s="137"/>
      <c r="Y1844" s="137"/>
      <c r="Z1844" s="137"/>
      <c r="AA1844" s="137"/>
      <c r="AB1844" s="137"/>
      <c r="AC1844" s="137"/>
      <c r="AD1844" s="137"/>
      <c r="AE1844" s="137"/>
      <c r="AF1844" s="137"/>
      <c r="AG1844" s="137"/>
      <c r="AH1844" s="137"/>
      <c r="AI1844" s="137"/>
      <c r="AJ1844" s="137"/>
      <c r="AK1844" s="137"/>
    </row>
    <row r="1845" spans="13:37" x14ac:dyDescent="0.25">
      <c r="M1845" s="137"/>
      <c r="N1845" s="137"/>
      <c r="O1845" s="137"/>
      <c r="P1845" s="137"/>
      <c r="R1845" s="137"/>
      <c r="S1845" s="137"/>
      <c r="T1845" s="137"/>
      <c r="U1845" s="137"/>
      <c r="V1845" s="137"/>
      <c r="W1845" s="137"/>
      <c r="X1845" s="137"/>
      <c r="Y1845" s="137"/>
      <c r="Z1845" s="137"/>
      <c r="AA1845" s="137"/>
      <c r="AB1845" s="137"/>
      <c r="AC1845" s="137"/>
      <c r="AD1845" s="137"/>
      <c r="AE1845" s="137"/>
      <c r="AF1845" s="137"/>
      <c r="AG1845" s="137"/>
      <c r="AH1845" s="137"/>
      <c r="AI1845" s="137"/>
      <c r="AJ1845" s="137"/>
      <c r="AK1845" s="137"/>
    </row>
    <row r="1846" spans="13:37" x14ac:dyDescent="0.25">
      <c r="M1846" s="137"/>
      <c r="N1846" s="137"/>
      <c r="O1846" s="137"/>
      <c r="P1846" s="137"/>
      <c r="R1846" s="137"/>
      <c r="S1846" s="137"/>
      <c r="T1846" s="137"/>
      <c r="U1846" s="137"/>
      <c r="V1846" s="137"/>
      <c r="W1846" s="137"/>
      <c r="X1846" s="137"/>
      <c r="Y1846" s="137"/>
      <c r="Z1846" s="137"/>
      <c r="AA1846" s="137"/>
      <c r="AB1846" s="137"/>
      <c r="AC1846" s="137"/>
      <c r="AD1846" s="137"/>
      <c r="AE1846" s="137"/>
      <c r="AF1846" s="137"/>
      <c r="AG1846" s="137"/>
      <c r="AH1846" s="137"/>
      <c r="AI1846" s="137"/>
      <c r="AJ1846" s="137"/>
      <c r="AK1846" s="137"/>
    </row>
    <row r="1847" spans="13:37" x14ac:dyDescent="0.25">
      <c r="M1847" s="137"/>
      <c r="N1847" s="137"/>
      <c r="O1847" s="137"/>
      <c r="P1847" s="137"/>
      <c r="R1847" s="137"/>
      <c r="S1847" s="137"/>
      <c r="T1847" s="137"/>
      <c r="U1847" s="137"/>
      <c r="V1847" s="137"/>
      <c r="W1847" s="137"/>
      <c r="X1847" s="137"/>
      <c r="Y1847" s="137"/>
      <c r="Z1847" s="137"/>
      <c r="AA1847" s="137"/>
      <c r="AB1847" s="137"/>
      <c r="AC1847" s="137"/>
      <c r="AD1847" s="137"/>
      <c r="AE1847" s="137"/>
      <c r="AF1847" s="137"/>
      <c r="AG1847" s="137"/>
      <c r="AH1847" s="137"/>
      <c r="AI1847" s="137"/>
      <c r="AJ1847" s="137"/>
      <c r="AK1847" s="137"/>
    </row>
    <row r="1848" spans="13:37" x14ac:dyDescent="0.25">
      <c r="M1848" s="137"/>
      <c r="N1848" s="137"/>
      <c r="O1848" s="137"/>
      <c r="P1848" s="137"/>
      <c r="R1848" s="137"/>
      <c r="S1848" s="137"/>
      <c r="T1848" s="137"/>
      <c r="U1848" s="137"/>
      <c r="V1848" s="137"/>
      <c r="W1848" s="137"/>
      <c r="X1848" s="137"/>
      <c r="Y1848" s="137"/>
      <c r="Z1848" s="137"/>
      <c r="AA1848" s="137"/>
      <c r="AB1848" s="137"/>
      <c r="AC1848" s="137"/>
      <c r="AD1848" s="137"/>
      <c r="AE1848" s="137"/>
      <c r="AF1848" s="137"/>
      <c r="AG1848" s="137"/>
      <c r="AH1848" s="137"/>
      <c r="AI1848" s="137"/>
      <c r="AJ1848" s="137"/>
      <c r="AK1848" s="137"/>
    </row>
    <row r="1849" spans="13:37" x14ac:dyDescent="0.25">
      <c r="M1849" s="137"/>
      <c r="N1849" s="137"/>
      <c r="O1849" s="137"/>
      <c r="P1849" s="137"/>
      <c r="R1849" s="137"/>
      <c r="S1849" s="137"/>
      <c r="T1849" s="137"/>
      <c r="U1849" s="137"/>
      <c r="V1849" s="137"/>
      <c r="W1849" s="137"/>
      <c r="X1849" s="137"/>
      <c r="Y1849" s="137"/>
      <c r="Z1849" s="137"/>
      <c r="AA1849" s="137"/>
      <c r="AB1849" s="137"/>
      <c r="AC1849" s="137"/>
      <c r="AD1849" s="137"/>
      <c r="AE1849" s="137"/>
      <c r="AF1849" s="137"/>
      <c r="AG1849" s="137"/>
      <c r="AH1849" s="137"/>
      <c r="AI1849" s="137"/>
      <c r="AJ1849" s="137"/>
      <c r="AK1849" s="137"/>
    </row>
    <row r="1850" spans="13:37" x14ac:dyDescent="0.25">
      <c r="M1850" s="137"/>
      <c r="N1850" s="137"/>
      <c r="O1850" s="137"/>
      <c r="P1850" s="137"/>
      <c r="R1850" s="137"/>
      <c r="S1850" s="137"/>
      <c r="T1850" s="137"/>
      <c r="U1850" s="137"/>
      <c r="V1850" s="137"/>
      <c r="W1850" s="137"/>
      <c r="X1850" s="137"/>
      <c r="Y1850" s="137"/>
      <c r="Z1850" s="137"/>
      <c r="AA1850" s="137"/>
      <c r="AB1850" s="137"/>
      <c r="AC1850" s="137"/>
      <c r="AD1850" s="137"/>
      <c r="AE1850" s="137"/>
      <c r="AF1850" s="137"/>
      <c r="AG1850" s="137"/>
      <c r="AH1850" s="137"/>
      <c r="AI1850" s="137"/>
      <c r="AJ1850" s="137"/>
      <c r="AK1850" s="137"/>
    </row>
    <row r="1851" spans="13:37" x14ac:dyDescent="0.25">
      <c r="M1851" s="137"/>
      <c r="N1851" s="137"/>
      <c r="O1851" s="137"/>
      <c r="P1851" s="137"/>
      <c r="R1851" s="137"/>
      <c r="S1851" s="137"/>
      <c r="T1851" s="137"/>
      <c r="U1851" s="137"/>
      <c r="V1851" s="137"/>
      <c r="W1851" s="137"/>
      <c r="X1851" s="137"/>
      <c r="Y1851" s="137"/>
      <c r="Z1851" s="137"/>
      <c r="AA1851" s="137"/>
      <c r="AB1851" s="137"/>
      <c r="AC1851" s="137"/>
      <c r="AD1851" s="137"/>
      <c r="AE1851" s="137"/>
      <c r="AF1851" s="137"/>
      <c r="AG1851" s="137"/>
      <c r="AH1851" s="137"/>
      <c r="AI1851" s="137"/>
      <c r="AJ1851" s="137"/>
      <c r="AK1851" s="137"/>
    </row>
    <row r="1852" spans="13:37" x14ac:dyDescent="0.25">
      <c r="M1852" s="137"/>
      <c r="N1852" s="137"/>
      <c r="O1852" s="137"/>
      <c r="P1852" s="137"/>
      <c r="R1852" s="137"/>
      <c r="S1852" s="137"/>
      <c r="T1852" s="137"/>
      <c r="U1852" s="137"/>
      <c r="V1852" s="137"/>
      <c r="W1852" s="137"/>
      <c r="X1852" s="137"/>
      <c r="Y1852" s="137"/>
      <c r="Z1852" s="137"/>
      <c r="AA1852" s="137"/>
      <c r="AB1852" s="137"/>
      <c r="AC1852" s="137"/>
      <c r="AD1852" s="137"/>
      <c r="AE1852" s="137"/>
      <c r="AF1852" s="137"/>
      <c r="AG1852" s="137"/>
      <c r="AH1852" s="137"/>
      <c r="AI1852" s="137"/>
      <c r="AJ1852" s="137"/>
      <c r="AK1852" s="137"/>
    </row>
    <row r="1853" spans="13:37" x14ac:dyDescent="0.25">
      <c r="M1853" s="137"/>
      <c r="N1853" s="137"/>
      <c r="O1853" s="137"/>
      <c r="P1853" s="137"/>
      <c r="R1853" s="137"/>
      <c r="S1853" s="137"/>
      <c r="T1853" s="137"/>
      <c r="U1853" s="137"/>
      <c r="V1853" s="137"/>
      <c r="W1853" s="137"/>
      <c r="X1853" s="137"/>
      <c r="Y1853" s="137"/>
      <c r="Z1853" s="137"/>
      <c r="AA1853" s="137"/>
      <c r="AB1853" s="137"/>
      <c r="AC1853" s="137"/>
      <c r="AD1853" s="137"/>
      <c r="AE1853" s="137"/>
      <c r="AF1853" s="137"/>
      <c r="AG1853" s="137"/>
      <c r="AH1853" s="137"/>
      <c r="AI1853" s="137"/>
      <c r="AJ1853" s="137"/>
      <c r="AK1853" s="137"/>
    </row>
    <row r="1854" spans="13:37" x14ac:dyDescent="0.25">
      <c r="M1854" s="137"/>
      <c r="N1854" s="137"/>
      <c r="O1854" s="137"/>
      <c r="P1854" s="137"/>
      <c r="R1854" s="137"/>
      <c r="S1854" s="137"/>
      <c r="T1854" s="137"/>
      <c r="U1854" s="137"/>
      <c r="V1854" s="137"/>
      <c r="W1854" s="137"/>
      <c r="X1854" s="137"/>
      <c r="Y1854" s="137"/>
      <c r="Z1854" s="137"/>
      <c r="AA1854" s="137"/>
      <c r="AB1854" s="137"/>
      <c r="AC1854" s="137"/>
      <c r="AD1854" s="137"/>
      <c r="AE1854" s="137"/>
      <c r="AF1854" s="137"/>
      <c r="AG1854" s="137"/>
      <c r="AH1854" s="137"/>
      <c r="AI1854" s="137"/>
      <c r="AJ1854" s="137"/>
      <c r="AK1854" s="137"/>
    </row>
    <row r="1855" spans="13:37" x14ac:dyDescent="0.25">
      <c r="M1855" s="137"/>
      <c r="N1855" s="137"/>
      <c r="O1855" s="137"/>
      <c r="P1855" s="137"/>
      <c r="R1855" s="137"/>
      <c r="S1855" s="137"/>
      <c r="T1855" s="137"/>
      <c r="U1855" s="137"/>
      <c r="V1855" s="137"/>
      <c r="W1855" s="137"/>
      <c r="X1855" s="137"/>
      <c r="Y1855" s="137"/>
      <c r="Z1855" s="137"/>
      <c r="AA1855" s="137"/>
      <c r="AB1855" s="137"/>
      <c r="AC1855" s="137"/>
      <c r="AD1855" s="137"/>
      <c r="AE1855" s="137"/>
      <c r="AF1855" s="137"/>
      <c r="AG1855" s="137"/>
      <c r="AH1855" s="137"/>
      <c r="AI1855" s="137"/>
      <c r="AJ1855" s="137"/>
      <c r="AK1855" s="137"/>
    </row>
    <row r="1856" spans="13:37" x14ac:dyDescent="0.25">
      <c r="M1856" s="137"/>
      <c r="N1856" s="137"/>
      <c r="O1856" s="137"/>
      <c r="P1856" s="137"/>
      <c r="R1856" s="137"/>
      <c r="S1856" s="137"/>
      <c r="T1856" s="137"/>
      <c r="U1856" s="137"/>
      <c r="V1856" s="137"/>
      <c r="W1856" s="137"/>
      <c r="X1856" s="137"/>
      <c r="Y1856" s="137"/>
      <c r="Z1856" s="137"/>
      <c r="AA1856" s="137"/>
      <c r="AB1856" s="137"/>
      <c r="AC1856" s="137"/>
      <c r="AD1856" s="137"/>
      <c r="AE1856" s="137"/>
      <c r="AF1856" s="137"/>
      <c r="AG1856" s="137"/>
      <c r="AH1856" s="137"/>
      <c r="AI1856" s="137"/>
      <c r="AJ1856" s="137"/>
      <c r="AK1856" s="137"/>
    </row>
    <row r="1857" spans="13:37" x14ac:dyDescent="0.25">
      <c r="M1857" s="137"/>
      <c r="N1857" s="137"/>
      <c r="O1857" s="137"/>
      <c r="P1857" s="137"/>
      <c r="R1857" s="137"/>
      <c r="S1857" s="137"/>
      <c r="T1857" s="137"/>
      <c r="U1857" s="137"/>
      <c r="V1857" s="137"/>
      <c r="W1857" s="137"/>
      <c r="X1857" s="137"/>
      <c r="Y1857" s="137"/>
      <c r="Z1857" s="137"/>
      <c r="AA1857" s="137"/>
      <c r="AB1857" s="137"/>
      <c r="AC1857" s="137"/>
      <c r="AD1857" s="137"/>
      <c r="AE1857" s="137"/>
      <c r="AF1857" s="137"/>
      <c r="AG1857" s="137"/>
      <c r="AH1857" s="137"/>
      <c r="AI1857" s="137"/>
      <c r="AJ1857" s="137"/>
      <c r="AK1857" s="137"/>
    </row>
    <row r="1858" spans="13:37" x14ac:dyDescent="0.25">
      <c r="M1858" s="137"/>
      <c r="N1858" s="137"/>
      <c r="O1858" s="137"/>
      <c r="P1858" s="137"/>
      <c r="R1858" s="137"/>
      <c r="S1858" s="137"/>
      <c r="T1858" s="137"/>
      <c r="U1858" s="137"/>
      <c r="V1858" s="137"/>
      <c r="W1858" s="137"/>
      <c r="X1858" s="137"/>
      <c r="Y1858" s="137"/>
      <c r="Z1858" s="137"/>
      <c r="AA1858" s="137"/>
      <c r="AB1858" s="137"/>
      <c r="AC1858" s="137"/>
      <c r="AD1858" s="137"/>
      <c r="AE1858" s="137"/>
      <c r="AF1858" s="137"/>
      <c r="AG1858" s="137"/>
      <c r="AH1858" s="137"/>
      <c r="AI1858" s="137"/>
      <c r="AJ1858" s="137"/>
      <c r="AK1858" s="137"/>
    </row>
    <row r="1859" spans="13:37" x14ac:dyDescent="0.25">
      <c r="M1859" s="137"/>
      <c r="N1859" s="137"/>
      <c r="O1859" s="137"/>
      <c r="P1859" s="137"/>
      <c r="R1859" s="137"/>
      <c r="S1859" s="137"/>
      <c r="T1859" s="137"/>
      <c r="U1859" s="137"/>
      <c r="V1859" s="137"/>
      <c r="W1859" s="137"/>
      <c r="X1859" s="137"/>
      <c r="Y1859" s="137"/>
      <c r="Z1859" s="137"/>
      <c r="AA1859" s="137"/>
      <c r="AB1859" s="137"/>
      <c r="AC1859" s="137"/>
      <c r="AD1859" s="137"/>
      <c r="AE1859" s="137"/>
      <c r="AF1859" s="137"/>
      <c r="AG1859" s="137"/>
      <c r="AH1859" s="137"/>
      <c r="AI1859" s="137"/>
      <c r="AJ1859" s="137"/>
      <c r="AK1859" s="137"/>
    </row>
    <row r="1860" spans="13:37" x14ac:dyDescent="0.25">
      <c r="M1860" s="137"/>
      <c r="N1860" s="137"/>
      <c r="O1860" s="137"/>
      <c r="P1860" s="137"/>
      <c r="R1860" s="137"/>
      <c r="S1860" s="137"/>
      <c r="T1860" s="137"/>
      <c r="U1860" s="137"/>
      <c r="V1860" s="137"/>
      <c r="W1860" s="137"/>
      <c r="X1860" s="137"/>
      <c r="Y1860" s="137"/>
      <c r="Z1860" s="137"/>
      <c r="AA1860" s="137"/>
      <c r="AB1860" s="137"/>
      <c r="AC1860" s="137"/>
      <c r="AD1860" s="137"/>
      <c r="AE1860" s="137"/>
      <c r="AF1860" s="137"/>
      <c r="AG1860" s="137"/>
      <c r="AH1860" s="137"/>
      <c r="AI1860" s="137"/>
      <c r="AJ1860" s="137"/>
      <c r="AK1860" s="137"/>
    </row>
    <row r="1861" spans="13:37" x14ac:dyDescent="0.25">
      <c r="M1861" s="137"/>
      <c r="N1861" s="137"/>
      <c r="O1861" s="137"/>
      <c r="P1861" s="137"/>
      <c r="R1861" s="137"/>
      <c r="S1861" s="137"/>
      <c r="T1861" s="137"/>
      <c r="U1861" s="137"/>
      <c r="V1861" s="137"/>
      <c r="W1861" s="137"/>
      <c r="X1861" s="137"/>
      <c r="Y1861" s="137"/>
      <c r="Z1861" s="137"/>
      <c r="AA1861" s="137"/>
      <c r="AB1861" s="137"/>
      <c r="AC1861" s="137"/>
      <c r="AD1861" s="137"/>
      <c r="AE1861" s="137"/>
      <c r="AF1861" s="137"/>
      <c r="AG1861" s="137"/>
      <c r="AH1861" s="137"/>
      <c r="AI1861" s="137"/>
      <c r="AJ1861" s="137"/>
      <c r="AK1861" s="137"/>
    </row>
    <row r="1862" spans="13:37" x14ac:dyDescent="0.25">
      <c r="M1862" s="137"/>
      <c r="N1862" s="137"/>
      <c r="O1862" s="137"/>
      <c r="P1862" s="137"/>
      <c r="R1862" s="137"/>
      <c r="S1862" s="137"/>
      <c r="T1862" s="137"/>
      <c r="U1862" s="137"/>
      <c r="V1862" s="137"/>
      <c r="W1862" s="137"/>
      <c r="X1862" s="137"/>
      <c r="Y1862" s="137"/>
      <c r="Z1862" s="137"/>
      <c r="AA1862" s="137"/>
      <c r="AB1862" s="137"/>
      <c r="AC1862" s="137"/>
      <c r="AD1862" s="137"/>
      <c r="AE1862" s="137"/>
      <c r="AF1862" s="137"/>
      <c r="AG1862" s="137"/>
      <c r="AH1862" s="137"/>
      <c r="AI1862" s="137"/>
      <c r="AJ1862" s="137"/>
      <c r="AK1862" s="137"/>
    </row>
    <row r="1863" spans="13:37" x14ac:dyDescent="0.25">
      <c r="M1863" s="137"/>
      <c r="N1863" s="137"/>
      <c r="O1863" s="137"/>
      <c r="P1863" s="137"/>
      <c r="R1863" s="137"/>
      <c r="S1863" s="137"/>
      <c r="T1863" s="137"/>
      <c r="U1863" s="137"/>
      <c r="V1863" s="137"/>
      <c r="W1863" s="137"/>
      <c r="X1863" s="137"/>
      <c r="Y1863" s="137"/>
      <c r="Z1863" s="137"/>
      <c r="AA1863" s="137"/>
      <c r="AB1863" s="137"/>
      <c r="AC1863" s="137"/>
      <c r="AD1863" s="137"/>
      <c r="AE1863" s="137"/>
      <c r="AF1863" s="137"/>
      <c r="AG1863" s="137"/>
      <c r="AH1863" s="137"/>
      <c r="AI1863" s="137"/>
      <c r="AJ1863" s="137"/>
      <c r="AK1863" s="137"/>
    </row>
    <row r="1864" spans="13:37" x14ac:dyDescent="0.25">
      <c r="M1864" s="137"/>
      <c r="N1864" s="137"/>
      <c r="O1864" s="137"/>
      <c r="P1864" s="137"/>
      <c r="R1864" s="137"/>
      <c r="S1864" s="137"/>
      <c r="T1864" s="137"/>
      <c r="U1864" s="137"/>
      <c r="V1864" s="137"/>
      <c r="W1864" s="137"/>
      <c r="X1864" s="137"/>
      <c r="Y1864" s="137"/>
      <c r="Z1864" s="137"/>
      <c r="AA1864" s="137"/>
      <c r="AB1864" s="137"/>
      <c r="AC1864" s="137"/>
      <c r="AD1864" s="137"/>
      <c r="AE1864" s="137"/>
      <c r="AF1864" s="137"/>
      <c r="AG1864" s="137"/>
      <c r="AH1864" s="137"/>
      <c r="AI1864" s="137"/>
      <c r="AJ1864" s="137"/>
      <c r="AK1864" s="137"/>
    </row>
    <row r="1865" spans="13:37" x14ac:dyDescent="0.25">
      <c r="M1865" s="137"/>
      <c r="N1865" s="137"/>
      <c r="O1865" s="137"/>
      <c r="P1865" s="137"/>
      <c r="R1865" s="137"/>
      <c r="S1865" s="137"/>
      <c r="T1865" s="137"/>
      <c r="U1865" s="137"/>
      <c r="V1865" s="137"/>
      <c r="W1865" s="137"/>
      <c r="X1865" s="137"/>
      <c r="Y1865" s="137"/>
      <c r="Z1865" s="137"/>
      <c r="AA1865" s="137"/>
      <c r="AB1865" s="137"/>
      <c r="AC1865" s="137"/>
      <c r="AD1865" s="137"/>
      <c r="AE1865" s="137"/>
      <c r="AF1865" s="137"/>
      <c r="AG1865" s="137"/>
      <c r="AH1865" s="137"/>
      <c r="AI1865" s="137"/>
      <c r="AJ1865" s="137"/>
      <c r="AK1865" s="137"/>
    </row>
    <row r="1866" spans="13:37" x14ac:dyDescent="0.25">
      <c r="M1866" s="137"/>
      <c r="N1866" s="137"/>
      <c r="O1866" s="137"/>
      <c r="P1866" s="137"/>
      <c r="R1866" s="137"/>
      <c r="S1866" s="137"/>
      <c r="T1866" s="137"/>
      <c r="U1866" s="137"/>
      <c r="V1866" s="137"/>
      <c r="W1866" s="137"/>
      <c r="X1866" s="137"/>
      <c r="Y1866" s="137"/>
      <c r="Z1866" s="137"/>
      <c r="AA1866" s="137"/>
      <c r="AB1866" s="137"/>
      <c r="AC1866" s="137"/>
      <c r="AD1866" s="137"/>
      <c r="AE1866" s="137"/>
      <c r="AF1866" s="137"/>
      <c r="AG1866" s="137"/>
      <c r="AH1866" s="137"/>
      <c r="AI1866" s="137"/>
      <c r="AJ1866" s="137"/>
      <c r="AK1866" s="137"/>
    </row>
    <row r="1867" spans="13:37" x14ac:dyDescent="0.25">
      <c r="M1867" s="137"/>
      <c r="N1867" s="137"/>
      <c r="O1867" s="137"/>
      <c r="P1867" s="137"/>
      <c r="R1867" s="137"/>
      <c r="S1867" s="137"/>
      <c r="T1867" s="137"/>
      <c r="U1867" s="137"/>
      <c r="V1867" s="137"/>
      <c r="W1867" s="137"/>
      <c r="X1867" s="137"/>
      <c r="Y1867" s="137"/>
      <c r="Z1867" s="137"/>
      <c r="AA1867" s="137"/>
      <c r="AB1867" s="137"/>
      <c r="AC1867" s="137"/>
      <c r="AD1867" s="137"/>
      <c r="AE1867" s="137"/>
      <c r="AF1867" s="137"/>
      <c r="AG1867" s="137"/>
      <c r="AH1867" s="137"/>
      <c r="AI1867" s="137"/>
      <c r="AJ1867" s="137"/>
      <c r="AK1867" s="137"/>
    </row>
    <row r="1868" spans="13:37" x14ac:dyDescent="0.25">
      <c r="M1868" s="137"/>
      <c r="N1868" s="137"/>
      <c r="O1868" s="137"/>
      <c r="P1868" s="137"/>
      <c r="R1868" s="137"/>
      <c r="S1868" s="137"/>
      <c r="T1868" s="137"/>
      <c r="U1868" s="137"/>
      <c r="V1868" s="137"/>
      <c r="W1868" s="137"/>
      <c r="X1868" s="137"/>
      <c r="Y1868" s="137"/>
      <c r="Z1868" s="137"/>
      <c r="AA1868" s="137"/>
      <c r="AB1868" s="137"/>
      <c r="AC1868" s="137"/>
      <c r="AD1868" s="137"/>
      <c r="AE1868" s="137"/>
      <c r="AF1868" s="137"/>
      <c r="AG1868" s="137"/>
      <c r="AH1868" s="137"/>
      <c r="AI1868" s="137"/>
      <c r="AJ1868" s="137"/>
      <c r="AK1868" s="137"/>
    </row>
    <row r="1869" spans="13:37" x14ac:dyDescent="0.25">
      <c r="M1869" s="137"/>
      <c r="N1869" s="137"/>
      <c r="O1869" s="137"/>
      <c r="P1869" s="137"/>
      <c r="R1869" s="137"/>
      <c r="S1869" s="137"/>
      <c r="T1869" s="137"/>
      <c r="U1869" s="137"/>
      <c r="V1869" s="137"/>
      <c r="W1869" s="137"/>
      <c r="X1869" s="137"/>
      <c r="Y1869" s="137"/>
      <c r="Z1869" s="137"/>
      <c r="AA1869" s="137"/>
      <c r="AB1869" s="137"/>
      <c r="AC1869" s="137"/>
      <c r="AD1869" s="137"/>
      <c r="AE1869" s="137"/>
      <c r="AF1869" s="137"/>
      <c r="AG1869" s="137"/>
      <c r="AH1869" s="137"/>
      <c r="AI1869" s="137"/>
      <c r="AJ1869" s="137"/>
      <c r="AK1869" s="137"/>
    </row>
    <row r="1870" spans="13:37" x14ac:dyDescent="0.25">
      <c r="M1870" s="137"/>
      <c r="N1870" s="137"/>
      <c r="O1870" s="137"/>
      <c r="P1870" s="137"/>
      <c r="R1870" s="137"/>
      <c r="S1870" s="137"/>
      <c r="T1870" s="137"/>
      <c r="U1870" s="137"/>
      <c r="V1870" s="137"/>
      <c r="W1870" s="137"/>
      <c r="X1870" s="137"/>
      <c r="Y1870" s="137"/>
      <c r="Z1870" s="137"/>
      <c r="AA1870" s="137"/>
      <c r="AB1870" s="137"/>
      <c r="AC1870" s="137"/>
      <c r="AD1870" s="137"/>
      <c r="AE1870" s="137"/>
      <c r="AF1870" s="137"/>
      <c r="AG1870" s="137"/>
      <c r="AH1870" s="137"/>
      <c r="AI1870" s="137"/>
      <c r="AJ1870" s="137"/>
      <c r="AK1870" s="137"/>
    </row>
    <row r="1871" spans="13:37" x14ac:dyDescent="0.25">
      <c r="M1871" s="137"/>
      <c r="N1871" s="137"/>
      <c r="O1871" s="137"/>
      <c r="P1871" s="137"/>
      <c r="R1871" s="137"/>
      <c r="S1871" s="137"/>
      <c r="T1871" s="137"/>
      <c r="U1871" s="137"/>
      <c r="V1871" s="137"/>
      <c r="W1871" s="137"/>
      <c r="X1871" s="137"/>
      <c r="Y1871" s="137"/>
      <c r="Z1871" s="137"/>
      <c r="AA1871" s="137"/>
      <c r="AB1871" s="137"/>
      <c r="AC1871" s="137"/>
      <c r="AD1871" s="137"/>
      <c r="AE1871" s="137"/>
      <c r="AF1871" s="137"/>
      <c r="AG1871" s="137"/>
      <c r="AH1871" s="137"/>
      <c r="AI1871" s="137"/>
      <c r="AJ1871" s="137"/>
      <c r="AK1871" s="137"/>
    </row>
    <row r="1872" spans="13:37" x14ac:dyDescent="0.25">
      <c r="M1872" s="137"/>
      <c r="N1872" s="137"/>
      <c r="O1872" s="137"/>
      <c r="P1872" s="137"/>
      <c r="R1872" s="137"/>
      <c r="S1872" s="137"/>
      <c r="T1872" s="137"/>
      <c r="U1872" s="137"/>
      <c r="V1872" s="137"/>
      <c r="W1872" s="137"/>
      <c r="X1872" s="137"/>
      <c r="Y1872" s="137"/>
      <c r="Z1872" s="137"/>
      <c r="AA1872" s="137"/>
      <c r="AB1872" s="137"/>
      <c r="AC1872" s="137"/>
      <c r="AD1872" s="137"/>
      <c r="AE1872" s="137"/>
      <c r="AF1872" s="137"/>
      <c r="AG1872" s="137"/>
      <c r="AH1872" s="137"/>
      <c r="AI1872" s="137"/>
      <c r="AJ1872" s="137"/>
      <c r="AK1872" s="137"/>
    </row>
    <row r="1873" spans="13:37" x14ac:dyDescent="0.25">
      <c r="M1873" s="137"/>
      <c r="N1873" s="137"/>
      <c r="O1873" s="137"/>
      <c r="P1873" s="137"/>
      <c r="R1873" s="137"/>
      <c r="S1873" s="137"/>
      <c r="T1873" s="137"/>
      <c r="U1873" s="137"/>
      <c r="V1873" s="137"/>
      <c r="W1873" s="137"/>
      <c r="X1873" s="137"/>
      <c r="Y1873" s="137"/>
      <c r="Z1873" s="137"/>
      <c r="AA1873" s="137"/>
      <c r="AB1873" s="137"/>
      <c r="AC1873" s="137"/>
      <c r="AD1873" s="137"/>
      <c r="AE1873" s="137"/>
      <c r="AF1873" s="137"/>
      <c r="AG1873" s="137"/>
      <c r="AH1873" s="137"/>
      <c r="AI1873" s="137"/>
      <c r="AJ1873" s="137"/>
      <c r="AK1873" s="137"/>
    </row>
    <row r="1874" spans="13:37" x14ac:dyDescent="0.25">
      <c r="M1874" s="137"/>
      <c r="N1874" s="137"/>
      <c r="O1874" s="137"/>
      <c r="P1874" s="137"/>
      <c r="R1874" s="137"/>
      <c r="S1874" s="137"/>
      <c r="T1874" s="137"/>
      <c r="U1874" s="137"/>
      <c r="V1874" s="137"/>
      <c r="W1874" s="137"/>
      <c r="X1874" s="137"/>
      <c r="Y1874" s="137"/>
      <c r="Z1874" s="137"/>
      <c r="AA1874" s="137"/>
      <c r="AB1874" s="137"/>
      <c r="AC1874" s="137"/>
      <c r="AD1874" s="137"/>
      <c r="AE1874" s="137"/>
      <c r="AF1874" s="137"/>
      <c r="AG1874" s="137"/>
      <c r="AH1874" s="137"/>
      <c r="AI1874" s="137"/>
      <c r="AJ1874" s="137"/>
      <c r="AK1874" s="137"/>
    </row>
    <row r="1875" spans="13:37" x14ac:dyDescent="0.25">
      <c r="M1875" s="137"/>
      <c r="N1875" s="137"/>
      <c r="O1875" s="137"/>
      <c r="P1875" s="137"/>
      <c r="R1875" s="137"/>
      <c r="S1875" s="137"/>
      <c r="T1875" s="137"/>
      <c r="U1875" s="137"/>
      <c r="V1875" s="137"/>
      <c r="W1875" s="137"/>
      <c r="X1875" s="137"/>
      <c r="Y1875" s="137"/>
      <c r="Z1875" s="137"/>
      <c r="AA1875" s="137"/>
      <c r="AB1875" s="137"/>
      <c r="AC1875" s="137"/>
      <c r="AD1875" s="137"/>
      <c r="AE1875" s="137"/>
      <c r="AF1875" s="137"/>
      <c r="AG1875" s="137"/>
      <c r="AH1875" s="137"/>
      <c r="AI1875" s="137"/>
      <c r="AJ1875" s="137"/>
      <c r="AK1875" s="137"/>
    </row>
    <row r="1876" spans="13:37" x14ac:dyDescent="0.25">
      <c r="M1876" s="137"/>
      <c r="N1876" s="137"/>
      <c r="O1876" s="137"/>
      <c r="P1876" s="137"/>
      <c r="R1876" s="137"/>
      <c r="S1876" s="137"/>
      <c r="T1876" s="137"/>
      <c r="U1876" s="137"/>
      <c r="V1876" s="137"/>
      <c r="W1876" s="137"/>
      <c r="X1876" s="137"/>
      <c r="Y1876" s="137"/>
      <c r="Z1876" s="137"/>
      <c r="AA1876" s="137"/>
      <c r="AB1876" s="137"/>
      <c r="AC1876" s="137"/>
      <c r="AD1876" s="137"/>
      <c r="AE1876" s="137"/>
      <c r="AF1876" s="137"/>
      <c r="AG1876" s="137"/>
      <c r="AH1876" s="137"/>
      <c r="AI1876" s="137"/>
      <c r="AJ1876" s="137"/>
      <c r="AK1876" s="137"/>
    </row>
    <row r="1877" spans="13:37" x14ac:dyDescent="0.25">
      <c r="M1877" s="137"/>
      <c r="N1877" s="137"/>
      <c r="O1877" s="137"/>
      <c r="P1877" s="137"/>
      <c r="R1877" s="137"/>
      <c r="S1877" s="137"/>
      <c r="T1877" s="137"/>
      <c r="U1877" s="137"/>
      <c r="V1877" s="137"/>
      <c r="W1877" s="137"/>
      <c r="X1877" s="137"/>
      <c r="Y1877" s="137"/>
      <c r="Z1877" s="137"/>
      <c r="AA1877" s="137"/>
      <c r="AB1877" s="137"/>
      <c r="AC1877" s="137"/>
      <c r="AD1877" s="137"/>
      <c r="AE1877" s="137"/>
      <c r="AF1877" s="137"/>
      <c r="AG1877" s="137"/>
      <c r="AH1877" s="137"/>
      <c r="AI1877" s="137"/>
      <c r="AJ1877" s="137"/>
      <c r="AK1877" s="137"/>
    </row>
    <row r="1878" spans="13:37" x14ac:dyDescent="0.25">
      <c r="M1878" s="137"/>
      <c r="N1878" s="137"/>
      <c r="O1878" s="137"/>
      <c r="P1878" s="137"/>
      <c r="R1878" s="137"/>
      <c r="S1878" s="137"/>
      <c r="T1878" s="137"/>
      <c r="U1878" s="137"/>
      <c r="V1878" s="137"/>
      <c r="W1878" s="137"/>
      <c r="X1878" s="137"/>
      <c r="Y1878" s="137"/>
      <c r="Z1878" s="137"/>
      <c r="AA1878" s="137"/>
      <c r="AB1878" s="137"/>
      <c r="AC1878" s="137"/>
      <c r="AD1878" s="137"/>
      <c r="AE1878" s="137"/>
      <c r="AF1878" s="137"/>
      <c r="AG1878" s="137"/>
      <c r="AH1878" s="137"/>
      <c r="AI1878" s="137"/>
      <c r="AJ1878" s="137"/>
      <c r="AK1878" s="137"/>
    </row>
    <row r="1879" spans="13:37" x14ac:dyDescent="0.25">
      <c r="M1879" s="137"/>
      <c r="N1879" s="137"/>
      <c r="O1879" s="137"/>
      <c r="P1879" s="137"/>
      <c r="R1879" s="137"/>
      <c r="S1879" s="137"/>
      <c r="T1879" s="137"/>
      <c r="U1879" s="137"/>
      <c r="V1879" s="137"/>
      <c r="W1879" s="137"/>
      <c r="X1879" s="137"/>
      <c r="Y1879" s="137"/>
      <c r="Z1879" s="137"/>
      <c r="AA1879" s="137"/>
      <c r="AB1879" s="137"/>
      <c r="AC1879" s="137"/>
      <c r="AD1879" s="137"/>
      <c r="AE1879" s="137"/>
      <c r="AF1879" s="137"/>
      <c r="AG1879" s="137"/>
      <c r="AH1879" s="137"/>
      <c r="AI1879" s="137"/>
      <c r="AJ1879" s="137"/>
      <c r="AK1879" s="137"/>
    </row>
    <row r="1880" spans="13:37" x14ac:dyDescent="0.25">
      <c r="M1880" s="137"/>
      <c r="N1880" s="137"/>
      <c r="O1880" s="137"/>
      <c r="P1880" s="137"/>
      <c r="R1880" s="137"/>
      <c r="S1880" s="137"/>
      <c r="T1880" s="137"/>
      <c r="U1880" s="137"/>
      <c r="V1880" s="137"/>
      <c r="W1880" s="137"/>
      <c r="X1880" s="137"/>
      <c r="Y1880" s="137"/>
      <c r="Z1880" s="137"/>
      <c r="AA1880" s="137"/>
      <c r="AB1880" s="137"/>
      <c r="AC1880" s="137"/>
      <c r="AD1880" s="137"/>
      <c r="AE1880" s="137"/>
      <c r="AF1880" s="137"/>
      <c r="AG1880" s="137"/>
      <c r="AH1880" s="137"/>
      <c r="AI1880" s="137"/>
      <c r="AJ1880" s="137"/>
      <c r="AK1880" s="137"/>
    </row>
    <row r="1881" spans="13:37" x14ac:dyDescent="0.25">
      <c r="M1881" s="137"/>
      <c r="N1881" s="137"/>
      <c r="O1881" s="137"/>
      <c r="P1881" s="137"/>
      <c r="R1881" s="137"/>
      <c r="S1881" s="137"/>
      <c r="T1881" s="137"/>
      <c r="U1881" s="137"/>
      <c r="V1881" s="137"/>
      <c r="W1881" s="137"/>
      <c r="X1881" s="137"/>
      <c r="Y1881" s="137"/>
      <c r="Z1881" s="137"/>
      <c r="AA1881" s="137"/>
      <c r="AB1881" s="137"/>
      <c r="AC1881" s="137"/>
      <c r="AD1881" s="137"/>
      <c r="AE1881" s="137"/>
      <c r="AF1881" s="137"/>
      <c r="AG1881" s="137"/>
      <c r="AH1881" s="137"/>
      <c r="AI1881" s="137"/>
      <c r="AJ1881" s="137"/>
      <c r="AK1881" s="137"/>
    </row>
    <row r="1882" spans="13:37" x14ac:dyDescent="0.25">
      <c r="M1882" s="137"/>
      <c r="N1882" s="137"/>
      <c r="O1882" s="137"/>
      <c r="P1882" s="137"/>
      <c r="R1882" s="137"/>
      <c r="S1882" s="137"/>
      <c r="T1882" s="137"/>
      <c r="U1882" s="137"/>
      <c r="V1882" s="137"/>
      <c r="W1882" s="137"/>
      <c r="X1882" s="137"/>
      <c r="Y1882" s="137"/>
      <c r="Z1882" s="137"/>
      <c r="AA1882" s="137"/>
      <c r="AB1882" s="137"/>
      <c r="AC1882" s="137"/>
      <c r="AD1882" s="137"/>
      <c r="AE1882" s="137"/>
      <c r="AF1882" s="137"/>
      <c r="AG1882" s="137"/>
      <c r="AH1882" s="137"/>
      <c r="AI1882" s="137"/>
      <c r="AJ1882" s="137"/>
      <c r="AK1882" s="137"/>
    </row>
    <row r="1883" spans="13:37" x14ac:dyDescent="0.25">
      <c r="M1883" s="137"/>
      <c r="N1883" s="137"/>
      <c r="O1883" s="137"/>
      <c r="P1883" s="137"/>
      <c r="R1883" s="137"/>
      <c r="S1883" s="137"/>
      <c r="T1883" s="137"/>
      <c r="U1883" s="137"/>
      <c r="V1883" s="137"/>
      <c r="W1883" s="137"/>
      <c r="X1883" s="137"/>
      <c r="Y1883" s="137"/>
      <c r="Z1883" s="137"/>
      <c r="AA1883" s="137"/>
      <c r="AB1883" s="137"/>
      <c r="AC1883" s="137"/>
      <c r="AD1883" s="137"/>
      <c r="AE1883" s="137"/>
      <c r="AF1883" s="137"/>
      <c r="AG1883" s="137"/>
      <c r="AH1883" s="137"/>
      <c r="AI1883" s="137"/>
      <c r="AJ1883" s="137"/>
      <c r="AK1883" s="137"/>
    </row>
    <row r="1884" spans="13:37" x14ac:dyDescent="0.25">
      <c r="M1884" s="137"/>
      <c r="N1884" s="137"/>
      <c r="O1884" s="137"/>
      <c r="P1884" s="137"/>
      <c r="R1884" s="137"/>
      <c r="S1884" s="137"/>
      <c r="T1884" s="137"/>
      <c r="U1884" s="137"/>
      <c r="V1884" s="137"/>
      <c r="W1884" s="137"/>
      <c r="X1884" s="137"/>
      <c r="Y1884" s="137"/>
      <c r="Z1884" s="137"/>
      <c r="AA1884" s="137"/>
      <c r="AB1884" s="137"/>
      <c r="AC1884" s="137"/>
      <c r="AD1884" s="137"/>
      <c r="AE1884" s="137"/>
      <c r="AF1884" s="137"/>
      <c r="AG1884" s="137"/>
      <c r="AH1884" s="137"/>
      <c r="AI1884" s="137"/>
      <c r="AJ1884" s="137"/>
      <c r="AK1884" s="137"/>
    </row>
    <row r="1885" spans="13:37" x14ac:dyDescent="0.25">
      <c r="M1885" s="137"/>
      <c r="N1885" s="137"/>
      <c r="O1885" s="137"/>
      <c r="P1885" s="137"/>
      <c r="R1885" s="137"/>
      <c r="S1885" s="137"/>
      <c r="T1885" s="137"/>
      <c r="U1885" s="137"/>
      <c r="V1885" s="137"/>
      <c r="W1885" s="137"/>
      <c r="X1885" s="137"/>
      <c r="Y1885" s="137"/>
      <c r="Z1885" s="137"/>
      <c r="AA1885" s="137"/>
      <c r="AB1885" s="137"/>
      <c r="AC1885" s="137"/>
      <c r="AD1885" s="137"/>
      <c r="AE1885" s="137"/>
      <c r="AF1885" s="137"/>
      <c r="AG1885" s="137"/>
      <c r="AH1885" s="137"/>
      <c r="AI1885" s="137"/>
      <c r="AJ1885" s="137"/>
      <c r="AK1885" s="137"/>
    </row>
    <row r="1886" spans="13:37" x14ac:dyDescent="0.25">
      <c r="M1886" s="137"/>
      <c r="N1886" s="137"/>
      <c r="O1886" s="137"/>
      <c r="P1886" s="137"/>
      <c r="R1886" s="137"/>
      <c r="S1886" s="137"/>
      <c r="T1886" s="137"/>
      <c r="U1886" s="137"/>
      <c r="V1886" s="137"/>
      <c r="W1886" s="137"/>
      <c r="X1886" s="137"/>
      <c r="Y1886" s="137"/>
      <c r="Z1886" s="137"/>
      <c r="AA1886" s="137"/>
      <c r="AB1886" s="137"/>
      <c r="AC1886" s="137"/>
      <c r="AD1886" s="137"/>
      <c r="AE1886" s="137"/>
      <c r="AF1886" s="137"/>
      <c r="AG1886" s="137"/>
      <c r="AH1886" s="137"/>
      <c r="AI1886" s="137"/>
      <c r="AJ1886" s="137"/>
      <c r="AK1886" s="137"/>
    </row>
    <row r="1887" spans="13:37" x14ac:dyDescent="0.25">
      <c r="M1887" s="137"/>
      <c r="N1887" s="137"/>
      <c r="O1887" s="137"/>
      <c r="P1887" s="137"/>
      <c r="R1887" s="137"/>
      <c r="S1887" s="137"/>
      <c r="T1887" s="137"/>
      <c r="U1887" s="137"/>
      <c r="V1887" s="137"/>
      <c r="W1887" s="137"/>
      <c r="X1887" s="137"/>
      <c r="Y1887" s="137"/>
      <c r="Z1887" s="137"/>
      <c r="AA1887" s="137"/>
      <c r="AB1887" s="137"/>
      <c r="AC1887" s="137"/>
      <c r="AD1887" s="137"/>
      <c r="AE1887" s="137"/>
      <c r="AF1887" s="137"/>
      <c r="AG1887" s="137"/>
      <c r="AH1887" s="137"/>
      <c r="AI1887" s="137"/>
      <c r="AJ1887" s="137"/>
      <c r="AK1887" s="137"/>
    </row>
    <row r="1888" spans="13:37" x14ac:dyDescent="0.25">
      <c r="M1888" s="137"/>
      <c r="N1888" s="137"/>
      <c r="O1888" s="137"/>
      <c r="P1888" s="137"/>
      <c r="R1888" s="137"/>
      <c r="S1888" s="137"/>
      <c r="T1888" s="137"/>
      <c r="U1888" s="137"/>
      <c r="V1888" s="137"/>
      <c r="W1888" s="137"/>
      <c r="X1888" s="137"/>
      <c r="Y1888" s="137"/>
      <c r="Z1888" s="137"/>
      <c r="AA1888" s="137"/>
      <c r="AB1888" s="137"/>
      <c r="AC1888" s="137"/>
      <c r="AD1888" s="137"/>
      <c r="AE1888" s="137"/>
      <c r="AF1888" s="137"/>
      <c r="AG1888" s="137"/>
      <c r="AH1888" s="137"/>
      <c r="AI1888" s="137"/>
      <c r="AJ1888" s="137"/>
      <c r="AK1888" s="137"/>
    </row>
    <row r="1889" spans="13:37" x14ac:dyDescent="0.25">
      <c r="M1889" s="137"/>
      <c r="N1889" s="137"/>
      <c r="O1889" s="137"/>
      <c r="P1889" s="137"/>
      <c r="R1889" s="137"/>
      <c r="S1889" s="137"/>
      <c r="T1889" s="137"/>
      <c r="U1889" s="137"/>
      <c r="V1889" s="137"/>
      <c r="W1889" s="137"/>
      <c r="X1889" s="137"/>
      <c r="Y1889" s="137"/>
      <c r="Z1889" s="137"/>
      <c r="AA1889" s="137"/>
      <c r="AB1889" s="137"/>
      <c r="AC1889" s="137"/>
      <c r="AD1889" s="137"/>
      <c r="AE1889" s="137"/>
      <c r="AF1889" s="137"/>
      <c r="AG1889" s="137"/>
      <c r="AH1889" s="137"/>
      <c r="AI1889" s="137"/>
      <c r="AJ1889" s="137"/>
      <c r="AK1889" s="137"/>
    </row>
    <row r="1890" spans="13:37" x14ac:dyDescent="0.25">
      <c r="M1890" s="137"/>
      <c r="N1890" s="137"/>
      <c r="O1890" s="137"/>
      <c r="P1890" s="137"/>
      <c r="R1890" s="137"/>
      <c r="S1890" s="137"/>
      <c r="T1890" s="137"/>
      <c r="U1890" s="137"/>
      <c r="V1890" s="137"/>
      <c r="W1890" s="137"/>
      <c r="X1890" s="137"/>
      <c r="Y1890" s="137"/>
      <c r="Z1890" s="137"/>
      <c r="AA1890" s="137"/>
      <c r="AB1890" s="137"/>
      <c r="AC1890" s="137"/>
      <c r="AD1890" s="137"/>
      <c r="AE1890" s="137"/>
      <c r="AF1890" s="137"/>
      <c r="AG1890" s="137"/>
      <c r="AH1890" s="137"/>
      <c r="AI1890" s="137"/>
      <c r="AJ1890" s="137"/>
      <c r="AK1890" s="137"/>
    </row>
    <row r="1891" spans="13:37" x14ac:dyDescent="0.25">
      <c r="M1891" s="137"/>
      <c r="N1891" s="137"/>
      <c r="O1891" s="137"/>
      <c r="P1891" s="137"/>
      <c r="R1891" s="137"/>
      <c r="S1891" s="137"/>
      <c r="T1891" s="137"/>
      <c r="U1891" s="137"/>
      <c r="V1891" s="137"/>
      <c r="W1891" s="137"/>
      <c r="X1891" s="137"/>
      <c r="Y1891" s="137"/>
      <c r="Z1891" s="137"/>
      <c r="AA1891" s="137"/>
      <c r="AB1891" s="137"/>
      <c r="AC1891" s="137"/>
      <c r="AD1891" s="137"/>
      <c r="AE1891" s="137"/>
      <c r="AF1891" s="137"/>
      <c r="AG1891" s="137"/>
      <c r="AH1891" s="137"/>
      <c r="AI1891" s="137"/>
      <c r="AJ1891" s="137"/>
      <c r="AK1891" s="137"/>
    </row>
    <row r="1892" spans="13:37" x14ac:dyDescent="0.25">
      <c r="M1892" s="137"/>
      <c r="N1892" s="137"/>
      <c r="O1892" s="137"/>
      <c r="P1892" s="137"/>
      <c r="R1892" s="137"/>
      <c r="S1892" s="137"/>
      <c r="T1892" s="137"/>
      <c r="U1892" s="137"/>
      <c r="V1892" s="137"/>
      <c r="W1892" s="137"/>
      <c r="X1892" s="137"/>
      <c r="Y1892" s="137"/>
      <c r="Z1892" s="137"/>
      <c r="AA1892" s="137"/>
      <c r="AB1892" s="137"/>
      <c r="AC1892" s="137"/>
      <c r="AD1892" s="137"/>
      <c r="AE1892" s="137"/>
      <c r="AF1892" s="137"/>
      <c r="AG1892" s="137"/>
      <c r="AH1892" s="137"/>
      <c r="AI1892" s="137"/>
      <c r="AJ1892" s="137"/>
      <c r="AK1892" s="137"/>
    </row>
    <row r="1893" spans="13:37" x14ac:dyDescent="0.25">
      <c r="M1893" s="137"/>
      <c r="N1893" s="137"/>
      <c r="O1893" s="137"/>
      <c r="P1893" s="137"/>
      <c r="R1893" s="137"/>
      <c r="S1893" s="137"/>
      <c r="T1893" s="137"/>
      <c r="U1893" s="137"/>
      <c r="V1893" s="137"/>
      <c r="W1893" s="137"/>
      <c r="X1893" s="137"/>
      <c r="Y1893" s="137"/>
      <c r="Z1893" s="137"/>
      <c r="AA1893" s="137"/>
      <c r="AB1893" s="137"/>
      <c r="AC1893" s="137"/>
      <c r="AD1893" s="137"/>
      <c r="AE1893" s="137"/>
      <c r="AF1893" s="137"/>
      <c r="AG1893" s="137"/>
      <c r="AH1893" s="137"/>
      <c r="AI1893" s="137"/>
      <c r="AJ1893" s="137"/>
      <c r="AK1893" s="137"/>
    </row>
    <row r="1894" spans="13:37" x14ac:dyDescent="0.25">
      <c r="M1894" s="137"/>
      <c r="N1894" s="137"/>
      <c r="O1894" s="137"/>
      <c r="P1894" s="137"/>
      <c r="R1894" s="137"/>
      <c r="S1894" s="137"/>
      <c r="T1894" s="137"/>
      <c r="U1894" s="137"/>
      <c r="V1894" s="137"/>
      <c r="W1894" s="137"/>
      <c r="X1894" s="137"/>
      <c r="Y1894" s="137"/>
      <c r="Z1894" s="137"/>
      <c r="AA1894" s="137"/>
      <c r="AB1894" s="137"/>
      <c r="AC1894" s="137"/>
      <c r="AD1894" s="137"/>
      <c r="AE1894" s="137"/>
      <c r="AF1894" s="137"/>
      <c r="AG1894" s="137"/>
      <c r="AH1894" s="137"/>
      <c r="AI1894" s="137"/>
      <c r="AJ1894" s="137"/>
      <c r="AK1894" s="137"/>
    </row>
    <row r="1895" spans="13:37" x14ac:dyDescent="0.25">
      <c r="M1895" s="137"/>
      <c r="N1895" s="137"/>
      <c r="O1895" s="137"/>
      <c r="P1895" s="137"/>
      <c r="R1895" s="137"/>
      <c r="S1895" s="137"/>
      <c r="T1895" s="137"/>
      <c r="U1895" s="137"/>
      <c r="V1895" s="137"/>
      <c r="W1895" s="137"/>
      <c r="X1895" s="137"/>
      <c r="Y1895" s="137"/>
      <c r="Z1895" s="137"/>
      <c r="AA1895" s="137"/>
      <c r="AB1895" s="137"/>
      <c r="AC1895" s="137"/>
      <c r="AD1895" s="137"/>
      <c r="AE1895" s="137"/>
      <c r="AF1895" s="137"/>
      <c r="AG1895" s="137"/>
      <c r="AH1895" s="137"/>
      <c r="AI1895" s="137"/>
      <c r="AJ1895" s="137"/>
      <c r="AK1895" s="137"/>
    </row>
    <row r="1896" spans="13:37" x14ac:dyDescent="0.25">
      <c r="M1896" s="137"/>
      <c r="N1896" s="137"/>
      <c r="O1896" s="137"/>
      <c r="P1896" s="137"/>
      <c r="R1896" s="137"/>
      <c r="S1896" s="137"/>
      <c r="T1896" s="137"/>
      <c r="U1896" s="137"/>
      <c r="V1896" s="137"/>
      <c r="W1896" s="137"/>
      <c r="X1896" s="137"/>
      <c r="Y1896" s="137"/>
      <c r="Z1896" s="137"/>
      <c r="AA1896" s="137"/>
      <c r="AB1896" s="137"/>
      <c r="AC1896" s="137"/>
      <c r="AD1896" s="137"/>
      <c r="AE1896" s="137"/>
      <c r="AF1896" s="137"/>
      <c r="AG1896" s="137"/>
      <c r="AH1896" s="137"/>
      <c r="AI1896" s="137"/>
      <c r="AJ1896" s="137"/>
      <c r="AK1896" s="137"/>
    </row>
    <row r="1897" spans="13:37" x14ac:dyDescent="0.25">
      <c r="M1897" s="137"/>
      <c r="N1897" s="137"/>
      <c r="O1897" s="137"/>
      <c r="P1897" s="137"/>
      <c r="R1897" s="137"/>
      <c r="S1897" s="137"/>
      <c r="T1897" s="137"/>
      <c r="U1897" s="137"/>
      <c r="V1897" s="137"/>
      <c r="W1897" s="137"/>
      <c r="X1897" s="137"/>
      <c r="Y1897" s="137"/>
      <c r="Z1897" s="137"/>
      <c r="AA1897" s="137"/>
      <c r="AB1897" s="137"/>
      <c r="AC1897" s="137"/>
      <c r="AD1897" s="137"/>
      <c r="AE1897" s="137"/>
      <c r="AF1897" s="137"/>
      <c r="AG1897" s="137"/>
      <c r="AH1897" s="137"/>
      <c r="AI1897" s="137"/>
      <c r="AJ1897" s="137"/>
      <c r="AK1897" s="137"/>
    </row>
    <row r="1898" spans="13:37" x14ac:dyDescent="0.25">
      <c r="M1898" s="137"/>
      <c r="N1898" s="137"/>
      <c r="O1898" s="137"/>
      <c r="P1898" s="137"/>
      <c r="R1898" s="137"/>
      <c r="S1898" s="137"/>
      <c r="T1898" s="137"/>
      <c r="U1898" s="137"/>
      <c r="V1898" s="137"/>
      <c r="W1898" s="137"/>
      <c r="X1898" s="137"/>
      <c r="Y1898" s="137"/>
      <c r="Z1898" s="137"/>
      <c r="AA1898" s="137"/>
      <c r="AB1898" s="137"/>
      <c r="AC1898" s="137"/>
      <c r="AD1898" s="137"/>
      <c r="AE1898" s="137"/>
      <c r="AF1898" s="137"/>
      <c r="AG1898" s="137"/>
      <c r="AH1898" s="137"/>
      <c r="AI1898" s="137"/>
      <c r="AJ1898" s="137"/>
      <c r="AK1898" s="137"/>
    </row>
    <row r="1899" spans="13:37" x14ac:dyDescent="0.25">
      <c r="M1899" s="137"/>
      <c r="N1899" s="137"/>
      <c r="O1899" s="137"/>
      <c r="P1899" s="137"/>
      <c r="R1899" s="137"/>
      <c r="S1899" s="137"/>
      <c r="T1899" s="137"/>
      <c r="U1899" s="137"/>
      <c r="V1899" s="137"/>
      <c r="W1899" s="137"/>
      <c r="X1899" s="137"/>
      <c r="Y1899" s="137"/>
      <c r="Z1899" s="137"/>
      <c r="AA1899" s="137"/>
      <c r="AB1899" s="137"/>
      <c r="AC1899" s="137"/>
      <c r="AD1899" s="137"/>
      <c r="AE1899" s="137"/>
      <c r="AF1899" s="137"/>
      <c r="AG1899" s="137"/>
      <c r="AH1899" s="137"/>
      <c r="AI1899" s="137"/>
      <c r="AJ1899" s="137"/>
      <c r="AK1899" s="137"/>
    </row>
    <row r="1900" spans="13:37" x14ac:dyDescent="0.25">
      <c r="M1900" s="137"/>
      <c r="N1900" s="137"/>
      <c r="O1900" s="137"/>
      <c r="P1900" s="137"/>
      <c r="R1900" s="137"/>
      <c r="S1900" s="137"/>
      <c r="T1900" s="137"/>
      <c r="U1900" s="137"/>
      <c r="V1900" s="137"/>
      <c r="W1900" s="137"/>
      <c r="X1900" s="137"/>
      <c r="Y1900" s="137"/>
      <c r="Z1900" s="137"/>
      <c r="AA1900" s="137"/>
      <c r="AB1900" s="137"/>
      <c r="AC1900" s="137"/>
      <c r="AD1900" s="137"/>
      <c r="AE1900" s="137"/>
      <c r="AF1900" s="137"/>
      <c r="AG1900" s="137"/>
      <c r="AH1900" s="137"/>
      <c r="AI1900" s="137"/>
      <c r="AJ1900" s="137"/>
      <c r="AK1900" s="137"/>
    </row>
    <row r="1901" spans="13:37" x14ac:dyDescent="0.25">
      <c r="M1901" s="137"/>
      <c r="N1901" s="137"/>
      <c r="O1901" s="137"/>
      <c r="P1901" s="137"/>
      <c r="R1901" s="137"/>
      <c r="S1901" s="137"/>
      <c r="T1901" s="137"/>
      <c r="U1901" s="137"/>
      <c r="V1901" s="137"/>
      <c r="W1901" s="137"/>
      <c r="X1901" s="137"/>
      <c r="Y1901" s="137"/>
      <c r="Z1901" s="137"/>
      <c r="AA1901" s="137"/>
      <c r="AB1901" s="137"/>
      <c r="AC1901" s="137"/>
      <c r="AD1901" s="137"/>
      <c r="AE1901" s="137"/>
      <c r="AF1901" s="137"/>
      <c r="AG1901" s="137"/>
      <c r="AH1901" s="137"/>
      <c r="AI1901" s="137"/>
      <c r="AJ1901" s="137"/>
      <c r="AK1901" s="137"/>
    </row>
    <row r="1902" spans="13:37" x14ac:dyDescent="0.25">
      <c r="M1902" s="137"/>
      <c r="N1902" s="137"/>
      <c r="O1902" s="137"/>
      <c r="P1902" s="137"/>
      <c r="R1902" s="137"/>
      <c r="S1902" s="137"/>
      <c r="T1902" s="137"/>
      <c r="U1902" s="137"/>
      <c r="V1902" s="137"/>
      <c r="W1902" s="137"/>
      <c r="X1902" s="137"/>
      <c r="Y1902" s="137"/>
      <c r="Z1902" s="137"/>
      <c r="AA1902" s="137"/>
      <c r="AB1902" s="137"/>
      <c r="AC1902" s="137"/>
      <c r="AD1902" s="137"/>
      <c r="AE1902" s="137"/>
      <c r="AF1902" s="137"/>
      <c r="AG1902" s="137"/>
      <c r="AH1902" s="137"/>
      <c r="AI1902" s="137"/>
      <c r="AJ1902" s="137"/>
      <c r="AK1902" s="137"/>
    </row>
    <row r="1903" spans="13:37" x14ac:dyDescent="0.25">
      <c r="M1903" s="137"/>
      <c r="N1903" s="137"/>
      <c r="O1903" s="137"/>
      <c r="P1903" s="137"/>
      <c r="R1903" s="137"/>
      <c r="S1903" s="137"/>
      <c r="T1903" s="137"/>
      <c r="U1903" s="137"/>
      <c r="V1903" s="137"/>
      <c r="W1903" s="137"/>
      <c r="X1903" s="137"/>
      <c r="Y1903" s="137"/>
      <c r="Z1903" s="137"/>
      <c r="AA1903" s="137"/>
      <c r="AB1903" s="137"/>
      <c r="AC1903" s="137"/>
      <c r="AD1903" s="137"/>
      <c r="AE1903" s="137"/>
      <c r="AF1903" s="137"/>
      <c r="AG1903" s="137"/>
      <c r="AH1903" s="137"/>
      <c r="AI1903" s="137"/>
      <c r="AJ1903" s="137"/>
      <c r="AK1903" s="137"/>
    </row>
    <row r="1904" spans="13:37" x14ac:dyDescent="0.25">
      <c r="M1904" s="137"/>
      <c r="N1904" s="137"/>
      <c r="O1904" s="137"/>
      <c r="P1904" s="137"/>
      <c r="R1904" s="137"/>
      <c r="S1904" s="137"/>
      <c r="T1904" s="137"/>
      <c r="U1904" s="137"/>
      <c r="V1904" s="137"/>
      <c r="W1904" s="137"/>
      <c r="X1904" s="137"/>
      <c r="Y1904" s="137"/>
      <c r="Z1904" s="137"/>
      <c r="AA1904" s="137"/>
      <c r="AB1904" s="137"/>
      <c r="AC1904" s="137"/>
      <c r="AD1904" s="137"/>
      <c r="AE1904" s="137"/>
      <c r="AF1904" s="137"/>
      <c r="AG1904" s="137"/>
      <c r="AH1904" s="137"/>
      <c r="AI1904" s="137"/>
      <c r="AJ1904" s="137"/>
      <c r="AK1904" s="137"/>
    </row>
    <row r="1905" spans="13:37" x14ac:dyDescent="0.25">
      <c r="M1905" s="137"/>
      <c r="N1905" s="137"/>
      <c r="O1905" s="137"/>
      <c r="P1905" s="137"/>
      <c r="R1905" s="137"/>
      <c r="S1905" s="137"/>
      <c r="T1905" s="137"/>
      <c r="U1905" s="137"/>
      <c r="V1905" s="137"/>
      <c r="W1905" s="137"/>
      <c r="X1905" s="137"/>
      <c r="Y1905" s="137"/>
      <c r="Z1905" s="137"/>
      <c r="AA1905" s="137"/>
      <c r="AB1905" s="137"/>
      <c r="AC1905" s="137"/>
      <c r="AD1905" s="137"/>
      <c r="AE1905" s="137"/>
      <c r="AF1905" s="137"/>
      <c r="AG1905" s="137"/>
      <c r="AH1905" s="137"/>
      <c r="AI1905" s="137"/>
      <c r="AJ1905" s="137"/>
      <c r="AK1905" s="137"/>
    </row>
    <row r="1906" spans="13:37" x14ac:dyDescent="0.25">
      <c r="M1906" s="137"/>
      <c r="N1906" s="137"/>
      <c r="O1906" s="137"/>
      <c r="P1906" s="137"/>
      <c r="R1906" s="137"/>
      <c r="S1906" s="137"/>
      <c r="T1906" s="137"/>
      <c r="U1906" s="137"/>
      <c r="V1906" s="137"/>
      <c r="W1906" s="137"/>
      <c r="X1906" s="137"/>
      <c r="Y1906" s="137"/>
      <c r="Z1906" s="137"/>
      <c r="AA1906" s="137"/>
      <c r="AB1906" s="137"/>
      <c r="AC1906" s="137"/>
      <c r="AD1906" s="137"/>
      <c r="AE1906" s="137"/>
      <c r="AF1906" s="137"/>
      <c r="AG1906" s="137"/>
      <c r="AH1906" s="137"/>
      <c r="AI1906" s="137"/>
      <c r="AJ1906" s="137"/>
      <c r="AK1906" s="137"/>
    </row>
    <row r="1907" spans="13:37" x14ac:dyDescent="0.25">
      <c r="M1907" s="137"/>
      <c r="N1907" s="137"/>
      <c r="O1907" s="137"/>
      <c r="P1907" s="137"/>
      <c r="R1907" s="137"/>
      <c r="S1907" s="137"/>
      <c r="T1907" s="137"/>
      <c r="U1907" s="137"/>
      <c r="V1907" s="137"/>
      <c r="W1907" s="137"/>
      <c r="X1907" s="137"/>
      <c r="Y1907" s="137"/>
      <c r="Z1907" s="137"/>
      <c r="AA1907" s="137"/>
      <c r="AB1907" s="137"/>
      <c r="AC1907" s="137"/>
      <c r="AD1907" s="137"/>
      <c r="AE1907" s="137"/>
      <c r="AF1907" s="137"/>
      <c r="AG1907" s="137"/>
      <c r="AH1907" s="137"/>
      <c r="AI1907" s="137"/>
      <c r="AJ1907" s="137"/>
      <c r="AK1907" s="137"/>
    </row>
    <row r="1908" spans="13:37" x14ac:dyDescent="0.25">
      <c r="M1908" s="137"/>
      <c r="N1908" s="137"/>
      <c r="O1908" s="137"/>
      <c r="P1908" s="137"/>
      <c r="R1908" s="137"/>
      <c r="S1908" s="137"/>
      <c r="T1908" s="137"/>
      <c r="U1908" s="137"/>
      <c r="V1908" s="137"/>
      <c r="W1908" s="137"/>
      <c r="X1908" s="137"/>
      <c r="Y1908" s="137"/>
      <c r="Z1908" s="137"/>
      <c r="AA1908" s="137"/>
      <c r="AB1908" s="137"/>
      <c r="AC1908" s="137"/>
      <c r="AD1908" s="137"/>
      <c r="AE1908" s="137"/>
      <c r="AF1908" s="137"/>
      <c r="AG1908" s="137"/>
      <c r="AH1908" s="137"/>
      <c r="AI1908" s="137"/>
      <c r="AJ1908" s="137"/>
      <c r="AK1908" s="137"/>
    </row>
    <row r="1909" spans="13:37" x14ac:dyDescent="0.25">
      <c r="M1909" s="137"/>
      <c r="N1909" s="137"/>
      <c r="O1909" s="137"/>
      <c r="P1909" s="137"/>
      <c r="R1909" s="137"/>
      <c r="S1909" s="137"/>
      <c r="T1909" s="137"/>
      <c r="U1909" s="137"/>
      <c r="V1909" s="137"/>
      <c r="W1909" s="137"/>
      <c r="X1909" s="137"/>
      <c r="Y1909" s="137"/>
      <c r="Z1909" s="137"/>
      <c r="AA1909" s="137"/>
      <c r="AB1909" s="137"/>
      <c r="AC1909" s="137"/>
      <c r="AD1909" s="137"/>
      <c r="AE1909" s="137"/>
      <c r="AF1909" s="137"/>
      <c r="AG1909" s="137"/>
      <c r="AH1909" s="137"/>
      <c r="AI1909" s="137"/>
      <c r="AJ1909" s="137"/>
      <c r="AK1909" s="137"/>
    </row>
    <row r="1910" spans="13:37" x14ac:dyDescent="0.25">
      <c r="M1910" s="137"/>
      <c r="N1910" s="137"/>
      <c r="O1910" s="137"/>
      <c r="P1910" s="137"/>
      <c r="R1910" s="137"/>
      <c r="S1910" s="137"/>
      <c r="T1910" s="137"/>
      <c r="U1910" s="137"/>
      <c r="V1910" s="137"/>
      <c r="W1910" s="137"/>
      <c r="X1910" s="137"/>
      <c r="Y1910" s="137"/>
      <c r="Z1910" s="137"/>
      <c r="AA1910" s="137"/>
      <c r="AB1910" s="137"/>
      <c r="AC1910" s="137"/>
      <c r="AD1910" s="137"/>
      <c r="AE1910" s="137"/>
      <c r="AF1910" s="137"/>
      <c r="AG1910" s="137"/>
      <c r="AH1910" s="137"/>
      <c r="AI1910" s="137"/>
      <c r="AJ1910" s="137"/>
      <c r="AK1910" s="137"/>
    </row>
    <row r="1911" spans="13:37" x14ac:dyDescent="0.25">
      <c r="M1911" s="137"/>
      <c r="N1911" s="137"/>
      <c r="O1911" s="137"/>
      <c r="P1911" s="137"/>
      <c r="R1911" s="137"/>
      <c r="S1911" s="137"/>
      <c r="T1911" s="137"/>
      <c r="U1911" s="137"/>
      <c r="V1911" s="137"/>
      <c r="W1911" s="137"/>
      <c r="X1911" s="137"/>
      <c r="Y1911" s="137"/>
      <c r="Z1911" s="137"/>
      <c r="AA1911" s="137"/>
      <c r="AB1911" s="137"/>
      <c r="AC1911" s="137"/>
      <c r="AD1911" s="137"/>
      <c r="AE1911" s="137"/>
      <c r="AF1911" s="137"/>
      <c r="AG1911" s="137"/>
      <c r="AH1911" s="137"/>
      <c r="AI1911" s="137"/>
      <c r="AJ1911" s="137"/>
      <c r="AK1911" s="137"/>
    </row>
    <row r="1912" spans="13:37" x14ac:dyDescent="0.25">
      <c r="M1912" s="137"/>
      <c r="N1912" s="137"/>
      <c r="O1912" s="137"/>
      <c r="P1912" s="137"/>
      <c r="R1912" s="137"/>
      <c r="S1912" s="137"/>
      <c r="T1912" s="137"/>
      <c r="U1912" s="137"/>
      <c r="V1912" s="137"/>
      <c r="W1912" s="137"/>
      <c r="X1912" s="137"/>
      <c r="Y1912" s="137"/>
      <c r="Z1912" s="137"/>
      <c r="AA1912" s="137"/>
      <c r="AB1912" s="137"/>
      <c r="AC1912" s="137"/>
      <c r="AD1912" s="137"/>
      <c r="AE1912" s="137"/>
      <c r="AF1912" s="137"/>
      <c r="AG1912" s="137"/>
      <c r="AH1912" s="137"/>
      <c r="AI1912" s="137"/>
      <c r="AJ1912" s="137"/>
      <c r="AK1912" s="137"/>
    </row>
    <row r="1913" spans="13:37" x14ac:dyDescent="0.25">
      <c r="M1913" s="137"/>
      <c r="N1913" s="137"/>
      <c r="O1913" s="137"/>
      <c r="P1913" s="137"/>
      <c r="R1913" s="137"/>
      <c r="S1913" s="137"/>
      <c r="T1913" s="137"/>
      <c r="U1913" s="137"/>
      <c r="V1913" s="137"/>
      <c r="W1913" s="137"/>
      <c r="X1913" s="137"/>
      <c r="Y1913" s="137"/>
      <c r="Z1913" s="137"/>
      <c r="AA1913" s="137"/>
      <c r="AB1913" s="137"/>
      <c r="AC1913" s="137"/>
      <c r="AD1913" s="137"/>
      <c r="AE1913" s="137"/>
      <c r="AF1913" s="137"/>
      <c r="AG1913" s="137"/>
      <c r="AH1913" s="137"/>
      <c r="AI1913" s="137"/>
      <c r="AJ1913" s="137"/>
      <c r="AK1913" s="137"/>
    </row>
    <row r="1914" spans="13:37" x14ac:dyDescent="0.25">
      <c r="M1914" s="137"/>
      <c r="N1914" s="137"/>
      <c r="O1914" s="137"/>
      <c r="P1914" s="137"/>
      <c r="R1914" s="137"/>
      <c r="S1914" s="137"/>
      <c r="T1914" s="137"/>
      <c r="U1914" s="137"/>
      <c r="V1914" s="137"/>
      <c r="W1914" s="137"/>
      <c r="X1914" s="137"/>
      <c r="Y1914" s="137"/>
      <c r="Z1914" s="137"/>
      <c r="AA1914" s="137"/>
      <c r="AB1914" s="137"/>
      <c r="AC1914" s="137"/>
      <c r="AD1914" s="137"/>
      <c r="AE1914" s="137"/>
      <c r="AF1914" s="137"/>
      <c r="AG1914" s="137"/>
      <c r="AH1914" s="137"/>
      <c r="AI1914" s="137"/>
      <c r="AJ1914" s="137"/>
      <c r="AK1914" s="137"/>
    </row>
    <row r="1915" spans="13:37" x14ac:dyDescent="0.25">
      <c r="M1915" s="137"/>
      <c r="N1915" s="137"/>
      <c r="O1915" s="137"/>
      <c r="P1915" s="137"/>
      <c r="R1915" s="137"/>
      <c r="S1915" s="137"/>
      <c r="T1915" s="137"/>
      <c r="U1915" s="137"/>
      <c r="V1915" s="137"/>
      <c r="W1915" s="137"/>
      <c r="X1915" s="137"/>
      <c r="Y1915" s="137"/>
      <c r="Z1915" s="137"/>
      <c r="AA1915" s="137"/>
      <c r="AB1915" s="137"/>
      <c r="AC1915" s="137"/>
      <c r="AD1915" s="137"/>
      <c r="AE1915" s="137"/>
      <c r="AF1915" s="137"/>
      <c r="AG1915" s="137"/>
      <c r="AH1915" s="137"/>
      <c r="AI1915" s="137"/>
      <c r="AJ1915" s="137"/>
      <c r="AK1915" s="137"/>
    </row>
    <row r="1916" spans="13:37" x14ac:dyDescent="0.25">
      <c r="M1916" s="137"/>
      <c r="N1916" s="137"/>
      <c r="O1916" s="137"/>
      <c r="P1916" s="137"/>
      <c r="R1916" s="137"/>
      <c r="S1916" s="137"/>
      <c r="T1916" s="137"/>
      <c r="U1916" s="137"/>
      <c r="V1916" s="137"/>
      <c r="W1916" s="137"/>
      <c r="X1916" s="137"/>
      <c r="Y1916" s="137"/>
      <c r="Z1916" s="137"/>
      <c r="AA1916" s="137"/>
      <c r="AB1916" s="137"/>
      <c r="AC1916" s="137"/>
      <c r="AD1916" s="137"/>
      <c r="AE1916" s="137"/>
      <c r="AF1916" s="137"/>
      <c r="AG1916" s="137"/>
      <c r="AH1916" s="137"/>
      <c r="AI1916" s="137"/>
      <c r="AJ1916" s="137"/>
      <c r="AK1916" s="137"/>
    </row>
    <row r="1917" spans="13:37" x14ac:dyDescent="0.25">
      <c r="M1917" s="137"/>
      <c r="N1917" s="137"/>
      <c r="O1917" s="137"/>
      <c r="P1917" s="137"/>
      <c r="R1917" s="137"/>
      <c r="S1917" s="137"/>
      <c r="T1917" s="137"/>
      <c r="U1917" s="137"/>
      <c r="V1917" s="137"/>
      <c r="W1917" s="137"/>
      <c r="X1917" s="137"/>
      <c r="Y1917" s="137"/>
      <c r="Z1917" s="137"/>
      <c r="AA1917" s="137"/>
      <c r="AB1917" s="137"/>
      <c r="AC1917" s="137"/>
      <c r="AD1917" s="137"/>
      <c r="AE1917" s="137"/>
      <c r="AF1917" s="137"/>
      <c r="AG1917" s="137"/>
      <c r="AH1917" s="137"/>
      <c r="AI1917" s="137"/>
      <c r="AJ1917" s="137"/>
      <c r="AK1917" s="137"/>
    </row>
    <row r="1918" spans="13:37" x14ac:dyDescent="0.25">
      <c r="M1918" s="137"/>
      <c r="N1918" s="137"/>
      <c r="O1918" s="137"/>
      <c r="P1918" s="137"/>
      <c r="R1918" s="137"/>
      <c r="S1918" s="137"/>
      <c r="T1918" s="137"/>
      <c r="U1918" s="137"/>
      <c r="V1918" s="137"/>
      <c r="W1918" s="137"/>
      <c r="X1918" s="137"/>
      <c r="Y1918" s="137"/>
      <c r="Z1918" s="137"/>
      <c r="AA1918" s="137"/>
      <c r="AB1918" s="137"/>
      <c r="AC1918" s="137"/>
      <c r="AD1918" s="137"/>
      <c r="AE1918" s="137"/>
      <c r="AF1918" s="137"/>
      <c r="AG1918" s="137"/>
      <c r="AH1918" s="137"/>
      <c r="AI1918" s="137"/>
      <c r="AJ1918" s="137"/>
      <c r="AK1918" s="137"/>
    </row>
    <row r="1919" spans="13:37" x14ac:dyDescent="0.25">
      <c r="M1919" s="137"/>
      <c r="N1919" s="137"/>
      <c r="O1919" s="137"/>
      <c r="P1919" s="137"/>
      <c r="R1919" s="137"/>
      <c r="S1919" s="137"/>
      <c r="T1919" s="137"/>
      <c r="U1919" s="137"/>
      <c r="V1919" s="137"/>
      <c r="W1919" s="137"/>
      <c r="X1919" s="137"/>
      <c r="Y1919" s="137"/>
      <c r="Z1919" s="137"/>
      <c r="AA1919" s="137"/>
      <c r="AB1919" s="137"/>
      <c r="AC1919" s="137"/>
      <c r="AD1919" s="137"/>
      <c r="AE1919" s="137"/>
      <c r="AF1919" s="137"/>
      <c r="AG1919" s="137"/>
      <c r="AH1919" s="137"/>
      <c r="AI1919" s="137"/>
      <c r="AJ1919" s="137"/>
      <c r="AK1919" s="137"/>
    </row>
    <row r="1920" spans="13:37" x14ac:dyDescent="0.25">
      <c r="M1920" s="137"/>
      <c r="N1920" s="137"/>
      <c r="O1920" s="137"/>
      <c r="P1920" s="137"/>
      <c r="R1920" s="137"/>
      <c r="S1920" s="137"/>
      <c r="T1920" s="137"/>
      <c r="U1920" s="137"/>
      <c r="V1920" s="137"/>
      <c r="W1920" s="137"/>
      <c r="X1920" s="137"/>
      <c r="Y1920" s="137"/>
      <c r="Z1920" s="137"/>
      <c r="AA1920" s="137"/>
      <c r="AB1920" s="137"/>
      <c r="AC1920" s="137"/>
      <c r="AD1920" s="137"/>
      <c r="AE1920" s="137"/>
      <c r="AF1920" s="137"/>
      <c r="AG1920" s="137"/>
      <c r="AH1920" s="137"/>
      <c r="AI1920" s="137"/>
      <c r="AJ1920" s="137"/>
      <c r="AK1920" s="137"/>
    </row>
    <row r="1921" spans="13:37" x14ac:dyDescent="0.25">
      <c r="M1921" s="137"/>
      <c r="N1921" s="137"/>
      <c r="O1921" s="137"/>
      <c r="P1921" s="137"/>
      <c r="R1921" s="137"/>
      <c r="S1921" s="137"/>
      <c r="T1921" s="137"/>
      <c r="U1921" s="137"/>
      <c r="V1921" s="137"/>
      <c r="W1921" s="137"/>
      <c r="X1921" s="137"/>
      <c r="Y1921" s="137"/>
      <c r="Z1921" s="137"/>
      <c r="AA1921" s="137"/>
      <c r="AB1921" s="137"/>
      <c r="AC1921" s="137"/>
      <c r="AD1921" s="137"/>
      <c r="AE1921" s="137"/>
      <c r="AF1921" s="137"/>
      <c r="AG1921" s="137"/>
      <c r="AH1921" s="137"/>
      <c r="AI1921" s="137"/>
      <c r="AJ1921" s="137"/>
      <c r="AK1921" s="137"/>
    </row>
    <row r="1922" spans="13:37" x14ac:dyDescent="0.25">
      <c r="M1922" s="137"/>
      <c r="N1922" s="137"/>
      <c r="O1922" s="137"/>
      <c r="P1922" s="137"/>
      <c r="R1922" s="137"/>
      <c r="S1922" s="137"/>
      <c r="T1922" s="137"/>
      <c r="U1922" s="137"/>
      <c r="V1922" s="137"/>
      <c r="W1922" s="137"/>
      <c r="X1922" s="137"/>
      <c r="Y1922" s="137"/>
      <c r="Z1922" s="137"/>
      <c r="AA1922" s="137"/>
      <c r="AB1922" s="137"/>
      <c r="AC1922" s="137"/>
      <c r="AD1922" s="137"/>
      <c r="AE1922" s="137"/>
      <c r="AF1922" s="137"/>
      <c r="AG1922" s="137"/>
      <c r="AH1922" s="137"/>
      <c r="AI1922" s="137"/>
      <c r="AJ1922" s="137"/>
      <c r="AK1922" s="137"/>
    </row>
    <row r="1923" spans="13:37" x14ac:dyDescent="0.25">
      <c r="M1923" s="137"/>
      <c r="N1923" s="137"/>
      <c r="O1923" s="137"/>
      <c r="P1923" s="137"/>
      <c r="R1923" s="137"/>
      <c r="S1923" s="137"/>
      <c r="T1923" s="137"/>
      <c r="U1923" s="137"/>
      <c r="V1923" s="137"/>
      <c r="W1923" s="137"/>
      <c r="X1923" s="137"/>
      <c r="Y1923" s="137"/>
      <c r="Z1923" s="137"/>
      <c r="AA1923" s="137"/>
      <c r="AB1923" s="137"/>
      <c r="AC1923" s="137"/>
      <c r="AD1923" s="137"/>
      <c r="AE1923" s="137"/>
      <c r="AF1923" s="137"/>
      <c r="AG1923" s="137"/>
      <c r="AH1923" s="137"/>
      <c r="AI1923" s="137"/>
      <c r="AJ1923" s="137"/>
      <c r="AK1923" s="137"/>
    </row>
    <row r="1924" spans="13:37" x14ac:dyDescent="0.25">
      <c r="M1924" s="137"/>
      <c r="N1924" s="137"/>
      <c r="O1924" s="137"/>
      <c r="P1924" s="137"/>
      <c r="R1924" s="137"/>
      <c r="S1924" s="137"/>
      <c r="T1924" s="137"/>
      <c r="U1924" s="137"/>
      <c r="V1924" s="137"/>
      <c r="W1924" s="137"/>
      <c r="X1924" s="137"/>
      <c r="Y1924" s="137"/>
      <c r="Z1924" s="137"/>
      <c r="AA1924" s="137"/>
      <c r="AB1924" s="137"/>
      <c r="AC1924" s="137"/>
      <c r="AD1924" s="137"/>
      <c r="AE1924" s="137"/>
      <c r="AF1924" s="137"/>
      <c r="AG1924" s="137"/>
      <c r="AH1924" s="137"/>
      <c r="AI1924" s="137"/>
      <c r="AJ1924" s="137"/>
      <c r="AK1924" s="137"/>
    </row>
    <row r="1925" spans="13:37" x14ac:dyDescent="0.25">
      <c r="M1925" s="137"/>
      <c r="N1925" s="137"/>
      <c r="O1925" s="137"/>
      <c r="P1925" s="137"/>
      <c r="R1925" s="137"/>
      <c r="S1925" s="137"/>
      <c r="T1925" s="137"/>
      <c r="U1925" s="137"/>
      <c r="V1925" s="137"/>
      <c r="W1925" s="137"/>
      <c r="X1925" s="137"/>
      <c r="Y1925" s="137"/>
      <c r="Z1925" s="137"/>
      <c r="AA1925" s="137"/>
      <c r="AB1925" s="137"/>
      <c r="AC1925" s="137"/>
      <c r="AD1925" s="137"/>
      <c r="AE1925" s="137"/>
      <c r="AF1925" s="137"/>
      <c r="AG1925" s="137"/>
      <c r="AH1925" s="137"/>
      <c r="AI1925" s="137"/>
      <c r="AJ1925" s="137"/>
      <c r="AK1925" s="137"/>
    </row>
    <row r="1926" spans="13:37" x14ac:dyDescent="0.25">
      <c r="M1926" s="137"/>
      <c r="N1926" s="137"/>
      <c r="O1926" s="137"/>
      <c r="P1926" s="137"/>
      <c r="R1926" s="137"/>
      <c r="S1926" s="137"/>
      <c r="T1926" s="137"/>
      <c r="U1926" s="137"/>
      <c r="V1926" s="137"/>
      <c r="W1926" s="137"/>
      <c r="X1926" s="137"/>
      <c r="Y1926" s="137"/>
      <c r="Z1926" s="137"/>
      <c r="AA1926" s="137"/>
      <c r="AB1926" s="137"/>
      <c r="AC1926" s="137"/>
      <c r="AD1926" s="137"/>
      <c r="AE1926" s="137"/>
      <c r="AF1926" s="137"/>
      <c r="AG1926" s="137"/>
      <c r="AH1926" s="137"/>
      <c r="AI1926" s="137"/>
      <c r="AJ1926" s="137"/>
      <c r="AK1926" s="137"/>
    </row>
    <row r="1927" spans="13:37" x14ac:dyDescent="0.25">
      <c r="M1927" s="137"/>
      <c r="N1927" s="137"/>
      <c r="O1927" s="137"/>
      <c r="P1927" s="137"/>
      <c r="R1927" s="137"/>
      <c r="S1927" s="137"/>
      <c r="T1927" s="137"/>
      <c r="U1927" s="137"/>
      <c r="V1927" s="137"/>
      <c r="W1927" s="137"/>
      <c r="X1927" s="137"/>
      <c r="Y1927" s="137"/>
      <c r="Z1927" s="137"/>
      <c r="AA1927" s="137"/>
      <c r="AB1927" s="137"/>
      <c r="AC1927" s="137"/>
      <c r="AD1927" s="137"/>
      <c r="AE1927" s="137"/>
      <c r="AF1927" s="137"/>
      <c r="AG1927" s="137"/>
      <c r="AH1927" s="137"/>
      <c r="AI1927" s="137"/>
      <c r="AJ1927" s="137"/>
      <c r="AK1927" s="137"/>
    </row>
    <row r="1928" spans="13:37" x14ac:dyDescent="0.25">
      <c r="M1928" s="137"/>
      <c r="N1928" s="137"/>
      <c r="O1928" s="137"/>
      <c r="P1928" s="137"/>
      <c r="R1928" s="137"/>
      <c r="S1928" s="137"/>
      <c r="T1928" s="137"/>
      <c r="U1928" s="137"/>
      <c r="V1928" s="137"/>
      <c r="W1928" s="137"/>
      <c r="X1928" s="137"/>
      <c r="Y1928" s="137"/>
      <c r="Z1928" s="137"/>
      <c r="AA1928" s="137"/>
      <c r="AB1928" s="137"/>
      <c r="AC1928" s="137"/>
      <c r="AD1928" s="137"/>
      <c r="AE1928" s="137"/>
      <c r="AF1928" s="137"/>
      <c r="AG1928" s="137"/>
      <c r="AH1928" s="137"/>
      <c r="AI1928" s="137"/>
      <c r="AJ1928" s="137"/>
      <c r="AK1928" s="137"/>
    </row>
    <row r="1929" spans="13:37" x14ac:dyDescent="0.25">
      <c r="M1929" s="137"/>
      <c r="N1929" s="137"/>
      <c r="O1929" s="137"/>
      <c r="P1929" s="137"/>
      <c r="R1929" s="137"/>
      <c r="S1929" s="137"/>
      <c r="T1929" s="137"/>
      <c r="U1929" s="137"/>
      <c r="V1929" s="137"/>
      <c r="W1929" s="137"/>
      <c r="X1929" s="137"/>
      <c r="Y1929" s="137"/>
      <c r="Z1929" s="137"/>
      <c r="AA1929" s="137"/>
      <c r="AB1929" s="137"/>
      <c r="AC1929" s="137"/>
      <c r="AD1929" s="137"/>
      <c r="AE1929" s="137"/>
      <c r="AF1929" s="137"/>
      <c r="AG1929" s="137"/>
      <c r="AH1929" s="137"/>
      <c r="AI1929" s="137"/>
      <c r="AJ1929" s="137"/>
      <c r="AK1929" s="137"/>
    </row>
    <row r="1930" spans="13:37" x14ac:dyDescent="0.25">
      <c r="M1930" s="137"/>
      <c r="N1930" s="137"/>
      <c r="O1930" s="137"/>
      <c r="P1930" s="137"/>
      <c r="R1930" s="137"/>
      <c r="S1930" s="137"/>
      <c r="T1930" s="137"/>
      <c r="U1930" s="137"/>
      <c r="V1930" s="137"/>
      <c r="W1930" s="137"/>
      <c r="X1930" s="137"/>
      <c r="Y1930" s="137"/>
      <c r="Z1930" s="137"/>
      <c r="AA1930" s="137"/>
      <c r="AB1930" s="137"/>
      <c r="AC1930" s="137"/>
      <c r="AD1930" s="137"/>
      <c r="AE1930" s="137"/>
      <c r="AF1930" s="137"/>
      <c r="AG1930" s="137"/>
      <c r="AH1930" s="137"/>
      <c r="AI1930" s="137"/>
      <c r="AJ1930" s="137"/>
      <c r="AK1930" s="137"/>
    </row>
    <row r="1931" spans="13:37" x14ac:dyDescent="0.25">
      <c r="M1931" s="137"/>
      <c r="N1931" s="137"/>
      <c r="O1931" s="137"/>
      <c r="P1931" s="137"/>
      <c r="R1931" s="137"/>
      <c r="S1931" s="137"/>
      <c r="T1931" s="137"/>
      <c r="U1931" s="137"/>
      <c r="V1931" s="137"/>
      <c r="W1931" s="137"/>
      <c r="X1931" s="137"/>
      <c r="Y1931" s="137"/>
      <c r="Z1931" s="137"/>
      <c r="AA1931" s="137"/>
      <c r="AB1931" s="137"/>
      <c r="AC1931" s="137"/>
      <c r="AD1931" s="137"/>
      <c r="AE1931" s="137"/>
      <c r="AF1931" s="137"/>
      <c r="AG1931" s="137"/>
      <c r="AH1931" s="137"/>
      <c r="AI1931" s="137"/>
      <c r="AJ1931" s="137"/>
      <c r="AK1931" s="137"/>
    </row>
    <row r="1932" spans="13:37" x14ac:dyDescent="0.25">
      <c r="M1932" s="137"/>
      <c r="N1932" s="137"/>
      <c r="O1932" s="137"/>
      <c r="P1932" s="137"/>
      <c r="R1932" s="137"/>
      <c r="S1932" s="137"/>
      <c r="T1932" s="137"/>
      <c r="U1932" s="137"/>
      <c r="V1932" s="137"/>
      <c r="W1932" s="137"/>
      <c r="X1932" s="137"/>
      <c r="Y1932" s="137"/>
      <c r="Z1932" s="137"/>
      <c r="AA1932" s="137"/>
      <c r="AB1932" s="137"/>
      <c r="AC1932" s="137"/>
      <c r="AD1932" s="137"/>
      <c r="AE1932" s="137"/>
      <c r="AF1932" s="137"/>
      <c r="AG1932" s="137"/>
      <c r="AH1932" s="137"/>
      <c r="AI1932" s="137"/>
      <c r="AJ1932" s="137"/>
      <c r="AK1932" s="137"/>
    </row>
    <row r="1933" spans="13:37" x14ac:dyDescent="0.25">
      <c r="M1933" s="137"/>
      <c r="N1933" s="137"/>
      <c r="O1933" s="137"/>
      <c r="P1933" s="137"/>
      <c r="R1933" s="137"/>
      <c r="S1933" s="137"/>
      <c r="T1933" s="137"/>
      <c r="U1933" s="137"/>
      <c r="V1933" s="137"/>
      <c r="W1933" s="137"/>
      <c r="X1933" s="137"/>
      <c r="Y1933" s="137"/>
      <c r="Z1933" s="137"/>
      <c r="AA1933" s="137"/>
      <c r="AB1933" s="137"/>
      <c r="AC1933" s="137"/>
      <c r="AD1933" s="137"/>
      <c r="AE1933" s="137"/>
      <c r="AF1933" s="137"/>
      <c r="AG1933" s="137"/>
      <c r="AH1933" s="137"/>
      <c r="AI1933" s="137"/>
      <c r="AJ1933" s="137"/>
      <c r="AK1933" s="137"/>
    </row>
    <row r="1934" spans="13:37" x14ac:dyDescent="0.25">
      <c r="M1934" s="137"/>
      <c r="N1934" s="137"/>
      <c r="O1934" s="137"/>
      <c r="P1934" s="137"/>
      <c r="R1934" s="137"/>
      <c r="S1934" s="137"/>
      <c r="T1934" s="137"/>
      <c r="U1934" s="137"/>
      <c r="V1934" s="137"/>
      <c r="W1934" s="137"/>
      <c r="X1934" s="137"/>
      <c r="Y1934" s="137"/>
      <c r="Z1934" s="137"/>
      <c r="AA1934" s="137"/>
      <c r="AB1934" s="137"/>
      <c r="AC1934" s="137"/>
      <c r="AD1934" s="137"/>
      <c r="AE1934" s="137"/>
      <c r="AF1934" s="137"/>
      <c r="AG1934" s="137"/>
      <c r="AH1934" s="137"/>
      <c r="AI1934" s="137"/>
      <c r="AJ1934" s="137"/>
      <c r="AK1934" s="137"/>
    </row>
    <row r="1935" spans="13:37" x14ac:dyDescent="0.25">
      <c r="M1935" s="137"/>
      <c r="N1935" s="137"/>
      <c r="O1935" s="137"/>
      <c r="P1935" s="137"/>
      <c r="R1935" s="137"/>
      <c r="S1935" s="137"/>
      <c r="T1935" s="137"/>
      <c r="U1935" s="137"/>
      <c r="V1935" s="137"/>
      <c r="W1935" s="137"/>
      <c r="X1935" s="137"/>
      <c r="Y1935" s="137"/>
      <c r="Z1935" s="137"/>
      <c r="AA1935" s="137"/>
      <c r="AB1935" s="137"/>
      <c r="AC1935" s="137"/>
      <c r="AD1935" s="137"/>
      <c r="AE1935" s="137"/>
      <c r="AF1935" s="137"/>
      <c r="AG1935" s="137"/>
      <c r="AH1935" s="137"/>
      <c r="AI1935" s="137"/>
      <c r="AJ1935" s="137"/>
      <c r="AK1935" s="137"/>
    </row>
    <row r="1936" spans="13:37" x14ac:dyDescent="0.25">
      <c r="M1936" s="137"/>
      <c r="N1936" s="137"/>
      <c r="O1936" s="137"/>
      <c r="P1936" s="137"/>
      <c r="R1936" s="137"/>
      <c r="S1936" s="137"/>
      <c r="T1936" s="137"/>
      <c r="U1936" s="137"/>
      <c r="V1936" s="137"/>
      <c r="W1936" s="137"/>
      <c r="X1936" s="137"/>
      <c r="Y1936" s="137"/>
      <c r="Z1936" s="137"/>
      <c r="AA1936" s="137"/>
      <c r="AB1936" s="137"/>
      <c r="AC1936" s="137"/>
      <c r="AD1936" s="137"/>
      <c r="AE1936" s="137"/>
      <c r="AF1936" s="137"/>
      <c r="AG1936" s="137"/>
      <c r="AH1936" s="137"/>
      <c r="AI1936" s="137"/>
      <c r="AJ1936" s="137"/>
      <c r="AK1936" s="137"/>
    </row>
    <row r="1937" spans="13:37" x14ac:dyDescent="0.25">
      <c r="M1937" s="137"/>
      <c r="N1937" s="137"/>
      <c r="O1937" s="137"/>
      <c r="P1937" s="137"/>
      <c r="R1937" s="137"/>
      <c r="S1937" s="137"/>
      <c r="T1937" s="137"/>
      <c r="U1937" s="137"/>
      <c r="V1937" s="137"/>
      <c r="W1937" s="137"/>
      <c r="X1937" s="137"/>
      <c r="Y1937" s="137"/>
      <c r="Z1937" s="137"/>
      <c r="AA1937" s="137"/>
      <c r="AB1937" s="137"/>
      <c r="AC1937" s="137"/>
      <c r="AD1937" s="137"/>
      <c r="AE1937" s="137"/>
      <c r="AF1937" s="137"/>
      <c r="AG1937" s="137"/>
      <c r="AH1937" s="137"/>
      <c r="AI1937" s="137"/>
      <c r="AJ1937" s="137"/>
      <c r="AK1937" s="137"/>
    </row>
    <row r="1938" spans="13:37" x14ac:dyDescent="0.25">
      <c r="M1938" s="137"/>
      <c r="N1938" s="137"/>
      <c r="O1938" s="137"/>
      <c r="P1938" s="137"/>
      <c r="R1938" s="137"/>
      <c r="S1938" s="137"/>
      <c r="T1938" s="137"/>
      <c r="U1938" s="137"/>
      <c r="V1938" s="137"/>
      <c r="W1938" s="137"/>
      <c r="X1938" s="137"/>
      <c r="Y1938" s="137"/>
      <c r="Z1938" s="137"/>
      <c r="AA1938" s="137"/>
      <c r="AB1938" s="137"/>
      <c r="AC1938" s="137"/>
      <c r="AD1938" s="137"/>
      <c r="AE1938" s="137"/>
      <c r="AF1938" s="137"/>
      <c r="AG1938" s="137"/>
      <c r="AH1938" s="137"/>
      <c r="AI1938" s="137"/>
      <c r="AJ1938" s="137"/>
      <c r="AK1938" s="137"/>
    </row>
    <row r="1939" spans="13:37" x14ac:dyDescent="0.25">
      <c r="M1939" s="137"/>
      <c r="N1939" s="137"/>
      <c r="O1939" s="137"/>
      <c r="P1939" s="137"/>
      <c r="R1939" s="137"/>
      <c r="S1939" s="137"/>
      <c r="T1939" s="137"/>
      <c r="U1939" s="137"/>
      <c r="V1939" s="137"/>
      <c r="W1939" s="137"/>
      <c r="X1939" s="137"/>
      <c r="Y1939" s="137"/>
      <c r="Z1939" s="137"/>
      <c r="AA1939" s="137"/>
      <c r="AB1939" s="137"/>
      <c r="AC1939" s="137"/>
      <c r="AD1939" s="137"/>
      <c r="AE1939" s="137"/>
      <c r="AF1939" s="137"/>
      <c r="AG1939" s="137"/>
      <c r="AH1939" s="137"/>
      <c r="AI1939" s="137"/>
      <c r="AJ1939" s="137"/>
      <c r="AK1939" s="137"/>
    </row>
    <row r="1940" spans="13:37" x14ac:dyDescent="0.25">
      <c r="M1940" s="137"/>
      <c r="N1940" s="137"/>
      <c r="O1940" s="137"/>
      <c r="P1940" s="137"/>
      <c r="R1940" s="137"/>
      <c r="S1940" s="137"/>
      <c r="T1940" s="137"/>
      <c r="U1940" s="137"/>
      <c r="V1940" s="137"/>
      <c r="W1940" s="137"/>
      <c r="X1940" s="137"/>
      <c r="Y1940" s="137"/>
      <c r="Z1940" s="137"/>
      <c r="AA1940" s="137"/>
      <c r="AB1940" s="137"/>
      <c r="AC1940" s="137"/>
      <c r="AD1940" s="137"/>
      <c r="AE1940" s="137"/>
      <c r="AF1940" s="137"/>
      <c r="AG1940" s="137"/>
      <c r="AH1940" s="137"/>
      <c r="AI1940" s="137"/>
      <c r="AJ1940" s="137"/>
      <c r="AK1940" s="137"/>
    </row>
    <row r="1941" spans="13:37" x14ac:dyDescent="0.25">
      <c r="M1941" s="137"/>
      <c r="N1941" s="137"/>
      <c r="O1941" s="137"/>
      <c r="P1941" s="137"/>
      <c r="R1941" s="137"/>
      <c r="S1941" s="137"/>
      <c r="T1941" s="137"/>
      <c r="U1941" s="137"/>
      <c r="V1941" s="137"/>
      <c r="W1941" s="137"/>
      <c r="X1941" s="137"/>
      <c r="Y1941" s="137"/>
      <c r="Z1941" s="137"/>
      <c r="AA1941" s="137"/>
      <c r="AB1941" s="137"/>
      <c r="AC1941" s="137"/>
      <c r="AD1941" s="137"/>
      <c r="AE1941" s="137"/>
      <c r="AF1941" s="137"/>
      <c r="AG1941" s="137"/>
      <c r="AH1941" s="137"/>
      <c r="AI1941" s="137"/>
      <c r="AJ1941" s="137"/>
      <c r="AK1941" s="137"/>
    </row>
    <row r="1942" spans="13:37" x14ac:dyDescent="0.25">
      <c r="M1942" s="137"/>
      <c r="N1942" s="137"/>
      <c r="O1942" s="137"/>
      <c r="P1942" s="137"/>
      <c r="R1942" s="137"/>
      <c r="S1942" s="137"/>
      <c r="T1942" s="137"/>
      <c r="U1942" s="137"/>
      <c r="V1942" s="137"/>
      <c r="W1942" s="137"/>
      <c r="X1942" s="137"/>
      <c r="Y1942" s="137"/>
      <c r="Z1942" s="137"/>
      <c r="AA1942" s="137"/>
      <c r="AB1942" s="137"/>
      <c r="AC1942" s="137"/>
      <c r="AD1942" s="137"/>
      <c r="AE1942" s="137"/>
      <c r="AF1942" s="137"/>
      <c r="AG1942" s="137"/>
      <c r="AH1942" s="137"/>
      <c r="AI1942" s="137"/>
      <c r="AJ1942" s="137"/>
      <c r="AK1942" s="137"/>
    </row>
    <row r="1943" spans="13:37" x14ac:dyDescent="0.25">
      <c r="M1943" s="137"/>
      <c r="N1943" s="137"/>
      <c r="O1943" s="137"/>
      <c r="P1943" s="137"/>
      <c r="R1943" s="137"/>
      <c r="S1943" s="137"/>
      <c r="T1943" s="137"/>
      <c r="U1943" s="137"/>
      <c r="V1943" s="137"/>
      <c r="W1943" s="137"/>
      <c r="X1943" s="137"/>
      <c r="Y1943" s="137"/>
      <c r="Z1943" s="137"/>
      <c r="AA1943" s="137"/>
      <c r="AB1943" s="137"/>
      <c r="AC1943" s="137"/>
      <c r="AD1943" s="137"/>
      <c r="AE1943" s="137"/>
      <c r="AF1943" s="137"/>
      <c r="AG1943" s="137"/>
      <c r="AH1943" s="137"/>
      <c r="AI1943" s="137"/>
      <c r="AJ1943" s="137"/>
      <c r="AK1943" s="137"/>
    </row>
    <row r="1944" spans="13:37" x14ac:dyDescent="0.25">
      <c r="M1944" s="137"/>
      <c r="N1944" s="137"/>
      <c r="O1944" s="137"/>
      <c r="P1944" s="137"/>
      <c r="R1944" s="137"/>
      <c r="S1944" s="137"/>
      <c r="T1944" s="137"/>
      <c r="U1944" s="137"/>
      <c r="V1944" s="137"/>
      <c r="W1944" s="137"/>
      <c r="X1944" s="137"/>
      <c r="Y1944" s="137"/>
      <c r="Z1944" s="137"/>
      <c r="AA1944" s="137"/>
      <c r="AB1944" s="137"/>
      <c r="AC1944" s="137"/>
      <c r="AD1944" s="137"/>
      <c r="AE1944" s="137"/>
      <c r="AF1944" s="137"/>
      <c r="AG1944" s="137"/>
      <c r="AH1944" s="137"/>
      <c r="AI1944" s="137"/>
      <c r="AJ1944" s="137"/>
      <c r="AK1944" s="137"/>
    </row>
    <row r="1945" spans="13:37" x14ac:dyDescent="0.25">
      <c r="M1945" s="137"/>
      <c r="N1945" s="137"/>
      <c r="O1945" s="137"/>
      <c r="P1945" s="137"/>
      <c r="R1945" s="137"/>
      <c r="S1945" s="137"/>
      <c r="T1945" s="137"/>
      <c r="U1945" s="137"/>
      <c r="V1945" s="137"/>
      <c r="W1945" s="137"/>
      <c r="X1945" s="137"/>
      <c r="Y1945" s="137"/>
      <c r="Z1945" s="137"/>
      <c r="AA1945" s="137"/>
      <c r="AB1945" s="137"/>
      <c r="AC1945" s="137"/>
      <c r="AD1945" s="137"/>
      <c r="AE1945" s="137"/>
      <c r="AF1945" s="137"/>
      <c r="AG1945" s="137"/>
      <c r="AH1945" s="137"/>
      <c r="AI1945" s="137"/>
      <c r="AJ1945" s="137"/>
      <c r="AK1945" s="137"/>
    </row>
    <row r="1946" spans="13:37" x14ac:dyDescent="0.25">
      <c r="M1946" s="137"/>
      <c r="N1946" s="137"/>
      <c r="O1946" s="137"/>
      <c r="P1946" s="137"/>
      <c r="R1946" s="137"/>
      <c r="S1946" s="137"/>
      <c r="T1946" s="137"/>
      <c r="U1946" s="137"/>
      <c r="V1946" s="137"/>
      <c r="W1946" s="137"/>
      <c r="X1946" s="137"/>
      <c r="Y1946" s="137"/>
      <c r="Z1946" s="137"/>
      <c r="AA1946" s="137"/>
      <c r="AB1946" s="137"/>
      <c r="AC1946" s="137"/>
      <c r="AD1946" s="137"/>
      <c r="AE1946" s="137"/>
      <c r="AF1946" s="137"/>
      <c r="AG1946" s="137"/>
      <c r="AH1946" s="137"/>
      <c r="AI1946" s="137"/>
      <c r="AJ1946" s="137"/>
      <c r="AK1946" s="137"/>
    </row>
    <row r="1947" spans="13:37" x14ac:dyDescent="0.25">
      <c r="M1947" s="137"/>
      <c r="N1947" s="137"/>
      <c r="O1947" s="137"/>
      <c r="P1947" s="137"/>
      <c r="R1947" s="137"/>
      <c r="S1947" s="137"/>
      <c r="T1947" s="137"/>
      <c r="U1947" s="137"/>
      <c r="V1947" s="137"/>
      <c r="W1947" s="137"/>
      <c r="X1947" s="137"/>
      <c r="Y1947" s="137"/>
      <c r="Z1947" s="137"/>
      <c r="AA1947" s="137"/>
      <c r="AB1947" s="137"/>
      <c r="AC1947" s="137"/>
      <c r="AD1947" s="137"/>
      <c r="AE1947" s="137"/>
      <c r="AF1947" s="137"/>
      <c r="AG1947" s="137"/>
      <c r="AH1947" s="137"/>
      <c r="AI1947" s="137"/>
      <c r="AJ1947" s="137"/>
      <c r="AK1947" s="137"/>
    </row>
    <row r="1948" spans="13:37" x14ac:dyDescent="0.25">
      <c r="M1948" s="137"/>
      <c r="N1948" s="137"/>
      <c r="O1948" s="137"/>
      <c r="P1948" s="137"/>
      <c r="R1948" s="137"/>
      <c r="S1948" s="137"/>
      <c r="T1948" s="137"/>
      <c r="U1948" s="137"/>
      <c r="V1948" s="137"/>
      <c r="W1948" s="137"/>
      <c r="X1948" s="137"/>
      <c r="Y1948" s="137"/>
      <c r="Z1948" s="137"/>
      <c r="AA1948" s="137"/>
      <c r="AB1948" s="137"/>
      <c r="AC1948" s="137"/>
      <c r="AD1948" s="137"/>
      <c r="AE1948" s="137"/>
      <c r="AF1948" s="137"/>
      <c r="AG1948" s="137"/>
      <c r="AH1948" s="137"/>
      <c r="AI1948" s="137"/>
      <c r="AJ1948" s="137"/>
      <c r="AK1948" s="137"/>
    </row>
    <row r="1949" spans="13:37" x14ac:dyDescent="0.25">
      <c r="M1949" s="137"/>
      <c r="N1949" s="137"/>
      <c r="O1949" s="137"/>
      <c r="P1949" s="137"/>
      <c r="R1949" s="137"/>
      <c r="S1949" s="137"/>
      <c r="T1949" s="137"/>
      <c r="U1949" s="137"/>
      <c r="V1949" s="137"/>
      <c r="W1949" s="137"/>
      <c r="X1949" s="137"/>
      <c r="Y1949" s="137"/>
      <c r="Z1949" s="137"/>
      <c r="AA1949" s="137"/>
      <c r="AB1949" s="137"/>
      <c r="AC1949" s="137"/>
      <c r="AD1949" s="137"/>
      <c r="AE1949" s="137"/>
      <c r="AF1949" s="137"/>
      <c r="AG1949" s="137"/>
      <c r="AH1949" s="137"/>
      <c r="AI1949" s="137"/>
      <c r="AJ1949" s="137"/>
      <c r="AK1949" s="137"/>
    </row>
    <row r="1950" spans="13:37" x14ac:dyDescent="0.25">
      <c r="M1950" s="137"/>
      <c r="N1950" s="137"/>
      <c r="O1950" s="137"/>
      <c r="P1950" s="137"/>
      <c r="R1950" s="137"/>
      <c r="S1950" s="137"/>
      <c r="T1950" s="137"/>
      <c r="U1950" s="137"/>
      <c r="V1950" s="137"/>
      <c r="W1950" s="137"/>
      <c r="X1950" s="137"/>
      <c r="Y1950" s="137"/>
      <c r="Z1950" s="137"/>
      <c r="AA1950" s="137"/>
      <c r="AB1950" s="137"/>
      <c r="AC1950" s="137"/>
      <c r="AD1950" s="137"/>
      <c r="AE1950" s="137"/>
      <c r="AF1950" s="137"/>
      <c r="AG1950" s="137"/>
      <c r="AH1950" s="137"/>
      <c r="AI1950" s="137"/>
      <c r="AJ1950" s="137"/>
      <c r="AK1950" s="137"/>
    </row>
    <row r="1951" spans="13:37" x14ac:dyDescent="0.25">
      <c r="M1951" s="137"/>
      <c r="N1951" s="137"/>
      <c r="O1951" s="137"/>
      <c r="P1951" s="137"/>
      <c r="R1951" s="137"/>
      <c r="S1951" s="137"/>
      <c r="T1951" s="137"/>
      <c r="U1951" s="137"/>
      <c r="V1951" s="137"/>
      <c r="W1951" s="137"/>
      <c r="X1951" s="137"/>
      <c r="Y1951" s="137"/>
      <c r="Z1951" s="137"/>
      <c r="AA1951" s="137"/>
      <c r="AB1951" s="137"/>
      <c r="AC1951" s="137"/>
      <c r="AD1951" s="137"/>
      <c r="AE1951" s="137"/>
      <c r="AF1951" s="137"/>
      <c r="AG1951" s="137"/>
      <c r="AH1951" s="137"/>
      <c r="AI1951" s="137"/>
      <c r="AJ1951" s="137"/>
      <c r="AK1951" s="137"/>
    </row>
    <row r="1952" spans="13:37" x14ac:dyDescent="0.25">
      <c r="M1952" s="137"/>
      <c r="N1952" s="137"/>
      <c r="O1952" s="137"/>
      <c r="P1952" s="137"/>
      <c r="R1952" s="137"/>
      <c r="S1952" s="137"/>
      <c r="T1952" s="137"/>
      <c r="U1952" s="137"/>
      <c r="V1952" s="137"/>
      <c r="W1952" s="137"/>
      <c r="X1952" s="137"/>
      <c r="Y1952" s="137"/>
      <c r="Z1952" s="137"/>
      <c r="AA1952" s="137"/>
      <c r="AB1952" s="137"/>
      <c r="AC1952" s="137"/>
      <c r="AD1952" s="137"/>
      <c r="AE1952" s="137"/>
      <c r="AF1952" s="137"/>
      <c r="AG1952" s="137"/>
      <c r="AH1952" s="137"/>
      <c r="AI1952" s="137"/>
      <c r="AJ1952" s="137"/>
      <c r="AK1952" s="137"/>
    </row>
    <row r="1953" spans="13:37" x14ac:dyDescent="0.25">
      <c r="M1953" s="137"/>
      <c r="N1953" s="137"/>
      <c r="O1953" s="137"/>
      <c r="P1953" s="137"/>
      <c r="R1953" s="137"/>
      <c r="S1953" s="137"/>
      <c r="T1953" s="137"/>
      <c r="U1953" s="137"/>
      <c r="V1953" s="137"/>
      <c r="W1953" s="137"/>
      <c r="X1953" s="137"/>
      <c r="Y1953" s="137"/>
      <c r="Z1953" s="137"/>
      <c r="AA1953" s="137"/>
      <c r="AB1953" s="137"/>
      <c r="AC1953" s="137"/>
      <c r="AD1953" s="137"/>
      <c r="AE1953" s="137"/>
      <c r="AF1953" s="137"/>
      <c r="AG1953" s="137"/>
      <c r="AH1953" s="137"/>
      <c r="AI1953" s="137"/>
      <c r="AJ1953" s="137"/>
      <c r="AK1953" s="137"/>
    </row>
    <row r="1954" spans="13:37" x14ac:dyDescent="0.25">
      <c r="M1954" s="137"/>
      <c r="N1954" s="137"/>
      <c r="O1954" s="137"/>
      <c r="P1954" s="137"/>
      <c r="R1954" s="137"/>
      <c r="S1954" s="137"/>
      <c r="T1954" s="137"/>
      <c r="U1954" s="137"/>
      <c r="V1954" s="137"/>
      <c r="W1954" s="137"/>
      <c r="X1954" s="137"/>
      <c r="Y1954" s="137"/>
      <c r="Z1954" s="137"/>
      <c r="AA1954" s="137"/>
      <c r="AB1954" s="137"/>
      <c r="AC1954" s="137"/>
      <c r="AD1954" s="137"/>
      <c r="AE1954" s="137"/>
      <c r="AF1954" s="137"/>
      <c r="AG1954" s="137"/>
      <c r="AH1954" s="137"/>
      <c r="AI1954" s="137"/>
      <c r="AJ1954" s="137"/>
      <c r="AK1954" s="137"/>
    </row>
    <row r="1955" spans="13:37" x14ac:dyDescent="0.25">
      <c r="M1955" s="137"/>
      <c r="N1955" s="137"/>
      <c r="O1955" s="137"/>
      <c r="P1955" s="137"/>
      <c r="R1955" s="137"/>
      <c r="S1955" s="137"/>
      <c r="T1955" s="137"/>
      <c r="U1955" s="137"/>
      <c r="V1955" s="137"/>
      <c r="W1955" s="137"/>
      <c r="X1955" s="137"/>
      <c r="Y1955" s="137"/>
      <c r="Z1955" s="137"/>
      <c r="AA1955" s="137"/>
      <c r="AB1955" s="137"/>
      <c r="AC1955" s="137"/>
      <c r="AD1955" s="137"/>
      <c r="AE1955" s="137"/>
      <c r="AF1955" s="137"/>
      <c r="AG1955" s="137"/>
      <c r="AH1955" s="137"/>
      <c r="AI1955" s="137"/>
      <c r="AJ1955" s="137"/>
      <c r="AK1955" s="137"/>
    </row>
    <row r="1956" spans="13:37" x14ac:dyDescent="0.25">
      <c r="M1956" s="137"/>
      <c r="N1956" s="137"/>
      <c r="O1956" s="137"/>
      <c r="P1956" s="137"/>
      <c r="R1956" s="137"/>
      <c r="S1956" s="137"/>
      <c r="T1956" s="137"/>
      <c r="U1956" s="137"/>
      <c r="V1956" s="137"/>
      <c r="W1956" s="137"/>
      <c r="X1956" s="137"/>
      <c r="Y1956" s="137"/>
      <c r="Z1956" s="137"/>
      <c r="AA1956" s="137"/>
      <c r="AB1956" s="137"/>
      <c r="AC1956" s="137"/>
      <c r="AD1956" s="137"/>
      <c r="AE1956" s="137"/>
      <c r="AF1956" s="137"/>
      <c r="AG1956" s="137"/>
      <c r="AH1956" s="137"/>
      <c r="AI1956" s="137"/>
      <c r="AJ1956" s="137"/>
      <c r="AK1956" s="137"/>
    </row>
    <row r="1957" spans="13:37" x14ac:dyDescent="0.25">
      <c r="M1957" s="137"/>
      <c r="N1957" s="137"/>
      <c r="O1957" s="137"/>
      <c r="P1957" s="137"/>
      <c r="R1957" s="137"/>
      <c r="S1957" s="137"/>
      <c r="T1957" s="137"/>
      <c r="U1957" s="137"/>
      <c r="V1957" s="137"/>
      <c r="W1957" s="137"/>
      <c r="X1957" s="137"/>
      <c r="Y1957" s="137"/>
      <c r="Z1957" s="137"/>
      <c r="AA1957" s="137"/>
      <c r="AB1957" s="137"/>
      <c r="AC1957" s="137"/>
      <c r="AD1957" s="137"/>
      <c r="AE1957" s="137"/>
      <c r="AF1957" s="137"/>
      <c r="AG1957" s="137"/>
      <c r="AH1957" s="137"/>
      <c r="AI1957" s="137"/>
      <c r="AJ1957" s="137"/>
      <c r="AK1957" s="137"/>
    </row>
    <row r="1958" spans="13:37" x14ac:dyDescent="0.25">
      <c r="M1958" s="137"/>
      <c r="N1958" s="137"/>
      <c r="O1958" s="137"/>
      <c r="P1958" s="137"/>
      <c r="R1958" s="137"/>
      <c r="S1958" s="137"/>
      <c r="T1958" s="137"/>
      <c r="U1958" s="137"/>
      <c r="V1958" s="137"/>
      <c r="W1958" s="137"/>
      <c r="X1958" s="137"/>
      <c r="Y1958" s="137"/>
      <c r="Z1958" s="137"/>
      <c r="AA1958" s="137"/>
      <c r="AB1958" s="137"/>
      <c r="AC1958" s="137"/>
      <c r="AD1958" s="137"/>
      <c r="AE1958" s="137"/>
      <c r="AF1958" s="137"/>
      <c r="AG1958" s="137"/>
      <c r="AH1958" s="137"/>
      <c r="AI1958" s="137"/>
      <c r="AJ1958" s="137"/>
      <c r="AK1958" s="137"/>
    </row>
    <row r="1959" spans="13:37" x14ac:dyDescent="0.25">
      <c r="M1959" s="137"/>
      <c r="N1959" s="137"/>
      <c r="O1959" s="137"/>
      <c r="P1959" s="137"/>
      <c r="R1959" s="137"/>
      <c r="S1959" s="137"/>
      <c r="T1959" s="137"/>
      <c r="U1959" s="137"/>
      <c r="V1959" s="137"/>
      <c r="W1959" s="137"/>
      <c r="X1959" s="137"/>
      <c r="Y1959" s="137"/>
      <c r="Z1959" s="137"/>
      <c r="AA1959" s="137"/>
      <c r="AB1959" s="137"/>
      <c r="AC1959" s="137"/>
      <c r="AD1959" s="137"/>
      <c r="AE1959" s="137"/>
      <c r="AF1959" s="137"/>
      <c r="AG1959" s="137"/>
      <c r="AH1959" s="137"/>
      <c r="AI1959" s="137"/>
      <c r="AJ1959" s="137"/>
      <c r="AK1959" s="137"/>
    </row>
    <row r="1960" spans="13:37" x14ac:dyDescent="0.25">
      <c r="M1960" s="137"/>
      <c r="N1960" s="137"/>
      <c r="O1960" s="137"/>
      <c r="P1960" s="137"/>
      <c r="R1960" s="137"/>
      <c r="S1960" s="137"/>
      <c r="T1960" s="137"/>
      <c r="U1960" s="137"/>
      <c r="V1960" s="137"/>
      <c r="W1960" s="137"/>
      <c r="X1960" s="137"/>
      <c r="Y1960" s="137"/>
      <c r="Z1960" s="137"/>
      <c r="AA1960" s="137"/>
      <c r="AB1960" s="137"/>
      <c r="AC1960" s="137"/>
      <c r="AD1960" s="137"/>
      <c r="AE1960" s="137"/>
      <c r="AF1960" s="137"/>
      <c r="AG1960" s="137"/>
      <c r="AH1960" s="137"/>
      <c r="AI1960" s="137"/>
      <c r="AJ1960" s="137"/>
      <c r="AK1960" s="137"/>
    </row>
    <row r="1961" spans="13:37" x14ac:dyDescent="0.25">
      <c r="M1961" s="137"/>
      <c r="N1961" s="137"/>
      <c r="O1961" s="137"/>
      <c r="P1961" s="137"/>
      <c r="R1961" s="137"/>
      <c r="S1961" s="137"/>
      <c r="T1961" s="137"/>
      <c r="U1961" s="137"/>
      <c r="V1961" s="137"/>
      <c r="W1961" s="137"/>
      <c r="X1961" s="137"/>
      <c r="Y1961" s="137"/>
      <c r="Z1961" s="137"/>
      <c r="AA1961" s="137"/>
      <c r="AB1961" s="137"/>
      <c r="AC1961" s="137"/>
      <c r="AD1961" s="137"/>
      <c r="AE1961" s="137"/>
      <c r="AF1961" s="137"/>
      <c r="AG1961" s="137"/>
      <c r="AH1961" s="137"/>
      <c r="AI1961" s="137"/>
      <c r="AJ1961" s="137"/>
      <c r="AK1961" s="137"/>
    </row>
    <row r="1962" spans="13:37" x14ac:dyDescent="0.25">
      <c r="M1962" s="137"/>
      <c r="N1962" s="137"/>
      <c r="O1962" s="137"/>
      <c r="P1962" s="137"/>
      <c r="R1962" s="137"/>
      <c r="S1962" s="137"/>
      <c r="T1962" s="137"/>
      <c r="U1962" s="137"/>
      <c r="V1962" s="137"/>
      <c r="W1962" s="137"/>
      <c r="X1962" s="137"/>
      <c r="Y1962" s="137"/>
      <c r="Z1962" s="137"/>
      <c r="AA1962" s="137"/>
      <c r="AB1962" s="137"/>
      <c r="AC1962" s="137"/>
      <c r="AD1962" s="137"/>
      <c r="AE1962" s="137"/>
      <c r="AF1962" s="137"/>
      <c r="AG1962" s="137"/>
      <c r="AH1962" s="137"/>
      <c r="AI1962" s="137"/>
      <c r="AJ1962" s="137"/>
      <c r="AK1962" s="137"/>
    </row>
    <row r="1963" spans="13:37" x14ac:dyDescent="0.25">
      <c r="M1963" s="137"/>
      <c r="N1963" s="137"/>
      <c r="O1963" s="137"/>
      <c r="P1963" s="137"/>
      <c r="R1963" s="137"/>
      <c r="S1963" s="137"/>
      <c r="T1963" s="137"/>
      <c r="U1963" s="137"/>
      <c r="V1963" s="137"/>
      <c r="W1963" s="137"/>
      <c r="X1963" s="137"/>
      <c r="Y1963" s="137"/>
      <c r="Z1963" s="137"/>
      <c r="AA1963" s="137"/>
      <c r="AB1963" s="137"/>
      <c r="AC1963" s="137"/>
      <c r="AD1963" s="137"/>
      <c r="AE1963" s="137"/>
      <c r="AF1963" s="137"/>
      <c r="AG1963" s="137"/>
      <c r="AH1963" s="137"/>
      <c r="AI1963" s="137"/>
      <c r="AJ1963" s="137"/>
      <c r="AK1963" s="137"/>
    </row>
    <row r="1964" spans="13:37" x14ac:dyDescent="0.25">
      <c r="M1964" s="137"/>
      <c r="N1964" s="137"/>
      <c r="O1964" s="137"/>
      <c r="P1964" s="137"/>
      <c r="R1964" s="137"/>
      <c r="S1964" s="137"/>
      <c r="T1964" s="137"/>
      <c r="U1964" s="137"/>
      <c r="V1964" s="137"/>
      <c r="W1964" s="137"/>
      <c r="X1964" s="137"/>
      <c r="Y1964" s="137"/>
      <c r="Z1964" s="137"/>
      <c r="AA1964" s="137"/>
      <c r="AB1964" s="137"/>
      <c r="AC1964" s="137"/>
      <c r="AD1964" s="137"/>
      <c r="AE1964" s="137"/>
      <c r="AF1964" s="137"/>
      <c r="AG1964" s="137"/>
      <c r="AH1964" s="137"/>
      <c r="AI1964" s="137"/>
      <c r="AJ1964" s="137"/>
      <c r="AK1964" s="137"/>
    </row>
    <row r="1965" spans="13:37" x14ac:dyDescent="0.25">
      <c r="M1965" s="137"/>
      <c r="N1965" s="137"/>
      <c r="O1965" s="137"/>
      <c r="P1965" s="137"/>
      <c r="R1965" s="137"/>
      <c r="S1965" s="137"/>
      <c r="T1965" s="137"/>
      <c r="U1965" s="137"/>
      <c r="V1965" s="137"/>
      <c r="W1965" s="137"/>
      <c r="X1965" s="137"/>
      <c r="Y1965" s="137"/>
      <c r="Z1965" s="137"/>
      <c r="AA1965" s="137"/>
      <c r="AB1965" s="137"/>
      <c r="AC1965" s="137"/>
      <c r="AD1965" s="137"/>
      <c r="AE1965" s="137"/>
      <c r="AF1965" s="137"/>
      <c r="AG1965" s="137"/>
      <c r="AH1965" s="137"/>
      <c r="AI1965" s="137"/>
      <c r="AJ1965" s="137"/>
      <c r="AK1965" s="137"/>
    </row>
    <row r="1966" spans="13:37" x14ac:dyDescent="0.25">
      <c r="M1966" s="137"/>
      <c r="N1966" s="137"/>
      <c r="O1966" s="137"/>
      <c r="P1966" s="137"/>
      <c r="R1966" s="137"/>
      <c r="S1966" s="137"/>
      <c r="T1966" s="137"/>
      <c r="U1966" s="137"/>
      <c r="V1966" s="137"/>
      <c r="W1966" s="137"/>
      <c r="X1966" s="137"/>
      <c r="Y1966" s="137"/>
      <c r="Z1966" s="137"/>
      <c r="AA1966" s="137"/>
      <c r="AB1966" s="137"/>
      <c r="AC1966" s="137"/>
      <c r="AD1966" s="137"/>
      <c r="AE1966" s="137"/>
      <c r="AF1966" s="137"/>
      <c r="AG1966" s="137"/>
      <c r="AH1966" s="137"/>
      <c r="AI1966" s="137"/>
      <c r="AJ1966" s="137"/>
      <c r="AK1966" s="137"/>
    </row>
    <row r="1967" spans="13:37" x14ac:dyDescent="0.25">
      <c r="M1967" s="137"/>
      <c r="N1967" s="137"/>
      <c r="O1967" s="137"/>
      <c r="P1967" s="137"/>
      <c r="R1967" s="137"/>
      <c r="S1967" s="137"/>
      <c r="T1967" s="137"/>
      <c r="U1967" s="137"/>
      <c r="V1967" s="137"/>
      <c r="W1967" s="137"/>
      <c r="X1967" s="137"/>
      <c r="Y1967" s="137"/>
      <c r="Z1967" s="137"/>
      <c r="AA1967" s="137"/>
      <c r="AB1967" s="137"/>
      <c r="AC1967" s="137"/>
      <c r="AD1967" s="137"/>
      <c r="AE1967" s="137"/>
      <c r="AF1967" s="137"/>
      <c r="AG1967" s="137"/>
      <c r="AH1967" s="137"/>
      <c r="AI1967" s="137"/>
      <c r="AJ1967" s="137"/>
      <c r="AK1967" s="137"/>
    </row>
    <row r="1968" spans="13:37" x14ac:dyDescent="0.25">
      <c r="M1968" s="137"/>
      <c r="N1968" s="137"/>
      <c r="O1968" s="137"/>
      <c r="P1968" s="137"/>
      <c r="R1968" s="137"/>
      <c r="S1968" s="137"/>
      <c r="T1968" s="137"/>
      <c r="U1968" s="137"/>
      <c r="V1968" s="137"/>
      <c r="W1968" s="137"/>
      <c r="X1968" s="137"/>
      <c r="Y1968" s="137"/>
      <c r="Z1968" s="137"/>
      <c r="AA1968" s="137"/>
      <c r="AB1968" s="137"/>
      <c r="AC1968" s="137"/>
      <c r="AD1968" s="137"/>
      <c r="AE1968" s="137"/>
      <c r="AF1968" s="137"/>
      <c r="AG1968" s="137"/>
      <c r="AH1968" s="137"/>
      <c r="AI1968" s="137"/>
      <c r="AJ1968" s="137"/>
      <c r="AK1968" s="137"/>
    </row>
    <row r="1969" spans="13:37" x14ac:dyDescent="0.25">
      <c r="M1969" s="137"/>
      <c r="N1969" s="137"/>
      <c r="O1969" s="137"/>
      <c r="P1969" s="137"/>
      <c r="R1969" s="137"/>
      <c r="S1969" s="137"/>
      <c r="T1969" s="137"/>
      <c r="U1969" s="137"/>
      <c r="V1969" s="137"/>
      <c r="W1969" s="137"/>
      <c r="X1969" s="137"/>
      <c r="Y1969" s="137"/>
      <c r="Z1969" s="137"/>
      <c r="AA1969" s="137"/>
      <c r="AB1969" s="137"/>
      <c r="AC1969" s="137"/>
      <c r="AD1969" s="137"/>
      <c r="AE1969" s="137"/>
      <c r="AF1969" s="137"/>
      <c r="AG1969" s="137"/>
      <c r="AH1969" s="137"/>
      <c r="AI1969" s="137"/>
      <c r="AJ1969" s="137"/>
      <c r="AK1969" s="137"/>
    </row>
    <row r="1970" spans="13:37" x14ac:dyDescent="0.25">
      <c r="M1970" s="137"/>
      <c r="N1970" s="137"/>
      <c r="O1970" s="137"/>
      <c r="P1970" s="137"/>
      <c r="R1970" s="137"/>
      <c r="S1970" s="137"/>
      <c r="T1970" s="137"/>
      <c r="U1970" s="137"/>
      <c r="V1970" s="137"/>
      <c r="W1970" s="137"/>
      <c r="X1970" s="137"/>
      <c r="Y1970" s="137"/>
      <c r="Z1970" s="137"/>
      <c r="AA1970" s="137"/>
      <c r="AB1970" s="137"/>
      <c r="AC1970" s="137"/>
      <c r="AD1970" s="137"/>
      <c r="AE1970" s="137"/>
      <c r="AF1970" s="137"/>
      <c r="AG1970" s="137"/>
      <c r="AH1970" s="137"/>
      <c r="AI1970" s="137"/>
      <c r="AJ1970" s="137"/>
      <c r="AK1970" s="137"/>
    </row>
    <row r="1971" spans="13:37" x14ac:dyDescent="0.25">
      <c r="M1971" s="137"/>
      <c r="N1971" s="137"/>
      <c r="O1971" s="137"/>
      <c r="P1971" s="137"/>
      <c r="R1971" s="137"/>
      <c r="S1971" s="137"/>
      <c r="T1971" s="137"/>
      <c r="U1971" s="137"/>
      <c r="V1971" s="137"/>
      <c r="W1971" s="137"/>
      <c r="X1971" s="137"/>
      <c r="Y1971" s="137"/>
      <c r="Z1971" s="137"/>
      <c r="AA1971" s="137"/>
      <c r="AB1971" s="137"/>
      <c r="AC1971" s="137"/>
      <c r="AD1971" s="137"/>
      <c r="AE1971" s="137"/>
      <c r="AF1971" s="137"/>
      <c r="AG1971" s="137"/>
      <c r="AH1971" s="137"/>
      <c r="AI1971" s="137"/>
      <c r="AJ1971" s="137"/>
      <c r="AK1971" s="137"/>
    </row>
    <row r="1972" spans="13:37" x14ac:dyDescent="0.25">
      <c r="M1972" s="137"/>
      <c r="N1972" s="137"/>
      <c r="O1972" s="137"/>
      <c r="P1972" s="137"/>
      <c r="R1972" s="137"/>
      <c r="S1972" s="137"/>
      <c r="T1972" s="137"/>
      <c r="U1972" s="137"/>
      <c r="V1972" s="137"/>
      <c r="W1972" s="137"/>
      <c r="X1972" s="137"/>
      <c r="Y1972" s="137"/>
      <c r="Z1972" s="137"/>
      <c r="AA1972" s="137"/>
      <c r="AB1972" s="137"/>
      <c r="AC1972" s="137"/>
      <c r="AD1972" s="137"/>
      <c r="AE1972" s="137"/>
      <c r="AF1972" s="137"/>
      <c r="AG1972" s="137"/>
      <c r="AH1972" s="137"/>
      <c r="AI1972" s="137"/>
      <c r="AJ1972" s="137"/>
      <c r="AK1972" s="137"/>
    </row>
    <row r="1973" spans="13:37" x14ac:dyDescent="0.25">
      <c r="M1973" s="137"/>
      <c r="N1973" s="137"/>
      <c r="O1973" s="137"/>
      <c r="P1973" s="137"/>
      <c r="R1973" s="137"/>
      <c r="S1973" s="137"/>
      <c r="T1973" s="137"/>
      <c r="U1973" s="137"/>
      <c r="V1973" s="137"/>
      <c r="W1973" s="137"/>
      <c r="X1973" s="137"/>
      <c r="Y1973" s="137"/>
      <c r="Z1973" s="137"/>
      <c r="AA1973" s="137"/>
      <c r="AB1973" s="137"/>
      <c r="AC1973" s="137"/>
      <c r="AD1973" s="137"/>
      <c r="AE1973" s="137"/>
      <c r="AF1973" s="137"/>
      <c r="AG1973" s="137"/>
      <c r="AH1973" s="137"/>
      <c r="AI1973" s="137"/>
      <c r="AJ1973" s="137"/>
      <c r="AK1973" s="137"/>
    </row>
    <row r="1974" spans="13:37" x14ac:dyDescent="0.25">
      <c r="M1974" s="137"/>
      <c r="N1974" s="137"/>
      <c r="O1974" s="137"/>
      <c r="P1974" s="137"/>
      <c r="R1974" s="137"/>
      <c r="S1974" s="137"/>
      <c r="T1974" s="137"/>
      <c r="U1974" s="137"/>
      <c r="V1974" s="137"/>
      <c r="W1974" s="137"/>
      <c r="X1974" s="137"/>
      <c r="Y1974" s="137"/>
      <c r="Z1974" s="137"/>
      <c r="AA1974" s="137"/>
      <c r="AB1974" s="137"/>
      <c r="AC1974" s="137"/>
      <c r="AD1974" s="137"/>
      <c r="AE1974" s="137"/>
      <c r="AF1974" s="137"/>
      <c r="AG1974" s="137"/>
      <c r="AH1974" s="137"/>
      <c r="AI1974" s="137"/>
      <c r="AJ1974" s="137"/>
      <c r="AK1974" s="137"/>
    </row>
    <row r="1975" spans="13:37" x14ac:dyDescent="0.25">
      <c r="M1975" s="137"/>
      <c r="N1975" s="137"/>
      <c r="O1975" s="137"/>
      <c r="P1975" s="137"/>
      <c r="R1975" s="137"/>
      <c r="S1975" s="137"/>
      <c r="T1975" s="137"/>
      <c r="U1975" s="137"/>
      <c r="V1975" s="137"/>
      <c r="W1975" s="137"/>
      <c r="X1975" s="137"/>
      <c r="Y1975" s="137"/>
      <c r="Z1975" s="137"/>
      <c r="AA1975" s="137"/>
      <c r="AB1975" s="137"/>
      <c r="AC1975" s="137"/>
      <c r="AD1975" s="137"/>
      <c r="AE1975" s="137"/>
      <c r="AF1975" s="137"/>
      <c r="AG1975" s="137"/>
      <c r="AH1975" s="137"/>
      <c r="AI1975" s="137"/>
      <c r="AJ1975" s="137"/>
      <c r="AK1975" s="137"/>
    </row>
    <row r="1976" spans="13:37" x14ac:dyDescent="0.25">
      <c r="M1976" s="137"/>
      <c r="N1976" s="137"/>
      <c r="O1976" s="137"/>
      <c r="P1976" s="137"/>
      <c r="R1976" s="137"/>
      <c r="S1976" s="137"/>
      <c r="T1976" s="137"/>
      <c r="U1976" s="137"/>
      <c r="V1976" s="137"/>
      <c r="W1976" s="137"/>
      <c r="X1976" s="137"/>
      <c r="Y1976" s="137"/>
      <c r="Z1976" s="137"/>
      <c r="AA1976" s="137"/>
      <c r="AB1976" s="137"/>
      <c r="AC1976" s="137"/>
      <c r="AD1976" s="137"/>
      <c r="AE1976" s="137"/>
      <c r="AF1976" s="137"/>
      <c r="AG1976" s="137"/>
      <c r="AH1976" s="137"/>
      <c r="AI1976" s="137"/>
      <c r="AJ1976" s="137"/>
      <c r="AK1976" s="137"/>
    </row>
    <row r="1977" spans="13:37" x14ac:dyDescent="0.25">
      <c r="M1977" s="137"/>
      <c r="N1977" s="137"/>
      <c r="O1977" s="137"/>
      <c r="P1977" s="137"/>
      <c r="R1977" s="137"/>
      <c r="S1977" s="137"/>
      <c r="T1977" s="137"/>
      <c r="U1977" s="137"/>
      <c r="V1977" s="137"/>
      <c r="W1977" s="137"/>
      <c r="X1977" s="137"/>
      <c r="Y1977" s="137"/>
      <c r="Z1977" s="137"/>
      <c r="AA1977" s="137"/>
      <c r="AB1977" s="137"/>
      <c r="AC1977" s="137"/>
      <c r="AD1977" s="137"/>
      <c r="AE1977" s="137"/>
      <c r="AF1977" s="137"/>
      <c r="AG1977" s="137"/>
      <c r="AH1977" s="137"/>
      <c r="AI1977" s="137"/>
      <c r="AJ1977" s="137"/>
      <c r="AK1977" s="137"/>
    </row>
    <row r="1978" spans="13:37" x14ac:dyDescent="0.25">
      <c r="M1978" s="137"/>
      <c r="N1978" s="137"/>
      <c r="O1978" s="137"/>
      <c r="P1978" s="137"/>
      <c r="R1978" s="137"/>
      <c r="S1978" s="137"/>
      <c r="T1978" s="137"/>
      <c r="U1978" s="137"/>
      <c r="V1978" s="137"/>
      <c r="W1978" s="137"/>
      <c r="X1978" s="137"/>
      <c r="Y1978" s="137"/>
      <c r="Z1978" s="137"/>
      <c r="AA1978" s="137"/>
      <c r="AB1978" s="137"/>
      <c r="AC1978" s="137"/>
      <c r="AD1978" s="137"/>
      <c r="AE1978" s="137"/>
      <c r="AF1978" s="137"/>
      <c r="AG1978" s="137"/>
      <c r="AH1978" s="137"/>
      <c r="AI1978" s="137"/>
      <c r="AJ1978" s="137"/>
      <c r="AK1978" s="137"/>
    </row>
    <row r="1979" spans="13:37" x14ac:dyDescent="0.25">
      <c r="M1979" s="137"/>
      <c r="N1979" s="137"/>
      <c r="O1979" s="137"/>
      <c r="P1979" s="137"/>
      <c r="R1979" s="137"/>
      <c r="S1979" s="137"/>
      <c r="T1979" s="137"/>
      <c r="U1979" s="137"/>
      <c r="V1979" s="137"/>
      <c r="W1979" s="137"/>
      <c r="X1979" s="137"/>
      <c r="Y1979" s="137"/>
      <c r="Z1979" s="137"/>
      <c r="AA1979" s="137"/>
      <c r="AB1979" s="137"/>
      <c r="AC1979" s="137"/>
      <c r="AD1979" s="137"/>
      <c r="AE1979" s="137"/>
      <c r="AF1979" s="137"/>
      <c r="AG1979" s="137"/>
      <c r="AH1979" s="137"/>
      <c r="AI1979" s="137"/>
      <c r="AJ1979" s="137"/>
      <c r="AK1979" s="137"/>
    </row>
    <row r="1980" spans="13:37" x14ac:dyDescent="0.25">
      <c r="M1980" s="137"/>
      <c r="N1980" s="137"/>
      <c r="O1980" s="137"/>
      <c r="P1980" s="137"/>
      <c r="R1980" s="137"/>
      <c r="S1980" s="137"/>
      <c r="T1980" s="137"/>
      <c r="U1980" s="137"/>
      <c r="V1980" s="137"/>
      <c r="W1980" s="137"/>
      <c r="X1980" s="137"/>
      <c r="Y1980" s="137"/>
      <c r="Z1980" s="137"/>
      <c r="AA1980" s="137"/>
      <c r="AB1980" s="137"/>
      <c r="AC1980" s="137"/>
      <c r="AD1980" s="137"/>
      <c r="AE1980" s="137"/>
      <c r="AF1980" s="137"/>
      <c r="AG1980" s="137"/>
      <c r="AH1980" s="137"/>
      <c r="AI1980" s="137"/>
      <c r="AJ1980" s="137"/>
      <c r="AK1980" s="137"/>
    </row>
    <row r="1981" spans="13:37" x14ac:dyDescent="0.25">
      <c r="M1981" s="137"/>
      <c r="N1981" s="137"/>
      <c r="O1981" s="137"/>
      <c r="P1981" s="137"/>
      <c r="R1981" s="137"/>
      <c r="S1981" s="137"/>
      <c r="T1981" s="137"/>
      <c r="U1981" s="137"/>
      <c r="V1981" s="137"/>
      <c r="W1981" s="137"/>
      <c r="X1981" s="137"/>
      <c r="Y1981" s="137"/>
      <c r="Z1981" s="137"/>
      <c r="AA1981" s="137"/>
      <c r="AB1981" s="137"/>
      <c r="AC1981" s="137"/>
      <c r="AD1981" s="137"/>
      <c r="AE1981" s="137"/>
      <c r="AF1981" s="137"/>
      <c r="AG1981" s="137"/>
      <c r="AH1981" s="137"/>
      <c r="AI1981" s="137"/>
      <c r="AJ1981" s="137"/>
      <c r="AK1981" s="137"/>
    </row>
    <row r="1982" spans="13:37" x14ac:dyDescent="0.25">
      <c r="M1982" s="137"/>
      <c r="N1982" s="137"/>
      <c r="O1982" s="137"/>
      <c r="P1982" s="137"/>
      <c r="R1982" s="137"/>
      <c r="S1982" s="137"/>
      <c r="T1982" s="137"/>
      <c r="U1982" s="137"/>
      <c r="V1982" s="137"/>
      <c r="W1982" s="137"/>
      <c r="X1982" s="137"/>
      <c r="Y1982" s="137"/>
      <c r="Z1982" s="137"/>
      <c r="AA1982" s="137"/>
      <c r="AB1982" s="137"/>
      <c r="AC1982" s="137"/>
      <c r="AD1982" s="137"/>
      <c r="AE1982" s="137"/>
      <c r="AF1982" s="137"/>
      <c r="AG1982" s="137"/>
      <c r="AH1982" s="137"/>
      <c r="AI1982" s="137"/>
      <c r="AJ1982" s="137"/>
      <c r="AK1982" s="137"/>
    </row>
    <row r="1983" spans="13:37" x14ac:dyDescent="0.25">
      <c r="M1983" s="137"/>
      <c r="N1983" s="137"/>
      <c r="O1983" s="137"/>
      <c r="P1983" s="137"/>
      <c r="R1983" s="137"/>
      <c r="S1983" s="137"/>
      <c r="T1983" s="137"/>
      <c r="U1983" s="137"/>
      <c r="V1983" s="137"/>
      <c r="W1983" s="137"/>
      <c r="X1983" s="137"/>
      <c r="Y1983" s="137"/>
      <c r="Z1983" s="137"/>
      <c r="AA1983" s="137"/>
      <c r="AB1983" s="137"/>
      <c r="AC1983" s="137"/>
      <c r="AD1983" s="137"/>
      <c r="AE1983" s="137"/>
      <c r="AF1983" s="137"/>
      <c r="AG1983" s="137"/>
      <c r="AH1983" s="137"/>
      <c r="AI1983" s="137"/>
      <c r="AJ1983" s="137"/>
      <c r="AK1983" s="137"/>
    </row>
    <row r="1984" spans="13:37" x14ac:dyDescent="0.25">
      <c r="M1984" s="137"/>
      <c r="N1984" s="137"/>
      <c r="O1984" s="137"/>
      <c r="P1984" s="137"/>
      <c r="R1984" s="137"/>
      <c r="S1984" s="137"/>
      <c r="T1984" s="137"/>
      <c r="U1984" s="137"/>
      <c r="V1984" s="137"/>
      <c r="W1984" s="137"/>
      <c r="X1984" s="137"/>
      <c r="Y1984" s="137"/>
      <c r="Z1984" s="137"/>
      <c r="AA1984" s="137"/>
      <c r="AB1984" s="137"/>
      <c r="AC1984" s="137"/>
      <c r="AD1984" s="137"/>
      <c r="AE1984" s="137"/>
      <c r="AF1984" s="137"/>
      <c r="AG1984" s="137"/>
      <c r="AH1984" s="137"/>
      <c r="AI1984" s="137"/>
      <c r="AJ1984" s="137"/>
      <c r="AK1984" s="137"/>
    </row>
    <row r="1985" spans="13:37" x14ac:dyDescent="0.25">
      <c r="M1985" s="137"/>
      <c r="N1985" s="137"/>
      <c r="O1985" s="137"/>
      <c r="P1985" s="137"/>
      <c r="R1985" s="137"/>
      <c r="S1985" s="137"/>
      <c r="T1985" s="137"/>
      <c r="U1985" s="137"/>
      <c r="V1985" s="137"/>
      <c r="W1985" s="137"/>
      <c r="X1985" s="137"/>
      <c r="Y1985" s="137"/>
      <c r="Z1985" s="137"/>
      <c r="AA1985" s="137"/>
      <c r="AB1985" s="137"/>
      <c r="AC1985" s="137"/>
      <c r="AD1985" s="137"/>
      <c r="AE1985" s="137"/>
      <c r="AF1985" s="137"/>
      <c r="AG1985" s="137"/>
      <c r="AH1985" s="137"/>
      <c r="AI1985" s="137"/>
      <c r="AJ1985" s="137"/>
      <c r="AK1985" s="137"/>
    </row>
    <row r="1986" spans="13:37" x14ac:dyDescent="0.25">
      <c r="M1986" s="137"/>
      <c r="N1986" s="137"/>
      <c r="O1986" s="137"/>
      <c r="P1986" s="137"/>
      <c r="R1986" s="137"/>
      <c r="S1986" s="137"/>
      <c r="T1986" s="137"/>
      <c r="U1986" s="137"/>
      <c r="V1986" s="137"/>
      <c r="W1986" s="137"/>
      <c r="X1986" s="137"/>
      <c r="Y1986" s="137"/>
      <c r="Z1986" s="137"/>
      <c r="AA1986" s="137"/>
      <c r="AB1986" s="137"/>
      <c r="AC1986" s="137"/>
      <c r="AD1986" s="137"/>
      <c r="AE1986" s="137"/>
      <c r="AF1986" s="137"/>
      <c r="AG1986" s="137"/>
      <c r="AH1986" s="137"/>
      <c r="AI1986" s="137"/>
      <c r="AJ1986" s="137"/>
      <c r="AK1986" s="137"/>
    </row>
    <row r="1987" spans="13:37" x14ac:dyDescent="0.25">
      <c r="M1987" s="137"/>
      <c r="N1987" s="137"/>
      <c r="O1987" s="137"/>
      <c r="P1987" s="137"/>
      <c r="R1987" s="137"/>
      <c r="S1987" s="137"/>
      <c r="T1987" s="137"/>
      <c r="U1987" s="137"/>
      <c r="V1987" s="137"/>
      <c r="W1987" s="137"/>
      <c r="X1987" s="137"/>
      <c r="Y1987" s="137"/>
      <c r="Z1987" s="137"/>
      <c r="AA1987" s="137"/>
      <c r="AB1987" s="137"/>
      <c r="AC1987" s="137"/>
      <c r="AD1987" s="137"/>
      <c r="AE1987" s="137"/>
      <c r="AF1987" s="137"/>
      <c r="AG1987" s="137"/>
      <c r="AH1987" s="137"/>
      <c r="AI1987" s="137"/>
      <c r="AJ1987" s="137"/>
      <c r="AK1987" s="137"/>
    </row>
    <row r="1988" spans="13:37" x14ac:dyDescent="0.25">
      <c r="M1988" s="137"/>
      <c r="N1988" s="137"/>
      <c r="O1988" s="137"/>
      <c r="P1988" s="137"/>
      <c r="R1988" s="137"/>
      <c r="S1988" s="137"/>
      <c r="T1988" s="137"/>
      <c r="U1988" s="137"/>
      <c r="V1988" s="137"/>
      <c r="W1988" s="137"/>
      <c r="X1988" s="137"/>
      <c r="Y1988" s="137"/>
      <c r="Z1988" s="137"/>
      <c r="AA1988" s="137"/>
      <c r="AB1988" s="137"/>
      <c r="AC1988" s="137"/>
      <c r="AD1988" s="137"/>
      <c r="AE1988" s="137"/>
      <c r="AF1988" s="137"/>
      <c r="AG1988" s="137"/>
      <c r="AH1988" s="137"/>
      <c r="AI1988" s="137"/>
      <c r="AJ1988" s="137"/>
      <c r="AK1988" s="137"/>
    </row>
    <row r="1989" spans="13:37" x14ac:dyDescent="0.25">
      <c r="M1989" s="137"/>
      <c r="N1989" s="137"/>
      <c r="O1989" s="137"/>
      <c r="P1989" s="137"/>
      <c r="R1989" s="137"/>
      <c r="S1989" s="137"/>
      <c r="T1989" s="137"/>
      <c r="U1989" s="137"/>
      <c r="V1989" s="137"/>
      <c r="W1989" s="137"/>
      <c r="X1989" s="137"/>
      <c r="Y1989" s="137"/>
      <c r="Z1989" s="137"/>
      <c r="AA1989" s="137"/>
      <c r="AB1989" s="137"/>
      <c r="AC1989" s="137"/>
      <c r="AD1989" s="137"/>
      <c r="AE1989" s="137"/>
      <c r="AF1989" s="137"/>
      <c r="AG1989" s="137"/>
      <c r="AH1989" s="137"/>
      <c r="AI1989" s="137"/>
      <c r="AJ1989" s="137"/>
      <c r="AK1989" s="137"/>
    </row>
    <row r="1990" spans="13:37" x14ac:dyDescent="0.25">
      <c r="M1990" s="137"/>
      <c r="N1990" s="137"/>
      <c r="O1990" s="137"/>
      <c r="P1990" s="137"/>
      <c r="R1990" s="137"/>
      <c r="S1990" s="137"/>
      <c r="T1990" s="137"/>
      <c r="U1990" s="137"/>
      <c r="V1990" s="137"/>
      <c r="W1990" s="137"/>
      <c r="X1990" s="137"/>
      <c r="Y1990" s="137"/>
      <c r="Z1990" s="137"/>
      <c r="AA1990" s="137"/>
      <c r="AB1990" s="137"/>
      <c r="AC1990" s="137"/>
      <c r="AD1990" s="137"/>
      <c r="AE1990" s="137"/>
      <c r="AF1990" s="137"/>
      <c r="AG1990" s="137"/>
      <c r="AH1990" s="137"/>
      <c r="AI1990" s="137"/>
      <c r="AJ1990" s="137"/>
      <c r="AK1990" s="137"/>
    </row>
    <row r="1991" spans="13:37" x14ac:dyDescent="0.25">
      <c r="M1991" s="137"/>
      <c r="N1991" s="137"/>
      <c r="O1991" s="137"/>
      <c r="P1991" s="137"/>
      <c r="R1991" s="137"/>
      <c r="S1991" s="137"/>
      <c r="T1991" s="137"/>
      <c r="U1991" s="137"/>
      <c r="V1991" s="137"/>
      <c r="W1991" s="137"/>
      <c r="X1991" s="137"/>
      <c r="Y1991" s="137"/>
      <c r="Z1991" s="137"/>
      <c r="AA1991" s="137"/>
      <c r="AB1991" s="137"/>
      <c r="AC1991" s="137"/>
      <c r="AD1991" s="137"/>
      <c r="AE1991" s="137"/>
      <c r="AF1991" s="137"/>
      <c r="AG1991" s="137"/>
      <c r="AH1991" s="137"/>
      <c r="AI1991" s="137"/>
      <c r="AJ1991" s="137"/>
      <c r="AK1991" s="137"/>
    </row>
    <row r="1992" spans="13:37" x14ac:dyDescent="0.25">
      <c r="M1992" s="137"/>
      <c r="N1992" s="137"/>
      <c r="O1992" s="137"/>
      <c r="P1992" s="137"/>
      <c r="R1992" s="137"/>
      <c r="S1992" s="137"/>
      <c r="T1992" s="137"/>
      <c r="U1992" s="137"/>
      <c r="V1992" s="137"/>
      <c r="W1992" s="137"/>
      <c r="X1992" s="137"/>
      <c r="Y1992" s="137"/>
      <c r="Z1992" s="137"/>
      <c r="AA1992" s="137"/>
      <c r="AB1992" s="137"/>
      <c r="AC1992" s="137"/>
      <c r="AD1992" s="137"/>
      <c r="AE1992" s="137"/>
      <c r="AF1992" s="137"/>
      <c r="AG1992" s="137"/>
      <c r="AH1992" s="137"/>
      <c r="AI1992" s="137"/>
      <c r="AJ1992" s="137"/>
      <c r="AK1992" s="137"/>
    </row>
    <row r="1993" spans="13:37" x14ac:dyDescent="0.25">
      <c r="M1993" s="137"/>
      <c r="N1993" s="137"/>
      <c r="O1993" s="137"/>
      <c r="P1993" s="137"/>
      <c r="R1993" s="137"/>
      <c r="S1993" s="137"/>
      <c r="T1993" s="137"/>
      <c r="U1993" s="137"/>
      <c r="V1993" s="137"/>
      <c r="W1993" s="137"/>
      <c r="X1993" s="137"/>
      <c r="Y1993" s="137"/>
      <c r="Z1993" s="137"/>
      <c r="AA1993" s="137"/>
      <c r="AB1993" s="137"/>
      <c r="AC1993" s="137"/>
      <c r="AD1993" s="137"/>
      <c r="AE1993" s="137"/>
      <c r="AF1993" s="137"/>
      <c r="AG1993" s="137"/>
      <c r="AH1993" s="137"/>
      <c r="AI1993" s="137"/>
      <c r="AJ1993" s="137"/>
      <c r="AK1993" s="137"/>
    </row>
    <row r="1994" spans="13:37" x14ac:dyDescent="0.25">
      <c r="M1994" s="137"/>
      <c r="N1994" s="137"/>
      <c r="O1994" s="137"/>
      <c r="P1994" s="137"/>
      <c r="R1994" s="137"/>
      <c r="S1994" s="137"/>
      <c r="T1994" s="137"/>
      <c r="U1994" s="137"/>
      <c r="V1994" s="137"/>
      <c r="W1994" s="137"/>
      <c r="X1994" s="137"/>
      <c r="Y1994" s="137"/>
      <c r="Z1994" s="137"/>
      <c r="AA1994" s="137"/>
      <c r="AB1994" s="137"/>
      <c r="AC1994" s="137"/>
      <c r="AD1994" s="137"/>
      <c r="AE1994" s="137"/>
      <c r="AF1994" s="137"/>
      <c r="AG1994" s="137"/>
      <c r="AH1994" s="137"/>
      <c r="AI1994" s="137"/>
      <c r="AJ1994" s="137"/>
      <c r="AK1994" s="137"/>
    </row>
    <row r="1995" spans="13:37" x14ac:dyDescent="0.25">
      <c r="M1995" s="137"/>
      <c r="N1995" s="137"/>
      <c r="O1995" s="137"/>
      <c r="P1995" s="137"/>
      <c r="R1995" s="137"/>
      <c r="S1995" s="137"/>
      <c r="T1995" s="137"/>
      <c r="U1995" s="137"/>
      <c r="V1995" s="137"/>
      <c r="W1995" s="137"/>
      <c r="X1995" s="137"/>
      <c r="Y1995" s="137"/>
      <c r="Z1995" s="137"/>
      <c r="AA1995" s="137"/>
      <c r="AB1995" s="137"/>
      <c r="AC1995" s="137"/>
      <c r="AD1995" s="137"/>
      <c r="AE1995" s="137"/>
      <c r="AF1995" s="137"/>
      <c r="AG1995" s="137"/>
      <c r="AH1995" s="137"/>
      <c r="AI1995" s="137"/>
      <c r="AJ1995" s="137"/>
      <c r="AK1995" s="137"/>
    </row>
    <row r="1996" spans="13:37" x14ac:dyDescent="0.25">
      <c r="M1996" s="137"/>
      <c r="N1996" s="137"/>
      <c r="O1996" s="137"/>
      <c r="P1996" s="137"/>
      <c r="R1996" s="137"/>
      <c r="S1996" s="137"/>
      <c r="T1996" s="137"/>
      <c r="U1996" s="137"/>
      <c r="V1996" s="137"/>
      <c r="W1996" s="137"/>
      <c r="X1996" s="137"/>
      <c r="Y1996" s="137"/>
      <c r="Z1996" s="137"/>
      <c r="AA1996" s="137"/>
      <c r="AB1996" s="137"/>
      <c r="AC1996" s="137"/>
      <c r="AD1996" s="137"/>
      <c r="AE1996" s="137"/>
      <c r="AF1996" s="137"/>
      <c r="AG1996" s="137"/>
      <c r="AH1996" s="137"/>
      <c r="AI1996" s="137"/>
      <c r="AJ1996" s="137"/>
      <c r="AK1996" s="137"/>
    </row>
    <row r="1997" spans="13:37" x14ac:dyDescent="0.25">
      <c r="M1997" s="137"/>
      <c r="N1997" s="137"/>
      <c r="O1997" s="137"/>
      <c r="P1997" s="137"/>
      <c r="R1997" s="137"/>
      <c r="S1997" s="137"/>
      <c r="T1997" s="137"/>
      <c r="U1997" s="137"/>
      <c r="V1997" s="137"/>
      <c r="W1997" s="137"/>
      <c r="X1997" s="137"/>
      <c r="Y1997" s="137"/>
      <c r="Z1997" s="137"/>
      <c r="AA1997" s="137"/>
      <c r="AB1997" s="137"/>
      <c r="AC1997" s="137"/>
      <c r="AD1997" s="137"/>
      <c r="AE1997" s="137"/>
      <c r="AF1997" s="137"/>
      <c r="AG1997" s="137"/>
      <c r="AH1997" s="137"/>
      <c r="AI1997" s="137"/>
      <c r="AJ1997" s="137"/>
      <c r="AK1997" s="137"/>
    </row>
    <row r="1998" spans="13:37" x14ac:dyDescent="0.25">
      <c r="M1998" s="137"/>
      <c r="N1998" s="137"/>
      <c r="O1998" s="137"/>
      <c r="P1998" s="137"/>
      <c r="R1998" s="137"/>
      <c r="S1998" s="137"/>
      <c r="T1998" s="137"/>
      <c r="U1998" s="137"/>
      <c r="V1998" s="137"/>
      <c r="W1998" s="137"/>
      <c r="X1998" s="137"/>
      <c r="Y1998" s="137"/>
      <c r="Z1998" s="137"/>
      <c r="AA1998" s="137"/>
      <c r="AB1998" s="137"/>
      <c r="AC1998" s="137"/>
      <c r="AD1998" s="137"/>
      <c r="AE1998" s="137"/>
      <c r="AF1998" s="137"/>
      <c r="AG1998" s="137"/>
      <c r="AH1998" s="137"/>
      <c r="AI1998" s="137"/>
      <c r="AJ1998" s="137"/>
      <c r="AK1998" s="137"/>
    </row>
    <row r="1999" spans="13:37" x14ac:dyDescent="0.25">
      <c r="M1999" s="137"/>
      <c r="N1999" s="137"/>
      <c r="O1999" s="137"/>
      <c r="P1999" s="137"/>
      <c r="R1999" s="137"/>
      <c r="S1999" s="137"/>
      <c r="T1999" s="137"/>
      <c r="U1999" s="137"/>
      <c r="V1999" s="137"/>
      <c r="W1999" s="137"/>
      <c r="X1999" s="137"/>
      <c r="Y1999" s="137"/>
      <c r="Z1999" s="137"/>
      <c r="AA1999" s="137"/>
      <c r="AB1999" s="137"/>
      <c r="AC1999" s="137"/>
      <c r="AD1999" s="137"/>
      <c r="AE1999" s="137"/>
      <c r="AF1999" s="137"/>
      <c r="AG1999" s="137"/>
      <c r="AH1999" s="137"/>
      <c r="AI1999" s="137"/>
      <c r="AJ1999" s="137"/>
      <c r="AK1999" s="137"/>
    </row>
    <row r="2000" spans="13:37" x14ac:dyDescent="0.25">
      <c r="M2000" s="137"/>
      <c r="N2000" s="137"/>
      <c r="O2000" s="137"/>
      <c r="P2000" s="137"/>
      <c r="R2000" s="137"/>
      <c r="S2000" s="137"/>
      <c r="T2000" s="137"/>
      <c r="U2000" s="137"/>
      <c r="V2000" s="137"/>
      <c r="W2000" s="137"/>
      <c r="X2000" s="137"/>
      <c r="Y2000" s="137"/>
      <c r="Z2000" s="137"/>
      <c r="AA2000" s="137"/>
      <c r="AB2000" s="137"/>
      <c r="AC2000" s="137"/>
      <c r="AD2000" s="137"/>
      <c r="AE2000" s="137"/>
      <c r="AF2000" s="137"/>
      <c r="AG2000" s="137"/>
      <c r="AH2000" s="137"/>
      <c r="AI2000" s="137"/>
      <c r="AJ2000" s="137"/>
      <c r="AK2000" s="137"/>
    </row>
  </sheetData>
  <sheetProtection algorithmName="SHA-512" hashValue="fS4fg27jWB1RgNKqTooRvDbUYggaU0Z7znUXc1B0QTjh1sgNJ4taYwOVzaBpV+D2wfUqd+VJDPYi3f9OWMC+7A==" saltValue="b81wE6iVIgwqCRA/h+Qq/Q==" spinCount="100000" sheet="1" objects="1" scenarios="1"/>
  <phoneticPr fontId="4" type="noConversion"/>
  <conditionalFormatting sqref="M7:M2000">
    <cfRule type="expression" dxfId="0" priority="1">
      <formula>ISERROR(MATCH($M7,$A$3:$A$2000,0))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AJ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36" width="25.7109375" customWidth="1"/>
  </cols>
  <sheetData>
    <row r="1" spans="1:36" ht="64.5" customHeight="1" x14ac:dyDescent="0.25">
      <c r="A1" s="263" t="s">
        <v>80</v>
      </c>
      <c r="B1" s="264" t="s">
        <v>228</v>
      </c>
      <c r="C1" s="264" t="str">
        <f ca="1">OFFSET('Vast tarief'!$B$10,COLUMN(C1)-3,0)</f>
        <v>Max. 150 kg N dierextrectie/ha</v>
      </c>
      <c r="D1" s="264" t="str">
        <f ca="1">OFFSET('Vast tarief'!$B$10,COLUMN(D1)-3,0)</f>
        <v>Max. 100 kg N dierextrectie/ha</v>
      </c>
      <c r="E1" s="264" t="str">
        <f ca="1">OFFSET('Vast tarief'!$B$10,COLUMN(E1)-3,0)</f>
        <v>Drooglegging max. 40 cm</v>
      </c>
      <c r="F1" s="264" t="str">
        <f ca="1">OFFSET('Vast tarief'!$B$10,COLUMN(F1)-3,0)</f>
        <v>Drooglegging max. 30 cm</v>
      </c>
      <c r="G1" s="264" t="str">
        <f ca="1">OFFSET('Vast tarief'!$B$10,COLUMN(G1)-3,0)</f>
        <v>Drooglegging max. 20 cm</v>
      </c>
      <c r="H1" s="264" t="str">
        <f ca="1">OFFSET('Vast tarief'!$B$10,COLUMN(H1)-3,0)</f>
        <v>Max. 150 kg N dierextrectie/ha + Drooglegging max. 40 cm</v>
      </c>
      <c r="I1" s="264" t="str">
        <f ca="1">OFFSET('Vast tarief'!$B$10,COLUMN(I1)-3,0)</f>
        <v>Max. 150 kg N dierextrectie/ha + Drooglegging max. 30 cm</v>
      </c>
      <c r="J1" s="264" t="str">
        <f ca="1">OFFSET('Vast tarief'!$B$10,COLUMN(J1)-3,0)</f>
        <v>Max. 150 kg N dierextrectie/ha + Drooglegging max. 20 cm</v>
      </c>
      <c r="K1" s="264" t="str">
        <f ca="1">OFFSET('Vast tarief'!$B$10,COLUMN(K1)-3,0)</f>
        <v>Max. 100 kg N dierextrectie/ha + Drooglegging max. 40 cm</v>
      </c>
      <c r="L1" s="264" t="str">
        <f ca="1">OFFSET('Vast tarief'!$B$10,COLUMN(L1)-3,0)</f>
        <v>Max. 100 kg N dierextrectie/ha + Drooglegging max. 30 cm</v>
      </c>
      <c r="M1" s="264" t="str">
        <f ca="1">OFFSET('Vast tarief'!$B$10,COLUMN(M1)-3,0)</f>
        <v>Max. 100 kg N dierextrectie/ha + Drooglegging max. 20 cm</v>
      </c>
      <c r="N1" s="264" t="str">
        <f ca="1">OFFSET('Vast tarief'!$B$10,COLUMN(N1)-3,0)</f>
        <v>Max. 150 kg N dierextrectie/ha (10/12)</v>
      </c>
      <c r="O1" s="264" t="str">
        <f ca="1">OFFSET('Vast tarief'!$B$10,COLUMN(O1)-3,0)</f>
        <v>Max. 100 kg N dierextrectie/ha (10/12)</v>
      </c>
      <c r="P1" s="264" t="str">
        <f ca="1">OFFSET('Vast tarief'!$B$10,COLUMN(P1)-3,0)</f>
        <v>Max. 150 kg N dierextrectie/ha (10/12) + Drooglegging max. 40 cm</v>
      </c>
      <c r="Q1" s="264" t="str">
        <f ca="1">OFFSET('Vast tarief'!$B$10,COLUMN(Q1)-3,0)</f>
        <v>Max. 150 kg N dierextrectie/ha (10/12) + Drooglegging max. 30 cm</v>
      </c>
      <c r="R1" s="264" t="str">
        <f ca="1">OFFSET('Vast tarief'!$B$10,COLUMN(R1)-3,0)</f>
        <v>Max. 150 kg N dierextrectie/ha (10/12) + Drooglegging max. 20 cm</v>
      </c>
      <c r="S1" s="264" t="str">
        <f ca="1">OFFSET('Vast tarief'!$B$10,COLUMN(S1)-3,0)</f>
        <v>Max. 100 kg N dierextrectie/ha (10/12) + Drooglegging max. 40 cm</v>
      </c>
      <c r="T1" s="264" t="str">
        <f ca="1">OFFSET('Vast tarief'!$B$10,COLUMN(T1)-3,0)</f>
        <v>Max. 100 kg N dierextrectie/ha (10/12) + Drooglegging max. 30 cm</v>
      </c>
      <c r="U1" s="264" t="str">
        <f ca="1">OFFSET('Vast tarief'!$B$10,COLUMN(U1)-3,0)</f>
        <v>Max. 100 kg N dierextrectie/ha (10/12) + Drooglegging max. 20 cm</v>
      </c>
      <c r="V1" s="264" t="str">
        <f ca="1">OFFSET('Vast tarief'!$B$10,COLUMN(V1)-3,0)</f>
        <v>Drooglegging max. 40 cm (verlaging ANLB)</v>
      </c>
      <c r="W1" s="264" t="str">
        <f ca="1">OFFSET('Vast tarief'!$B$10,COLUMN(W1)-3,0)</f>
        <v>Drooglegging max. 30 cm (verlaging ANLB)</v>
      </c>
      <c r="X1" s="264" t="str">
        <f ca="1">OFFSET('Vast tarief'!$B$10,COLUMN(X1)-3,0)</f>
        <v>Drooglegging max. 20 cm (verlaging ANLB)</v>
      </c>
      <c r="Y1" s="264" t="str">
        <f ca="1">OFFSET('Vast tarief'!$B$10,COLUMN(Y1)-3,0)</f>
        <v>Max. 150 kg N dierextrectie/ha + Drooglegging max. 40 cm (verlaging ANLB)</v>
      </c>
      <c r="Z1" s="264" t="str">
        <f ca="1">OFFSET('Vast tarief'!$B$10,COLUMN(Z1)-3,0)</f>
        <v>Max. 150 kg N dierextrectie/ha + Drooglegging max. 30 cm (verlaging ANLB)</v>
      </c>
      <c r="AA1" s="264" t="str">
        <f ca="1">OFFSET('Vast tarief'!$B$10,COLUMN(AA1)-3,0)</f>
        <v>Max. 150 kg N dierextrectie/ha + Drooglegging max. 20 cm (verlaging ANLB)</v>
      </c>
      <c r="AB1" s="264" t="str">
        <f ca="1">OFFSET('Vast tarief'!$B$10,COLUMN(AB1)-3,0)</f>
        <v>Max. 100 kg N dierextrectie/ha + Drooglegging max. 40 cm (verlaging ANLB)</v>
      </c>
      <c r="AC1" s="264" t="str">
        <f ca="1">OFFSET('Vast tarief'!$B$10,COLUMN(AC1)-3,0)</f>
        <v>Max. 100 kg N dierextrectie/ha + Drooglegging max. 30 cm (verlaging ANLB)</v>
      </c>
      <c r="AD1" s="264" t="str">
        <f ca="1">OFFSET('Vast tarief'!$B$10,COLUMN(AD1)-3,0)</f>
        <v>Max. 100 kg N dierextrectie/ha + Drooglegging max. 20 cm (verlaging ANLB)</v>
      </c>
      <c r="AE1" s="264" t="str">
        <f ca="1">OFFSET('Vast tarief'!$B$10,COLUMN(AE1)-3,0)</f>
        <v>Max. 150 kg N dierextrectie/ha (10/12) + Drooglegging max. 40 cm (verlaging ANLB)</v>
      </c>
      <c r="AF1" s="264" t="str">
        <f ca="1">OFFSET('Vast tarief'!$B$10,COLUMN(AF1)-3,0)</f>
        <v>Max. 150 kg N dierextrectie/ha (10/12) + Drooglegging max. 30 cm (verlaging ANLB)</v>
      </c>
      <c r="AG1" s="264" t="str">
        <f ca="1">OFFSET('Vast tarief'!$B$10,COLUMN(AG1)-3,0)</f>
        <v>Max. 150 kg N dierextrectie/ha (10/12) + Drooglegging max. 20 cm (verlaging ANLB)</v>
      </c>
      <c r="AH1" s="264" t="str">
        <f ca="1">OFFSET('Vast tarief'!$B$10,COLUMN(AH1)-3,0)</f>
        <v>Max. 100 kg N dierextrectie/ha (10/12) + Drooglegging max. 40 cm (verlaging ANLB)</v>
      </c>
      <c r="AI1" s="264" t="str">
        <f ca="1">OFFSET('Vast tarief'!$B$10,COLUMN(AI1)-3,0)</f>
        <v>Max. 100 kg N dierextrectie/ha (10/12) + Drooglegging max. 30 cm (verlaging ANLB)</v>
      </c>
      <c r="AJ1" s="264" t="str">
        <f ca="1">OFFSET('Vast tarief'!$B$10,COLUMN(AJ1)-3,0)</f>
        <v>Max. 100 kg N dierextrectie/ha (10/12) + Drooglegging max. 20 cm (verlaging ANLB)</v>
      </c>
    </row>
    <row r="2" spans="1:36" x14ac:dyDescent="0.25">
      <c r="A2" s="276" t="str" cm="1">
        <f t="array" ref="A2:B4">IFERROR(_xlfn._xlws.FILTER(Tb_Activiteiten[[Openstelling]:[Subsidiabele_Activiteit]],Tb_Activiteiten[Openstelling]&lt;&gt;""),"")</f>
        <v>Samenwerken aan innovatie (EIP) Digitalisering en Robotisering</v>
      </c>
      <c r="B2" s="86" t="str">
        <v>Voorbereiding samenwerkingsproject</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row>
    <row r="3" spans="1:36" x14ac:dyDescent="0.25">
      <c r="A3" s="277" t="str">
        <v>Samenwerken aan innovatie (EIP) Digitalisering en Robotisering</v>
      </c>
      <c r="B3" s="87" t="str">
        <v>Uitvoering samenwerkingsproject</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row>
    <row r="4" spans="1:36" x14ac:dyDescent="0.25">
      <c r="A4" s="276" t="str">
        <v>Samenwerken aan innovatie (EIP) Digitalisering en Robotisering</v>
      </c>
      <c r="B4" s="86" t="str">
        <v>Investeringen</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row>
    <row r="5" spans="1:36" x14ac:dyDescent="0.25">
      <c r="A5" s="277"/>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row>
    <row r="6" spans="1:36" x14ac:dyDescent="0.25">
      <c r="A6" s="276"/>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row>
    <row r="7" spans="1:36" x14ac:dyDescent="0.25">
      <c r="A7" s="27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row>
    <row r="8" spans="1:36" x14ac:dyDescent="0.25">
      <c r="A8" s="27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row>
    <row r="9" spans="1:36" x14ac:dyDescent="0.25">
      <c r="A9" s="277"/>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x14ac:dyDescent="0.25">
      <c r="A10" s="27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row>
    <row r="11" spans="1:36" x14ac:dyDescent="0.25">
      <c r="A11" s="27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row>
    <row r="12" spans="1:36" x14ac:dyDescent="0.25">
      <c r="A12" s="27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36" x14ac:dyDescent="0.25">
      <c r="A13" s="27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row>
    <row r="14" spans="1:36" x14ac:dyDescent="0.25">
      <c r="A14" s="27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row>
    <row r="15" spans="1:36" x14ac:dyDescent="0.25">
      <c r="A15" s="277"/>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x14ac:dyDescent="0.25">
      <c r="A16" s="27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row>
    <row r="17" spans="1:36" x14ac:dyDescent="0.25">
      <c r="A17" s="277"/>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row>
    <row r="18" spans="1:36" x14ac:dyDescent="0.25">
      <c r="A18" s="276"/>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row>
    <row r="19" spans="1:36" x14ac:dyDescent="0.25">
      <c r="A19" s="27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row>
    <row r="20" spans="1:36" x14ac:dyDescent="0.25">
      <c r="A20" s="27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row>
    <row r="21" spans="1:36" x14ac:dyDescent="0.25">
      <c r="A21" s="27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row>
    <row r="22" spans="1:36" x14ac:dyDescent="0.25">
      <c r="A22" s="27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row>
    <row r="23" spans="1:36" x14ac:dyDescent="0.25">
      <c r="A23" s="27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row>
    <row r="24" spans="1:36" x14ac:dyDescent="0.25">
      <c r="A24" s="276"/>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row>
    <row r="25" spans="1:36" x14ac:dyDescent="0.25">
      <c r="A25" s="27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1:36" x14ac:dyDescent="0.25">
      <c r="A26" s="27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row>
    <row r="27" spans="1:36" x14ac:dyDescent="0.25">
      <c r="A27" s="27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6" x14ac:dyDescent="0.25">
      <c r="A28" s="27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row>
    <row r="29" spans="1:36" x14ac:dyDescent="0.25">
      <c r="A29" s="27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36" x14ac:dyDescent="0.25">
      <c r="A30" s="27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row>
    <row r="31" spans="1:36" x14ac:dyDescent="0.25">
      <c r="A31" s="27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1:36" x14ac:dyDescent="0.25">
      <c r="A32" s="27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row>
    <row r="33" spans="1:36" x14ac:dyDescent="0.25">
      <c r="A33" s="277"/>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1:36" x14ac:dyDescent="0.25">
      <c r="A34" s="27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row>
    <row r="35" spans="1:36" x14ac:dyDescent="0.25">
      <c r="A35" s="27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1:36" x14ac:dyDescent="0.25">
      <c r="A36" s="27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row>
    <row r="37" spans="1:36" x14ac:dyDescent="0.25">
      <c r="A37" s="27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1:36" x14ac:dyDescent="0.25">
      <c r="A38" s="27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row>
    <row r="39" spans="1:36" x14ac:dyDescent="0.25">
      <c r="A39" s="27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1:36" x14ac:dyDescent="0.25">
      <c r="A40" s="27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row>
    <row r="41" spans="1:36" x14ac:dyDescent="0.25">
      <c r="A41" s="27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1:36" x14ac:dyDescent="0.25">
      <c r="A42" s="27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row>
    <row r="43" spans="1:36" x14ac:dyDescent="0.25">
      <c r="A43" s="27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1:36" x14ac:dyDescent="0.25">
      <c r="A44" s="27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row>
    <row r="45" spans="1:36" x14ac:dyDescent="0.25">
      <c r="A45" s="277"/>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1:36" x14ac:dyDescent="0.25">
      <c r="A46" s="27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row>
    <row r="47" spans="1:36" x14ac:dyDescent="0.25">
      <c r="A47" s="27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1:36" x14ac:dyDescent="0.25">
      <c r="A48" s="27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row>
    <row r="49" spans="1:36" x14ac:dyDescent="0.25">
      <c r="A49" s="27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1:36" x14ac:dyDescent="0.25">
      <c r="A50" s="27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row>
    <row r="51" spans="1:36" x14ac:dyDescent="0.25">
      <c r="A51" s="277"/>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1:36" x14ac:dyDescent="0.25">
      <c r="A52" s="27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row>
    <row r="53" spans="1:36" x14ac:dyDescent="0.25">
      <c r="A53" s="27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row>
    <row r="54" spans="1:36" x14ac:dyDescent="0.25">
      <c r="A54" s="27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row>
    <row r="55" spans="1:36" x14ac:dyDescent="0.25">
      <c r="A55" s="27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row>
    <row r="56" spans="1:36" x14ac:dyDescent="0.25">
      <c r="A56" s="27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row>
    <row r="57" spans="1:36" x14ac:dyDescent="0.25">
      <c r="A57" s="27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row>
    <row r="58" spans="1:36" x14ac:dyDescent="0.25">
      <c r="A58" s="27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row>
    <row r="59" spans="1:36" x14ac:dyDescent="0.25">
      <c r="A59" s="27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row>
    <row r="60" spans="1:36" x14ac:dyDescent="0.25">
      <c r="A60" s="27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row>
    <row r="61" spans="1:36" x14ac:dyDescent="0.25">
      <c r="A61" s="27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row>
    <row r="62" spans="1:36" x14ac:dyDescent="0.25">
      <c r="A62" s="27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row>
    <row r="63" spans="1:36" x14ac:dyDescent="0.25">
      <c r="A63" s="277"/>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row>
    <row r="64" spans="1:36" x14ac:dyDescent="0.25">
      <c r="A64" s="27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row>
    <row r="65" spans="1:36" x14ac:dyDescent="0.25">
      <c r="A65" s="27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row>
    <row r="66" spans="1:36" x14ac:dyDescent="0.25">
      <c r="A66" s="27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row>
    <row r="67" spans="1:36" x14ac:dyDescent="0.25">
      <c r="A67" s="27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row>
    <row r="68" spans="1:36" x14ac:dyDescent="0.25">
      <c r="A68" s="27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row>
    <row r="69" spans="1:36" x14ac:dyDescent="0.25">
      <c r="A69" s="27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row>
    <row r="70" spans="1:36" x14ac:dyDescent="0.25">
      <c r="A70" s="27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row>
    <row r="71" spans="1:36" x14ac:dyDescent="0.25">
      <c r="A71" s="27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row>
    <row r="72" spans="1:36" x14ac:dyDescent="0.25">
      <c r="A72" s="27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row>
    <row r="73" spans="1:36" x14ac:dyDescent="0.25">
      <c r="A73" s="27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row>
    <row r="74" spans="1:36" x14ac:dyDescent="0.25">
      <c r="A74" s="27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1:36" x14ac:dyDescent="0.25">
      <c r="A75" s="27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row>
    <row r="76" spans="1:36" x14ac:dyDescent="0.25">
      <c r="A76" s="27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row>
    <row r="77" spans="1:36" x14ac:dyDescent="0.25">
      <c r="A77" s="27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row>
    <row r="78" spans="1:36" x14ac:dyDescent="0.25">
      <c r="A78" s="27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row>
    <row r="79" spans="1:36" x14ac:dyDescent="0.25">
      <c r="A79" s="27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row>
    <row r="80" spans="1:36" x14ac:dyDescent="0.25">
      <c r="A80" s="27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1:36" x14ac:dyDescent="0.25">
      <c r="A81" s="27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row>
    <row r="82" spans="1:36" x14ac:dyDescent="0.25">
      <c r="A82" s="27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row>
    <row r="83" spans="1:36" x14ac:dyDescent="0.25">
      <c r="A83" s="277"/>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row>
    <row r="84" spans="1:36" x14ac:dyDescent="0.25">
      <c r="A84" s="276"/>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row>
    <row r="85" spans="1:36" x14ac:dyDescent="0.25">
      <c r="A85" s="277"/>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row>
    <row r="86" spans="1:36" x14ac:dyDescent="0.25">
      <c r="A86" s="276"/>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row>
    <row r="87" spans="1:36" x14ac:dyDescent="0.25">
      <c r="A87" s="277"/>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row>
    <row r="88" spans="1:36" x14ac:dyDescent="0.25">
      <c r="A88" s="27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row>
    <row r="89" spans="1:36" x14ac:dyDescent="0.25">
      <c r="A89" s="277"/>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row>
    <row r="90" spans="1:36" x14ac:dyDescent="0.25">
      <c r="A90" s="276"/>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row>
    <row r="91" spans="1:36" x14ac:dyDescent="0.25">
      <c r="A91" s="27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row>
    <row r="92" spans="1:36" x14ac:dyDescent="0.25">
      <c r="A92" s="276"/>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row>
    <row r="93" spans="1:36" x14ac:dyDescent="0.25">
      <c r="A93" s="277"/>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row>
    <row r="94" spans="1:36" x14ac:dyDescent="0.25">
      <c r="A94" s="27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row>
    <row r="95" spans="1:36" x14ac:dyDescent="0.25">
      <c r="A95" s="27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row>
    <row r="96" spans="1:36" x14ac:dyDescent="0.25">
      <c r="A96" s="276"/>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row>
    <row r="97" spans="1:36" x14ac:dyDescent="0.25">
      <c r="A97" s="27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row>
    <row r="98" spans="1:36" x14ac:dyDescent="0.25">
      <c r="A98" s="27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row>
    <row r="99" spans="1:36" x14ac:dyDescent="0.25">
      <c r="A99" s="27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row>
    <row r="100" spans="1:36" x14ac:dyDescent="0.25">
      <c r="A100" s="27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row>
    <row r="101" spans="1:36" x14ac:dyDescent="0.25">
      <c r="A101" s="27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row>
    <row r="102" spans="1:36" x14ac:dyDescent="0.25">
      <c r="A102" s="27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row>
    <row r="103" spans="1:36" x14ac:dyDescent="0.25">
      <c r="A103" s="27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row>
    <row r="104" spans="1:36" x14ac:dyDescent="0.25">
      <c r="A104" s="27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row>
    <row r="105" spans="1:36" x14ac:dyDescent="0.25">
      <c r="A105" s="27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row>
    <row r="106" spans="1:36" x14ac:dyDescent="0.25">
      <c r="A106" s="27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row>
    <row r="107" spans="1:36" x14ac:dyDescent="0.25">
      <c r="A107" s="27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row>
    <row r="108" spans="1:36" x14ac:dyDescent="0.25">
      <c r="A108" s="27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row>
    <row r="109" spans="1:36" x14ac:dyDescent="0.25">
      <c r="A109" s="27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row>
    <row r="110" spans="1:36" x14ac:dyDescent="0.25">
      <c r="A110" s="27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row>
    <row r="111" spans="1:36" x14ac:dyDescent="0.25">
      <c r="A111" s="27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row>
    <row r="112" spans="1:36" x14ac:dyDescent="0.25">
      <c r="A112" s="27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row>
    <row r="113" spans="1:36" x14ac:dyDescent="0.25">
      <c r="A113" s="27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x14ac:dyDescent="0.25">
      <c r="A114" s="27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row>
    <row r="115" spans="1:36" x14ac:dyDescent="0.25">
      <c r="A115" s="27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x14ac:dyDescent="0.25">
      <c r="A116" s="27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row>
    <row r="117" spans="1:36" x14ac:dyDescent="0.25">
      <c r="A117" s="27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x14ac:dyDescent="0.25">
      <c r="A118" s="27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row>
    <row r="119" spans="1:36" x14ac:dyDescent="0.25">
      <c r="A119" s="27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x14ac:dyDescent="0.25">
      <c r="A120" s="27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row>
    <row r="121" spans="1:36" x14ac:dyDescent="0.25">
      <c r="A121" s="27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x14ac:dyDescent="0.25">
      <c r="A122" s="27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row>
    <row r="123" spans="1:36" x14ac:dyDescent="0.25">
      <c r="A123" s="27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x14ac:dyDescent="0.25">
      <c r="A124" s="27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row>
    <row r="125" spans="1:36" x14ac:dyDescent="0.25">
      <c r="A125" s="27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row>
    <row r="126" spans="1:36" x14ac:dyDescent="0.25">
      <c r="A126" s="27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row>
    <row r="127" spans="1:36" x14ac:dyDescent="0.25">
      <c r="A127" s="27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row>
    <row r="128" spans="1:36" x14ac:dyDescent="0.25">
      <c r="A128" s="27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row>
    <row r="129" spans="1:36" x14ac:dyDescent="0.25">
      <c r="A129" s="27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row>
    <row r="130" spans="1:36" x14ac:dyDescent="0.25">
      <c r="A130" s="27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row>
    <row r="131" spans="1:36" x14ac:dyDescent="0.25">
      <c r="A131" s="27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row>
    <row r="132" spans="1:36" x14ac:dyDescent="0.25">
      <c r="A132" s="27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row>
    <row r="133" spans="1:36" x14ac:dyDescent="0.25">
      <c r="A133" s="27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row>
    <row r="134" spans="1:36" x14ac:dyDescent="0.25">
      <c r="A134" s="27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row>
    <row r="135" spans="1:36" x14ac:dyDescent="0.25">
      <c r="A135" s="27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row>
    <row r="136" spans="1:36" x14ac:dyDescent="0.25">
      <c r="A136" s="27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row>
    <row r="137" spans="1:36" x14ac:dyDescent="0.25">
      <c r="A137" s="27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row>
    <row r="138" spans="1:36" x14ac:dyDescent="0.25">
      <c r="A138" s="27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row>
    <row r="139" spans="1:36" x14ac:dyDescent="0.25">
      <c r="A139" s="27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row>
    <row r="140" spans="1:36" x14ac:dyDescent="0.25">
      <c r="A140" s="27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row>
    <row r="141" spans="1:36" x14ac:dyDescent="0.25">
      <c r="A141" s="27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row>
    <row r="142" spans="1:36" x14ac:dyDescent="0.25">
      <c r="A142" s="27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row>
    <row r="143" spans="1:36" x14ac:dyDescent="0.25">
      <c r="A143" s="27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row>
    <row r="144" spans="1:36" x14ac:dyDescent="0.25">
      <c r="A144" s="27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row>
    <row r="145" spans="1:36" x14ac:dyDescent="0.25">
      <c r="A145" s="27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row>
    <row r="146" spans="1:36" x14ac:dyDescent="0.25">
      <c r="A146" s="27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row>
    <row r="147" spans="1:36" x14ac:dyDescent="0.25">
      <c r="A147" s="27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row>
    <row r="148" spans="1:36" x14ac:dyDescent="0.25">
      <c r="A148" s="27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row>
    <row r="149" spans="1:36" x14ac:dyDescent="0.25">
      <c r="A149" s="27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row>
    <row r="150" spans="1:36" x14ac:dyDescent="0.25">
      <c r="A150" s="27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row>
    <row r="151" spans="1:36" x14ac:dyDescent="0.25">
      <c r="A151" s="27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row>
    <row r="152" spans="1:36" x14ac:dyDescent="0.25">
      <c r="A152" s="27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row>
    <row r="153" spans="1:36" x14ac:dyDescent="0.25">
      <c r="A153" s="27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row>
    <row r="154" spans="1:36" x14ac:dyDescent="0.25">
      <c r="A154" s="27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row>
    <row r="155" spans="1:36" x14ac:dyDescent="0.25">
      <c r="A155" s="27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row>
    <row r="156" spans="1:36" x14ac:dyDescent="0.25">
      <c r="A156" s="27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row>
    <row r="157" spans="1:36" x14ac:dyDescent="0.25">
      <c r="A157" s="27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row>
    <row r="158" spans="1:36" x14ac:dyDescent="0.25">
      <c r="A158" s="27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row>
    <row r="159" spans="1:36" x14ac:dyDescent="0.25">
      <c r="A159" s="27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row>
    <row r="160" spans="1:36" x14ac:dyDescent="0.25">
      <c r="A160" s="27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row>
    <row r="161" spans="1:36" x14ac:dyDescent="0.25">
      <c r="A161" s="27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row>
    <row r="162" spans="1:36" x14ac:dyDescent="0.25">
      <c r="A162" s="27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row>
    <row r="163" spans="1:36" x14ac:dyDescent="0.25">
      <c r="A163" s="27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row>
    <row r="164" spans="1:36" x14ac:dyDescent="0.25">
      <c r="A164" s="27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row>
    <row r="165" spans="1:36" x14ac:dyDescent="0.25">
      <c r="A165" s="27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row>
    <row r="166" spans="1:36" x14ac:dyDescent="0.25">
      <c r="A166" s="27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row>
    <row r="167" spans="1:36" x14ac:dyDescent="0.25">
      <c r="A167" s="27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row>
    <row r="168" spans="1:36" x14ac:dyDescent="0.25">
      <c r="A168" s="27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row>
    <row r="169" spans="1:36" x14ac:dyDescent="0.25">
      <c r="A169" s="27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row>
    <row r="170" spans="1:36" x14ac:dyDescent="0.25">
      <c r="A170" s="27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row>
    <row r="171" spans="1:36" x14ac:dyDescent="0.25">
      <c r="A171" s="27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row>
    <row r="172" spans="1:36" x14ac:dyDescent="0.25">
      <c r="A172" s="27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row>
    <row r="173" spans="1:36" x14ac:dyDescent="0.25">
      <c r="A173" s="27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row>
    <row r="174" spans="1:36" x14ac:dyDescent="0.25">
      <c r="A174" s="27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row>
    <row r="175" spans="1:36" x14ac:dyDescent="0.25">
      <c r="A175" s="27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row>
    <row r="176" spans="1:36" x14ac:dyDescent="0.25">
      <c r="A176" s="27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row>
    <row r="177" spans="1:36" x14ac:dyDescent="0.25">
      <c r="A177" s="27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row>
    <row r="178" spans="1:36" x14ac:dyDescent="0.25">
      <c r="A178" s="27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row>
    <row r="179" spans="1:36" x14ac:dyDescent="0.25">
      <c r="A179" s="27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row>
    <row r="180" spans="1:36" x14ac:dyDescent="0.25">
      <c r="A180" s="27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row>
    <row r="181" spans="1:36" x14ac:dyDescent="0.25">
      <c r="A181" s="27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row>
    <row r="182" spans="1:36" x14ac:dyDescent="0.25">
      <c r="A182" s="27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row>
    <row r="183" spans="1:36" x14ac:dyDescent="0.25">
      <c r="A183" s="27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row>
    <row r="184" spans="1:36" x14ac:dyDescent="0.25">
      <c r="A184" s="27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row>
    <row r="185" spans="1:36" x14ac:dyDescent="0.25">
      <c r="A185" s="27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row>
    <row r="186" spans="1:36" x14ac:dyDescent="0.25">
      <c r="A186" s="27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row>
    <row r="187" spans="1:36" x14ac:dyDescent="0.25">
      <c r="A187" s="27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row>
    <row r="188" spans="1:36" x14ac:dyDescent="0.25">
      <c r="A188" s="27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row>
    <row r="189" spans="1:36" x14ac:dyDescent="0.25">
      <c r="A189" s="27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row>
    <row r="190" spans="1:36" x14ac:dyDescent="0.25">
      <c r="A190" s="27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row>
    <row r="191" spans="1:36" x14ac:dyDescent="0.25">
      <c r="A191" s="27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row>
    <row r="192" spans="1:36" x14ac:dyDescent="0.25">
      <c r="A192" s="27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row>
    <row r="193" spans="1:36" x14ac:dyDescent="0.25">
      <c r="A193" s="27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row>
    <row r="194" spans="1:36" x14ac:dyDescent="0.25">
      <c r="A194" s="27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row>
    <row r="195" spans="1:36" x14ac:dyDescent="0.25">
      <c r="A195" s="27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row>
    <row r="196" spans="1:36" x14ac:dyDescent="0.25">
      <c r="A196" s="27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row>
    <row r="197" spans="1:36" x14ac:dyDescent="0.25">
      <c r="A197" s="27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row>
    <row r="198" spans="1:36" x14ac:dyDescent="0.25">
      <c r="A198" s="27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row>
    <row r="199" spans="1:36" x14ac:dyDescent="0.25">
      <c r="A199" s="27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row>
    <row r="200" spans="1:36" x14ac:dyDescent="0.25">
      <c r="A200" s="27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row>
    <row r="201" spans="1:36" x14ac:dyDescent="0.25">
      <c r="A201" s="27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row>
    <row r="202" spans="1:36" x14ac:dyDescent="0.25">
      <c r="A202" s="27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row>
    <row r="203" spans="1:36" x14ac:dyDescent="0.25">
      <c r="A203" s="27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row>
    <row r="204" spans="1:36" x14ac:dyDescent="0.25">
      <c r="A204" s="27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row>
    <row r="205" spans="1:36" x14ac:dyDescent="0.25">
      <c r="A205" s="27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row>
    <row r="206" spans="1:36" x14ac:dyDescent="0.25">
      <c r="A206" s="27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row>
    <row r="207" spans="1:36" x14ac:dyDescent="0.25">
      <c r="A207" s="27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row>
    <row r="208" spans="1:36" x14ac:dyDescent="0.25">
      <c r="A208" s="27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row>
    <row r="209" spans="1:36" x14ac:dyDescent="0.25">
      <c r="A209" s="27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row>
    <row r="210" spans="1:36" x14ac:dyDescent="0.25">
      <c r="A210" s="27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row>
    <row r="211" spans="1:36" x14ac:dyDescent="0.25">
      <c r="A211" s="27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row>
    <row r="212" spans="1:36" x14ac:dyDescent="0.25">
      <c r="A212" s="27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row>
    <row r="213" spans="1:36" x14ac:dyDescent="0.25">
      <c r="A213" s="27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row>
    <row r="214" spans="1:36" x14ac:dyDescent="0.25">
      <c r="A214" s="27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row>
    <row r="215" spans="1:36" x14ac:dyDescent="0.25">
      <c r="A215" s="27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row>
    <row r="216" spans="1:36" x14ac:dyDescent="0.25">
      <c r="A216" s="27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row>
    <row r="217" spans="1:36" x14ac:dyDescent="0.25">
      <c r="A217" s="27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row>
    <row r="218" spans="1:36" x14ac:dyDescent="0.25">
      <c r="A218" s="27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row>
    <row r="219" spans="1:36" x14ac:dyDescent="0.25">
      <c r="A219" s="27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row>
    <row r="220" spans="1:36" x14ac:dyDescent="0.25">
      <c r="A220" s="27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row>
    <row r="221" spans="1:36" x14ac:dyDescent="0.25">
      <c r="A221" s="27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row>
    <row r="222" spans="1:36" x14ac:dyDescent="0.25">
      <c r="A222" s="27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row>
    <row r="223" spans="1:36" x14ac:dyDescent="0.25">
      <c r="A223" s="27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row>
    <row r="224" spans="1:36" x14ac:dyDescent="0.25">
      <c r="A224" s="27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row>
    <row r="225" spans="1:36" x14ac:dyDescent="0.25">
      <c r="A225" s="27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row>
    <row r="226" spans="1:36" x14ac:dyDescent="0.25">
      <c r="A226" s="27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row>
    <row r="227" spans="1:36" x14ac:dyDescent="0.25">
      <c r="A227" s="27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row>
    <row r="228" spans="1:36" x14ac:dyDescent="0.25">
      <c r="A228" s="27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row>
    <row r="229" spans="1:36" x14ac:dyDescent="0.25">
      <c r="A229" s="27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row>
    <row r="230" spans="1:36" x14ac:dyDescent="0.25">
      <c r="A230" s="27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row>
    <row r="231" spans="1:36" x14ac:dyDescent="0.25">
      <c r="A231" s="27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row>
    <row r="232" spans="1:36" x14ac:dyDescent="0.25">
      <c r="A232" s="27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row>
    <row r="233" spans="1:36" x14ac:dyDescent="0.25">
      <c r="A233" s="27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row>
    <row r="234" spans="1:36" x14ac:dyDescent="0.25">
      <c r="A234" s="27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row>
    <row r="235" spans="1:36" x14ac:dyDescent="0.25">
      <c r="A235" s="27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row>
    <row r="236" spans="1:36" x14ac:dyDescent="0.25">
      <c r="A236" s="27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row>
    <row r="237" spans="1:36" x14ac:dyDescent="0.25">
      <c r="A237" s="27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row>
    <row r="238" spans="1:36" x14ac:dyDescent="0.25">
      <c r="A238" s="27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row>
    <row r="239" spans="1:36" x14ac:dyDescent="0.25">
      <c r="A239" s="27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row>
    <row r="240" spans="1:36" x14ac:dyDescent="0.25">
      <c r="A240" s="27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row>
    <row r="241" spans="1:36" x14ac:dyDescent="0.25">
      <c r="A241" s="27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row>
    <row r="242" spans="1:36" x14ac:dyDescent="0.25">
      <c r="A242" s="27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row>
    <row r="243" spans="1:36" x14ac:dyDescent="0.25">
      <c r="A243" s="27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row>
    <row r="244" spans="1:36" x14ac:dyDescent="0.25">
      <c r="A244" s="27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row>
    <row r="245" spans="1:36" x14ac:dyDescent="0.25">
      <c r="A245" s="27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row>
    <row r="246" spans="1:36" x14ac:dyDescent="0.25">
      <c r="A246" s="27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row>
    <row r="247" spans="1:36" x14ac:dyDescent="0.25">
      <c r="A247" s="27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row>
    <row r="248" spans="1:36" x14ac:dyDescent="0.25">
      <c r="A248" s="27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row>
    <row r="249" spans="1:36" x14ac:dyDescent="0.25">
      <c r="A249" s="27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row>
    <row r="250" spans="1:36" x14ac:dyDescent="0.25">
      <c r="A250" s="27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row>
    <row r="251" spans="1:36" x14ac:dyDescent="0.25">
      <c r="A251" s="27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row>
    <row r="252" spans="1:36" x14ac:dyDescent="0.25">
      <c r="A252" s="27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row>
    <row r="253" spans="1:36" x14ac:dyDescent="0.25">
      <c r="A253" s="27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row>
    <row r="254" spans="1:36" x14ac:dyDescent="0.25">
      <c r="A254" s="27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row>
    <row r="255" spans="1:36" x14ac:dyDescent="0.25">
      <c r="A255" s="27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row>
    <row r="256" spans="1:36" x14ac:dyDescent="0.25">
      <c r="A256" s="27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row>
    <row r="257" spans="1:36" x14ac:dyDescent="0.25">
      <c r="A257" s="27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row>
    <row r="258" spans="1:36" x14ac:dyDescent="0.25">
      <c r="A258" s="27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row>
    <row r="259" spans="1:36" x14ac:dyDescent="0.25">
      <c r="A259" s="27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row>
    <row r="260" spans="1:36" x14ac:dyDescent="0.25">
      <c r="A260" s="27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row>
    <row r="261" spans="1:36" x14ac:dyDescent="0.25">
      <c r="A261" s="27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row>
    <row r="262" spans="1:36" x14ac:dyDescent="0.25">
      <c r="A262" s="27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row>
    <row r="263" spans="1:36" x14ac:dyDescent="0.25">
      <c r="A263" s="27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row>
    <row r="264" spans="1:36" x14ac:dyDescent="0.25">
      <c r="A264" s="27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row>
    <row r="265" spans="1:36" x14ac:dyDescent="0.25">
      <c r="A265" s="27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row>
    <row r="266" spans="1:36" x14ac:dyDescent="0.25">
      <c r="A266" s="27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row>
    <row r="267" spans="1:36" x14ac:dyDescent="0.25">
      <c r="A267" s="27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row>
    <row r="268" spans="1:36" x14ac:dyDescent="0.25">
      <c r="A268" s="27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row>
    <row r="269" spans="1:36" x14ac:dyDescent="0.25">
      <c r="A269" s="27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row>
    <row r="270" spans="1:36" x14ac:dyDescent="0.25">
      <c r="A270" s="27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row>
    <row r="271" spans="1:36" x14ac:dyDescent="0.25">
      <c r="A271" s="27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row>
    <row r="272" spans="1:36" x14ac:dyDescent="0.25">
      <c r="A272" s="27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row>
    <row r="273" spans="1:36" x14ac:dyDescent="0.25">
      <c r="A273" s="27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row>
    <row r="274" spans="1:36" x14ac:dyDescent="0.25">
      <c r="A274" s="276"/>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row>
    <row r="275" spans="1:36" x14ac:dyDescent="0.25">
      <c r="A275" s="27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row>
    <row r="276" spans="1:36" x14ac:dyDescent="0.25">
      <c r="A276" s="276"/>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row>
    <row r="277" spans="1:36" x14ac:dyDescent="0.25">
      <c r="A277" s="27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row>
    <row r="278" spans="1:36" x14ac:dyDescent="0.25">
      <c r="A278" s="276"/>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row>
    <row r="279" spans="1:36" x14ac:dyDescent="0.25">
      <c r="A279" s="27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row>
    <row r="280" spans="1:36" x14ac:dyDescent="0.25">
      <c r="A280" s="276"/>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row>
    <row r="281" spans="1:36" x14ac:dyDescent="0.25">
      <c r="A281" s="27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row>
    <row r="282" spans="1:36" x14ac:dyDescent="0.25">
      <c r="A282" s="276"/>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row>
    <row r="283" spans="1:36" x14ac:dyDescent="0.25">
      <c r="A283" s="27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row>
    <row r="284" spans="1:36" x14ac:dyDescent="0.25">
      <c r="A284" s="27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row>
    <row r="285" spans="1:36" x14ac:dyDescent="0.25">
      <c r="A285" s="27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row>
    <row r="286" spans="1:36" x14ac:dyDescent="0.25">
      <c r="A286" s="276"/>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row>
    <row r="287" spans="1:36" x14ac:dyDescent="0.25">
      <c r="A287" s="27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row>
    <row r="288" spans="1:36" x14ac:dyDescent="0.25">
      <c r="A288" s="27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row>
    <row r="289" spans="1:36" x14ac:dyDescent="0.25">
      <c r="A289" s="27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row>
    <row r="290" spans="1:36" x14ac:dyDescent="0.25">
      <c r="A290" s="276"/>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row>
    <row r="291" spans="1:36" x14ac:dyDescent="0.25">
      <c r="A291" s="27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row>
    <row r="292" spans="1:36" x14ac:dyDescent="0.25">
      <c r="A292" s="276"/>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row>
    <row r="293" spans="1:36" x14ac:dyDescent="0.25">
      <c r="A293" s="27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row>
    <row r="294" spans="1:36" x14ac:dyDescent="0.25">
      <c r="A294" s="276"/>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row>
    <row r="295" spans="1:36" x14ac:dyDescent="0.25">
      <c r="A295" s="27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row>
    <row r="296" spans="1:36" x14ac:dyDescent="0.25">
      <c r="A296" s="276"/>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row>
    <row r="297" spans="1:36" x14ac:dyDescent="0.25">
      <c r="A297" s="27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row>
    <row r="298" spans="1:36" x14ac:dyDescent="0.25">
      <c r="A298" s="276"/>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row>
    <row r="299" spans="1:36" x14ac:dyDescent="0.25">
      <c r="A299" s="27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row>
    <row r="300" spans="1:36" x14ac:dyDescent="0.25">
      <c r="A300" s="276"/>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row>
    <row r="301" spans="1:36" x14ac:dyDescent="0.25">
      <c r="A301" s="27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row>
    <row r="302" spans="1:36" x14ac:dyDescent="0.25">
      <c r="A302" s="276"/>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row>
    <row r="303" spans="1:36" x14ac:dyDescent="0.25">
      <c r="A303" s="27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row>
    <row r="304" spans="1:36" x14ac:dyDescent="0.25">
      <c r="A304" s="276"/>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row>
    <row r="305" spans="1:36" x14ac:dyDescent="0.25">
      <c r="A305" s="27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row>
    <row r="306" spans="1:36" x14ac:dyDescent="0.25">
      <c r="A306" s="276"/>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row>
    <row r="307" spans="1:36" x14ac:dyDescent="0.25">
      <c r="A307" s="27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row>
    <row r="308" spans="1:36" x14ac:dyDescent="0.25">
      <c r="A308" s="276"/>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row>
    <row r="309" spans="1:36" x14ac:dyDescent="0.25">
      <c r="A309" s="27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row>
    <row r="310" spans="1:36" x14ac:dyDescent="0.25">
      <c r="A310" s="276"/>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row>
    <row r="311" spans="1:36" x14ac:dyDescent="0.25">
      <c r="A311" s="27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row>
    <row r="312" spans="1:36" x14ac:dyDescent="0.25">
      <c r="A312" s="276"/>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row>
    <row r="313" spans="1:36" x14ac:dyDescent="0.25">
      <c r="A313" s="27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row>
    <row r="314" spans="1:36" x14ac:dyDescent="0.25">
      <c r="A314" s="276"/>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row>
    <row r="315" spans="1:36" x14ac:dyDescent="0.25">
      <c r="A315" s="27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row>
    <row r="316" spans="1:36" x14ac:dyDescent="0.25">
      <c r="A316" s="276"/>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row>
    <row r="317" spans="1:36" x14ac:dyDescent="0.25">
      <c r="A317" s="27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row>
    <row r="318" spans="1:36" x14ac:dyDescent="0.25">
      <c r="A318" s="276"/>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row>
    <row r="319" spans="1:36" x14ac:dyDescent="0.25">
      <c r="A319" s="27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row>
    <row r="320" spans="1:36" x14ac:dyDescent="0.25">
      <c r="A320" s="276"/>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row>
    <row r="321" spans="1:36" x14ac:dyDescent="0.25">
      <c r="A321" s="27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row>
    <row r="322" spans="1:36" x14ac:dyDescent="0.25">
      <c r="A322" s="276"/>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row>
    <row r="323" spans="1:36" x14ac:dyDescent="0.25">
      <c r="A323" s="27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row>
    <row r="324" spans="1:36" x14ac:dyDescent="0.25">
      <c r="A324" s="276"/>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row>
    <row r="325" spans="1:36" x14ac:dyDescent="0.25">
      <c r="A325" s="27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row>
    <row r="326" spans="1:36" x14ac:dyDescent="0.25">
      <c r="A326" s="276"/>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row>
    <row r="327" spans="1:36" x14ac:dyDescent="0.25">
      <c r="A327" s="27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row>
    <row r="328" spans="1:36" x14ac:dyDescent="0.25">
      <c r="A328" s="276"/>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row>
    <row r="329" spans="1:36" x14ac:dyDescent="0.25">
      <c r="A329" s="27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row>
    <row r="330" spans="1:36" x14ac:dyDescent="0.25">
      <c r="A330" s="276"/>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row>
    <row r="331" spans="1:36" x14ac:dyDescent="0.25">
      <c r="A331" s="27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row>
    <row r="332" spans="1:36" x14ac:dyDescent="0.25">
      <c r="A332" s="276"/>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row>
    <row r="333" spans="1:36" x14ac:dyDescent="0.25">
      <c r="A333" s="27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row>
    <row r="334" spans="1:36" x14ac:dyDescent="0.25">
      <c r="A334" s="276"/>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row>
    <row r="335" spans="1:36" x14ac:dyDescent="0.25">
      <c r="A335" s="27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row>
    <row r="336" spans="1:36" x14ac:dyDescent="0.25">
      <c r="A336" s="276"/>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row>
    <row r="337" spans="1:36" x14ac:dyDescent="0.25">
      <c r="A337" s="27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row>
    <row r="338" spans="1:36" x14ac:dyDescent="0.25">
      <c r="A338" s="276"/>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row>
    <row r="339" spans="1:36" x14ac:dyDescent="0.25">
      <c r="A339" s="27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row>
    <row r="340" spans="1:36" x14ac:dyDescent="0.25">
      <c r="A340" s="27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row>
    <row r="341" spans="1:36" x14ac:dyDescent="0.25">
      <c r="A341" s="27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row>
    <row r="342" spans="1:36" x14ac:dyDescent="0.25">
      <c r="A342" s="276"/>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row>
    <row r="343" spans="1:36" x14ac:dyDescent="0.25">
      <c r="A343" s="27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row>
    <row r="344" spans="1:36" x14ac:dyDescent="0.25">
      <c r="A344" s="276"/>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row>
    <row r="345" spans="1:36" x14ac:dyDescent="0.25">
      <c r="A345" s="27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row>
    <row r="346" spans="1:36" x14ac:dyDescent="0.25">
      <c r="A346" s="276"/>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row>
    <row r="347" spans="1:36" x14ac:dyDescent="0.25">
      <c r="A347" s="27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row>
    <row r="348" spans="1:36" x14ac:dyDescent="0.25">
      <c r="A348" s="276"/>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row>
    <row r="349" spans="1:36" x14ac:dyDescent="0.25">
      <c r="A349" s="27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row>
    <row r="350" spans="1:36" x14ac:dyDescent="0.25">
      <c r="A350" s="276"/>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row>
    <row r="351" spans="1:36" x14ac:dyDescent="0.25">
      <c r="A351" s="27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row>
    <row r="352" spans="1:36" x14ac:dyDescent="0.25">
      <c r="A352" s="276"/>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row>
    <row r="353" spans="1:36" x14ac:dyDescent="0.25">
      <c r="A353" s="27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row>
    <row r="354" spans="1:36" x14ac:dyDescent="0.25">
      <c r="A354" s="276"/>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row>
    <row r="355" spans="1:36" x14ac:dyDescent="0.25">
      <c r="A355" s="27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row>
    <row r="356" spans="1:36" x14ac:dyDescent="0.25">
      <c r="A356" s="276"/>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row>
    <row r="357" spans="1:36" x14ac:dyDescent="0.25">
      <c r="A357" s="27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row>
    <row r="358" spans="1:36" x14ac:dyDescent="0.25">
      <c r="A358" s="276"/>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row>
    <row r="359" spans="1:36" x14ac:dyDescent="0.25">
      <c r="A359" s="27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row>
    <row r="360" spans="1:36" x14ac:dyDescent="0.25">
      <c r="A360" s="276"/>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row>
    <row r="361" spans="1:36" x14ac:dyDescent="0.25">
      <c r="A361" s="27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row>
    <row r="362" spans="1:36" x14ac:dyDescent="0.25">
      <c r="A362" s="276"/>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row>
    <row r="363" spans="1:36" x14ac:dyDescent="0.25">
      <c r="A363" s="27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row>
    <row r="364" spans="1:36" x14ac:dyDescent="0.25">
      <c r="A364" s="276"/>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row>
    <row r="365" spans="1:36" x14ac:dyDescent="0.25">
      <c r="A365" s="27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row>
    <row r="366" spans="1:36" x14ac:dyDescent="0.25">
      <c r="A366" s="276"/>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row>
    <row r="367" spans="1:36" x14ac:dyDescent="0.25">
      <c r="A367" s="27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row>
    <row r="368" spans="1:36" x14ac:dyDescent="0.25">
      <c r="A368" s="276"/>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row>
    <row r="369" spans="1:36" x14ac:dyDescent="0.25">
      <c r="A369" s="27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row>
    <row r="370" spans="1:36" x14ac:dyDescent="0.25">
      <c r="A370" s="276"/>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row>
    <row r="371" spans="1:36" x14ac:dyDescent="0.25">
      <c r="A371" s="27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row>
    <row r="372" spans="1:36" x14ac:dyDescent="0.25">
      <c r="A372" s="276"/>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row>
    <row r="373" spans="1:36" x14ac:dyDescent="0.25">
      <c r="A373" s="27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row>
    <row r="374" spans="1:36" x14ac:dyDescent="0.25">
      <c r="A374" s="276"/>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row>
    <row r="375" spans="1:36" x14ac:dyDescent="0.25">
      <c r="A375" s="27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row>
    <row r="376" spans="1:36" x14ac:dyDescent="0.25">
      <c r="A376" s="276"/>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row>
    <row r="377" spans="1:36" x14ac:dyDescent="0.25">
      <c r="A377" s="27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row>
    <row r="378" spans="1:36" x14ac:dyDescent="0.25">
      <c r="A378" s="276"/>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row>
    <row r="379" spans="1:36" x14ac:dyDescent="0.25">
      <c r="A379" s="27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row>
    <row r="380" spans="1:36" x14ac:dyDescent="0.25">
      <c r="A380" s="276"/>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row>
    <row r="381" spans="1:36" x14ac:dyDescent="0.25">
      <c r="A381" s="27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row>
    <row r="382" spans="1:36" x14ac:dyDescent="0.25">
      <c r="A382" s="276"/>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row>
    <row r="383" spans="1:36" x14ac:dyDescent="0.25">
      <c r="A383" s="27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row>
    <row r="384" spans="1:36" x14ac:dyDescent="0.25">
      <c r="A384" s="276"/>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row>
    <row r="385" spans="1:36" x14ac:dyDescent="0.25">
      <c r="A385" s="27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row>
    <row r="386" spans="1:36" x14ac:dyDescent="0.25">
      <c r="A386" s="276"/>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row>
    <row r="387" spans="1:36" x14ac:dyDescent="0.25">
      <c r="A387" s="27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row>
    <row r="388" spans="1:36" x14ac:dyDescent="0.25">
      <c r="A388" s="27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row>
    <row r="389" spans="1:36" x14ac:dyDescent="0.25">
      <c r="A389" s="27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row>
    <row r="390" spans="1:36" x14ac:dyDescent="0.25">
      <c r="A390" s="276"/>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row>
    <row r="391" spans="1:36" x14ac:dyDescent="0.25">
      <c r="A391" s="27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row>
    <row r="392" spans="1:36" x14ac:dyDescent="0.25">
      <c r="A392" s="276"/>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row>
    <row r="393" spans="1:36" x14ac:dyDescent="0.25">
      <c r="A393" s="27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row>
    <row r="394" spans="1:36" x14ac:dyDescent="0.25">
      <c r="A394" s="276"/>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row>
    <row r="395" spans="1:36" x14ac:dyDescent="0.25">
      <c r="A395" s="27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row>
    <row r="396" spans="1:36" x14ac:dyDescent="0.25">
      <c r="A396" s="276"/>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row>
    <row r="397" spans="1:36" x14ac:dyDescent="0.25">
      <c r="A397" s="27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row>
    <row r="398" spans="1:36" x14ac:dyDescent="0.25">
      <c r="A398" s="276"/>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row>
    <row r="399" spans="1:36" x14ac:dyDescent="0.25">
      <c r="A399" s="27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row>
    <row r="400" spans="1:36" x14ac:dyDescent="0.25">
      <c r="A400" s="276"/>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row>
    <row r="401" spans="1:36" x14ac:dyDescent="0.25">
      <c r="A401" s="27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row>
    <row r="402" spans="1:36" x14ac:dyDescent="0.25">
      <c r="A402" s="276"/>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row>
    <row r="403" spans="1:36" x14ac:dyDescent="0.25">
      <c r="A403" s="27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row>
    <row r="404" spans="1:36" x14ac:dyDescent="0.25">
      <c r="A404" s="276"/>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row>
    <row r="405" spans="1:36" x14ac:dyDescent="0.25">
      <c r="A405" s="27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row>
    <row r="406" spans="1:36" x14ac:dyDescent="0.25">
      <c r="A406" s="276"/>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row>
    <row r="407" spans="1:36" x14ac:dyDescent="0.25">
      <c r="A407" s="27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row>
    <row r="408" spans="1:36" x14ac:dyDescent="0.25">
      <c r="A408" s="276"/>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row>
    <row r="409" spans="1:36" x14ac:dyDescent="0.25">
      <c r="A409" s="27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row>
    <row r="410" spans="1:36" x14ac:dyDescent="0.25">
      <c r="A410" s="276"/>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row>
    <row r="411" spans="1:36" x14ac:dyDescent="0.25">
      <c r="A411" s="27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row>
    <row r="412" spans="1:36" x14ac:dyDescent="0.25">
      <c r="A412" s="276"/>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row>
    <row r="413" spans="1:36" x14ac:dyDescent="0.25">
      <c r="A413" s="27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row>
    <row r="414" spans="1:36" x14ac:dyDescent="0.25">
      <c r="A414" s="276"/>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row>
    <row r="415" spans="1:36" x14ac:dyDescent="0.25">
      <c r="A415" s="27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row>
    <row r="416" spans="1:36" x14ac:dyDescent="0.25">
      <c r="A416" s="276"/>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row>
    <row r="417" spans="1:36" x14ac:dyDescent="0.25">
      <c r="A417" s="27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row>
    <row r="418" spans="1:36" x14ac:dyDescent="0.25">
      <c r="A418" s="276"/>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row>
    <row r="419" spans="1:36" x14ac:dyDescent="0.25">
      <c r="A419" s="27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row>
    <row r="420" spans="1:36" x14ac:dyDescent="0.25">
      <c r="A420" s="276"/>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row>
    <row r="421" spans="1:36" x14ac:dyDescent="0.25">
      <c r="A421" s="27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row>
    <row r="422" spans="1:36" x14ac:dyDescent="0.25">
      <c r="A422" s="276"/>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row>
    <row r="423" spans="1:36" x14ac:dyDescent="0.25">
      <c r="A423" s="27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row>
    <row r="424" spans="1:36" x14ac:dyDescent="0.25">
      <c r="A424" s="276"/>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row>
    <row r="425" spans="1:36" x14ac:dyDescent="0.25">
      <c r="A425" s="27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row>
    <row r="426" spans="1:36" x14ac:dyDescent="0.25">
      <c r="A426" s="276"/>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row>
    <row r="427" spans="1:36" x14ac:dyDescent="0.25">
      <c r="A427" s="27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row>
    <row r="428" spans="1:36" x14ac:dyDescent="0.25">
      <c r="A428" s="276"/>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row>
    <row r="429" spans="1:36" x14ac:dyDescent="0.25">
      <c r="A429" s="27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row>
    <row r="430" spans="1:36" x14ac:dyDescent="0.25">
      <c r="A430" s="276"/>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row>
    <row r="431" spans="1:36" x14ac:dyDescent="0.25">
      <c r="A431" s="27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row>
    <row r="432" spans="1:36" x14ac:dyDescent="0.25">
      <c r="A432" s="276"/>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row>
    <row r="433" spans="1:36" x14ac:dyDescent="0.25">
      <c r="A433" s="27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row>
    <row r="434" spans="1:36" x14ac:dyDescent="0.25">
      <c r="A434" s="276"/>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row>
    <row r="435" spans="1:36" x14ac:dyDescent="0.25">
      <c r="A435" s="27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row>
    <row r="436" spans="1:36" x14ac:dyDescent="0.25">
      <c r="A436" s="276"/>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row>
    <row r="437" spans="1:36" x14ac:dyDescent="0.25">
      <c r="A437" s="27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row>
    <row r="438" spans="1:36" x14ac:dyDescent="0.25">
      <c r="A438" s="276"/>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row>
    <row r="439" spans="1:36" x14ac:dyDescent="0.25">
      <c r="A439" s="27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row>
    <row r="440" spans="1:36" x14ac:dyDescent="0.25">
      <c r="A440" s="276"/>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row>
    <row r="441" spans="1:36" x14ac:dyDescent="0.25">
      <c r="A441" s="27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row>
    <row r="442" spans="1:36" x14ac:dyDescent="0.25">
      <c r="A442" s="276"/>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row>
    <row r="443" spans="1:36" x14ac:dyDescent="0.25">
      <c r="A443" s="27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row>
    <row r="444" spans="1:36" x14ac:dyDescent="0.25">
      <c r="A444" s="276"/>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row>
    <row r="445" spans="1:36" x14ac:dyDescent="0.25">
      <c r="A445" s="27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row>
    <row r="446" spans="1:36" x14ac:dyDescent="0.25">
      <c r="A446" s="276"/>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row>
    <row r="447" spans="1:36" x14ac:dyDescent="0.25">
      <c r="A447" s="27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row>
    <row r="448" spans="1:36" x14ac:dyDescent="0.25">
      <c r="A448" s="276"/>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row>
    <row r="449" spans="1:36" x14ac:dyDescent="0.25">
      <c r="A449" s="27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row>
    <row r="450" spans="1:36" x14ac:dyDescent="0.25">
      <c r="A450" s="276"/>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row>
    <row r="451" spans="1:36" x14ac:dyDescent="0.25">
      <c r="A451" s="27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row>
    <row r="452" spans="1:36" x14ac:dyDescent="0.25">
      <c r="A452" s="276"/>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row>
    <row r="453" spans="1:36" x14ac:dyDescent="0.25">
      <c r="A453" s="27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row>
    <row r="454" spans="1:36" x14ac:dyDescent="0.25">
      <c r="A454" s="276"/>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row>
    <row r="455" spans="1:36" x14ac:dyDescent="0.25">
      <c r="A455" s="27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row>
    <row r="456" spans="1:36" x14ac:dyDescent="0.25">
      <c r="A456" s="276"/>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row>
    <row r="457" spans="1:36" x14ac:dyDescent="0.25">
      <c r="A457" s="27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row>
    <row r="458" spans="1:36" x14ac:dyDescent="0.25">
      <c r="A458" s="276"/>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row>
    <row r="459" spans="1:36" x14ac:dyDescent="0.25">
      <c r="A459" s="27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row>
    <row r="460" spans="1:36" x14ac:dyDescent="0.25">
      <c r="A460" s="276"/>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row>
    <row r="461" spans="1:36" x14ac:dyDescent="0.25">
      <c r="A461" s="27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row>
    <row r="462" spans="1:36" x14ac:dyDescent="0.25">
      <c r="A462" s="276"/>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row>
    <row r="463" spans="1:36" x14ac:dyDescent="0.25">
      <c r="A463" s="27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row>
    <row r="464" spans="1:36" x14ac:dyDescent="0.25">
      <c r="A464" s="276"/>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row>
    <row r="465" spans="1:36" x14ac:dyDescent="0.25">
      <c r="A465" s="27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row>
    <row r="466" spans="1:36" x14ac:dyDescent="0.25">
      <c r="A466" s="276"/>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row>
    <row r="467" spans="1:36" x14ac:dyDescent="0.25">
      <c r="A467" s="27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row>
    <row r="468" spans="1:36" x14ac:dyDescent="0.25">
      <c r="A468" s="276"/>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row>
    <row r="469" spans="1:36" x14ac:dyDescent="0.25">
      <c r="A469" s="27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row>
    <row r="470" spans="1:36" x14ac:dyDescent="0.25">
      <c r="A470" s="276"/>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row>
    <row r="471" spans="1:36" x14ac:dyDescent="0.25">
      <c r="A471" s="27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row>
    <row r="472" spans="1:36" x14ac:dyDescent="0.25">
      <c r="A472" s="276"/>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row>
    <row r="473" spans="1:36" x14ac:dyDescent="0.25">
      <c r="A473" s="27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row>
    <row r="474" spans="1:36" x14ac:dyDescent="0.25">
      <c r="A474" s="276"/>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row>
    <row r="475" spans="1:36" x14ac:dyDescent="0.25">
      <c r="A475" s="27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row>
    <row r="476" spans="1:36" x14ac:dyDescent="0.25">
      <c r="A476" s="276"/>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row>
    <row r="477" spans="1:36" x14ac:dyDescent="0.25">
      <c r="A477" s="27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row>
    <row r="478" spans="1:36" x14ac:dyDescent="0.25">
      <c r="A478" s="276"/>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row>
    <row r="479" spans="1:36" x14ac:dyDescent="0.25">
      <c r="A479" s="27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row>
    <row r="480" spans="1:36" x14ac:dyDescent="0.25">
      <c r="A480" s="276"/>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row>
    <row r="481" spans="1:36" x14ac:dyDescent="0.25">
      <c r="A481" s="27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row>
    <row r="482" spans="1:36" x14ac:dyDescent="0.25">
      <c r="A482" s="276"/>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row>
    <row r="483" spans="1:36" x14ac:dyDescent="0.25">
      <c r="A483" s="27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row>
    <row r="484" spans="1:36" x14ac:dyDescent="0.25">
      <c r="A484" s="276"/>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row>
    <row r="485" spans="1:36" x14ac:dyDescent="0.25">
      <c r="A485" s="27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row>
    <row r="486" spans="1:36" x14ac:dyDescent="0.25">
      <c r="A486" s="276"/>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row>
    <row r="487" spans="1:36" x14ac:dyDescent="0.25">
      <c r="A487" s="27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row>
    <row r="488" spans="1:36" x14ac:dyDescent="0.25">
      <c r="A488" s="276"/>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row>
    <row r="489" spans="1:36" x14ac:dyDescent="0.25">
      <c r="A489" s="27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row>
    <row r="490" spans="1:36" x14ac:dyDescent="0.25">
      <c r="A490" s="276"/>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row>
    <row r="491" spans="1:36" x14ac:dyDescent="0.25">
      <c r="A491" s="27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row>
    <row r="492" spans="1:36" x14ac:dyDescent="0.25">
      <c r="A492" s="276"/>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row>
    <row r="493" spans="1:36" x14ac:dyDescent="0.25">
      <c r="A493" s="27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row>
    <row r="494" spans="1:36" x14ac:dyDescent="0.25">
      <c r="A494" s="276"/>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row>
    <row r="495" spans="1:36" x14ac:dyDescent="0.25">
      <c r="A495" s="27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row>
    <row r="496" spans="1:36" x14ac:dyDescent="0.25">
      <c r="A496" s="276"/>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row>
    <row r="497" spans="1:36" x14ac:dyDescent="0.25">
      <c r="A497" s="27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row>
    <row r="498" spans="1:36" x14ac:dyDescent="0.25">
      <c r="A498" s="276"/>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row>
    <row r="499" spans="1:36" x14ac:dyDescent="0.25">
      <c r="A499" s="27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row>
    <row r="500" spans="1:36" x14ac:dyDescent="0.25">
      <c r="A500" s="276"/>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row>
    <row r="501" spans="1:36" x14ac:dyDescent="0.25">
      <c r="A501" s="27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row>
    <row r="502" spans="1:36" x14ac:dyDescent="0.25">
      <c r="A502" s="276"/>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row>
    <row r="503" spans="1:36" x14ac:dyDescent="0.25">
      <c r="A503" s="27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row>
    <row r="504" spans="1:36" x14ac:dyDescent="0.25">
      <c r="A504" s="276"/>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row>
    <row r="505" spans="1:36" x14ac:dyDescent="0.25">
      <c r="A505" s="27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row>
    <row r="506" spans="1:36" x14ac:dyDescent="0.25">
      <c r="A506" s="276"/>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row>
    <row r="507" spans="1:36" x14ac:dyDescent="0.25">
      <c r="A507" s="27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row>
    <row r="508" spans="1:36" x14ac:dyDescent="0.25">
      <c r="A508" s="276"/>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row>
    <row r="509" spans="1:36" x14ac:dyDescent="0.25">
      <c r="A509" s="27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row>
    <row r="510" spans="1:36" x14ac:dyDescent="0.25">
      <c r="A510" s="276"/>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row>
    <row r="511" spans="1:36" x14ac:dyDescent="0.25">
      <c r="A511" s="27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row>
    <row r="512" spans="1:36" x14ac:dyDescent="0.25">
      <c r="A512" s="276"/>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row>
    <row r="513" spans="1:36" x14ac:dyDescent="0.25">
      <c r="A513" s="27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row>
    <row r="514" spans="1:36" x14ac:dyDescent="0.25">
      <c r="A514" s="276"/>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row>
    <row r="515" spans="1:36" x14ac:dyDescent="0.25">
      <c r="A515" s="27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row>
    <row r="516" spans="1:36" x14ac:dyDescent="0.25">
      <c r="A516" s="276"/>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row>
    <row r="517" spans="1:36" x14ac:dyDescent="0.25">
      <c r="A517" s="27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row>
    <row r="518" spans="1:36" x14ac:dyDescent="0.25">
      <c r="A518" s="276"/>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row>
    <row r="519" spans="1:36" x14ac:dyDescent="0.25">
      <c r="A519" s="27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row>
    <row r="520" spans="1:36" x14ac:dyDescent="0.25">
      <c r="A520" s="276"/>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row>
    <row r="521" spans="1:36" x14ac:dyDescent="0.25">
      <c r="A521" s="27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row>
    <row r="522" spans="1:36" x14ac:dyDescent="0.25">
      <c r="A522" s="276"/>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row>
    <row r="523" spans="1:36" x14ac:dyDescent="0.25">
      <c r="A523" s="27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row>
    <row r="524" spans="1:36" x14ac:dyDescent="0.25">
      <c r="A524" s="276"/>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row>
    <row r="525" spans="1:36" x14ac:dyDescent="0.25">
      <c r="A525" s="27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row>
    <row r="526" spans="1:36" x14ac:dyDescent="0.25">
      <c r="A526" s="276"/>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row>
    <row r="527" spans="1:36" x14ac:dyDescent="0.25">
      <c r="A527" s="27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row>
    <row r="528" spans="1:36" x14ac:dyDescent="0.25">
      <c r="A528" s="276"/>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row>
    <row r="529" spans="1:36" x14ac:dyDescent="0.25">
      <c r="A529" s="27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row>
    <row r="530" spans="1:36" x14ac:dyDescent="0.25">
      <c r="A530" s="276"/>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row>
    <row r="531" spans="1:36" x14ac:dyDescent="0.25">
      <c r="A531" s="27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row>
    <row r="532" spans="1:36" x14ac:dyDescent="0.25">
      <c r="A532" s="276"/>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row>
    <row r="533" spans="1:36" x14ac:dyDescent="0.25">
      <c r="A533" s="27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row>
    <row r="534" spans="1:36" x14ac:dyDescent="0.25">
      <c r="A534" s="276"/>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row>
    <row r="535" spans="1:36" x14ac:dyDescent="0.25">
      <c r="A535" s="27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row>
    <row r="536" spans="1:36" x14ac:dyDescent="0.25">
      <c r="A536" s="276"/>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row>
    <row r="537" spans="1:36" x14ac:dyDescent="0.25">
      <c r="A537" s="27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row>
    <row r="538" spans="1:36" x14ac:dyDescent="0.25">
      <c r="A538" s="276"/>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row>
    <row r="539" spans="1:36" x14ac:dyDescent="0.25">
      <c r="A539" s="27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row>
    <row r="540" spans="1:36" x14ac:dyDescent="0.25">
      <c r="A540" s="276"/>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row>
    <row r="541" spans="1:36" x14ac:dyDescent="0.25">
      <c r="A541" s="27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row>
    <row r="542" spans="1:36" x14ac:dyDescent="0.25">
      <c r="A542" s="276"/>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row>
    <row r="543" spans="1:36" x14ac:dyDescent="0.25">
      <c r="A543" s="27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row>
    <row r="544" spans="1:36" x14ac:dyDescent="0.25">
      <c r="A544" s="276"/>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row>
    <row r="545" spans="1:36" x14ac:dyDescent="0.25">
      <c r="A545" s="27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row>
    <row r="546" spans="1:36" x14ac:dyDescent="0.25">
      <c r="A546" s="276"/>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row>
    <row r="547" spans="1:36" x14ac:dyDescent="0.25">
      <c r="A547" s="27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row>
    <row r="548" spans="1:36" x14ac:dyDescent="0.25">
      <c r="A548" s="276"/>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row>
    <row r="549" spans="1:36" x14ac:dyDescent="0.25">
      <c r="A549" s="27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row>
    <row r="550" spans="1:36" x14ac:dyDescent="0.25">
      <c r="A550" s="276"/>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row>
    <row r="551" spans="1:36" x14ac:dyDescent="0.25">
      <c r="A551" s="27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row>
    <row r="552" spans="1:36" x14ac:dyDescent="0.25">
      <c r="A552" s="276"/>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row>
    <row r="553" spans="1:36" x14ac:dyDescent="0.25">
      <c r="A553" s="27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row>
    <row r="554" spans="1:36" x14ac:dyDescent="0.25">
      <c r="A554" s="276"/>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row>
    <row r="555" spans="1:36" x14ac:dyDescent="0.25">
      <c r="A555" s="27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row>
    <row r="556" spans="1:36" x14ac:dyDescent="0.25">
      <c r="A556" s="276"/>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row>
    <row r="557" spans="1:36" x14ac:dyDescent="0.25">
      <c r="A557" s="27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row>
    <row r="558" spans="1:36" x14ac:dyDescent="0.25">
      <c r="A558" s="276"/>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row>
    <row r="559" spans="1:36" x14ac:dyDescent="0.25">
      <c r="A559" s="27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row>
    <row r="560" spans="1:36" x14ac:dyDescent="0.25">
      <c r="A560" s="276"/>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row>
    <row r="561" spans="1:36" x14ac:dyDescent="0.25">
      <c r="A561" s="27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row>
    <row r="562" spans="1:36" x14ac:dyDescent="0.25">
      <c r="A562" s="276"/>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row>
    <row r="563" spans="1:36" x14ac:dyDescent="0.25">
      <c r="A563" s="27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row>
    <row r="564" spans="1:36" x14ac:dyDescent="0.25">
      <c r="A564" s="276"/>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row>
    <row r="565" spans="1:36" x14ac:dyDescent="0.25">
      <c r="A565" s="27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row>
    <row r="566" spans="1:36" x14ac:dyDescent="0.25">
      <c r="A566" s="276"/>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row>
    <row r="567" spans="1:36" x14ac:dyDescent="0.25">
      <c r="A567" s="27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row>
    <row r="568" spans="1:36" x14ac:dyDescent="0.25">
      <c r="A568" s="276"/>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row>
    <row r="569" spans="1:36" x14ac:dyDescent="0.25">
      <c r="A569" s="27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row>
    <row r="570" spans="1:36" x14ac:dyDescent="0.25">
      <c r="A570" s="276"/>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row>
    <row r="571" spans="1:36" x14ac:dyDescent="0.25">
      <c r="A571" s="27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row>
    <row r="572" spans="1:36" x14ac:dyDescent="0.25">
      <c r="A572" s="276"/>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row>
    <row r="573" spans="1:36" x14ac:dyDescent="0.25">
      <c r="A573" s="27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row>
    <row r="574" spans="1:36" x14ac:dyDescent="0.25">
      <c r="A574" s="276"/>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row>
    <row r="575" spans="1:36" x14ac:dyDescent="0.25">
      <c r="A575" s="27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row>
    <row r="576" spans="1:36" x14ac:dyDescent="0.25">
      <c r="A576" s="276"/>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row>
    <row r="577" spans="1:36" x14ac:dyDescent="0.25">
      <c r="A577" s="27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row>
    <row r="578" spans="1:36" x14ac:dyDescent="0.25">
      <c r="A578" s="276"/>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row>
    <row r="579" spans="1:36" x14ac:dyDescent="0.25">
      <c r="A579" s="27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row>
    <row r="580" spans="1:36" x14ac:dyDescent="0.25">
      <c r="A580" s="276"/>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row>
    <row r="581" spans="1:36" x14ac:dyDescent="0.25">
      <c r="A581" s="27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row>
    <row r="582" spans="1:36" x14ac:dyDescent="0.25">
      <c r="A582" s="276"/>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row>
    <row r="583" spans="1:36" x14ac:dyDescent="0.25">
      <c r="A583" s="27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row>
    <row r="584" spans="1:36" x14ac:dyDescent="0.25">
      <c r="A584" s="276"/>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row>
    <row r="585" spans="1:36" x14ac:dyDescent="0.25">
      <c r="A585" s="27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row>
    <row r="586" spans="1:36" x14ac:dyDescent="0.25">
      <c r="A586" s="276"/>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row>
    <row r="587" spans="1:36" x14ac:dyDescent="0.25">
      <c r="A587" s="27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row>
    <row r="588" spans="1:36" x14ac:dyDescent="0.25">
      <c r="A588" s="276"/>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row>
    <row r="589" spans="1:36" x14ac:dyDescent="0.25">
      <c r="A589" s="27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row>
    <row r="590" spans="1:36" x14ac:dyDescent="0.25">
      <c r="A590" s="276"/>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row>
    <row r="591" spans="1:36" x14ac:dyDescent="0.25">
      <c r="A591" s="27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row>
    <row r="592" spans="1:36" x14ac:dyDescent="0.25">
      <c r="A592" s="276"/>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row>
    <row r="593" spans="1:36" x14ac:dyDescent="0.25">
      <c r="A593" s="27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row>
    <row r="594" spans="1:36" x14ac:dyDescent="0.25">
      <c r="A594" s="276"/>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row>
    <row r="595" spans="1:36" x14ac:dyDescent="0.25">
      <c r="A595" s="27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row>
    <row r="596" spans="1:36" x14ac:dyDescent="0.25">
      <c r="A596" s="276"/>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row>
    <row r="597" spans="1:36" x14ac:dyDescent="0.25">
      <c r="A597" s="27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row>
    <row r="598" spans="1:36" x14ac:dyDescent="0.25">
      <c r="A598" s="276"/>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row>
    <row r="599" spans="1:36" x14ac:dyDescent="0.25">
      <c r="A599" s="27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row>
    <row r="600" spans="1:36" x14ac:dyDescent="0.25">
      <c r="A600" s="276"/>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row>
    <row r="601" spans="1:36" x14ac:dyDescent="0.25">
      <c r="A601" s="27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row>
    <row r="602" spans="1:36" x14ac:dyDescent="0.25">
      <c r="A602" s="276"/>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row>
    <row r="603" spans="1:36" x14ac:dyDescent="0.25">
      <c r="A603" s="27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row>
    <row r="604" spans="1:36" x14ac:dyDescent="0.25">
      <c r="A604" s="276"/>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row>
    <row r="605" spans="1:36" x14ac:dyDescent="0.25">
      <c r="A605" s="27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row>
    <row r="606" spans="1:36" x14ac:dyDescent="0.25">
      <c r="A606" s="276"/>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row>
    <row r="607" spans="1:36" x14ac:dyDescent="0.25">
      <c r="A607" s="27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row>
    <row r="608" spans="1:36" x14ac:dyDescent="0.25">
      <c r="A608" s="276"/>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row>
    <row r="609" spans="1:36" x14ac:dyDescent="0.25">
      <c r="A609" s="27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row>
    <row r="610" spans="1:36" x14ac:dyDescent="0.25">
      <c r="A610" s="276"/>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row>
    <row r="611" spans="1:36" x14ac:dyDescent="0.25">
      <c r="A611" s="27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row>
    <row r="612" spans="1:36" x14ac:dyDescent="0.25">
      <c r="A612" s="276"/>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row>
    <row r="613" spans="1:36" x14ac:dyDescent="0.25">
      <c r="A613" s="27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row>
    <row r="614" spans="1:36" x14ac:dyDescent="0.25">
      <c r="A614" s="276"/>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row>
    <row r="615" spans="1:36" x14ac:dyDescent="0.25">
      <c r="A615" s="27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row>
    <row r="616" spans="1:36" x14ac:dyDescent="0.25">
      <c r="A616" s="276"/>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row>
    <row r="617" spans="1:36" x14ac:dyDescent="0.25">
      <c r="A617" s="27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row>
    <row r="618" spans="1:36" x14ac:dyDescent="0.25">
      <c r="A618" s="276"/>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row>
    <row r="619" spans="1:36" x14ac:dyDescent="0.25">
      <c r="A619" s="27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row>
    <row r="620" spans="1:36" x14ac:dyDescent="0.25">
      <c r="A620" s="276"/>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row>
    <row r="621" spans="1:36" x14ac:dyDescent="0.25">
      <c r="A621" s="27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row>
    <row r="622" spans="1:36" x14ac:dyDescent="0.25">
      <c r="A622" s="276"/>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row>
    <row r="623" spans="1:36" x14ac:dyDescent="0.25">
      <c r="A623" s="27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row>
    <row r="624" spans="1:36" x14ac:dyDescent="0.25">
      <c r="A624" s="276"/>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row>
    <row r="625" spans="1:36" x14ac:dyDescent="0.25">
      <c r="A625" s="27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row>
    <row r="626" spans="1:36" x14ac:dyDescent="0.25">
      <c r="A626" s="276"/>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row>
    <row r="627" spans="1:36" x14ac:dyDescent="0.25">
      <c r="A627" s="27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row>
    <row r="628" spans="1:36" x14ac:dyDescent="0.25">
      <c r="A628" s="276"/>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row>
    <row r="629" spans="1:36" x14ac:dyDescent="0.25">
      <c r="A629" s="27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row>
    <row r="630" spans="1:36" x14ac:dyDescent="0.25">
      <c r="A630" s="276"/>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row>
    <row r="631" spans="1:36" x14ac:dyDescent="0.25">
      <c r="A631" s="27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row>
    <row r="632" spans="1:36" x14ac:dyDescent="0.25">
      <c r="A632" s="276"/>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row>
    <row r="633" spans="1:36" x14ac:dyDescent="0.25">
      <c r="A633" s="27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row>
    <row r="634" spans="1:36" x14ac:dyDescent="0.25">
      <c r="A634" s="276"/>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row>
    <row r="635" spans="1:36" x14ac:dyDescent="0.25">
      <c r="A635" s="27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row>
    <row r="636" spans="1:36" x14ac:dyDescent="0.25">
      <c r="A636" s="276"/>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row>
    <row r="637" spans="1:36" x14ac:dyDescent="0.25">
      <c r="A637" s="27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row>
    <row r="638" spans="1:36" x14ac:dyDescent="0.25">
      <c r="A638" s="276"/>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row>
    <row r="639" spans="1:36" x14ac:dyDescent="0.25">
      <c r="A639" s="27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row>
    <row r="640" spans="1:36" x14ac:dyDescent="0.25">
      <c r="A640" s="276"/>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row>
    <row r="641" spans="1:36" x14ac:dyDescent="0.25">
      <c r="A641" s="27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row>
    <row r="642" spans="1:36" x14ac:dyDescent="0.25">
      <c r="A642" s="276"/>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row>
    <row r="643" spans="1:36" x14ac:dyDescent="0.25">
      <c r="A643" s="27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row>
    <row r="644" spans="1:36" x14ac:dyDescent="0.25">
      <c r="A644" s="27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row>
    <row r="645" spans="1:36" x14ac:dyDescent="0.25">
      <c r="A645" s="27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row>
    <row r="646" spans="1:36" x14ac:dyDescent="0.25">
      <c r="A646" s="276"/>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row>
    <row r="647" spans="1:36" x14ac:dyDescent="0.25">
      <c r="A647" s="27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row>
    <row r="648" spans="1:36" x14ac:dyDescent="0.25">
      <c r="A648" s="276"/>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row>
    <row r="649" spans="1:36" x14ac:dyDescent="0.25">
      <c r="A649" s="27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row>
    <row r="650" spans="1:36" x14ac:dyDescent="0.25">
      <c r="A650" s="276"/>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row>
    <row r="651" spans="1:36" x14ac:dyDescent="0.25">
      <c r="A651" s="27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row>
    <row r="652" spans="1:36" x14ac:dyDescent="0.25">
      <c r="A652" s="276"/>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row>
    <row r="653" spans="1:36" x14ac:dyDescent="0.25">
      <c r="A653" s="27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row>
    <row r="654" spans="1:36" x14ac:dyDescent="0.25">
      <c r="A654" s="276"/>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row>
    <row r="655" spans="1:36" x14ac:dyDescent="0.25">
      <c r="A655" s="27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row>
    <row r="656" spans="1:36" x14ac:dyDescent="0.25">
      <c r="A656" s="27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row>
    <row r="657" spans="1:36" x14ac:dyDescent="0.25">
      <c r="A657" s="27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row>
    <row r="658" spans="1:36" x14ac:dyDescent="0.25">
      <c r="A658" s="27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row>
    <row r="659" spans="1:36" x14ac:dyDescent="0.25">
      <c r="A659" s="27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row>
    <row r="660" spans="1:36" x14ac:dyDescent="0.25">
      <c r="A660" s="27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row>
    <row r="661" spans="1:36" x14ac:dyDescent="0.25">
      <c r="A661" s="27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row>
    <row r="662" spans="1:36" x14ac:dyDescent="0.25">
      <c r="A662" s="27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row>
    <row r="663" spans="1:36" x14ac:dyDescent="0.25">
      <c r="A663" s="27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row>
    <row r="664" spans="1:36" x14ac:dyDescent="0.25">
      <c r="A664" s="27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row>
    <row r="665" spans="1:36" x14ac:dyDescent="0.25">
      <c r="A665" s="27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row>
    <row r="666" spans="1:36" x14ac:dyDescent="0.25">
      <c r="A666" s="27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row>
    <row r="667" spans="1:36" x14ac:dyDescent="0.25">
      <c r="A667" s="27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row>
    <row r="668" spans="1:36" x14ac:dyDescent="0.25">
      <c r="A668" s="27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row>
    <row r="669" spans="1:36" x14ac:dyDescent="0.25">
      <c r="A669" s="27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row>
    <row r="670" spans="1:36" x14ac:dyDescent="0.25">
      <c r="A670" s="27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row>
    <row r="671" spans="1:36" x14ac:dyDescent="0.25">
      <c r="A671" s="27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row>
    <row r="672" spans="1:36" x14ac:dyDescent="0.25">
      <c r="A672" s="27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row>
    <row r="673" spans="1:36" x14ac:dyDescent="0.25">
      <c r="A673" s="27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row>
    <row r="674" spans="1:36" x14ac:dyDescent="0.25">
      <c r="A674" s="27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row>
    <row r="675" spans="1:36" x14ac:dyDescent="0.25">
      <c r="A675" s="27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row>
    <row r="676" spans="1:36" x14ac:dyDescent="0.25">
      <c r="A676" s="27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row>
    <row r="677" spans="1:36" x14ac:dyDescent="0.25">
      <c r="A677" s="27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row>
    <row r="678" spans="1:36" x14ac:dyDescent="0.25">
      <c r="A678" s="27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row>
    <row r="679" spans="1:36" x14ac:dyDescent="0.25">
      <c r="A679" s="27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row>
    <row r="680" spans="1:36" x14ac:dyDescent="0.25">
      <c r="A680" s="27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row>
    <row r="681" spans="1:36" x14ac:dyDescent="0.25">
      <c r="A681" s="27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row>
    <row r="682" spans="1:36" x14ac:dyDescent="0.25">
      <c r="A682" s="27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row>
    <row r="683" spans="1:36" x14ac:dyDescent="0.25">
      <c r="A683" s="27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row>
    <row r="684" spans="1:36" x14ac:dyDescent="0.25">
      <c r="A684" s="27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row>
    <row r="685" spans="1:36" x14ac:dyDescent="0.25">
      <c r="A685" s="27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row>
    <row r="686" spans="1:36" x14ac:dyDescent="0.25">
      <c r="A686" s="27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row>
    <row r="687" spans="1:36" x14ac:dyDescent="0.25">
      <c r="A687" s="27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row>
    <row r="688" spans="1:36" x14ac:dyDescent="0.25">
      <c r="A688" s="27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row>
    <row r="689" spans="1:36" x14ac:dyDescent="0.25">
      <c r="A689" s="27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row>
    <row r="690" spans="1:36" x14ac:dyDescent="0.25">
      <c r="A690" s="27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row>
    <row r="691" spans="1:36" x14ac:dyDescent="0.25">
      <c r="A691" s="27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row>
    <row r="692" spans="1:36" x14ac:dyDescent="0.25">
      <c r="A692" s="27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row>
    <row r="693" spans="1:36" x14ac:dyDescent="0.25">
      <c r="A693" s="27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row>
    <row r="694" spans="1:36" x14ac:dyDescent="0.25">
      <c r="A694" s="27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row>
    <row r="695" spans="1:36" x14ac:dyDescent="0.25">
      <c r="A695" s="27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row>
    <row r="696" spans="1:36" x14ac:dyDescent="0.25">
      <c r="A696" s="27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row>
    <row r="697" spans="1:36" x14ac:dyDescent="0.25">
      <c r="A697" s="27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row>
    <row r="698" spans="1:36" x14ac:dyDescent="0.25">
      <c r="A698" s="27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row>
    <row r="699" spans="1:36" x14ac:dyDescent="0.25">
      <c r="A699" s="27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row>
    <row r="700" spans="1:36" x14ac:dyDescent="0.25">
      <c r="A700" s="27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row>
    <row r="701" spans="1:36" x14ac:dyDescent="0.25">
      <c r="A701" s="27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row>
    <row r="702" spans="1:36" x14ac:dyDescent="0.25">
      <c r="A702" s="27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row>
    <row r="703" spans="1:36" x14ac:dyDescent="0.25">
      <c r="A703" s="27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row>
    <row r="704" spans="1:36" x14ac:dyDescent="0.25">
      <c r="A704" s="27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row>
    <row r="705" spans="1:36" x14ac:dyDescent="0.25">
      <c r="A705" s="27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row>
    <row r="706" spans="1:36" x14ac:dyDescent="0.25">
      <c r="A706" s="27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row>
    <row r="707" spans="1:36" x14ac:dyDescent="0.25">
      <c r="A707" s="27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row>
    <row r="708" spans="1:36" x14ac:dyDescent="0.25">
      <c r="A708" s="27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row>
    <row r="709" spans="1:36" x14ac:dyDescent="0.25">
      <c r="A709" s="27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row>
    <row r="710" spans="1:36" x14ac:dyDescent="0.25">
      <c r="A710" s="27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row>
    <row r="711" spans="1:36" x14ac:dyDescent="0.25">
      <c r="A711" s="27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row>
    <row r="712" spans="1:36" x14ac:dyDescent="0.25">
      <c r="A712" s="27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row>
    <row r="713" spans="1:36" x14ac:dyDescent="0.25">
      <c r="A713" s="27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row>
    <row r="714" spans="1:36" x14ac:dyDescent="0.25">
      <c r="A714" s="27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row>
    <row r="715" spans="1:36" x14ac:dyDescent="0.25">
      <c r="A715" s="27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row>
    <row r="716" spans="1:36" x14ac:dyDescent="0.25">
      <c r="A716" s="27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row>
    <row r="717" spans="1:36" x14ac:dyDescent="0.25">
      <c r="A717" s="27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row>
    <row r="718" spans="1:36" x14ac:dyDescent="0.25">
      <c r="A718" s="27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row>
    <row r="719" spans="1:36" x14ac:dyDescent="0.25">
      <c r="A719" s="27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row>
    <row r="720" spans="1:36" x14ac:dyDescent="0.25">
      <c r="A720" s="27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row>
    <row r="721" spans="1:36" x14ac:dyDescent="0.25">
      <c r="A721" s="27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row>
    <row r="722" spans="1:36" x14ac:dyDescent="0.25">
      <c r="A722" s="27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row>
    <row r="723" spans="1:36" x14ac:dyDescent="0.25">
      <c r="A723" s="27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row>
    <row r="724" spans="1:36" x14ac:dyDescent="0.25">
      <c r="A724" s="27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row>
    <row r="725" spans="1:36" x14ac:dyDescent="0.25">
      <c r="A725" s="27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row>
    <row r="726" spans="1:36" x14ac:dyDescent="0.25">
      <c r="A726" s="27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row>
    <row r="727" spans="1:36" x14ac:dyDescent="0.25">
      <c r="A727" s="27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row>
    <row r="728" spans="1:36" x14ac:dyDescent="0.25">
      <c r="A728" s="27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row>
    <row r="729" spans="1:36" x14ac:dyDescent="0.25">
      <c r="A729" s="27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row>
    <row r="730" spans="1:36" x14ac:dyDescent="0.25">
      <c r="A730" s="27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row>
    <row r="731" spans="1:36" x14ac:dyDescent="0.25">
      <c r="A731" s="27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row>
    <row r="732" spans="1:36" x14ac:dyDescent="0.25">
      <c r="A732" s="27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row>
    <row r="733" spans="1:36" x14ac:dyDescent="0.25">
      <c r="A733" s="27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row>
    <row r="734" spans="1:36" x14ac:dyDescent="0.25">
      <c r="A734" s="27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row>
    <row r="735" spans="1:36" x14ac:dyDescent="0.25">
      <c r="A735" s="27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row>
    <row r="736" spans="1:36" x14ac:dyDescent="0.25">
      <c r="A736" s="27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row>
    <row r="737" spans="1:36" x14ac:dyDescent="0.25">
      <c r="A737" s="27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row>
    <row r="738" spans="1:36" x14ac:dyDescent="0.25">
      <c r="A738" s="27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row>
    <row r="739" spans="1:36" x14ac:dyDescent="0.25">
      <c r="A739" s="27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row>
    <row r="740" spans="1:36" x14ac:dyDescent="0.25">
      <c r="A740" s="27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row>
    <row r="741" spans="1:36" x14ac:dyDescent="0.25">
      <c r="A741" s="27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row>
    <row r="742" spans="1:36" x14ac:dyDescent="0.25">
      <c r="A742" s="27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row>
    <row r="743" spans="1:36" x14ac:dyDescent="0.25">
      <c r="A743" s="27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row>
    <row r="744" spans="1:36" x14ac:dyDescent="0.25">
      <c r="A744" s="27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row>
    <row r="745" spans="1:36" x14ac:dyDescent="0.25">
      <c r="A745" s="27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row>
    <row r="746" spans="1:36" x14ac:dyDescent="0.25">
      <c r="A746" s="27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row>
    <row r="747" spans="1:36" x14ac:dyDescent="0.25">
      <c r="A747" s="27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row>
    <row r="748" spans="1:36" x14ac:dyDescent="0.25">
      <c r="A748" s="27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row>
    <row r="749" spans="1:36" x14ac:dyDescent="0.25">
      <c r="A749" s="27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row>
    <row r="750" spans="1:36" x14ac:dyDescent="0.25">
      <c r="A750" s="27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row>
    <row r="751" spans="1:36" x14ac:dyDescent="0.25">
      <c r="A751" s="27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row>
    <row r="752" spans="1:36" x14ac:dyDescent="0.25">
      <c r="A752" s="27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row>
    <row r="753" spans="1:36" x14ac:dyDescent="0.25">
      <c r="A753" s="27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row>
    <row r="754" spans="1:36" x14ac:dyDescent="0.25">
      <c r="A754" s="27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row>
    <row r="755" spans="1:36" x14ac:dyDescent="0.25">
      <c r="A755" s="27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row>
    <row r="756" spans="1:36" x14ac:dyDescent="0.25">
      <c r="A756" s="27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row>
    <row r="757" spans="1:36" x14ac:dyDescent="0.25">
      <c r="A757" s="27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row>
    <row r="758" spans="1:36" x14ac:dyDescent="0.25">
      <c r="A758" s="27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row>
    <row r="759" spans="1:36" x14ac:dyDescent="0.25">
      <c r="A759" s="27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row>
    <row r="760" spans="1:36" x14ac:dyDescent="0.25">
      <c r="A760" s="27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row>
    <row r="761" spans="1:36" x14ac:dyDescent="0.25">
      <c r="A761" s="27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row>
    <row r="762" spans="1:36" x14ac:dyDescent="0.25">
      <c r="A762" s="27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86"/>
      <c r="AF762" s="86"/>
      <c r="AG762" s="86"/>
      <c r="AH762" s="86"/>
      <c r="AI762" s="86"/>
      <c r="AJ762" s="86"/>
    </row>
    <row r="763" spans="1:36" x14ac:dyDescent="0.25">
      <c r="A763" s="27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row>
    <row r="764" spans="1:36" x14ac:dyDescent="0.25">
      <c r="A764" s="27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86"/>
      <c r="AF764" s="86"/>
      <c r="AG764" s="86"/>
      <c r="AH764" s="86"/>
      <c r="AI764" s="86"/>
      <c r="AJ764" s="86"/>
    </row>
    <row r="765" spans="1:36" x14ac:dyDescent="0.25">
      <c r="A765" s="27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row>
    <row r="766" spans="1:36" x14ac:dyDescent="0.25">
      <c r="A766" s="27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row>
    <row r="767" spans="1:36" x14ac:dyDescent="0.25">
      <c r="A767" s="27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row>
    <row r="768" spans="1:36" x14ac:dyDescent="0.25">
      <c r="A768" s="27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c r="AA768" s="86"/>
      <c r="AB768" s="86"/>
      <c r="AC768" s="86"/>
      <c r="AD768" s="86"/>
      <c r="AE768" s="86"/>
      <c r="AF768" s="86"/>
      <c r="AG768" s="86"/>
      <c r="AH768" s="86"/>
      <c r="AI768" s="86"/>
      <c r="AJ768" s="86"/>
    </row>
    <row r="769" spans="1:36" x14ac:dyDescent="0.25">
      <c r="A769" s="27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row>
    <row r="770" spans="1:36" x14ac:dyDescent="0.25">
      <c r="A770" s="27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c r="AA770" s="86"/>
      <c r="AB770" s="86"/>
      <c r="AC770" s="86"/>
      <c r="AD770" s="86"/>
      <c r="AE770" s="86"/>
      <c r="AF770" s="86"/>
      <c r="AG770" s="86"/>
      <c r="AH770" s="86"/>
      <c r="AI770" s="86"/>
      <c r="AJ770" s="86"/>
    </row>
    <row r="771" spans="1:36" x14ac:dyDescent="0.25">
      <c r="A771" s="27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row>
    <row r="772" spans="1:36" x14ac:dyDescent="0.25">
      <c r="A772" s="27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86"/>
      <c r="AF772" s="86"/>
      <c r="AG772" s="86"/>
      <c r="AH772" s="86"/>
      <c r="AI772" s="86"/>
      <c r="AJ772" s="86"/>
    </row>
    <row r="773" spans="1:36" x14ac:dyDescent="0.25">
      <c r="A773" s="27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row>
    <row r="774" spans="1:36" x14ac:dyDescent="0.25">
      <c r="A774" s="27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86"/>
      <c r="AF774" s="86"/>
      <c r="AG774" s="86"/>
      <c r="AH774" s="86"/>
      <c r="AI774" s="86"/>
      <c r="AJ774" s="86"/>
    </row>
    <row r="775" spans="1:36" x14ac:dyDescent="0.25">
      <c r="A775" s="27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row>
    <row r="776" spans="1:36" x14ac:dyDescent="0.25">
      <c r="A776" s="27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86"/>
      <c r="AF776" s="86"/>
      <c r="AG776" s="86"/>
      <c r="AH776" s="86"/>
      <c r="AI776" s="86"/>
      <c r="AJ776" s="86"/>
    </row>
    <row r="777" spans="1:36" x14ac:dyDescent="0.25">
      <c r="A777" s="27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row>
    <row r="778" spans="1:36" x14ac:dyDescent="0.25">
      <c r="A778" s="27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86"/>
      <c r="AF778" s="86"/>
      <c r="AG778" s="86"/>
      <c r="AH778" s="86"/>
      <c r="AI778" s="86"/>
      <c r="AJ778" s="86"/>
    </row>
    <row r="779" spans="1:36" x14ac:dyDescent="0.25">
      <c r="A779" s="27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row>
    <row r="780" spans="1:36" x14ac:dyDescent="0.25">
      <c r="A780" s="27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86"/>
      <c r="AF780" s="86"/>
      <c r="AG780" s="86"/>
      <c r="AH780" s="86"/>
      <c r="AI780" s="86"/>
      <c r="AJ780" s="86"/>
    </row>
    <row r="781" spans="1:36" x14ac:dyDescent="0.25">
      <c r="A781" s="27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row>
    <row r="782" spans="1:36" x14ac:dyDescent="0.25">
      <c r="A782" s="27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row>
    <row r="783" spans="1:36" x14ac:dyDescent="0.25">
      <c r="A783" s="27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row>
    <row r="784" spans="1:36" x14ac:dyDescent="0.25">
      <c r="A784" s="27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c r="AG784" s="86"/>
      <c r="AH784" s="86"/>
      <c r="AI784" s="86"/>
      <c r="AJ784" s="86"/>
    </row>
    <row r="785" spans="1:36" x14ac:dyDescent="0.25">
      <c r="A785" s="27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row>
    <row r="786" spans="1:36" x14ac:dyDescent="0.25">
      <c r="A786" s="27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86"/>
      <c r="AF786" s="86"/>
      <c r="AG786" s="86"/>
      <c r="AH786" s="86"/>
      <c r="AI786" s="86"/>
      <c r="AJ786" s="86"/>
    </row>
    <row r="787" spans="1:36" x14ac:dyDescent="0.25">
      <c r="A787" s="27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row>
    <row r="788" spans="1:36" x14ac:dyDescent="0.25">
      <c r="A788" s="27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86"/>
      <c r="AF788" s="86"/>
      <c r="AG788" s="86"/>
      <c r="AH788" s="86"/>
      <c r="AI788" s="86"/>
      <c r="AJ788" s="86"/>
    </row>
    <row r="789" spans="1:36" x14ac:dyDescent="0.25">
      <c r="A789" s="27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row>
    <row r="790" spans="1:36" x14ac:dyDescent="0.25">
      <c r="A790" s="27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86"/>
      <c r="AF790" s="86"/>
      <c r="AG790" s="86"/>
      <c r="AH790" s="86"/>
      <c r="AI790" s="86"/>
      <c r="AJ790" s="86"/>
    </row>
    <row r="791" spans="1:36" x14ac:dyDescent="0.25">
      <c r="A791" s="27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row>
    <row r="792" spans="1:36" x14ac:dyDescent="0.25">
      <c r="A792" s="27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86"/>
      <c r="AF792" s="86"/>
      <c r="AG792" s="86"/>
      <c r="AH792" s="86"/>
      <c r="AI792" s="86"/>
      <c r="AJ792" s="86"/>
    </row>
    <row r="793" spans="1:36" x14ac:dyDescent="0.25">
      <c r="A793" s="27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row>
    <row r="794" spans="1:36" x14ac:dyDescent="0.25">
      <c r="A794" s="27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86"/>
      <c r="AF794" s="86"/>
      <c r="AG794" s="86"/>
      <c r="AH794" s="86"/>
      <c r="AI794" s="86"/>
      <c r="AJ794" s="86"/>
    </row>
    <row r="795" spans="1:36" x14ac:dyDescent="0.25">
      <c r="A795" s="27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row>
    <row r="796" spans="1:36" x14ac:dyDescent="0.25">
      <c r="A796" s="27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row>
    <row r="797" spans="1:36" x14ac:dyDescent="0.25">
      <c r="A797" s="27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row>
    <row r="798" spans="1:36" x14ac:dyDescent="0.25">
      <c r="A798" s="27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row>
    <row r="799" spans="1:36" x14ac:dyDescent="0.25">
      <c r="A799" s="27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row>
    <row r="800" spans="1:36" x14ac:dyDescent="0.25">
      <c r="A800" s="27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c r="AA800" s="86"/>
      <c r="AB800" s="86"/>
      <c r="AC800" s="86"/>
      <c r="AD800" s="86"/>
      <c r="AE800" s="86"/>
      <c r="AF800" s="86"/>
      <c r="AG800" s="86"/>
      <c r="AH800" s="86"/>
      <c r="AI800" s="86"/>
      <c r="AJ800" s="86"/>
    </row>
    <row r="801" spans="1:36" x14ac:dyDescent="0.25">
      <c r="A801" s="27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row>
    <row r="802" spans="1:36" x14ac:dyDescent="0.25">
      <c r="A802" s="27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6"/>
    </row>
    <row r="803" spans="1:36" x14ac:dyDescent="0.25">
      <c r="A803" s="27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row>
    <row r="804" spans="1:36" x14ac:dyDescent="0.25">
      <c r="A804" s="27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row>
    <row r="805" spans="1:36" x14ac:dyDescent="0.25">
      <c r="A805" s="27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row>
    <row r="806" spans="1:36" x14ac:dyDescent="0.25">
      <c r="A806" s="27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86"/>
      <c r="AI806" s="86"/>
      <c r="AJ806" s="86"/>
    </row>
    <row r="807" spans="1:36" x14ac:dyDescent="0.25">
      <c r="A807" s="27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row>
    <row r="808" spans="1:36" x14ac:dyDescent="0.25">
      <c r="A808" s="27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c r="AI808" s="86"/>
      <c r="AJ808" s="86"/>
    </row>
    <row r="809" spans="1:36" x14ac:dyDescent="0.25">
      <c r="A809" s="27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row>
    <row r="810" spans="1:36" x14ac:dyDescent="0.25">
      <c r="A810" s="27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row>
    <row r="811" spans="1:36" x14ac:dyDescent="0.25">
      <c r="A811" s="27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row>
    <row r="812" spans="1:36" x14ac:dyDescent="0.25">
      <c r="A812" s="27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86"/>
      <c r="AF812" s="86"/>
      <c r="AG812" s="86"/>
      <c r="AH812" s="86"/>
      <c r="AI812" s="86"/>
      <c r="AJ812" s="86"/>
    </row>
    <row r="813" spans="1:36" x14ac:dyDescent="0.25">
      <c r="A813" s="27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row>
    <row r="814" spans="1:36" x14ac:dyDescent="0.25">
      <c r="A814" s="27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row>
    <row r="815" spans="1:36" x14ac:dyDescent="0.25">
      <c r="A815" s="27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row>
    <row r="816" spans="1:36" x14ac:dyDescent="0.25">
      <c r="A816" s="27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86"/>
      <c r="AF816" s="86"/>
      <c r="AG816" s="86"/>
      <c r="AH816" s="86"/>
      <c r="AI816" s="86"/>
      <c r="AJ816" s="86"/>
    </row>
    <row r="817" spans="1:36" x14ac:dyDescent="0.25">
      <c r="A817" s="27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row>
    <row r="818" spans="1:36" x14ac:dyDescent="0.25">
      <c r="A818" s="27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86"/>
      <c r="AF818" s="86"/>
      <c r="AG818" s="86"/>
      <c r="AH818" s="86"/>
      <c r="AI818" s="86"/>
      <c r="AJ818" s="86"/>
    </row>
    <row r="819" spans="1:36" x14ac:dyDescent="0.25">
      <c r="A819" s="27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row>
    <row r="820" spans="1:36" x14ac:dyDescent="0.25">
      <c r="A820" s="27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c r="AA820" s="86"/>
      <c r="AB820" s="86"/>
      <c r="AC820" s="86"/>
      <c r="AD820" s="86"/>
      <c r="AE820" s="86"/>
      <c r="AF820" s="86"/>
      <c r="AG820" s="86"/>
      <c r="AH820" s="86"/>
      <c r="AI820" s="86"/>
      <c r="AJ820" s="86"/>
    </row>
    <row r="821" spans="1:36" x14ac:dyDescent="0.25">
      <c r="A821" s="27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row>
    <row r="822" spans="1:36" x14ac:dyDescent="0.25">
      <c r="A822" s="27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c r="AA822" s="86"/>
      <c r="AB822" s="86"/>
      <c r="AC822" s="86"/>
      <c r="AD822" s="86"/>
      <c r="AE822" s="86"/>
      <c r="AF822" s="86"/>
      <c r="AG822" s="86"/>
      <c r="AH822" s="86"/>
      <c r="AI822" s="86"/>
      <c r="AJ822" s="86"/>
    </row>
    <row r="823" spans="1:36" x14ac:dyDescent="0.25">
      <c r="A823" s="27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row>
    <row r="824" spans="1:36" x14ac:dyDescent="0.25">
      <c r="A824" s="27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6"/>
    </row>
    <row r="825" spans="1:36" x14ac:dyDescent="0.25">
      <c r="A825" s="27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row>
    <row r="826" spans="1:36" x14ac:dyDescent="0.25">
      <c r="A826" s="27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c r="AA826" s="86"/>
      <c r="AB826" s="86"/>
      <c r="AC826" s="86"/>
      <c r="AD826" s="86"/>
      <c r="AE826" s="86"/>
      <c r="AF826" s="86"/>
      <c r="AG826" s="86"/>
      <c r="AH826" s="86"/>
      <c r="AI826" s="86"/>
      <c r="AJ826" s="86"/>
    </row>
    <row r="827" spans="1:36" x14ac:dyDescent="0.25">
      <c r="A827" s="27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row>
    <row r="828" spans="1:36" x14ac:dyDescent="0.25">
      <c r="A828" s="27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row>
    <row r="829" spans="1:36" x14ac:dyDescent="0.25">
      <c r="A829" s="27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row>
    <row r="830" spans="1:36" x14ac:dyDescent="0.25">
      <c r="A830" s="27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86"/>
      <c r="AF830" s="86"/>
      <c r="AG830" s="86"/>
      <c r="AH830" s="86"/>
      <c r="AI830" s="86"/>
      <c r="AJ830" s="86"/>
    </row>
    <row r="831" spans="1:36" x14ac:dyDescent="0.25">
      <c r="A831" s="27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row>
    <row r="832" spans="1:36" x14ac:dyDescent="0.25">
      <c r="A832" s="27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row>
    <row r="833" spans="1:36" x14ac:dyDescent="0.25">
      <c r="A833" s="27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row>
    <row r="834" spans="1:36" x14ac:dyDescent="0.25">
      <c r="A834" s="27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86"/>
      <c r="AF834" s="86"/>
      <c r="AG834" s="86"/>
      <c r="AH834" s="86"/>
      <c r="AI834" s="86"/>
      <c r="AJ834" s="86"/>
    </row>
    <row r="835" spans="1:36" x14ac:dyDescent="0.25">
      <c r="A835" s="27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row>
    <row r="836" spans="1:36" x14ac:dyDescent="0.25">
      <c r="A836" s="27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86"/>
      <c r="AF836" s="86"/>
      <c r="AG836" s="86"/>
      <c r="AH836" s="86"/>
      <c r="AI836" s="86"/>
      <c r="AJ836" s="86"/>
    </row>
    <row r="837" spans="1:36" x14ac:dyDescent="0.25">
      <c r="A837" s="27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row>
    <row r="838" spans="1:36" x14ac:dyDescent="0.25">
      <c r="A838" s="27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86"/>
      <c r="AF838" s="86"/>
      <c r="AG838" s="86"/>
      <c r="AH838" s="86"/>
      <c r="AI838" s="86"/>
      <c r="AJ838" s="86"/>
    </row>
    <row r="839" spans="1:36" x14ac:dyDescent="0.25">
      <c r="A839" s="27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row>
    <row r="840" spans="1:36" x14ac:dyDescent="0.25">
      <c r="A840" s="27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86"/>
      <c r="AF840" s="86"/>
      <c r="AG840" s="86"/>
      <c r="AH840" s="86"/>
      <c r="AI840" s="86"/>
      <c r="AJ840" s="86"/>
    </row>
    <row r="841" spans="1:36" x14ac:dyDescent="0.25">
      <c r="A841" s="27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row>
    <row r="842" spans="1:36" x14ac:dyDescent="0.25">
      <c r="A842" s="27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row>
    <row r="843" spans="1:36" x14ac:dyDescent="0.25">
      <c r="A843" s="27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row>
    <row r="844" spans="1:36" x14ac:dyDescent="0.25">
      <c r="A844" s="27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row>
    <row r="845" spans="1:36" x14ac:dyDescent="0.25">
      <c r="A845" s="27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row>
    <row r="846" spans="1:36" x14ac:dyDescent="0.25">
      <c r="A846" s="27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c r="AA846" s="86"/>
      <c r="AB846" s="86"/>
      <c r="AC846" s="86"/>
      <c r="AD846" s="86"/>
      <c r="AE846" s="86"/>
      <c r="AF846" s="86"/>
      <c r="AG846" s="86"/>
      <c r="AH846" s="86"/>
      <c r="AI846" s="86"/>
      <c r="AJ846" s="86"/>
    </row>
    <row r="847" spans="1:36" x14ac:dyDescent="0.25">
      <c r="A847" s="27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row>
    <row r="848" spans="1:36" x14ac:dyDescent="0.25">
      <c r="A848" s="27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86"/>
      <c r="AF848" s="86"/>
      <c r="AG848" s="86"/>
      <c r="AH848" s="86"/>
      <c r="AI848" s="86"/>
      <c r="AJ848" s="86"/>
    </row>
    <row r="849" spans="1:36" x14ac:dyDescent="0.25">
      <c r="A849" s="27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row>
    <row r="850" spans="1:36" x14ac:dyDescent="0.25">
      <c r="A850" s="27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row>
    <row r="851" spans="1:36" x14ac:dyDescent="0.25">
      <c r="A851" s="27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row>
    <row r="852" spans="1:36" x14ac:dyDescent="0.25">
      <c r="A852" s="27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86"/>
      <c r="AF852" s="86"/>
      <c r="AG852" s="86"/>
      <c r="AH852" s="86"/>
      <c r="AI852" s="86"/>
      <c r="AJ852" s="86"/>
    </row>
    <row r="853" spans="1:36" x14ac:dyDescent="0.25">
      <c r="A853" s="27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row>
    <row r="854" spans="1:36" x14ac:dyDescent="0.25">
      <c r="A854" s="27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86"/>
      <c r="AF854" s="86"/>
      <c r="AG854" s="86"/>
      <c r="AH854" s="86"/>
      <c r="AI854" s="86"/>
      <c r="AJ854" s="86"/>
    </row>
    <row r="855" spans="1:36" x14ac:dyDescent="0.25">
      <c r="A855" s="27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row>
    <row r="856" spans="1:36" x14ac:dyDescent="0.25">
      <c r="A856" s="27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86"/>
      <c r="AF856" s="86"/>
      <c r="AG856" s="86"/>
      <c r="AH856" s="86"/>
      <c r="AI856" s="86"/>
      <c r="AJ856" s="86"/>
    </row>
    <row r="857" spans="1:36" x14ac:dyDescent="0.25">
      <c r="A857" s="27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row>
    <row r="858" spans="1:36" x14ac:dyDescent="0.25">
      <c r="A858" s="27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86"/>
      <c r="AF858" s="86"/>
      <c r="AG858" s="86"/>
      <c r="AH858" s="86"/>
      <c r="AI858" s="86"/>
      <c r="AJ858" s="86"/>
    </row>
    <row r="859" spans="1:36" x14ac:dyDescent="0.25">
      <c r="A859" s="27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row>
    <row r="860" spans="1:36" x14ac:dyDescent="0.25">
      <c r="A860" s="27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86"/>
      <c r="AI860" s="86"/>
      <c r="AJ860" s="86"/>
    </row>
    <row r="861" spans="1:36" x14ac:dyDescent="0.25">
      <c r="A861" s="27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row>
    <row r="862" spans="1:36" x14ac:dyDescent="0.25">
      <c r="A862" s="27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86"/>
      <c r="AF862" s="86"/>
      <c r="AG862" s="86"/>
      <c r="AH862" s="86"/>
      <c r="AI862" s="86"/>
      <c r="AJ862" s="86"/>
    </row>
    <row r="863" spans="1:36" x14ac:dyDescent="0.25">
      <c r="A863" s="27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row>
    <row r="864" spans="1:36" x14ac:dyDescent="0.25">
      <c r="A864" s="27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86"/>
      <c r="AF864" s="86"/>
      <c r="AG864" s="86"/>
      <c r="AH864" s="86"/>
      <c r="AI864" s="86"/>
      <c r="AJ864" s="86"/>
    </row>
    <row r="865" spans="1:36" x14ac:dyDescent="0.25">
      <c r="A865" s="27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row>
    <row r="866" spans="1:36" x14ac:dyDescent="0.25">
      <c r="A866" s="27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c r="AI866" s="86"/>
      <c r="AJ866" s="86"/>
    </row>
    <row r="867" spans="1:36" x14ac:dyDescent="0.25">
      <c r="A867" s="27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row>
    <row r="868" spans="1:36" x14ac:dyDescent="0.25">
      <c r="A868" s="27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86"/>
      <c r="AF868" s="86"/>
      <c r="AG868" s="86"/>
      <c r="AH868" s="86"/>
      <c r="AI868" s="86"/>
      <c r="AJ868" s="86"/>
    </row>
    <row r="869" spans="1:36" x14ac:dyDescent="0.25">
      <c r="A869" s="27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row>
    <row r="870" spans="1:36" x14ac:dyDescent="0.25">
      <c r="A870" s="27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86"/>
      <c r="AF870" s="86"/>
      <c r="AG870" s="86"/>
      <c r="AH870" s="86"/>
      <c r="AI870" s="86"/>
      <c r="AJ870" s="86"/>
    </row>
    <row r="871" spans="1:36" x14ac:dyDescent="0.25">
      <c r="A871" s="27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row>
    <row r="872" spans="1:36" x14ac:dyDescent="0.25">
      <c r="A872" s="27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86"/>
      <c r="AF872" s="86"/>
      <c r="AG872" s="86"/>
      <c r="AH872" s="86"/>
      <c r="AI872" s="86"/>
      <c r="AJ872" s="86"/>
    </row>
    <row r="873" spans="1:36" x14ac:dyDescent="0.25">
      <c r="A873" s="27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row>
    <row r="874" spans="1:36" x14ac:dyDescent="0.25">
      <c r="A874" s="27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c r="AA874" s="86"/>
      <c r="AB874" s="86"/>
      <c r="AC874" s="86"/>
      <c r="AD874" s="86"/>
      <c r="AE874" s="86"/>
      <c r="AF874" s="86"/>
      <c r="AG874" s="86"/>
      <c r="AH874" s="86"/>
      <c r="AI874" s="86"/>
      <c r="AJ874" s="86"/>
    </row>
    <row r="875" spans="1:36" x14ac:dyDescent="0.25">
      <c r="A875" s="27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row>
    <row r="876" spans="1:36" x14ac:dyDescent="0.25">
      <c r="A876" s="27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row>
    <row r="877" spans="1:36" x14ac:dyDescent="0.25">
      <c r="A877" s="27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row>
    <row r="878" spans="1:36" x14ac:dyDescent="0.25">
      <c r="A878" s="27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row>
    <row r="879" spans="1:36" x14ac:dyDescent="0.25">
      <c r="A879" s="27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row>
    <row r="880" spans="1:36" x14ac:dyDescent="0.25">
      <c r="A880" s="27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86"/>
      <c r="AF880" s="86"/>
      <c r="AG880" s="86"/>
      <c r="AH880" s="86"/>
      <c r="AI880" s="86"/>
      <c r="AJ880" s="86"/>
    </row>
    <row r="881" spans="1:36" x14ac:dyDescent="0.25">
      <c r="A881" s="27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row>
    <row r="882" spans="1:36" x14ac:dyDescent="0.25">
      <c r="A882" s="27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86"/>
      <c r="AF882" s="86"/>
      <c r="AG882" s="86"/>
      <c r="AH882" s="86"/>
      <c r="AI882" s="86"/>
      <c r="AJ882" s="86"/>
    </row>
    <row r="883" spans="1:36" x14ac:dyDescent="0.25">
      <c r="A883" s="27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row>
    <row r="884" spans="1:36" x14ac:dyDescent="0.25">
      <c r="A884" s="27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86"/>
      <c r="AF884" s="86"/>
      <c r="AG884" s="86"/>
      <c r="AH884" s="86"/>
      <c r="AI884" s="86"/>
      <c r="AJ884" s="86"/>
    </row>
    <row r="885" spans="1:36" x14ac:dyDescent="0.25">
      <c r="A885" s="27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row>
    <row r="886" spans="1:36" x14ac:dyDescent="0.25">
      <c r="A886" s="27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86"/>
      <c r="AF886" s="86"/>
      <c r="AG886" s="86"/>
      <c r="AH886" s="86"/>
      <c r="AI886" s="86"/>
      <c r="AJ886" s="86"/>
    </row>
    <row r="887" spans="1:36" x14ac:dyDescent="0.25">
      <c r="A887" s="27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row>
    <row r="888" spans="1:36" x14ac:dyDescent="0.25">
      <c r="A888" s="27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row>
    <row r="889" spans="1:36" x14ac:dyDescent="0.25">
      <c r="A889" s="27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row>
    <row r="890" spans="1:36" x14ac:dyDescent="0.25">
      <c r="A890" s="27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row>
    <row r="891" spans="1:36" x14ac:dyDescent="0.25">
      <c r="A891" s="27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row>
    <row r="892" spans="1:36" x14ac:dyDescent="0.25">
      <c r="A892" s="27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c r="AA892" s="86"/>
      <c r="AB892" s="86"/>
      <c r="AC892" s="86"/>
      <c r="AD892" s="86"/>
      <c r="AE892" s="86"/>
      <c r="AF892" s="86"/>
      <c r="AG892" s="86"/>
      <c r="AH892" s="86"/>
      <c r="AI892" s="86"/>
      <c r="AJ892" s="86"/>
    </row>
    <row r="893" spans="1:36" x14ac:dyDescent="0.25">
      <c r="A893" s="27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row>
    <row r="894" spans="1:36" x14ac:dyDescent="0.25">
      <c r="A894" s="27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c r="AA894" s="86"/>
      <c r="AB894" s="86"/>
      <c r="AC894" s="86"/>
      <c r="AD894" s="86"/>
      <c r="AE894" s="86"/>
      <c r="AF894" s="86"/>
      <c r="AG894" s="86"/>
      <c r="AH894" s="86"/>
      <c r="AI894" s="86"/>
      <c r="AJ894" s="86"/>
    </row>
    <row r="895" spans="1:36" x14ac:dyDescent="0.25">
      <c r="A895" s="27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row>
    <row r="896" spans="1:36" x14ac:dyDescent="0.25">
      <c r="A896" s="27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c r="AA896" s="86"/>
      <c r="AB896" s="86"/>
      <c r="AC896" s="86"/>
      <c r="AD896" s="86"/>
      <c r="AE896" s="86"/>
      <c r="AF896" s="86"/>
      <c r="AG896" s="86"/>
      <c r="AH896" s="86"/>
      <c r="AI896" s="86"/>
      <c r="AJ896" s="86"/>
    </row>
    <row r="897" spans="1:36" x14ac:dyDescent="0.25">
      <c r="A897" s="27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row>
    <row r="898" spans="1:36" x14ac:dyDescent="0.25">
      <c r="A898" s="27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c r="AA898" s="86"/>
      <c r="AB898" s="86"/>
      <c r="AC898" s="86"/>
      <c r="AD898" s="86"/>
      <c r="AE898" s="86"/>
      <c r="AF898" s="86"/>
      <c r="AG898" s="86"/>
      <c r="AH898" s="86"/>
      <c r="AI898" s="86"/>
      <c r="AJ898" s="86"/>
    </row>
    <row r="899" spans="1:36" x14ac:dyDescent="0.25">
      <c r="A899" s="27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row>
    <row r="900" spans="1:36" x14ac:dyDescent="0.25">
      <c r="A900" s="27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c r="AA900" s="86"/>
      <c r="AB900" s="86"/>
      <c r="AC900" s="86"/>
      <c r="AD900" s="86"/>
      <c r="AE900" s="86"/>
      <c r="AF900" s="86"/>
      <c r="AG900" s="86"/>
      <c r="AH900" s="86"/>
      <c r="AI900" s="86"/>
      <c r="AJ900" s="86"/>
    </row>
    <row r="901" spans="1:36" x14ac:dyDescent="0.25">
      <c r="A901" s="27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row>
    <row r="902" spans="1:36" x14ac:dyDescent="0.25">
      <c r="A902" s="27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c r="AA902" s="86"/>
      <c r="AB902" s="86"/>
      <c r="AC902" s="86"/>
      <c r="AD902" s="86"/>
      <c r="AE902" s="86"/>
      <c r="AF902" s="86"/>
      <c r="AG902" s="86"/>
      <c r="AH902" s="86"/>
      <c r="AI902" s="86"/>
      <c r="AJ902" s="86"/>
    </row>
    <row r="903" spans="1:36" x14ac:dyDescent="0.25">
      <c r="A903" s="27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row>
    <row r="904" spans="1:36" x14ac:dyDescent="0.25">
      <c r="A904" s="27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c r="AA904" s="86"/>
      <c r="AB904" s="86"/>
      <c r="AC904" s="86"/>
      <c r="AD904" s="86"/>
      <c r="AE904" s="86"/>
      <c r="AF904" s="86"/>
      <c r="AG904" s="86"/>
      <c r="AH904" s="86"/>
      <c r="AI904" s="86"/>
      <c r="AJ904" s="86"/>
    </row>
    <row r="905" spans="1:36" x14ac:dyDescent="0.25">
      <c r="A905" s="27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row>
    <row r="906" spans="1:36" x14ac:dyDescent="0.25">
      <c r="A906" s="27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c r="AA906" s="86"/>
      <c r="AB906" s="86"/>
      <c r="AC906" s="86"/>
      <c r="AD906" s="86"/>
      <c r="AE906" s="86"/>
      <c r="AF906" s="86"/>
      <c r="AG906" s="86"/>
      <c r="AH906" s="86"/>
      <c r="AI906" s="86"/>
      <c r="AJ906" s="86"/>
    </row>
    <row r="907" spans="1:36" x14ac:dyDescent="0.25">
      <c r="A907" s="27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row>
    <row r="908" spans="1:36" x14ac:dyDescent="0.25">
      <c r="A908" s="27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86"/>
      <c r="AF908" s="86"/>
      <c r="AG908" s="86"/>
      <c r="AH908" s="86"/>
      <c r="AI908" s="86"/>
      <c r="AJ908" s="86"/>
    </row>
    <row r="909" spans="1:36" x14ac:dyDescent="0.25">
      <c r="A909" s="27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row>
    <row r="910" spans="1:36" x14ac:dyDescent="0.25">
      <c r="A910" s="27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6"/>
    </row>
    <row r="911" spans="1:36" x14ac:dyDescent="0.25">
      <c r="A911" s="27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row>
    <row r="912" spans="1:36" x14ac:dyDescent="0.25">
      <c r="A912" s="27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86"/>
      <c r="AF912" s="86"/>
      <c r="AG912" s="86"/>
      <c r="AH912" s="86"/>
      <c r="AI912" s="86"/>
      <c r="AJ912" s="86"/>
    </row>
    <row r="913" spans="1:36" x14ac:dyDescent="0.25">
      <c r="A913" s="27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row>
    <row r="914" spans="1:36" x14ac:dyDescent="0.25">
      <c r="A914" s="27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86"/>
      <c r="AI914" s="86"/>
      <c r="AJ914" s="86"/>
    </row>
    <row r="915" spans="1:36" x14ac:dyDescent="0.25">
      <c r="A915" s="27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row>
    <row r="916" spans="1:36" x14ac:dyDescent="0.25">
      <c r="A916" s="27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row>
    <row r="917" spans="1:36" x14ac:dyDescent="0.25">
      <c r="A917" s="27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row>
    <row r="918" spans="1:36" x14ac:dyDescent="0.25">
      <c r="A918" s="27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86"/>
      <c r="AF918" s="86"/>
      <c r="AG918" s="86"/>
      <c r="AH918" s="86"/>
      <c r="AI918" s="86"/>
      <c r="AJ918" s="86"/>
    </row>
    <row r="919" spans="1:36" x14ac:dyDescent="0.25">
      <c r="A919" s="27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row>
    <row r="920" spans="1:36" x14ac:dyDescent="0.25">
      <c r="A920" s="27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86"/>
      <c r="AF920" s="86"/>
      <c r="AG920" s="86"/>
      <c r="AH920" s="86"/>
      <c r="AI920" s="86"/>
      <c r="AJ920" s="86"/>
    </row>
    <row r="921" spans="1:36" x14ac:dyDescent="0.25">
      <c r="A921" s="27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row>
    <row r="922" spans="1:36" x14ac:dyDescent="0.25">
      <c r="A922" s="27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row>
    <row r="923" spans="1:36" x14ac:dyDescent="0.25">
      <c r="A923" s="27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row>
    <row r="924" spans="1:36" x14ac:dyDescent="0.25">
      <c r="A924" s="27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86"/>
      <c r="AF924" s="86"/>
      <c r="AG924" s="86"/>
      <c r="AH924" s="86"/>
      <c r="AI924" s="86"/>
      <c r="AJ924" s="86"/>
    </row>
    <row r="925" spans="1:36" x14ac:dyDescent="0.25">
      <c r="A925" s="27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row>
    <row r="926" spans="1:36" x14ac:dyDescent="0.25">
      <c r="A926" s="27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86"/>
      <c r="AF926" s="86"/>
      <c r="AG926" s="86"/>
      <c r="AH926" s="86"/>
      <c r="AI926" s="86"/>
      <c r="AJ926" s="86"/>
    </row>
    <row r="927" spans="1:36" x14ac:dyDescent="0.25">
      <c r="A927" s="27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row>
    <row r="928" spans="1:36" x14ac:dyDescent="0.25">
      <c r="A928" s="27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86"/>
      <c r="AF928" s="86"/>
      <c r="AG928" s="86"/>
      <c r="AH928" s="86"/>
      <c r="AI928" s="86"/>
      <c r="AJ928" s="86"/>
    </row>
    <row r="929" spans="1:36" x14ac:dyDescent="0.25">
      <c r="A929" s="27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row>
    <row r="930" spans="1:36" x14ac:dyDescent="0.25">
      <c r="A930" s="27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86"/>
      <c r="AF930" s="86"/>
      <c r="AG930" s="86"/>
      <c r="AH930" s="86"/>
      <c r="AI930" s="86"/>
      <c r="AJ930" s="86"/>
    </row>
    <row r="931" spans="1:36" x14ac:dyDescent="0.25">
      <c r="A931" s="27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row>
    <row r="932" spans="1:36" x14ac:dyDescent="0.25">
      <c r="A932" s="27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86"/>
      <c r="AF932" s="86"/>
      <c r="AG932" s="86"/>
      <c r="AH932" s="86"/>
      <c r="AI932" s="86"/>
      <c r="AJ932" s="86"/>
    </row>
    <row r="933" spans="1:36" x14ac:dyDescent="0.25">
      <c r="A933" s="27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row>
    <row r="934" spans="1:36" x14ac:dyDescent="0.25">
      <c r="A934" s="27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86"/>
      <c r="AF934" s="86"/>
      <c r="AG934" s="86"/>
      <c r="AH934" s="86"/>
      <c r="AI934" s="86"/>
      <c r="AJ934" s="86"/>
    </row>
    <row r="935" spans="1:36" x14ac:dyDescent="0.25">
      <c r="A935" s="27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row>
    <row r="936" spans="1:36" x14ac:dyDescent="0.25">
      <c r="A936" s="27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row>
    <row r="937" spans="1:36" x14ac:dyDescent="0.25">
      <c r="A937" s="27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row>
    <row r="938" spans="1:36" x14ac:dyDescent="0.25">
      <c r="A938" s="27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c r="AA938" s="86"/>
      <c r="AB938" s="86"/>
      <c r="AC938" s="86"/>
      <c r="AD938" s="86"/>
      <c r="AE938" s="86"/>
      <c r="AF938" s="86"/>
      <c r="AG938" s="86"/>
      <c r="AH938" s="86"/>
      <c r="AI938" s="86"/>
      <c r="AJ938" s="86"/>
    </row>
    <row r="939" spans="1:36" x14ac:dyDescent="0.25">
      <c r="A939" s="27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row>
    <row r="940" spans="1:36" x14ac:dyDescent="0.25">
      <c r="A940" s="27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86"/>
      <c r="AF940" s="86"/>
      <c r="AG940" s="86"/>
      <c r="AH940" s="86"/>
      <c r="AI940" s="86"/>
      <c r="AJ940" s="86"/>
    </row>
    <row r="941" spans="1:36" x14ac:dyDescent="0.25">
      <c r="A941" s="27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row>
    <row r="942" spans="1:36" x14ac:dyDescent="0.25">
      <c r="A942" s="27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86"/>
      <c r="AF942" s="86"/>
      <c r="AG942" s="86"/>
      <c r="AH942" s="86"/>
      <c r="AI942" s="86"/>
      <c r="AJ942" s="86"/>
    </row>
    <row r="943" spans="1:36" x14ac:dyDescent="0.25">
      <c r="A943" s="27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row>
    <row r="944" spans="1:36" x14ac:dyDescent="0.25">
      <c r="A944" s="27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86"/>
      <c r="AF944" s="86"/>
      <c r="AG944" s="86"/>
      <c r="AH944" s="86"/>
      <c r="AI944" s="86"/>
      <c r="AJ944" s="86"/>
    </row>
    <row r="945" spans="1:36" x14ac:dyDescent="0.25">
      <c r="A945" s="27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row>
    <row r="946" spans="1:36" x14ac:dyDescent="0.25">
      <c r="A946" s="27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86"/>
      <c r="AF946" s="86"/>
      <c r="AG946" s="86"/>
      <c r="AH946" s="86"/>
      <c r="AI946" s="86"/>
      <c r="AJ946" s="86"/>
    </row>
    <row r="947" spans="1:36" x14ac:dyDescent="0.25">
      <c r="A947" s="27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row>
    <row r="948" spans="1:36" x14ac:dyDescent="0.25">
      <c r="A948" s="27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86"/>
      <c r="AF948" s="86"/>
      <c r="AG948" s="86"/>
      <c r="AH948" s="86"/>
      <c r="AI948" s="86"/>
      <c r="AJ948" s="86"/>
    </row>
    <row r="949" spans="1:36" x14ac:dyDescent="0.25">
      <c r="A949" s="27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row>
    <row r="950" spans="1:36" x14ac:dyDescent="0.25">
      <c r="A950" s="27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86"/>
      <c r="AF950" s="86"/>
      <c r="AG950" s="86"/>
      <c r="AH950" s="86"/>
      <c r="AI950" s="86"/>
      <c r="AJ950" s="86"/>
    </row>
    <row r="951" spans="1:36" x14ac:dyDescent="0.25">
      <c r="A951" s="27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row>
    <row r="952" spans="1:36" x14ac:dyDescent="0.25">
      <c r="A952" s="27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row>
    <row r="953" spans="1:36" x14ac:dyDescent="0.25">
      <c r="A953" s="27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row>
    <row r="954" spans="1:36" x14ac:dyDescent="0.25">
      <c r="A954" s="27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86"/>
      <c r="AF954" s="86"/>
      <c r="AG954" s="86"/>
      <c r="AH954" s="86"/>
      <c r="AI954" s="86"/>
      <c r="AJ954" s="86"/>
    </row>
    <row r="955" spans="1:36" x14ac:dyDescent="0.25">
      <c r="A955" s="27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row>
    <row r="956" spans="1:36" x14ac:dyDescent="0.25">
      <c r="A956" s="27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86"/>
      <c r="AF956" s="86"/>
      <c r="AG956" s="86"/>
      <c r="AH956" s="86"/>
      <c r="AI956" s="86"/>
      <c r="AJ956" s="86"/>
    </row>
    <row r="957" spans="1:36" x14ac:dyDescent="0.25">
      <c r="A957" s="27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row>
    <row r="958" spans="1:36" x14ac:dyDescent="0.25">
      <c r="A958" s="27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86"/>
      <c r="AF958" s="86"/>
      <c r="AG958" s="86"/>
      <c r="AH958" s="86"/>
      <c r="AI958" s="86"/>
      <c r="AJ958" s="86"/>
    </row>
    <row r="959" spans="1:36" x14ac:dyDescent="0.25">
      <c r="A959" s="27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row>
    <row r="960" spans="1:36" x14ac:dyDescent="0.25">
      <c r="A960" s="27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86"/>
      <c r="AF960" s="86"/>
      <c r="AG960" s="86"/>
      <c r="AH960" s="86"/>
      <c r="AI960" s="86"/>
      <c r="AJ960" s="86"/>
    </row>
    <row r="961" spans="1:36" x14ac:dyDescent="0.25">
      <c r="A961" s="27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row>
    <row r="962" spans="1:36" x14ac:dyDescent="0.25">
      <c r="A962" s="27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86"/>
      <c r="AF962" s="86"/>
      <c r="AG962" s="86"/>
      <c r="AH962" s="86"/>
      <c r="AI962" s="86"/>
      <c r="AJ962" s="86"/>
    </row>
    <row r="963" spans="1:36" x14ac:dyDescent="0.25">
      <c r="A963" s="27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row>
    <row r="964" spans="1:36" x14ac:dyDescent="0.25">
      <c r="A964" s="27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c r="AG964" s="86"/>
      <c r="AH964" s="86"/>
      <c r="AI964" s="86"/>
      <c r="AJ964" s="86"/>
    </row>
    <row r="965" spans="1:36" x14ac:dyDescent="0.25">
      <c r="A965" s="27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row>
    <row r="966" spans="1:36" x14ac:dyDescent="0.25">
      <c r="A966" s="27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c r="AA966" s="86"/>
      <c r="AB966" s="86"/>
      <c r="AC966" s="86"/>
      <c r="AD966" s="86"/>
      <c r="AE966" s="86"/>
      <c r="AF966" s="86"/>
      <c r="AG966" s="86"/>
      <c r="AH966" s="86"/>
      <c r="AI966" s="86"/>
      <c r="AJ966" s="86"/>
    </row>
    <row r="967" spans="1:36" x14ac:dyDescent="0.25">
      <c r="A967" s="27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row>
    <row r="968" spans="1:36" x14ac:dyDescent="0.25">
      <c r="A968" s="27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row>
    <row r="969" spans="1:36" x14ac:dyDescent="0.25">
      <c r="A969" s="27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row>
    <row r="970" spans="1:36" x14ac:dyDescent="0.25">
      <c r="A970" s="27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c r="AA970" s="86"/>
      <c r="AB970" s="86"/>
      <c r="AC970" s="86"/>
      <c r="AD970" s="86"/>
      <c r="AE970" s="86"/>
      <c r="AF970" s="86"/>
      <c r="AG970" s="86"/>
      <c r="AH970" s="86"/>
      <c r="AI970" s="86"/>
      <c r="AJ970" s="86"/>
    </row>
    <row r="971" spans="1:36" x14ac:dyDescent="0.25">
      <c r="A971" s="27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row>
    <row r="972" spans="1:36" x14ac:dyDescent="0.25">
      <c r="A972" s="27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row>
    <row r="973" spans="1:36" x14ac:dyDescent="0.25">
      <c r="A973" s="27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row>
    <row r="974" spans="1:36" x14ac:dyDescent="0.25">
      <c r="A974" s="27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c r="AG974" s="86"/>
      <c r="AH974" s="86"/>
      <c r="AI974" s="86"/>
      <c r="AJ974" s="86"/>
    </row>
    <row r="975" spans="1:36" x14ac:dyDescent="0.25">
      <c r="A975" s="27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row>
    <row r="976" spans="1:36" x14ac:dyDescent="0.25">
      <c r="A976" s="27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c r="AA976" s="86"/>
      <c r="AB976" s="86"/>
      <c r="AC976" s="86"/>
      <c r="AD976" s="86"/>
      <c r="AE976" s="86"/>
      <c r="AF976" s="86"/>
      <c r="AG976" s="86"/>
      <c r="AH976" s="86"/>
      <c r="AI976" s="86"/>
      <c r="AJ976" s="86"/>
    </row>
    <row r="977" spans="1:36" x14ac:dyDescent="0.25">
      <c r="A977" s="27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row>
    <row r="978" spans="1:36" x14ac:dyDescent="0.25">
      <c r="A978" s="27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c r="AA978" s="86"/>
      <c r="AB978" s="86"/>
      <c r="AC978" s="86"/>
      <c r="AD978" s="86"/>
      <c r="AE978" s="86"/>
      <c r="AF978" s="86"/>
      <c r="AG978" s="86"/>
      <c r="AH978" s="86"/>
      <c r="AI978" s="86"/>
      <c r="AJ978" s="86"/>
    </row>
    <row r="979" spans="1:36" x14ac:dyDescent="0.25">
      <c r="A979" s="27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row>
    <row r="980" spans="1:36" x14ac:dyDescent="0.25">
      <c r="A980" s="27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c r="AA980" s="86"/>
      <c r="AB980" s="86"/>
      <c r="AC980" s="86"/>
      <c r="AD980" s="86"/>
      <c r="AE980" s="86"/>
      <c r="AF980" s="86"/>
      <c r="AG980" s="86"/>
      <c r="AH980" s="86"/>
      <c r="AI980" s="86"/>
      <c r="AJ980" s="86"/>
    </row>
    <row r="981" spans="1:36" x14ac:dyDescent="0.25">
      <c r="A981" s="27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row>
    <row r="982" spans="1:36" x14ac:dyDescent="0.25">
      <c r="A982" s="27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row>
    <row r="983" spans="1:36" x14ac:dyDescent="0.25">
      <c r="A983" s="27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row>
    <row r="984" spans="1:36" x14ac:dyDescent="0.25">
      <c r="A984" s="27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c r="AA984" s="86"/>
      <c r="AB984" s="86"/>
      <c r="AC984" s="86"/>
      <c r="AD984" s="86"/>
      <c r="AE984" s="86"/>
      <c r="AF984" s="86"/>
      <c r="AG984" s="86"/>
      <c r="AH984" s="86"/>
      <c r="AI984" s="86"/>
      <c r="AJ984" s="86"/>
    </row>
    <row r="985" spans="1:36" x14ac:dyDescent="0.25">
      <c r="A985" s="27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row>
    <row r="986" spans="1:36" x14ac:dyDescent="0.25">
      <c r="A986" s="27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86"/>
      <c r="AF986" s="86"/>
      <c r="AG986" s="86"/>
      <c r="AH986" s="86"/>
      <c r="AI986" s="86"/>
      <c r="AJ986" s="86"/>
    </row>
    <row r="987" spans="1:36" x14ac:dyDescent="0.25">
      <c r="A987" s="27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row>
    <row r="988" spans="1:36" x14ac:dyDescent="0.25">
      <c r="A988" s="276"/>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86"/>
      <c r="AF988" s="86"/>
      <c r="AG988" s="86"/>
      <c r="AH988" s="86"/>
      <c r="AI988" s="86"/>
      <c r="AJ988" s="86"/>
    </row>
    <row r="989" spans="1:36" x14ac:dyDescent="0.25">
      <c r="A989" s="27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row>
    <row r="990" spans="1:36" x14ac:dyDescent="0.25">
      <c r="A990" s="276"/>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86"/>
      <c r="AF990" s="86"/>
      <c r="AG990" s="86"/>
      <c r="AH990" s="86"/>
      <c r="AI990" s="86"/>
      <c r="AJ990" s="86"/>
    </row>
    <row r="991" spans="1:36" x14ac:dyDescent="0.25">
      <c r="A991" s="27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row>
    <row r="992" spans="1:36" x14ac:dyDescent="0.25">
      <c r="A992" s="276"/>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86"/>
      <c r="AF992" s="86"/>
      <c r="AG992" s="86"/>
      <c r="AH992" s="86"/>
      <c r="AI992" s="86"/>
      <c r="AJ992" s="86"/>
    </row>
    <row r="993" spans="1:36" x14ac:dyDescent="0.25">
      <c r="A993" s="27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row>
    <row r="994" spans="1:36" x14ac:dyDescent="0.25">
      <c r="A994" s="276"/>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86"/>
      <c r="AF994" s="86"/>
      <c r="AG994" s="86"/>
      <c r="AH994" s="86"/>
      <c r="AI994" s="86"/>
      <c r="AJ994" s="86"/>
    </row>
    <row r="995" spans="1:36" x14ac:dyDescent="0.25">
      <c r="A995" s="27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row>
    <row r="996" spans="1:36" x14ac:dyDescent="0.25">
      <c r="A996" s="276"/>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86"/>
      <c r="AF996" s="86"/>
      <c r="AG996" s="86"/>
      <c r="AH996" s="86"/>
      <c r="AI996" s="86"/>
      <c r="AJ996" s="86"/>
    </row>
    <row r="997" spans="1:36" x14ac:dyDescent="0.25">
      <c r="A997" s="27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row>
    <row r="998" spans="1:36" x14ac:dyDescent="0.25">
      <c r="A998" s="276"/>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86"/>
      <c r="AF998" s="86"/>
      <c r="AG998" s="86"/>
      <c r="AH998" s="86"/>
      <c r="AI998" s="86"/>
      <c r="AJ998" s="86"/>
    </row>
    <row r="999" spans="1:36" x14ac:dyDescent="0.25">
      <c r="A999" s="27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row>
    <row r="1000" spans="1:36" x14ac:dyDescent="0.25">
      <c r="A1000" s="276"/>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row>
    <row r="1001" spans="1:36" x14ac:dyDescent="0.25">
      <c r="A1001" s="277"/>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row>
    <row r="1002" spans="1:36" x14ac:dyDescent="0.25">
      <c r="A1002" s="276"/>
      <c r="B1002" s="86"/>
      <c r="C1002" s="86"/>
      <c r="D1002" s="86"/>
      <c r="E1002" s="86"/>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86"/>
      <c r="AF1002" s="86"/>
      <c r="AG1002" s="86"/>
      <c r="AH1002" s="86"/>
      <c r="AI1002" s="86"/>
      <c r="AJ1002" s="86"/>
    </row>
    <row r="1003" spans="1:36" x14ac:dyDescent="0.25">
      <c r="A1003" s="277"/>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row>
    <row r="1004" spans="1:36" x14ac:dyDescent="0.25">
      <c r="A1004" s="276"/>
      <c r="B1004" s="86"/>
      <c r="C1004" s="86"/>
      <c r="D1004" s="86"/>
      <c r="E1004" s="86"/>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86"/>
      <c r="AF1004" s="86"/>
      <c r="AG1004" s="86"/>
      <c r="AH1004" s="86"/>
      <c r="AI1004" s="86"/>
      <c r="AJ1004" s="86"/>
    </row>
    <row r="1005" spans="1:36" x14ac:dyDescent="0.25">
      <c r="A1005" s="277"/>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row>
    <row r="1006" spans="1:36" x14ac:dyDescent="0.25">
      <c r="A1006" s="276"/>
      <c r="B1006" s="86"/>
      <c r="C1006" s="86"/>
      <c r="D1006" s="86"/>
      <c r="E1006" s="86"/>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86"/>
      <c r="AF1006" s="86"/>
      <c r="AG1006" s="86"/>
      <c r="AH1006" s="86"/>
      <c r="AI1006" s="86"/>
      <c r="AJ1006" s="86"/>
    </row>
    <row r="1007" spans="1:36" x14ac:dyDescent="0.25">
      <c r="A1007" s="277"/>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row>
    <row r="1008" spans="1:36" x14ac:dyDescent="0.25">
      <c r="A1008" s="276"/>
      <c r="B1008" s="86"/>
      <c r="C1008" s="86"/>
      <c r="D1008" s="86"/>
      <c r="E1008" s="86"/>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86"/>
      <c r="AF1008" s="86"/>
      <c r="AG1008" s="86"/>
      <c r="AH1008" s="86"/>
      <c r="AI1008" s="86"/>
      <c r="AJ1008" s="86"/>
    </row>
    <row r="1009" spans="1:36" x14ac:dyDescent="0.25">
      <c r="A1009" s="277"/>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row>
    <row r="1010" spans="1:36" x14ac:dyDescent="0.25">
      <c r="A1010" s="276"/>
      <c r="B1010" s="86"/>
      <c r="C1010" s="86"/>
      <c r="D1010" s="86"/>
      <c r="E1010" s="86"/>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86"/>
      <c r="AF1010" s="86"/>
      <c r="AG1010" s="86"/>
      <c r="AH1010" s="86"/>
      <c r="AI1010" s="86"/>
      <c r="AJ1010" s="86"/>
    </row>
    <row r="1011" spans="1:36" x14ac:dyDescent="0.25">
      <c r="A1011" s="277"/>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row>
    <row r="1012" spans="1:36" x14ac:dyDescent="0.25">
      <c r="A1012" s="276"/>
      <c r="B1012" s="86"/>
      <c r="C1012" s="86"/>
      <c r="D1012" s="86"/>
      <c r="E1012" s="86"/>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86"/>
      <c r="AF1012" s="86"/>
      <c r="AG1012" s="86"/>
      <c r="AH1012" s="86"/>
      <c r="AI1012" s="86"/>
      <c r="AJ1012" s="86"/>
    </row>
    <row r="1013" spans="1:36" x14ac:dyDescent="0.25">
      <c r="A1013" s="277"/>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row>
    <row r="1014" spans="1:36" x14ac:dyDescent="0.25">
      <c r="A1014" s="276"/>
      <c r="B1014" s="86"/>
      <c r="C1014" s="86"/>
      <c r="D1014" s="86"/>
      <c r="E1014" s="86"/>
      <c r="F1014" s="86"/>
      <c r="G1014" s="86"/>
      <c r="H1014" s="86"/>
      <c r="I1014" s="86"/>
      <c r="J1014" s="86"/>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row>
    <row r="1015" spans="1:36" x14ac:dyDescent="0.25">
      <c r="A1015" s="277"/>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row>
    <row r="1016" spans="1:36" x14ac:dyDescent="0.25">
      <c r="A1016" s="276"/>
      <c r="B1016" s="86"/>
      <c r="C1016" s="86"/>
      <c r="D1016" s="86"/>
      <c r="E1016" s="86"/>
      <c r="F1016" s="86"/>
      <c r="G1016" s="86"/>
      <c r="H1016" s="86"/>
      <c r="I1016" s="86"/>
      <c r="J1016" s="86"/>
      <c r="K1016" s="86"/>
      <c r="L1016" s="86"/>
      <c r="M1016" s="86"/>
      <c r="N1016" s="86"/>
      <c r="O1016" s="86"/>
      <c r="P1016" s="86"/>
      <c r="Q1016" s="86"/>
      <c r="R1016" s="86"/>
      <c r="S1016" s="86"/>
      <c r="T1016" s="86"/>
      <c r="U1016" s="86"/>
      <c r="V1016" s="86"/>
      <c r="W1016" s="86"/>
      <c r="X1016" s="86"/>
      <c r="Y1016" s="86"/>
      <c r="Z1016" s="86"/>
      <c r="AA1016" s="86"/>
      <c r="AB1016" s="86"/>
      <c r="AC1016" s="86"/>
      <c r="AD1016" s="86"/>
      <c r="AE1016" s="86"/>
      <c r="AF1016" s="86"/>
      <c r="AG1016" s="86"/>
      <c r="AH1016" s="86"/>
      <c r="AI1016" s="86"/>
      <c r="AJ1016" s="86"/>
    </row>
    <row r="1017" spans="1:36" x14ac:dyDescent="0.25">
      <c r="A1017" s="277"/>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row>
    <row r="1018" spans="1:36" x14ac:dyDescent="0.25">
      <c r="A1018" s="276"/>
      <c r="B1018" s="86"/>
      <c r="C1018" s="86"/>
      <c r="D1018" s="86"/>
      <c r="E1018" s="86"/>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86"/>
      <c r="AF1018" s="86"/>
      <c r="AG1018" s="86"/>
      <c r="AH1018" s="86"/>
      <c r="AI1018" s="86"/>
      <c r="AJ1018" s="86"/>
    </row>
    <row r="1019" spans="1:36" x14ac:dyDescent="0.25">
      <c r="A1019" s="277"/>
      <c r="B1019" s="87"/>
      <c r="C1019" s="87"/>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row>
    <row r="1020" spans="1:36" x14ac:dyDescent="0.25">
      <c r="A1020" s="276"/>
      <c r="B1020" s="86"/>
      <c r="C1020" s="86"/>
      <c r="D1020" s="86"/>
      <c r="E1020" s="86"/>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86"/>
      <c r="AF1020" s="86"/>
      <c r="AG1020" s="86"/>
      <c r="AH1020" s="86"/>
      <c r="AI1020" s="86"/>
      <c r="AJ1020" s="86"/>
    </row>
    <row r="1021" spans="1:36" x14ac:dyDescent="0.25">
      <c r="A1021" s="277"/>
      <c r="B1021" s="87"/>
      <c r="C1021" s="87"/>
      <c r="D1021" s="87"/>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row>
    <row r="1022" spans="1:36" x14ac:dyDescent="0.25">
      <c r="A1022" s="276"/>
      <c r="B1022" s="86"/>
      <c r="C1022" s="86"/>
      <c r="D1022" s="86"/>
      <c r="E1022" s="86"/>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86"/>
      <c r="AF1022" s="86"/>
      <c r="AG1022" s="86"/>
      <c r="AH1022" s="86"/>
      <c r="AI1022" s="86"/>
      <c r="AJ1022" s="86"/>
    </row>
    <row r="1023" spans="1:36" x14ac:dyDescent="0.25">
      <c r="A1023" s="277"/>
      <c r="B1023" s="87"/>
      <c r="C1023" s="87"/>
      <c r="D1023" s="87"/>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row>
    <row r="1024" spans="1:36" x14ac:dyDescent="0.25">
      <c r="A1024" s="276"/>
      <c r="B1024" s="86"/>
      <c r="C1024" s="86"/>
      <c r="D1024" s="86"/>
      <c r="E1024" s="86"/>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86"/>
      <c r="AF1024" s="86"/>
      <c r="AG1024" s="86"/>
      <c r="AH1024" s="86"/>
      <c r="AI1024" s="86"/>
      <c r="AJ1024" s="86"/>
    </row>
    <row r="1025" spans="1:36" x14ac:dyDescent="0.25">
      <c r="A1025" s="277"/>
      <c r="B1025" s="87"/>
      <c r="C1025" s="87"/>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row>
    <row r="1026" spans="1:36" x14ac:dyDescent="0.25">
      <c r="A1026" s="276"/>
      <c r="B1026" s="86"/>
      <c r="C1026" s="86"/>
      <c r="D1026" s="86"/>
      <c r="E1026" s="86"/>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86"/>
      <c r="AF1026" s="86"/>
      <c r="AG1026" s="86"/>
      <c r="AH1026" s="86"/>
      <c r="AI1026" s="86"/>
      <c r="AJ1026" s="86"/>
    </row>
    <row r="1027" spans="1:36" x14ac:dyDescent="0.25">
      <c r="A1027" s="277"/>
      <c r="B1027" s="87"/>
      <c r="C1027" s="87"/>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row>
    <row r="1028" spans="1:36" x14ac:dyDescent="0.25">
      <c r="A1028" s="276"/>
      <c r="B1028" s="86"/>
      <c r="C1028" s="86"/>
      <c r="D1028" s="86"/>
      <c r="E1028" s="86"/>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row>
    <row r="1029" spans="1:36" x14ac:dyDescent="0.25">
      <c r="A1029" s="277"/>
      <c r="B1029" s="87"/>
      <c r="C1029" s="87"/>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row>
    <row r="1030" spans="1:36" x14ac:dyDescent="0.25">
      <c r="A1030" s="276"/>
      <c r="B1030" s="86"/>
      <c r="C1030" s="86"/>
      <c r="D1030" s="86"/>
      <c r="E1030" s="86"/>
      <c r="F1030" s="86"/>
      <c r="G1030" s="86"/>
      <c r="H1030" s="86"/>
      <c r="I1030" s="86"/>
      <c r="J1030" s="86"/>
      <c r="K1030" s="86"/>
      <c r="L1030" s="86"/>
      <c r="M1030" s="86"/>
      <c r="N1030" s="86"/>
      <c r="O1030" s="86"/>
      <c r="P1030" s="86"/>
      <c r="Q1030" s="86"/>
      <c r="R1030" s="86"/>
      <c r="S1030" s="86"/>
      <c r="T1030" s="86"/>
      <c r="U1030" s="86"/>
      <c r="V1030" s="86"/>
      <c r="W1030" s="86"/>
      <c r="X1030" s="86"/>
      <c r="Y1030" s="86"/>
      <c r="Z1030" s="86"/>
      <c r="AA1030" s="86"/>
      <c r="AB1030" s="86"/>
      <c r="AC1030" s="86"/>
      <c r="AD1030" s="86"/>
      <c r="AE1030" s="86"/>
      <c r="AF1030" s="86"/>
      <c r="AG1030" s="86"/>
      <c r="AH1030" s="86"/>
      <c r="AI1030" s="86"/>
      <c r="AJ1030" s="86"/>
    </row>
    <row r="1031" spans="1:36" x14ac:dyDescent="0.25">
      <c r="A1031" s="277"/>
      <c r="B1031" s="87"/>
      <c r="C1031" s="87"/>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row>
    <row r="1032" spans="1:36" x14ac:dyDescent="0.25">
      <c r="A1032" s="276"/>
      <c r="B1032" s="86"/>
      <c r="C1032" s="86"/>
      <c r="D1032" s="86"/>
      <c r="E1032" s="86"/>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86"/>
      <c r="AF1032" s="86"/>
      <c r="AG1032" s="86"/>
      <c r="AH1032" s="86"/>
      <c r="AI1032" s="86"/>
      <c r="AJ1032" s="86"/>
    </row>
    <row r="1033" spans="1:36" x14ac:dyDescent="0.25">
      <c r="A1033" s="277"/>
      <c r="B1033" s="87"/>
      <c r="C1033" s="87"/>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row>
    <row r="1034" spans="1:36" x14ac:dyDescent="0.25">
      <c r="A1034" s="276"/>
      <c r="B1034" s="86"/>
      <c r="C1034" s="86"/>
      <c r="D1034" s="86"/>
      <c r="E1034" s="86"/>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86"/>
      <c r="AF1034" s="86"/>
      <c r="AG1034" s="86"/>
      <c r="AH1034" s="86"/>
      <c r="AI1034" s="86"/>
      <c r="AJ1034" s="86"/>
    </row>
    <row r="1035" spans="1:36" x14ac:dyDescent="0.25">
      <c r="A1035" s="277"/>
      <c r="B1035" s="87"/>
      <c r="C1035" s="87"/>
      <c r="D1035" s="87"/>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row>
    <row r="1036" spans="1:36" x14ac:dyDescent="0.25">
      <c r="A1036" s="276"/>
      <c r="B1036" s="86"/>
      <c r="C1036" s="86"/>
      <c r="D1036" s="86"/>
      <c r="E1036" s="86"/>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86"/>
      <c r="AF1036" s="86"/>
      <c r="AG1036" s="86"/>
      <c r="AH1036" s="86"/>
      <c r="AI1036" s="86"/>
      <c r="AJ1036" s="86"/>
    </row>
    <row r="1037" spans="1:36" x14ac:dyDescent="0.25">
      <c r="A1037" s="277"/>
      <c r="B1037" s="87"/>
      <c r="C1037" s="87"/>
      <c r="D1037" s="87"/>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row>
    <row r="1038" spans="1:36" x14ac:dyDescent="0.25">
      <c r="A1038" s="276"/>
      <c r="B1038" s="86"/>
      <c r="C1038" s="86"/>
      <c r="D1038" s="86"/>
      <c r="E1038" s="86"/>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86"/>
      <c r="AF1038" s="86"/>
      <c r="AG1038" s="86"/>
      <c r="AH1038" s="86"/>
      <c r="AI1038" s="86"/>
      <c r="AJ1038" s="86"/>
    </row>
    <row r="1039" spans="1:36" x14ac:dyDescent="0.25">
      <c r="A1039" s="277"/>
      <c r="B1039" s="87"/>
      <c r="C1039" s="87"/>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row>
    <row r="1040" spans="1:36" x14ac:dyDescent="0.25">
      <c r="A1040" s="276"/>
      <c r="B1040" s="86"/>
      <c r="C1040" s="86"/>
      <c r="D1040" s="86"/>
      <c r="E1040" s="86"/>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86"/>
      <c r="AF1040" s="86"/>
      <c r="AG1040" s="86"/>
      <c r="AH1040" s="86"/>
      <c r="AI1040" s="86"/>
      <c r="AJ1040" s="86"/>
    </row>
    <row r="1041" spans="1:36" x14ac:dyDescent="0.25">
      <c r="A1041" s="277"/>
      <c r="B1041" s="87"/>
      <c r="C1041" s="87"/>
      <c r="D1041" s="87"/>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row>
    <row r="1042" spans="1:36" x14ac:dyDescent="0.25">
      <c r="A1042" s="276"/>
      <c r="B1042" s="86"/>
      <c r="C1042" s="86"/>
      <c r="D1042" s="86"/>
      <c r="E1042" s="86"/>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86"/>
      <c r="AF1042" s="86"/>
      <c r="AG1042" s="86"/>
      <c r="AH1042" s="86"/>
      <c r="AI1042" s="86"/>
      <c r="AJ1042" s="86"/>
    </row>
    <row r="1043" spans="1:36" x14ac:dyDescent="0.25">
      <c r="A1043" s="277"/>
      <c r="B1043" s="87"/>
      <c r="C1043" s="87"/>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row>
    <row r="1044" spans="1:36" x14ac:dyDescent="0.25">
      <c r="A1044" s="276"/>
      <c r="B1044" s="86"/>
      <c r="C1044" s="86"/>
      <c r="D1044" s="86"/>
      <c r="E1044" s="86"/>
      <c r="F1044" s="86"/>
      <c r="G1044" s="86"/>
      <c r="H1044" s="86"/>
      <c r="I1044" s="86"/>
      <c r="J1044" s="86"/>
      <c r="K1044" s="86"/>
      <c r="L1044" s="86"/>
      <c r="M1044" s="86"/>
      <c r="N1044" s="86"/>
      <c r="O1044" s="86"/>
      <c r="P1044" s="86"/>
      <c r="Q1044" s="86"/>
      <c r="R1044" s="86"/>
      <c r="S1044" s="86"/>
      <c r="T1044" s="86"/>
      <c r="U1044" s="86"/>
      <c r="V1044" s="86"/>
      <c r="W1044" s="86"/>
      <c r="X1044" s="86"/>
      <c r="Y1044" s="86"/>
      <c r="Z1044" s="86"/>
      <c r="AA1044" s="86"/>
      <c r="AB1044" s="86"/>
      <c r="AC1044" s="86"/>
      <c r="AD1044" s="86"/>
      <c r="AE1044" s="86"/>
      <c r="AF1044" s="86"/>
      <c r="AG1044" s="86"/>
      <c r="AH1044" s="86"/>
      <c r="AI1044" s="86"/>
      <c r="AJ1044" s="86"/>
    </row>
    <row r="1045" spans="1:36" x14ac:dyDescent="0.25">
      <c r="A1045" s="277"/>
      <c r="B1045" s="87"/>
      <c r="C1045" s="87"/>
      <c r="D1045" s="87"/>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row>
    <row r="1046" spans="1:36" x14ac:dyDescent="0.25">
      <c r="A1046" s="276"/>
      <c r="B1046" s="86"/>
      <c r="C1046" s="86"/>
      <c r="D1046" s="86"/>
      <c r="E1046" s="86"/>
      <c r="F1046" s="86"/>
      <c r="G1046" s="86"/>
      <c r="H1046" s="86"/>
      <c r="I1046" s="86"/>
      <c r="J1046" s="86"/>
      <c r="K1046" s="86"/>
      <c r="L1046" s="86"/>
      <c r="M1046" s="86"/>
      <c r="N1046" s="86"/>
      <c r="O1046" s="86"/>
      <c r="P1046" s="86"/>
      <c r="Q1046" s="86"/>
      <c r="R1046" s="86"/>
      <c r="S1046" s="86"/>
      <c r="T1046" s="86"/>
      <c r="U1046" s="86"/>
      <c r="V1046" s="86"/>
      <c r="W1046" s="86"/>
      <c r="X1046" s="86"/>
      <c r="Y1046" s="86"/>
      <c r="Z1046" s="86"/>
      <c r="AA1046" s="86"/>
      <c r="AB1046" s="86"/>
      <c r="AC1046" s="86"/>
      <c r="AD1046" s="86"/>
      <c r="AE1046" s="86"/>
      <c r="AF1046" s="86"/>
      <c r="AG1046" s="86"/>
      <c r="AH1046" s="86"/>
      <c r="AI1046" s="86"/>
      <c r="AJ1046" s="86"/>
    </row>
    <row r="1047" spans="1:36" x14ac:dyDescent="0.25">
      <c r="A1047" s="277"/>
      <c r="B1047" s="87"/>
      <c r="C1047" s="87"/>
      <c r="D1047" s="87"/>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row>
    <row r="1048" spans="1:36" x14ac:dyDescent="0.25">
      <c r="A1048" s="276"/>
      <c r="B1048" s="86"/>
      <c r="C1048" s="86"/>
      <c r="D1048" s="86"/>
      <c r="E1048" s="86"/>
      <c r="F1048" s="86"/>
      <c r="G1048" s="86"/>
      <c r="H1048" s="86"/>
      <c r="I1048" s="86"/>
      <c r="J1048" s="86"/>
      <c r="K1048" s="86"/>
      <c r="L1048" s="86"/>
      <c r="M1048" s="86"/>
      <c r="N1048" s="86"/>
      <c r="O1048" s="86"/>
      <c r="P1048" s="86"/>
      <c r="Q1048" s="86"/>
      <c r="R1048" s="86"/>
      <c r="S1048" s="86"/>
      <c r="T1048" s="86"/>
      <c r="U1048" s="86"/>
      <c r="V1048" s="86"/>
      <c r="W1048" s="86"/>
      <c r="X1048" s="86"/>
      <c r="Y1048" s="86"/>
      <c r="Z1048" s="86"/>
      <c r="AA1048" s="86"/>
      <c r="AB1048" s="86"/>
      <c r="AC1048" s="86"/>
      <c r="AD1048" s="86"/>
      <c r="AE1048" s="86"/>
      <c r="AF1048" s="86"/>
      <c r="AG1048" s="86"/>
      <c r="AH1048" s="86"/>
      <c r="AI1048" s="86"/>
      <c r="AJ1048" s="86"/>
    </row>
    <row r="1049" spans="1:36" x14ac:dyDescent="0.25">
      <c r="A1049" s="277"/>
      <c r="B1049" s="87"/>
      <c r="C1049" s="87"/>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row>
    <row r="1050" spans="1:36" x14ac:dyDescent="0.25">
      <c r="A1050" s="276"/>
      <c r="B1050" s="86"/>
      <c r="C1050" s="86"/>
      <c r="D1050" s="86"/>
      <c r="E1050" s="86"/>
      <c r="F1050" s="86"/>
      <c r="G1050" s="86"/>
      <c r="H1050" s="86"/>
      <c r="I1050" s="86"/>
      <c r="J1050" s="86"/>
      <c r="K1050" s="86"/>
      <c r="L1050" s="86"/>
      <c r="M1050" s="86"/>
      <c r="N1050" s="86"/>
      <c r="O1050" s="86"/>
      <c r="P1050" s="86"/>
      <c r="Q1050" s="86"/>
      <c r="R1050" s="86"/>
      <c r="S1050" s="86"/>
      <c r="T1050" s="86"/>
      <c r="U1050" s="86"/>
      <c r="V1050" s="86"/>
      <c r="W1050" s="86"/>
      <c r="X1050" s="86"/>
      <c r="Y1050" s="86"/>
      <c r="Z1050" s="86"/>
      <c r="AA1050" s="86"/>
      <c r="AB1050" s="86"/>
      <c r="AC1050" s="86"/>
      <c r="AD1050" s="86"/>
      <c r="AE1050" s="86"/>
      <c r="AF1050" s="86"/>
      <c r="AG1050" s="86"/>
      <c r="AH1050" s="86"/>
      <c r="AI1050" s="86"/>
      <c r="AJ1050" s="86"/>
    </row>
    <row r="1051" spans="1:36" x14ac:dyDescent="0.25">
      <c r="A1051" s="277"/>
      <c r="B1051" s="87"/>
      <c r="C1051" s="87"/>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row>
    <row r="1052" spans="1:36" x14ac:dyDescent="0.25">
      <c r="A1052" s="276"/>
      <c r="B1052" s="86"/>
      <c r="C1052" s="86"/>
      <c r="D1052" s="86"/>
      <c r="E1052" s="86"/>
      <c r="F1052" s="86"/>
      <c r="G1052" s="86"/>
      <c r="H1052" s="86"/>
      <c r="I1052" s="86"/>
      <c r="J1052" s="86"/>
      <c r="K1052" s="86"/>
      <c r="L1052" s="86"/>
      <c r="M1052" s="86"/>
      <c r="N1052" s="86"/>
      <c r="O1052" s="86"/>
      <c r="P1052" s="86"/>
      <c r="Q1052" s="86"/>
      <c r="R1052" s="86"/>
      <c r="S1052" s="86"/>
      <c r="T1052" s="86"/>
      <c r="U1052" s="86"/>
      <c r="V1052" s="86"/>
      <c r="W1052" s="86"/>
      <c r="X1052" s="86"/>
      <c r="Y1052" s="86"/>
      <c r="Z1052" s="86"/>
      <c r="AA1052" s="86"/>
      <c r="AB1052" s="86"/>
      <c r="AC1052" s="86"/>
      <c r="AD1052" s="86"/>
      <c r="AE1052" s="86"/>
      <c r="AF1052" s="86"/>
      <c r="AG1052" s="86"/>
      <c r="AH1052" s="86"/>
      <c r="AI1052" s="86"/>
      <c r="AJ1052" s="86"/>
    </row>
    <row r="1053" spans="1:36" x14ac:dyDescent="0.25">
      <c r="A1053" s="277"/>
      <c r="B1053" s="87"/>
      <c r="C1053" s="87"/>
      <c r="D1053" s="87"/>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row>
    <row r="1054" spans="1:36" x14ac:dyDescent="0.25">
      <c r="A1054" s="276"/>
      <c r="B1054" s="86"/>
      <c r="C1054" s="86"/>
      <c r="D1054" s="86"/>
      <c r="E1054" s="86"/>
      <c r="F1054" s="86"/>
      <c r="G1054" s="86"/>
      <c r="H1054" s="86"/>
      <c r="I1054" s="86"/>
      <c r="J1054" s="86"/>
      <c r="K1054" s="86"/>
      <c r="L1054" s="86"/>
      <c r="M1054" s="86"/>
      <c r="N1054" s="86"/>
      <c r="O1054" s="86"/>
      <c r="P1054" s="86"/>
      <c r="Q1054" s="86"/>
      <c r="R1054" s="86"/>
      <c r="S1054" s="86"/>
      <c r="T1054" s="86"/>
      <c r="U1054" s="86"/>
      <c r="V1054" s="86"/>
      <c r="W1054" s="86"/>
      <c r="X1054" s="86"/>
      <c r="Y1054" s="86"/>
      <c r="Z1054" s="86"/>
      <c r="AA1054" s="86"/>
      <c r="AB1054" s="86"/>
      <c r="AC1054" s="86"/>
      <c r="AD1054" s="86"/>
      <c r="AE1054" s="86"/>
      <c r="AF1054" s="86"/>
      <c r="AG1054" s="86"/>
      <c r="AH1054" s="86"/>
      <c r="AI1054" s="86"/>
      <c r="AJ1054" s="86"/>
    </row>
    <row r="1055" spans="1:36" x14ac:dyDescent="0.25">
      <c r="A1055" s="277"/>
      <c r="B1055" s="87"/>
      <c r="C1055" s="87"/>
      <c r="D1055" s="87"/>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row>
    <row r="1056" spans="1:36" x14ac:dyDescent="0.25">
      <c r="A1056" s="276"/>
      <c r="B1056" s="86"/>
      <c r="C1056" s="86"/>
      <c r="D1056" s="86"/>
      <c r="E1056" s="86"/>
      <c r="F1056" s="86"/>
      <c r="G1056" s="86"/>
      <c r="H1056" s="86"/>
      <c r="I1056" s="86"/>
      <c r="J1056" s="86"/>
      <c r="K1056" s="86"/>
      <c r="L1056" s="86"/>
      <c r="M1056" s="86"/>
      <c r="N1056" s="86"/>
      <c r="O1056" s="86"/>
      <c r="P1056" s="86"/>
      <c r="Q1056" s="86"/>
      <c r="R1056" s="86"/>
      <c r="S1056" s="86"/>
      <c r="T1056" s="86"/>
      <c r="U1056" s="86"/>
      <c r="V1056" s="86"/>
      <c r="W1056" s="86"/>
      <c r="X1056" s="86"/>
      <c r="Y1056" s="86"/>
      <c r="Z1056" s="86"/>
      <c r="AA1056" s="86"/>
      <c r="AB1056" s="86"/>
      <c r="AC1056" s="86"/>
      <c r="AD1056" s="86"/>
      <c r="AE1056" s="86"/>
      <c r="AF1056" s="86"/>
      <c r="AG1056" s="86"/>
      <c r="AH1056" s="86"/>
      <c r="AI1056" s="86"/>
      <c r="AJ1056" s="86"/>
    </row>
    <row r="1057" spans="1:36" x14ac:dyDescent="0.25">
      <c r="A1057" s="277"/>
      <c r="B1057" s="87"/>
      <c r="C1057" s="87"/>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row>
    <row r="1058" spans="1:36" x14ac:dyDescent="0.25">
      <c r="A1058" s="276"/>
      <c r="B1058" s="86"/>
      <c r="C1058" s="86"/>
      <c r="D1058" s="86"/>
      <c r="E1058" s="86"/>
      <c r="F1058" s="86"/>
      <c r="G1058" s="86"/>
      <c r="H1058" s="86"/>
      <c r="I1058" s="86"/>
      <c r="J1058" s="86"/>
      <c r="K1058" s="86"/>
      <c r="L1058" s="86"/>
      <c r="M1058" s="86"/>
      <c r="N1058" s="86"/>
      <c r="O1058" s="86"/>
      <c r="P1058" s="86"/>
      <c r="Q1058" s="86"/>
      <c r="R1058" s="86"/>
      <c r="S1058" s="86"/>
      <c r="T1058" s="86"/>
      <c r="U1058" s="86"/>
      <c r="V1058" s="86"/>
      <c r="W1058" s="86"/>
      <c r="X1058" s="86"/>
      <c r="Y1058" s="86"/>
      <c r="Z1058" s="86"/>
      <c r="AA1058" s="86"/>
      <c r="AB1058" s="86"/>
      <c r="AC1058" s="86"/>
      <c r="AD1058" s="86"/>
      <c r="AE1058" s="86"/>
      <c r="AF1058" s="86"/>
      <c r="AG1058" s="86"/>
      <c r="AH1058" s="86"/>
      <c r="AI1058" s="86"/>
      <c r="AJ1058" s="86"/>
    </row>
    <row r="1059" spans="1:36" x14ac:dyDescent="0.25">
      <c r="A1059" s="277"/>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row>
    <row r="1060" spans="1:36" x14ac:dyDescent="0.25">
      <c r="A1060" s="276"/>
      <c r="B1060" s="86"/>
      <c r="C1060" s="86"/>
      <c r="D1060" s="86"/>
      <c r="E1060" s="86"/>
      <c r="F1060" s="86"/>
      <c r="G1060" s="86"/>
      <c r="H1060" s="86"/>
      <c r="I1060" s="86"/>
      <c r="J1060" s="86"/>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row>
    <row r="1061" spans="1:36" x14ac:dyDescent="0.25">
      <c r="A1061" s="277"/>
      <c r="B1061" s="87"/>
      <c r="C1061" s="87"/>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row>
    <row r="1062" spans="1:36" x14ac:dyDescent="0.25">
      <c r="A1062" s="276"/>
      <c r="B1062" s="86"/>
      <c r="C1062" s="86"/>
      <c r="D1062" s="86"/>
      <c r="E1062" s="86"/>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86"/>
      <c r="AF1062" s="86"/>
      <c r="AG1062" s="86"/>
      <c r="AH1062" s="86"/>
      <c r="AI1062" s="86"/>
      <c r="AJ1062" s="86"/>
    </row>
    <row r="1063" spans="1:36" x14ac:dyDescent="0.25">
      <c r="A1063" s="277"/>
      <c r="B1063" s="87"/>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row>
    <row r="1064" spans="1:36" x14ac:dyDescent="0.25">
      <c r="A1064" s="276"/>
      <c r="B1064" s="86"/>
      <c r="C1064" s="86"/>
      <c r="D1064" s="86"/>
      <c r="E1064" s="86"/>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86"/>
      <c r="AF1064" s="86"/>
      <c r="AG1064" s="86"/>
      <c r="AH1064" s="86"/>
      <c r="AI1064" s="86"/>
      <c r="AJ1064" s="86"/>
    </row>
    <row r="1065" spans="1:36" x14ac:dyDescent="0.25">
      <c r="A1065" s="277"/>
      <c r="B1065" s="87"/>
      <c r="C1065" s="87"/>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row>
    <row r="1066" spans="1:36" x14ac:dyDescent="0.25">
      <c r="A1066" s="276"/>
      <c r="B1066" s="86"/>
      <c r="C1066" s="86"/>
      <c r="D1066" s="86"/>
      <c r="E1066" s="86"/>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86"/>
      <c r="AF1066" s="86"/>
      <c r="AG1066" s="86"/>
      <c r="AH1066" s="86"/>
      <c r="AI1066" s="86"/>
      <c r="AJ1066" s="86"/>
    </row>
    <row r="1067" spans="1:36" x14ac:dyDescent="0.25">
      <c r="A1067" s="277"/>
      <c r="B1067" s="87"/>
      <c r="C1067" s="87"/>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row>
    <row r="1068" spans="1:36" x14ac:dyDescent="0.25">
      <c r="A1068" s="276"/>
      <c r="B1068" s="86"/>
      <c r="C1068" s="86"/>
      <c r="D1068" s="86"/>
      <c r="E1068" s="86"/>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86"/>
      <c r="AF1068" s="86"/>
      <c r="AG1068" s="86"/>
      <c r="AH1068" s="86"/>
      <c r="AI1068" s="86"/>
      <c r="AJ1068" s="86"/>
    </row>
    <row r="1069" spans="1:36" x14ac:dyDescent="0.25">
      <c r="A1069" s="277"/>
      <c r="B1069" s="87"/>
      <c r="C1069" s="87"/>
      <c r="D1069" s="87"/>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row>
    <row r="1070" spans="1:36" x14ac:dyDescent="0.25">
      <c r="A1070" s="276"/>
      <c r="B1070" s="86"/>
      <c r="C1070" s="86"/>
      <c r="D1070" s="86"/>
      <c r="E1070" s="86"/>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86"/>
      <c r="AF1070" s="86"/>
      <c r="AG1070" s="86"/>
      <c r="AH1070" s="86"/>
      <c r="AI1070" s="86"/>
      <c r="AJ1070" s="86"/>
    </row>
    <row r="1071" spans="1:36" x14ac:dyDescent="0.25">
      <c r="A1071" s="277"/>
      <c r="B1071" s="87"/>
      <c r="C1071" s="87"/>
      <c r="D1071" s="87"/>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row>
    <row r="1072" spans="1:36" x14ac:dyDescent="0.25">
      <c r="A1072" s="276"/>
      <c r="B1072" s="86"/>
      <c r="C1072" s="86"/>
      <c r="D1072" s="86"/>
      <c r="E1072" s="86"/>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86"/>
      <c r="AF1072" s="86"/>
      <c r="AG1072" s="86"/>
      <c r="AH1072" s="86"/>
      <c r="AI1072" s="86"/>
      <c r="AJ1072" s="86"/>
    </row>
    <row r="1073" spans="1:36" x14ac:dyDescent="0.25">
      <c r="A1073" s="277"/>
      <c r="B1073" s="87"/>
      <c r="C1073" s="87"/>
      <c r="D1073" s="87"/>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row>
    <row r="1074" spans="1:36" x14ac:dyDescent="0.25">
      <c r="A1074" s="276"/>
      <c r="B1074" s="86"/>
      <c r="C1074" s="86"/>
      <c r="D1074" s="86"/>
      <c r="E1074" s="86"/>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86"/>
      <c r="AF1074" s="86"/>
      <c r="AG1074" s="86"/>
      <c r="AH1074" s="86"/>
      <c r="AI1074" s="86"/>
      <c r="AJ1074" s="86"/>
    </row>
    <row r="1075" spans="1:36" x14ac:dyDescent="0.25">
      <c r="A1075" s="277"/>
      <c r="B1075" s="87"/>
      <c r="C1075" s="87"/>
      <c r="D1075" s="87"/>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row>
    <row r="1076" spans="1:36" x14ac:dyDescent="0.25">
      <c r="A1076" s="276"/>
      <c r="B1076" s="86"/>
      <c r="C1076" s="86"/>
      <c r="D1076" s="86"/>
      <c r="E1076" s="86"/>
      <c r="F1076" s="86"/>
      <c r="G1076" s="86"/>
      <c r="H1076" s="86"/>
      <c r="I1076" s="86"/>
      <c r="J1076" s="86"/>
      <c r="K1076" s="86"/>
      <c r="L1076" s="86"/>
      <c r="M1076" s="86"/>
      <c r="N1076" s="86"/>
      <c r="O1076" s="86"/>
      <c r="P1076" s="86"/>
      <c r="Q1076" s="86"/>
      <c r="R1076" s="86"/>
      <c r="S1076" s="86"/>
      <c r="T1076" s="86"/>
      <c r="U1076" s="86"/>
      <c r="V1076" s="86"/>
      <c r="W1076" s="86"/>
      <c r="X1076" s="86"/>
      <c r="Y1076" s="86"/>
      <c r="Z1076" s="86"/>
      <c r="AA1076" s="86"/>
      <c r="AB1076" s="86"/>
      <c r="AC1076" s="86"/>
      <c r="AD1076" s="86"/>
      <c r="AE1076" s="86"/>
      <c r="AF1076" s="86"/>
      <c r="AG1076" s="86"/>
      <c r="AH1076" s="86"/>
      <c r="AI1076" s="86"/>
      <c r="AJ1076" s="86"/>
    </row>
    <row r="1077" spans="1:36" x14ac:dyDescent="0.25">
      <c r="A1077" s="277"/>
      <c r="B1077" s="87"/>
      <c r="C1077" s="87"/>
      <c r="D1077" s="87"/>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row>
    <row r="1078" spans="1:36" x14ac:dyDescent="0.25">
      <c r="A1078" s="276"/>
      <c r="B1078" s="86"/>
      <c r="C1078" s="86"/>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c r="AG1078" s="86"/>
      <c r="AH1078" s="86"/>
      <c r="AI1078" s="86"/>
      <c r="AJ1078" s="86"/>
    </row>
    <row r="1079" spans="1:36" x14ac:dyDescent="0.25">
      <c r="A1079" s="277"/>
      <c r="B1079" s="87"/>
      <c r="C1079" s="87"/>
      <c r="D1079" s="87"/>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row>
    <row r="1080" spans="1:36" x14ac:dyDescent="0.25">
      <c r="A1080" s="276"/>
      <c r="B1080" s="86"/>
      <c r="C1080" s="86"/>
      <c r="D1080" s="86"/>
      <c r="E1080" s="86"/>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86"/>
      <c r="AF1080" s="86"/>
      <c r="AG1080" s="86"/>
      <c r="AH1080" s="86"/>
      <c r="AI1080" s="86"/>
      <c r="AJ1080" s="86"/>
    </row>
    <row r="1081" spans="1:36" x14ac:dyDescent="0.25">
      <c r="A1081" s="277"/>
      <c r="B1081" s="87"/>
      <c r="C1081" s="87"/>
      <c r="D1081" s="87"/>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row>
    <row r="1082" spans="1:36" x14ac:dyDescent="0.25">
      <c r="A1082" s="276"/>
      <c r="B1082" s="86"/>
      <c r="C1082" s="86"/>
      <c r="D1082" s="86"/>
      <c r="E1082" s="86"/>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86"/>
      <c r="AF1082" s="86"/>
      <c r="AG1082" s="86"/>
      <c r="AH1082" s="86"/>
      <c r="AI1082" s="86"/>
      <c r="AJ1082" s="86"/>
    </row>
    <row r="1083" spans="1:36" x14ac:dyDescent="0.25">
      <c r="A1083" s="277"/>
      <c r="B1083" s="87"/>
      <c r="C1083" s="87"/>
      <c r="D1083" s="87"/>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row>
    <row r="1084" spans="1:36" x14ac:dyDescent="0.25">
      <c r="A1084" s="276"/>
      <c r="B1084" s="86"/>
      <c r="C1084" s="86"/>
      <c r="D1084" s="86"/>
      <c r="E1084" s="86"/>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86"/>
      <c r="AF1084" s="86"/>
      <c r="AG1084" s="86"/>
      <c r="AH1084" s="86"/>
      <c r="AI1084" s="86"/>
      <c r="AJ1084" s="86"/>
    </row>
    <row r="1085" spans="1:36" x14ac:dyDescent="0.25">
      <c r="A1085" s="277"/>
      <c r="B1085" s="87"/>
      <c r="C1085" s="87"/>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row>
    <row r="1086" spans="1:36" x14ac:dyDescent="0.25">
      <c r="A1086" s="276"/>
      <c r="B1086" s="86"/>
      <c r="C1086" s="86"/>
      <c r="D1086" s="86"/>
      <c r="E1086" s="86"/>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86"/>
      <c r="AF1086" s="86"/>
      <c r="AG1086" s="86"/>
      <c r="AH1086" s="86"/>
      <c r="AI1086" s="86"/>
      <c r="AJ1086" s="86"/>
    </row>
    <row r="1087" spans="1:36" x14ac:dyDescent="0.25">
      <c r="A1087" s="277"/>
      <c r="B1087" s="87"/>
      <c r="C1087" s="87"/>
      <c r="D1087" s="87"/>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row>
    <row r="1088" spans="1:36" x14ac:dyDescent="0.25">
      <c r="A1088" s="276"/>
      <c r="B1088" s="86"/>
      <c r="C1088" s="86"/>
      <c r="D1088" s="86"/>
      <c r="E1088" s="86"/>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86"/>
      <c r="AF1088" s="86"/>
      <c r="AG1088" s="86"/>
      <c r="AH1088" s="86"/>
      <c r="AI1088" s="86"/>
      <c r="AJ1088" s="86"/>
    </row>
    <row r="1089" spans="1:36" x14ac:dyDescent="0.25">
      <c r="A1089" s="277"/>
      <c r="B1089" s="87"/>
      <c r="C1089" s="87"/>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row>
    <row r="1090" spans="1:36" x14ac:dyDescent="0.25">
      <c r="A1090" s="276"/>
      <c r="B1090" s="86"/>
      <c r="C1090" s="86"/>
      <c r="D1090" s="86"/>
      <c r="E1090" s="86"/>
      <c r="F1090" s="86"/>
      <c r="G1090" s="86"/>
      <c r="H1090" s="86"/>
      <c r="I1090" s="86"/>
      <c r="J1090" s="86"/>
      <c r="K1090" s="86"/>
      <c r="L1090" s="86"/>
      <c r="M1090" s="86"/>
      <c r="N1090" s="86"/>
      <c r="O1090" s="86"/>
      <c r="P1090" s="86"/>
      <c r="Q1090" s="86"/>
      <c r="R1090" s="86"/>
      <c r="S1090" s="86"/>
      <c r="T1090" s="86"/>
      <c r="U1090" s="86"/>
      <c r="V1090" s="86"/>
      <c r="W1090" s="86"/>
      <c r="X1090" s="86"/>
      <c r="Y1090" s="86"/>
      <c r="Z1090" s="86"/>
      <c r="AA1090" s="86"/>
      <c r="AB1090" s="86"/>
      <c r="AC1090" s="86"/>
      <c r="AD1090" s="86"/>
      <c r="AE1090" s="86"/>
      <c r="AF1090" s="86"/>
      <c r="AG1090" s="86"/>
      <c r="AH1090" s="86"/>
      <c r="AI1090" s="86"/>
      <c r="AJ1090" s="86"/>
    </row>
    <row r="1091" spans="1:36" x14ac:dyDescent="0.25">
      <c r="A1091" s="277"/>
      <c r="B1091" s="87"/>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row>
    <row r="1092" spans="1:36" x14ac:dyDescent="0.25">
      <c r="A1092" s="276"/>
      <c r="B1092" s="86"/>
      <c r="C1092" s="86"/>
      <c r="D1092" s="86"/>
      <c r="E1092" s="86"/>
      <c r="F1092" s="86"/>
      <c r="G1092" s="86"/>
      <c r="H1092" s="86"/>
      <c r="I1092" s="86"/>
      <c r="J1092" s="86"/>
      <c r="K1092" s="86"/>
      <c r="L1092" s="86"/>
      <c r="M1092" s="86"/>
      <c r="N1092" s="86"/>
      <c r="O1092" s="86"/>
      <c r="P1092" s="86"/>
      <c r="Q1092" s="86"/>
      <c r="R1092" s="86"/>
      <c r="S1092" s="86"/>
      <c r="T1092" s="86"/>
      <c r="U1092" s="86"/>
      <c r="V1092" s="86"/>
      <c r="W1092" s="86"/>
      <c r="X1092" s="86"/>
      <c r="Y1092" s="86"/>
      <c r="Z1092" s="86"/>
      <c r="AA1092" s="86"/>
      <c r="AB1092" s="86"/>
      <c r="AC1092" s="86"/>
      <c r="AD1092" s="86"/>
      <c r="AE1092" s="86"/>
      <c r="AF1092" s="86"/>
      <c r="AG1092" s="86"/>
      <c r="AH1092" s="86"/>
      <c r="AI1092" s="86"/>
      <c r="AJ1092" s="86"/>
    </row>
    <row r="1093" spans="1:36" x14ac:dyDescent="0.25">
      <c r="A1093" s="277"/>
      <c r="B1093" s="87"/>
      <c r="C1093" s="87"/>
      <c r="D1093" s="87"/>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row>
    <row r="1094" spans="1:36" x14ac:dyDescent="0.25">
      <c r="A1094" s="276"/>
      <c r="B1094" s="86"/>
      <c r="C1094" s="86"/>
      <c r="D1094" s="86"/>
      <c r="E1094" s="86"/>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86"/>
      <c r="AF1094" s="86"/>
      <c r="AG1094" s="86"/>
      <c r="AH1094" s="86"/>
      <c r="AI1094" s="86"/>
      <c r="AJ1094" s="86"/>
    </row>
    <row r="1095" spans="1:36" x14ac:dyDescent="0.25">
      <c r="A1095" s="277"/>
      <c r="B1095" s="87"/>
      <c r="C1095" s="87"/>
      <c r="D1095" s="87"/>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row>
    <row r="1096" spans="1:36" x14ac:dyDescent="0.25">
      <c r="A1096" s="276"/>
      <c r="B1096" s="86"/>
      <c r="C1096" s="86"/>
      <c r="D1096" s="86"/>
      <c r="E1096" s="86"/>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86"/>
      <c r="AF1096" s="86"/>
      <c r="AG1096" s="86"/>
      <c r="AH1096" s="86"/>
      <c r="AI1096" s="86"/>
      <c r="AJ1096" s="86"/>
    </row>
    <row r="1097" spans="1:36" x14ac:dyDescent="0.25">
      <c r="A1097" s="277"/>
      <c r="B1097" s="87"/>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row>
    <row r="1098" spans="1:36" x14ac:dyDescent="0.25">
      <c r="A1098" s="276"/>
      <c r="B1098" s="86"/>
      <c r="C1098" s="86"/>
      <c r="D1098" s="86"/>
      <c r="E1098" s="86"/>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86"/>
      <c r="AF1098" s="86"/>
      <c r="AG1098" s="86"/>
      <c r="AH1098" s="86"/>
      <c r="AI1098" s="86"/>
      <c r="AJ1098" s="86"/>
    </row>
    <row r="1099" spans="1:36" x14ac:dyDescent="0.25">
      <c r="A1099" s="277"/>
      <c r="B1099" s="87"/>
      <c r="C1099" s="87"/>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row>
    <row r="1100" spans="1:36" x14ac:dyDescent="0.25">
      <c r="A1100" s="276"/>
      <c r="B1100" s="86"/>
      <c r="C1100" s="86"/>
      <c r="D1100" s="86"/>
      <c r="E1100" s="86"/>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86"/>
      <c r="AF1100" s="86"/>
      <c r="AG1100" s="86"/>
      <c r="AH1100" s="86"/>
      <c r="AI1100" s="86"/>
      <c r="AJ1100" s="86"/>
    </row>
    <row r="1101" spans="1:36" x14ac:dyDescent="0.25">
      <c r="A1101" s="277"/>
      <c r="B1101" s="87"/>
      <c r="C1101" s="87"/>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row>
    <row r="1102" spans="1:36" x14ac:dyDescent="0.25">
      <c r="A1102" s="276"/>
      <c r="B1102" s="86"/>
      <c r="C1102" s="86"/>
      <c r="D1102" s="86"/>
      <c r="E1102" s="86"/>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86"/>
      <c r="AF1102" s="86"/>
      <c r="AG1102" s="86"/>
      <c r="AH1102" s="86"/>
      <c r="AI1102" s="86"/>
      <c r="AJ1102" s="86"/>
    </row>
    <row r="1103" spans="1:36" x14ac:dyDescent="0.25">
      <c r="A1103" s="277"/>
      <c r="B1103" s="87"/>
      <c r="C1103" s="87"/>
      <c r="D1103" s="87"/>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row>
    <row r="1104" spans="1:36" x14ac:dyDescent="0.25">
      <c r="A1104" s="276"/>
      <c r="B1104" s="86"/>
      <c r="C1104" s="86"/>
      <c r="D1104" s="86"/>
      <c r="E1104" s="86"/>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86"/>
      <c r="AF1104" s="86"/>
      <c r="AG1104" s="86"/>
      <c r="AH1104" s="86"/>
      <c r="AI1104" s="86"/>
      <c r="AJ1104" s="86"/>
    </row>
    <row r="1105" spans="1:36" x14ac:dyDescent="0.25">
      <c r="A1105" s="277"/>
      <c r="B1105" s="87"/>
      <c r="C1105" s="87"/>
      <c r="D1105" s="87"/>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row>
    <row r="1106" spans="1:36" x14ac:dyDescent="0.25">
      <c r="A1106" s="276"/>
      <c r="B1106" s="86"/>
      <c r="C1106" s="86"/>
      <c r="D1106" s="86"/>
      <c r="E1106" s="86"/>
      <c r="F1106" s="86"/>
      <c r="G1106" s="86"/>
      <c r="H1106" s="86"/>
      <c r="I1106" s="86"/>
      <c r="J1106" s="86"/>
      <c r="K1106" s="86"/>
      <c r="L1106" s="86"/>
      <c r="M1106" s="86"/>
      <c r="N1106" s="86"/>
      <c r="O1106" s="86"/>
      <c r="P1106" s="86"/>
      <c r="Q1106" s="86"/>
      <c r="R1106" s="86"/>
      <c r="S1106" s="86"/>
      <c r="T1106" s="86"/>
      <c r="U1106" s="86"/>
      <c r="V1106" s="86"/>
      <c r="W1106" s="86"/>
      <c r="X1106" s="86"/>
      <c r="Y1106" s="86"/>
      <c r="Z1106" s="86"/>
      <c r="AA1106" s="86"/>
      <c r="AB1106" s="86"/>
      <c r="AC1106" s="86"/>
      <c r="AD1106" s="86"/>
      <c r="AE1106" s="86"/>
      <c r="AF1106" s="86"/>
      <c r="AG1106" s="86"/>
      <c r="AH1106" s="86"/>
      <c r="AI1106" s="86"/>
      <c r="AJ1106" s="86"/>
    </row>
    <row r="1107" spans="1:36" x14ac:dyDescent="0.25">
      <c r="A1107" s="277"/>
      <c r="B1107" s="87"/>
      <c r="C1107" s="87"/>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row>
    <row r="1108" spans="1:36" x14ac:dyDescent="0.25">
      <c r="A1108" s="276"/>
      <c r="B1108" s="86"/>
      <c r="C1108" s="86"/>
      <c r="D1108" s="86"/>
      <c r="E1108" s="86"/>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86"/>
      <c r="AF1108" s="86"/>
      <c r="AG1108" s="86"/>
      <c r="AH1108" s="86"/>
      <c r="AI1108" s="86"/>
      <c r="AJ1108" s="86"/>
    </row>
    <row r="1109" spans="1:36" x14ac:dyDescent="0.25">
      <c r="A1109" s="277"/>
      <c r="B1109" s="87"/>
      <c r="C1109" s="87"/>
      <c r="D1109" s="87"/>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row>
    <row r="1110" spans="1:36" x14ac:dyDescent="0.25">
      <c r="A1110" s="276"/>
      <c r="B1110" s="86"/>
      <c r="C1110" s="86"/>
      <c r="D1110" s="86"/>
      <c r="E1110" s="86"/>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86"/>
      <c r="AF1110" s="86"/>
      <c r="AG1110" s="86"/>
      <c r="AH1110" s="86"/>
      <c r="AI1110" s="86"/>
      <c r="AJ1110" s="86"/>
    </row>
    <row r="1111" spans="1:36" x14ac:dyDescent="0.25">
      <c r="A1111" s="277"/>
      <c r="B1111" s="87"/>
      <c r="C1111" s="87"/>
      <c r="D1111" s="87"/>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row>
    <row r="1112" spans="1:36" x14ac:dyDescent="0.25">
      <c r="A1112" s="276"/>
      <c r="B1112" s="86"/>
      <c r="C1112" s="86"/>
      <c r="D1112" s="86"/>
      <c r="E1112" s="86"/>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86"/>
      <c r="AF1112" s="86"/>
      <c r="AG1112" s="86"/>
      <c r="AH1112" s="86"/>
      <c r="AI1112" s="86"/>
      <c r="AJ1112" s="86"/>
    </row>
    <row r="1113" spans="1:36" x14ac:dyDescent="0.25">
      <c r="A1113" s="277"/>
      <c r="B1113" s="87"/>
      <c r="C1113" s="87"/>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row>
    <row r="1114" spans="1:36" x14ac:dyDescent="0.25">
      <c r="A1114" s="276"/>
      <c r="B1114" s="86"/>
      <c r="C1114" s="86"/>
      <c r="D1114" s="86"/>
      <c r="E1114" s="86"/>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86"/>
      <c r="AF1114" s="86"/>
      <c r="AG1114" s="86"/>
      <c r="AH1114" s="86"/>
      <c r="AI1114" s="86"/>
      <c r="AJ1114" s="86"/>
    </row>
    <row r="1115" spans="1:36" x14ac:dyDescent="0.25">
      <c r="A1115" s="277"/>
      <c r="B1115" s="87"/>
      <c r="C1115" s="87"/>
      <c r="D1115" s="87"/>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row>
    <row r="1116" spans="1:36" x14ac:dyDescent="0.25">
      <c r="A1116" s="276"/>
      <c r="B1116" s="86"/>
      <c r="C1116" s="86"/>
      <c r="D1116" s="86"/>
      <c r="E1116" s="86"/>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86"/>
      <c r="AF1116" s="86"/>
      <c r="AG1116" s="86"/>
      <c r="AH1116" s="86"/>
      <c r="AI1116" s="86"/>
      <c r="AJ1116" s="86"/>
    </row>
    <row r="1117" spans="1:36" x14ac:dyDescent="0.25">
      <c r="A1117" s="277"/>
      <c r="B1117" s="87"/>
      <c r="C1117" s="87"/>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row>
    <row r="1118" spans="1:36" x14ac:dyDescent="0.25">
      <c r="A1118" s="276"/>
      <c r="B1118" s="86"/>
      <c r="C1118" s="86"/>
      <c r="D1118" s="86"/>
      <c r="E1118" s="86"/>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86"/>
      <c r="AF1118" s="86"/>
      <c r="AG1118" s="86"/>
      <c r="AH1118" s="86"/>
      <c r="AI1118" s="86"/>
      <c r="AJ1118" s="86"/>
    </row>
    <row r="1119" spans="1:36" x14ac:dyDescent="0.25">
      <c r="A1119" s="277"/>
      <c r="B1119" s="87"/>
      <c r="C1119" s="87"/>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row>
    <row r="1120" spans="1:36" x14ac:dyDescent="0.25">
      <c r="A1120" s="276"/>
      <c r="B1120" s="86"/>
      <c r="C1120" s="86"/>
      <c r="D1120" s="86"/>
      <c r="E1120" s="86"/>
      <c r="F1120" s="86"/>
      <c r="G1120" s="86"/>
      <c r="H1120" s="86"/>
      <c r="I1120" s="86"/>
      <c r="J1120" s="86"/>
      <c r="K1120" s="86"/>
      <c r="L1120" s="86"/>
      <c r="M1120" s="86"/>
      <c r="N1120" s="86"/>
      <c r="O1120" s="86"/>
      <c r="P1120" s="86"/>
      <c r="Q1120" s="86"/>
      <c r="R1120" s="86"/>
      <c r="S1120" s="86"/>
      <c r="T1120" s="86"/>
      <c r="U1120" s="86"/>
      <c r="V1120" s="86"/>
      <c r="W1120" s="86"/>
      <c r="X1120" s="86"/>
      <c r="Y1120" s="86"/>
      <c r="Z1120" s="86"/>
      <c r="AA1120" s="86"/>
      <c r="AB1120" s="86"/>
      <c r="AC1120" s="86"/>
      <c r="AD1120" s="86"/>
      <c r="AE1120" s="86"/>
      <c r="AF1120" s="86"/>
      <c r="AG1120" s="86"/>
      <c r="AH1120" s="86"/>
      <c r="AI1120" s="86"/>
      <c r="AJ1120" s="86"/>
    </row>
    <row r="1121" spans="1:36" x14ac:dyDescent="0.25">
      <c r="A1121" s="277"/>
      <c r="B1121" s="87"/>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row>
    <row r="1122" spans="1:36" x14ac:dyDescent="0.25">
      <c r="A1122" s="276"/>
      <c r="B1122" s="86"/>
      <c r="C1122" s="86"/>
      <c r="D1122" s="86"/>
      <c r="E1122" s="86"/>
      <c r="F1122" s="86"/>
      <c r="G1122" s="86"/>
      <c r="H1122" s="86"/>
      <c r="I1122" s="86"/>
      <c r="J1122" s="86"/>
      <c r="K1122" s="86"/>
      <c r="L1122" s="86"/>
      <c r="M1122" s="86"/>
      <c r="N1122" s="86"/>
      <c r="O1122" s="86"/>
      <c r="P1122" s="86"/>
      <c r="Q1122" s="86"/>
      <c r="R1122" s="86"/>
      <c r="S1122" s="86"/>
      <c r="T1122" s="86"/>
      <c r="U1122" s="86"/>
      <c r="V1122" s="86"/>
      <c r="W1122" s="86"/>
      <c r="X1122" s="86"/>
      <c r="Y1122" s="86"/>
      <c r="Z1122" s="86"/>
      <c r="AA1122" s="86"/>
      <c r="AB1122" s="86"/>
      <c r="AC1122" s="86"/>
      <c r="AD1122" s="86"/>
      <c r="AE1122" s="86"/>
      <c r="AF1122" s="86"/>
      <c r="AG1122" s="86"/>
      <c r="AH1122" s="86"/>
      <c r="AI1122" s="86"/>
      <c r="AJ1122" s="86"/>
    </row>
    <row r="1123" spans="1:36" x14ac:dyDescent="0.25">
      <c r="A1123" s="277"/>
      <c r="B1123" s="87"/>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row>
    <row r="1124" spans="1:36" x14ac:dyDescent="0.25">
      <c r="A1124" s="276"/>
      <c r="B1124" s="86"/>
      <c r="C1124" s="86"/>
      <c r="D1124" s="86"/>
      <c r="E1124" s="86"/>
      <c r="F1124" s="86"/>
      <c r="G1124" s="86"/>
      <c r="H1124" s="86"/>
      <c r="I1124" s="86"/>
      <c r="J1124" s="86"/>
      <c r="K1124" s="86"/>
      <c r="L1124" s="86"/>
      <c r="M1124" s="86"/>
      <c r="N1124" s="86"/>
      <c r="O1124" s="86"/>
      <c r="P1124" s="86"/>
      <c r="Q1124" s="86"/>
      <c r="R1124" s="86"/>
      <c r="S1124" s="86"/>
      <c r="T1124" s="86"/>
      <c r="U1124" s="86"/>
      <c r="V1124" s="86"/>
      <c r="W1124" s="86"/>
      <c r="X1124" s="86"/>
      <c r="Y1124" s="86"/>
      <c r="Z1124" s="86"/>
      <c r="AA1124" s="86"/>
      <c r="AB1124" s="86"/>
      <c r="AC1124" s="86"/>
      <c r="AD1124" s="86"/>
      <c r="AE1124" s="86"/>
      <c r="AF1124" s="86"/>
      <c r="AG1124" s="86"/>
      <c r="AH1124" s="86"/>
      <c r="AI1124" s="86"/>
      <c r="AJ1124" s="86"/>
    </row>
    <row r="1125" spans="1:36" x14ac:dyDescent="0.25">
      <c r="A1125" s="277"/>
      <c r="B1125" s="87"/>
      <c r="C1125" s="87"/>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row>
    <row r="1126" spans="1:36" x14ac:dyDescent="0.25">
      <c r="A1126" s="276"/>
      <c r="B1126" s="86"/>
      <c r="C1126" s="86"/>
      <c r="D1126" s="86"/>
      <c r="E1126" s="86"/>
      <c r="F1126" s="86"/>
      <c r="G1126" s="86"/>
      <c r="H1126" s="86"/>
      <c r="I1126" s="86"/>
      <c r="J1126" s="86"/>
      <c r="K1126" s="86"/>
      <c r="L1126" s="86"/>
      <c r="M1126" s="86"/>
      <c r="N1126" s="86"/>
      <c r="O1126" s="86"/>
      <c r="P1126" s="86"/>
      <c r="Q1126" s="86"/>
      <c r="R1126" s="86"/>
      <c r="S1126" s="86"/>
      <c r="T1126" s="86"/>
      <c r="U1126" s="86"/>
      <c r="V1126" s="86"/>
      <c r="W1126" s="86"/>
      <c r="X1126" s="86"/>
      <c r="Y1126" s="86"/>
      <c r="Z1126" s="86"/>
      <c r="AA1126" s="86"/>
      <c r="AB1126" s="86"/>
      <c r="AC1126" s="86"/>
      <c r="AD1126" s="86"/>
      <c r="AE1126" s="86"/>
      <c r="AF1126" s="86"/>
      <c r="AG1126" s="86"/>
      <c r="AH1126" s="86"/>
      <c r="AI1126" s="86"/>
      <c r="AJ1126" s="86"/>
    </row>
    <row r="1127" spans="1:36" x14ac:dyDescent="0.25">
      <c r="A1127" s="277"/>
      <c r="B1127" s="87"/>
      <c r="C1127" s="87"/>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row>
    <row r="1128" spans="1:36" x14ac:dyDescent="0.25">
      <c r="A1128" s="276"/>
      <c r="B1128" s="86"/>
      <c r="C1128" s="86"/>
      <c r="D1128" s="86"/>
      <c r="E1128" s="86"/>
      <c r="F1128" s="86"/>
      <c r="G1128" s="86"/>
      <c r="H1128" s="86"/>
      <c r="I1128" s="86"/>
      <c r="J1128" s="86"/>
      <c r="K1128" s="86"/>
      <c r="L1128" s="86"/>
      <c r="M1128" s="86"/>
      <c r="N1128" s="86"/>
      <c r="O1128" s="86"/>
      <c r="P1128" s="86"/>
      <c r="Q1128" s="86"/>
      <c r="R1128" s="86"/>
      <c r="S1128" s="86"/>
      <c r="T1128" s="86"/>
      <c r="U1128" s="86"/>
      <c r="V1128" s="86"/>
      <c r="W1128" s="86"/>
      <c r="X1128" s="86"/>
      <c r="Y1128" s="86"/>
      <c r="Z1128" s="86"/>
      <c r="AA1128" s="86"/>
      <c r="AB1128" s="86"/>
      <c r="AC1128" s="86"/>
      <c r="AD1128" s="86"/>
      <c r="AE1128" s="86"/>
      <c r="AF1128" s="86"/>
      <c r="AG1128" s="86"/>
      <c r="AH1128" s="86"/>
      <c r="AI1128" s="86"/>
      <c r="AJ1128" s="86"/>
    </row>
    <row r="1129" spans="1:36" x14ac:dyDescent="0.25">
      <c r="A1129" s="277"/>
      <c r="B1129" s="87"/>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row>
    <row r="1130" spans="1:36" x14ac:dyDescent="0.25">
      <c r="A1130" s="276"/>
      <c r="B1130" s="86"/>
      <c r="C1130" s="86"/>
      <c r="D1130" s="86"/>
      <c r="E1130" s="86"/>
      <c r="F1130" s="86"/>
      <c r="G1130" s="86"/>
      <c r="H1130" s="86"/>
      <c r="I1130" s="86"/>
      <c r="J1130" s="86"/>
      <c r="K1130" s="86"/>
      <c r="L1130" s="86"/>
      <c r="M1130" s="86"/>
      <c r="N1130" s="86"/>
      <c r="O1130" s="86"/>
      <c r="P1130" s="86"/>
      <c r="Q1130" s="86"/>
      <c r="R1130" s="86"/>
      <c r="S1130" s="86"/>
      <c r="T1130" s="86"/>
      <c r="U1130" s="86"/>
      <c r="V1130" s="86"/>
      <c r="W1130" s="86"/>
      <c r="X1130" s="86"/>
      <c r="Y1130" s="86"/>
      <c r="Z1130" s="86"/>
      <c r="AA1130" s="86"/>
      <c r="AB1130" s="86"/>
      <c r="AC1130" s="86"/>
      <c r="AD1130" s="86"/>
      <c r="AE1130" s="86"/>
      <c r="AF1130" s="86"/>
      <c r="AG1130" s="86"/>
      <c r="AH1130" s="86"/>
      <c r="AI1130" s="86"/>
      <c r="AJ1130" s="86"/>
    </row>
    <row r="1131" spans="1:36" x14ac:dyDescent="0.25">
      <c r="A1131" s="277"/>
      <c r="B1131" s="87"/>
      <c r="C1131" s="87"/>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row>
    <row r="1132" spans="1:36" x14ac:dyDescent="0.25">
      <c r="A1132" s="276"/>
      <c r="B1132" s="86"/>
      <c r="C1132" s="86"/>
      <c r="D1132" s="86"/>
      <c r="E1132" s="86"/>
      <c r="F1132" s="86"/>
      <c r="G1132" s="86"/>
      <c r="H1132" s="86"/>
      <c r="I1132" s="86"/>
      <c r="J1132" s="86"/>
      <c r="K1132" s="86"/>
      <c r="L1132" s="86"/>
      <c r="M1132" s="86"/>
      <c r="N1132" s="86"/>
      <c r="O1132" s="86"/>
      <c r="P1132" s="86"/>
      <c r="Q1132" s="86"/>
      <c r="R1132" s="86"/>
      <c r="S1132" s="86"/>
      <c r="T1132" s="86"/>
      <c r="U1132" s="86"/>
      <c r="V1132" s="86"/>
      <c r="W1132" s="86"/>
      <c r="X1132" s="86"/>
      <c r="Y1132" s="86"/>
      <c r="Z1132" s="86"/>
      <c r="AA1132" s="86"/>
      <c r="AB1132" s="86"/>
      <c r="AC1132" s="86"/>
      <c r="AD1132" s="86"/>
      <c r="AE1132" s="86"/>
      <c r="AF1132" s="86"/>
      <c r="AG1132" s="86"/>
      <c r="AH1132" s="86"/>
      <c r="AI1132" s="86"/>
      <c r="AJ1132" s="86"/>
    </row>
    <row r="1133" spans="1:36" x14ac:dyDescent="0.25">
      <c r="A1133" s="277"/>
      <c r="B1133" s="87"/>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row>
    <row r="1134" spans="1:36" x14ac:dyDescent="0.25">
      <c r="A1134" s="276"/>
      <c r="B1134" s="86"/>
      <c r="C1134" s="86"/>
      <c r="D1134" s="86"/>
      <c r="E1134" s="86"/>
      <c r="F1134" s="86"/>
      <c r="G1134" s="86"/>
      <c r="H1134" s="86"/>
      <c r="I1134" s="86"/>
      <c r="J1134" s="86"/>
      <c r="K1134" s="86"/>
      <c r="L1134" s="86"/>
      <c r="M1134" s="86"/>
      <c r="N1134" s="86"/>
      <c r="O1134" s="86"/>
      <c r="P1134" s="86"/>
      <c r="Q1134" s="86"/>
      <c r="R1134" s="86"/>
      <c r="S1134" s="86"/>
      <c r="T1134" s="86"/>
      <c r="U1134" s="86"/>
      <c r="V1134" s="86"/>
      <c r="W1134" s="86"/>
      <c r="X1134" s="86"/>
      <c r="Y1134" s="86"/>
      <c r="Z1134" s="86"/>
      <c r="AA1134" s="86"/>
      <c r="AB1134" s="86"/>
      <c r="AC1134" s="86"/>
      <c r="AD1134" s="86"/>
      <c r="AE1134" s="86"/>
      <c r="AF1134" s="86"/>
      <c r="AG1134" s="86"/>
      <c r="AH1134" s="86"/>
      <c r="AI1134" s="86"/>
      <c r="AJ1134" s="86"/>
    </row>
    <row r="1135" spans="1:36" x14ac:dyDescent="0.25">
      <c r="A1135" s="277"/>
      <c r="B1135" s="87"/>
      <c r="C1135" s="87"/>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row>
    <row r="1136" spans="1:36" x14ac:dyDescent="0.25">
      <c r="A1136" s="276"/>
      <c r="B1136" s="86"/>
      <c r="C1136" s="86"/>
      <c r="D1136" s="86"/>
      <c r="E1136" s="86"/>
      <c r="F1136" s="86"/>
      <c r="G1136" s="86"/>
      <c r="H1136" s="86"/>
      <c r="I1136" s="86"/>
      <c r="J1136" s="86"/>
      <c r="K1136" s="86"/>
      <c r="L1136" s="86"/>
      <c r="M1136" s="86"/>
      <c r="N1136" s="86"/>
      <c r="O1136" s="86"/>
      <c r="P1136" s="86"/>
      <c r="Q1136" s="86"/>
      <c r="R1136" s="86"/>
      <c r="S1136" s="86"/>
      <c r="T1136" s="86"/>
      <c r="U1136" s="86"/>
      <c r="V1136" s="86"/>
      <c r="W1136" s="86"/>
      <c r="X1136" s="86"/>
      <c r="Y1136" s="86"/>
      <c r="Z1136" s="86"/>
      <c r="AA1136" s="86"/>
      <c r="AB1136" s="86"/>
      <c r="AC1136" s="86"/>
      <c r="AD1136" s="86"/>
      <c r="AE1136" s="86"/>
      <c r="AF1136" s="86"/>
      <c r="AG1136" s="86"/>
      <c r="AH1136" s="86"/>
      <c r="AI1136" s="86"/>
      <c r="AJ1136" s="86"/>
    </row>
    <row r="1137" spans="1:36" x14ac:dyDescent="0.25">
      <c r="A1137" s="277"/>
      <c r="B1137" s="87"/>
      <c r="C1137" s="87"/>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row>
    <row r="1138" spans="1:36" x14ac:dyDescent="0.25">
      <c r="A1138" s="276"/>
      <c r="B1138" s="86"/>
      <c r="C1138" s="86"/>
      <c r="D1138" s="86"/>
      <c r="E1138" s="86"/>
      <c r="F1138" s="86"/>
      <c r="G1138" s="86"/>
      <c r="H1138" s="86"/>
      <c r="I1138" s="86"/>
      <c r="J1138" s="86"/>
      <c r="K1138" s="86"/>
      <c r="L1138" s="86"/>
      <c r="M1138" s="86"/>
      <c r="N1138" s="86"/>
      <c r="O1138" s="86"/>
      <c r="P1138" s="86"/>
      <c r="Q1138" s="86"/>
      <c r="R1138" s="86"/>
      <c r="S1138" s="86"/>
      <c r="T1138" s="86"/>
      <c r="U1138" s="86"/>
      <c r="V1138" s="86"/>
      <c r="W1138" s="86"/>
      <c r="X1138" s="86"/>
      <c r="Y1138" s="86"/>
      <c r="Z1138" s="86"/>
      <c r="AA1138" s="86"/>
      <c r="AB1138" s="86"/>
      <c r="AC1138" s="86"/>
      <c r="AD1138" s="86"/>
      <c r="AE1138" s="86"/>
      <c r="AF1138" s="86"/>
      <c r="AG1138" s="86"/>
      <c r="AH1138" s="86"/>
      <c r="AI1138" s="86"/>
      <c r="AJ1138" s="86"/>
    </row>
    <row r="1139" spans="1:36" x14ac:dyDescent="0.25">
      <c r="A1139" s="277"/>
      <c r="B1139" s="87"/>
      <c r="C1139" s="87"/>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row>
    <row r="1140" spans="1:36" x14ac:dyDescent="0.25">
      <c r="A1140" s="276"/>
      <c r="B1140" s="86"/>
      <c r="C1140" s="86"/>
      <c r="D1140" s="86"/>
      <c r="E1140" s="86"/>
      <c r="F1140" s="86"/>
      <c r="G1140" s="86"/>
      <c r="H1140" s="86"/>
      <c r="I1140" s="86"/>
      <c r="J1140" s="86"/>
      <c r="K1140" s="86"/>
      <c r="L1140" s="86"/>
      <c r="M1140" s="86"/>
      <c r="N1140" s="86"/>
      <c r="O1140" s="86"/>
      <c r="P1140" s="86"/>
      <c r="Q1140" s="86"/>
      <c r="R1140" s="86"/>
      <c r="S1140" s="86"/>
      <c r="T1140" s="86"/>
      <c r="U1140" s="86"/>
      <c r="V1140" s="86"/>
      <c r="W1140" s="86"/>
      <c r="X1140" s="86"/>
      <c r="Y1140" s="86"/>
      <c r="Z1140" s="86"/>
      <c r="AA1140" s="86"/>
      <c r="AB1140" s="86"/>
      <c r="AC1140" s="86"/>
      <c r="AD1140" s="86"/>
      <c r="AE1140" s="86"/>
      <c r="AF1140" s="86"/>
      <c r="AG1140" s="86"/>
      <c r="AH1140" s="86"/>
      <c r="AI1140" s="86"/>
      <c r="AJ1140" s="86"/>
    </row>
    <row r="1141" spans="1:36" x14ac:dyDescent="0.25">
      <c r="A1141" s="277"/>
      <c r="B1141" s="87"/>
      <c r="C1141" s="87"/>
      <c r="D1141" s="87"/>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row>
    <row r="1142" spans="1:36" x14ac:dyDescent="0.25">
      <c r="A1142" s="276"/>
      <c r="B1142" s="86"/>
      <c r="C1142" s="86"/>
      <c r="D1142" s="86"/>
      <c r="E1142" s="86"/>
      <c r="F1142" s="86"/>
      <c r="G1142" s="86"/>
      <c r="H1142" s="86"/>
      <c r="I1142" s="86"/>
      <c r="J1142" s="86"/>
      <c r="K1142" s="86"/>
      <c r="L1142" s="86"/>
      <c r="M1142" s="86"/>
      <c r="N1142" s="86"/>
      <c r="O1142" s="86"/>
      <c r="P1142" s="86"/>
      <c r="Q1142" s="86"/>
      <c r="R1142" s="86"/>
      <c r="S1142" s="86"/>
      <c r="T1142" s="86"/>
      <c r="U1142" s="86"/>
      <c r="V1142" s="86"/>
      <c r="W1142" s="86"/>
      <c r="X1142" s="86"/>
      <c r="Y1142" s="86"/>
      <c r="Z1142" s="86"/>
      <c r="AA1142" s="86"/>
      <c r="AB1142" s="86"/>
      <c r="AC1142" s="86"/>
      <c r="AD1142" s="86"/>
      <c r="AE1142" s="86"/>
      <c r="AF1142" s="86"/>
      <c r="AG1142" s="86"/>
      <c r="AH1142" s="86"/>
      <c r="AI1142" s="86"/>
      <c r="AJ1142" s="86"/>
    </row>
    <row r="1143" spans="1:36" x14ac:dyDescent="0.25">
      <c r="A1143" s="277"/>
      <c r="B1143" s="87"/>
      <c r="C1143" s="87"/>
      <c r="D1143" s="87"/>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row>
    <row r="1144" spans="1:36" x14ac:dyDescent="0.25">
      <c r="A1144" s="276"/>
      <c r="B1144" s="86"/>
      <c r="C1144" s="86"/>
      <c r="D1144" s="86"/>
      <c r="E1144" s="86"/>
      <c r="F1144" s="86"/>
      <c r="G1144" s="86"/>
      <c r="H1144" s="86"/>
      <c r="I1144" s="86"/>
      <c r="J1144" s="86"/>
      <c r="K1144" s="86"/>
      <c r="L1144" s="86"/>
      <c r="M1144" s="86"/>
      <c r="N1144" s="86"/>
      <c r="O1144" s="86"/>
      <c r="P1144" s="86"/>
      <c r="Q1144" s="86"/>
      <c r="R1144" s="86"/>
      <c r="S1144" s="86"/>
      <c r="T1144" s="86"/>
      <c r="U1144" s="86"/>
      <c r="V1144" s="86"/>
      <c r="W1144" s="86"/>
      <c r="X1144" s="86"/>
      <c r="Y1144" s="86"/>
      <c r="Z1144" s="86"/>
      <c r="AA1144" s="86"/>
      <c r="AB1144" s="86"/>
      <c r="AC1144" s="86"/>
      <c r="AD1144" s="86"/>
      <c r="AE1144" s="86"/>
      <c r="AF1144" s="86"/>
      <c r="AG1144" s="86"/>
      <c r="AH1144" s="86"/>
      <c r="AI1144" s="86"/>
      <c r="AJ1144" s="86"/>
    </row>
    <row r="1145" spans="1:36" x14ac:dyDescent="0.25">
      <c r="A1145" s="277"/>
      <c r="B1145" s="87"/>
      <c r="C1145" s="87"/>
      <c r="D1145" s="87"/>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row>
    <row r="1146" spans="1:36" x14ac:dyDescent="0.25">
      <c r="A1146" s="276"/>
      <c r="B1146" s="86"/>
      <c r="C1146" s="86"/>
      <c r="D1146" s="86"/>
      <c r="E1146" s="86"/>
      <c r="F1146" s="86"/>
      <c r="G1146" s="86"/>
      <c r="H1146" s="86"/>
      <c r="I1146" s="86"/>
      <c r="J1146" s="86"/>
      <c r="K1146" s="86"/>
      <c r="L1146" s="86"/>
      <c r="M1146" s="86"/>
      <c r="N1146" s="86"/>
      <c r="O1146" s="86"/>
      <c r="P1146" s="86"/>
      <c r="Q1146" s="86"/>
      <c r="R1146" s="86"/>
      <c r="S1146" s="86"/>
      <c r="T1146" s="86"/>
      <c r="U1146" s="86"/>
      <c r="V1146" s="86"/>
      <c r="W1146" s="86"/>
      <c r="X1146" s="86"/>
      <c r="Y1146" s="86"/>
      <c r="Z1146" s="86"/>
      <c r="AA1146" s="86"/>
      <c r="AB1146" s="86"/>
      <c r="AC1146" s="86"/>
      <c r="AD1146" s="86"/>
      <c r="AE1146" s="86"/>
      <c r="AF1146" s="86"/>
      <c r="AG1146" s="86"/>
      <c r="AH1146" s="86"/>
      <c r="AI1146" s="86"/>
      <c r="AJ1146" s="86"/>
    </row>
    <row r="1147" spans="1:36" x14ac:dyDescent="0.25">
      <c r="A1147" s="277"/>
      <c r="B1147" s="87"/>
      <c r="C1147" s="87"/>
      <c r="D1147" s="87"/>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row>
    <row r="1148" spans="1:36" x14ac:dyDescent="0.25">
      <c r="A1148" s="276"/>
      <c r="B1148" s="86"/>
      <c r="C1148" s="86"/>
      <c r="D1148" s="86"/>
      <c r="E1148" s="86"/>
      <c r="F1148" s="86"/>
      <c r="G1148" s="86"/>
      <c r="H1148" s="86"/>
      <c r="I1148" s="86"/>
      <c r="J1148" s="86"/>
      <c r="K1148" s="86"/>
      <c r="L1148" s="86"/>
      <c r="M1148" s="86"/>
      <c r="N1148" s="86"/>
      <c r="O1148" s="86"/>
      <c r="P1148" s="86"/>
      <c r="Q1148" s="86"/>
      <c r="R1148" s="86"/>
      <c r="S1148" s="86"/>
      <c r="T1148" s="86"/>
      <c r="U1148" s="86"/>
      <c r="V1148" s="86"/>
      <c r="W1148" s="86"/>
      <c r="X1148" s="86"/>
      <c r="Y1148" s="86"/>
      <c r="Z1148" s="86"/>
      <c r="AA1148" s="86"/>
      <c r="AB1148" s="86"/>
      <c r="AC1148" s="86"/>
      <c r="AD1148" s="86"/>
      <c r="AE1148" s="86"/>
      <c r="AF1148" s="86"/>
      <c r="AG1148" s="86"/>
      <c r="AH1148" s="86"/>
      <c r="AI1148" s="86"/>
      <c r="AJ1148" s="86"/>
    </row>
    <row r="1149" spans="1:36" x14ac:dyDescent="0.25">
      <c r="A1149" s="277"/>
      <c r="B1149" s="87"/>
      <c r="C1149" s="87"/>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row>
    <row r="1150" spans="1:36" x14ac:dyDescent="0.25">
      <c r="A1150" s="276"/>
      <c r="B1150" s="86"/>
      <c r="C1150" s="86"/>
      <c r="D1150" s="86"/>
      <c r="E1150" s="86"/>
      <c r="F1150" s="86"/>
      <c r="G1150" s="86"/>
      <c r="H1150" s="86"/>
      <c r="I1150" s="86"/>
      <c r="J1150" s="86"/>
      <c r="K1150" s="86"/>
      <c r="L1150" s="86"/>
      <c r="M1150" s="86"/>
      <c r="N1150" s="86"/>
      <c r="O1150" s="86"/>
      <c r="P1150" s="86"/>
      <c r="Q1150" s="86"/>
      <c r="R1150" s="86"/>
      <c r="S1150" s="86"/>
      <c r="T1150" s="86"/>
      <c r="U1150" s="86"/>
      <c r="V1150" s="86"/>
      <c r="W1150" s="86"/>
      <c r="X1150" s="86"/>
      <c r="Y1150" s="86"/>
      <c r="Z1150" s="86"/>
      <c r="AA1150" s="86"/>
      <c r="AB1150" s="86"/>
      <c r="AC1150" s="86"/>
      <c r="AD1150" s="86"/>
      <c r="AE1150" s="86"/>
      <c r="AF1150" s="86"/>
      <c r="AG1150" s="86"/>
      <c r="AH1150" s="86"/>
      <c r="AI1150" s="86"/>
      <c r="AJ1150" s="86"/>
    </row>
    <row r="1151" spans="1:36" x14ac:dyDescent="0.25">
      <c r="A1151" s="277"/>
      <c r="B1151" s="87"/>
      <c r="C1151" s="87"/>
      <c r="D1151" s="87"/>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row>
    <row r="1152" spans="1:36" x14ac:dyDescent="0.25">
      <c r="A1152" s="276"/>
      <c r="B1152" s="86"/>
      <c r="C1152" s="86"/>
      <c r="D1152" s="86"/>
      <c r="E1152" s="86"/>
      <c r="F1152" s="86"/>
      <c r="G1152" s="86"/>
      <c r="H1152" s="86"/>
      <c r="I1152" s="86"/>
      <c r="J1152" s="86"/>
      <c r="K1152" s="86"/>
      <c r="L1152" s="86"/>
      <c r="M1152" s="86"/>
      <c r="N1152" s="86"/>
      <c r="O1152" s="86"/>
      <c r="P1152" s="86"/>
      <c r="Q1152" s="86"/>
      <c r="R1152" s="86"/>
      <c r="S1152" s="86"/>
      <c r="T1152" s="86"/>
      <c r="U1152" s="86"/>
      <c r="V1152" s="86"/>
      <c r="W1152" s="86"/>
      <c r="X1152" s="86"/>
      <c r="Y1152" s="86"/>
      <c r="Z1152" s="86"/>
      <c r="AA1152" s="86"/>
      <c r="AB1152" s="86"/>
      <c r="AC1152" s="86"/>
      <c r="AD1152" s="86"/>
      <c r="AE1152" s="86"/>
      <c r="AF1152" s="86"/>
      <c r="AG1152" s="86"/>
      <c r="AH1152" s="86"/>
      <c r="AI1152" s="86"/>
      <c r="AJ1152" s="86"/>
    </row>
    <row r="1153" spans="1:36" x14ac:dyDescent="0.25">
      <c r="A1153" s="277"/>
      <c r="B1153" s="87"/>
      <c r="C1153" s="87"/>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row>
    <row r="1154" spans="1:36" x14ac:dyDescent="0.25">
      <c r="A1154" s="276"/>
      <c r="B1154" s="86"/>
      <c r="C1154" s="86"/>
      <c r="D1154" s="86"/>
      <c r="E1154" s="86"/>
      <c r="F1154" s="86"/>
      <c r="G1154" s="86"/>
      <c r="H1154" s="86"/>
      <c r="I1154" s="86"/>
      <c r="J1154" s="86"/>
      <c r="K1154" s="86"/>
      <c r="L1154" s="86"/>
      <c r="M1154" s="86"/>
      <c r="N1154" s="86"/>
      <c r="O1154" s="86"/>
      <c r="P1154" s="86"/>
      <c r="Q1154" s="86"/>
      <c r="R1154" s="86"/>
      <c r="S1154" s="86"/>
      <c r="T1154" s="86"/>
      <c r="U1154" s="86"/>
      <c r="V1154" s="86"/>
      <c r="W1154" s="86"/>
      <c r="X1154" s="86"/>
      <c r="Y1154" s="86"/>
      <c r="Z1154" s="86"/>
      <c r="AA1154" s="86"/>
      <c r="AB1154" s="86"/>
      <c r="AC1154" s="86"/>
      <c r="AD1154" s="86"/>
      <c r="AE1154" s="86"/>
      <c r="AF1154" s="86"/>
      <c r="AG1154" s="86"/>
      <c r="AH1154" s="86"/>
      <c r="AI1154" s="86"/>
      <c r="AJ1154" s="86"/>
    </row>
    <row r="1155" spans="1:36" x14ac:dyDescent="0.25">
      <c r="A1155" s="277"/>
      <c r="B1155" s="87"/>
      <c r="C1155" s="87"/>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row>
    <row r="1156" spans="1:36" x14ac:dyDescent="0.25">
      <c r="A1156" s="276"/>
      <c r="B1156" s="86"/>
      <c r="C1156" s="86"/>
      <c r="D1156" s="86"/>
      <c r="E1156" s="86"/>
      <c r="F1156" s="86"/>
      <c r="G1156" s="86"/>
      <c r="H1156" s="86"/>
      <c r="I1156" s="86"/>
      <c r="J1156" s="86"/>
      <c r="K1156" s="86"/>
      <c r="L1156" s="86"/>
      <c r="M1156" s="86"/>
      <c r="N1156" s="86"/>
      <c r="O1156" s="86"/>
      <c r="P1156" s="86"/>
      <c r="Q1156" s="86"/>
      <c r="R1156" s="86"/>
      <c r="S1156" s="86"/>
      <c r="T1156" s="86"/>
      <c r="U1156" s="86"/>
      <c r="V1156" s="86"/>
      <c r="W1156" s="86"/>
      <c r="X1156" s="86"/>
      <c r="Y1156" s="86"/>
      <c r="Z1156" s="86"/>
      <c r="AA1156" s="86"/>
      <c r="AB1156" s="86"/>
      <c r="AC1156" s="86"/>
      <c r="AD1156" s="86"/>
      <c r="AE1156" s="86"/>
      <c r="AF1156" s="86"/>
      <c r="AG1156" s="86"/>
      <c r="AH1156" s="86"/>
      <c r="AI1156" s="86"/>
      <c r="AJ1156" s="86"/>
    </row>
    <row r="1157" spans="1:36" x14ac:dyDescent="0.25">
      <c r="A1157" s="277"/>
      <c r="B1157" s="87"/>
      <c r="C1157" s="87"/>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row>
    <row r="1158" spans="1:36" x14ac:dyDescent="0.25">
      <c r="A1158" s="276"/>
      <c r="B1158" s="86"/>
      <c r="C1158" s="86"/>
      <c r="D1158" s="86"/>
      <c r="E1158" s="86"/>
      <c r="F1158" s="86"/>
      <c r="G1158" s="86"/>
      <c r="H1158" s="86"/>
      <c r="I1158" s="86"/>
      <c r="J1158" s="86"/>
      <c r="K1158" s="86"/>
      <c r="L1158" s="86"/>
      <c r="M1158" s="86"/>
      <c r="N1158" s="86"/>
      <c r="O1158" s="86"/>
      <c r="P1158" s="86"/>
      <c r="Q1158" s="86"/>
      <c r="R1158" s="86"/>
      <c r="S1158" s="86"/>
      <c r="T1158" s="86"/>
      <c r="U1158" s="86"/>
      <c r="V1158" s="86"/>
      <c r="W1158" s="86"/>
      <c r="X1158" s="86"/>
      <c r="Y1158" s="86"/>
      <c r="Z1158" s="86"/>
      <c r="AA1158" s="86"/>
      <c r="AB1158" s="86"/>
      <c r="AC1158" s="86"/>
      <c r="AD1158" s="86"/>
      <c r="AE1158" s="86"/>
      <c r="AF1158" s="86"/>
      <c r="AG1158" s="86"/>
      <c r="AH1158" s="86"/>
      <c r="AI1158" s="86"/>
      <c r="AJ1158" s="86"/>
    </row>
    <row r="1159" spans="1:36" x14ac:dyDescent="0.25">
      <c r="A1159" s="277"/>
      <c r="B1159" s="87"/>
      <c r="C1159" s="87"/>
      <c r="D1159" s="87"/>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row>
    <row r="1160" spans="1:36" x14ac:dyDescent="0.25">
      <c r="A1160" s="276"/>
      <c r="B1160" s="86"/>
      <c r="C1160" s="86"/>
      <c r="D1160" s="86"/>
      <c r="E1160" s="86"/>
      <c r="F1160" s="86"/>
      <c r="G1160" s="86"/>
      <c r="H1160" s="86"/>
      <c r="I1160" s="86"/>
      <c r="J1160" s="86"/>
      <c r="K1160" s="86"/>
      <c r="L1160" s="86"/>
      <c r="M1160" s="86"/>
      <c r="N1160" s="86"/>
      <c r="O1160" s="86"/>
      <c r="P1160" s="86"/>
      <c r="Q1160" s="86"/>
      <c r="R1160" s="86"/>
      <c r="S1160" s="86"/>
      <c r="T1160" s="86"/>
      <c r="U1160" s="86"/>
      <c r="V1160" s="86"/>
      <c r="W1160" s="86"/>
      <c r="X1160" s="86"/>
      <c r="Y1160" s="86"/>
      <c r="Z1160" s="86"/>
      <c r="AA1160" s="86"/>
      <c r="AB1160" s="86"/>
      <c r="AC1160" s="86"/>
      <c r="AD1160" s="86"/>
      <c r="AE1160" s="86"/>
      <c r="AF1160" s="86"/>
      <c r="AG1160" s="86"/>
      <c r="AH1160" s="86"/>
      <c r="AI1160" s="86"/>
      <c r="AJ1160" s="86"/>
    </row>
    <row r="1161" spans="1:36" x14ac:dyDescent="0.25">
      <c r="A1161" s="277"/>
      <c r="B1161" s="87"/>
      <c r="C1161" s="87"/>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row>
    <row r="1162" spans="1:36" x14ac:dyDescent="0.25">
      <c r="A1162" s="276"/>
      <c r="B1162" s="86"/>
      <c r="C1162" s="86"/>
      <c r="D1162" s="86"/>
      <c r="E1162" s="86"/>
      <c r="F1162" s="86"/>
      <c r="G1162" s="86"/>
      <c r="H1162" s="86"/>
      <c r="I1162" s="86"/>
      <c r="J1162" s="86"/>
      <c r="K1162" s="86"/>
      <c r="L1162" s="86"/>
      <c r="M1162" s="86"/>
      <c r="N1162" s="86"/>
      <c r="O1162" s="86"/>
      <c r="P1162" s="86"/>
      <c r="Q1162" s="86"/>
      <c r="R1162" s="86"/>
      <c r="S1162" s="86"/>
      <c r="T1162" s="86"/>
      <c r="U1162" s="86"/>
      <c r="V1162" s="86"/>
      <c r="W1162" s="86"/>
      <c r="X1162" s="86"/>
      <c r="Y1162" s="86"/>
      <c r="Z1162" s="86"/>
      <c r="AA1162" s="86"/>
      <c r="AB1162" s="86"/>
      <c r="AC1162" s="86"/>
      <c r="AD1162" s="86"/>
      <c r="AE1162" s="86"/>
      <c r="AF1162" s="86"/>
      <c r="AG1162" s="86"/>
      <c r="AH1162" s="86"/>
      <c r="AI1162" s="86"/>
      <c r="AJ1162" s="86"/>
    </row>
    <row r="1163" spans="1:36" x14ac:dyDescent="0.25">
      <c r="A1163" s="277"/>
      <c r="B1163" s="87"/>
      <c r="C1163" s="87"/>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row>
    <row r="1164" spans="1:36" x14ac:dyDescent="0.25">
      <c r="A1164" s="276"/>
      <c r="B1164" s="86"/>
      <c r="C1164" s="86"/>
      <c r="D1164" s="86"/>
      <c r="E1164" s="86"/>
      <c r="F1164" s="86"/>
      <c r="G1164" s="86"/>
      <c r="H1164" s="86"/>
      <c r="I1164" s="86"/>
      <c r="J1164" s="86"/>
      <c r="K1164" s="86"/>
      <c r="L1164" s="86"/>
      <c r="M1164" s="86"/>
      <c r="N1164" s="86"/>
      <c r="O1164" s="86"/>
      <c r="P1164" s="86"/>
      <c r="Q1164" s="86"/>
      <c r="R1164" s="86"/>
      <c r="S1164" s="86"/>
      <c r="T1164" s="86"/>
      <c r="U1164" s="86"/>
      <c r="V1164" s="86"/>
      <c r="W1164" s="86"/>
      <c r="X1164" s="86"/>
      <c r="Y1164" s="86"/>
      <c r="Z1164" s="86"/>
      <c r="AA1164" s="86"/>
      <c r="AB1164" s="86"/>
      <c r="AC1164" s="86"/>
      <c r="AD1164" s="86"/>
      <c r="AE1164" s="86"/>
      <c r="AF1164" s="86"/>
      <c r="AG1164" s="86"/>
      <c r="AH1164" s="86"/>
      <c r="AI1164" s="86"/>
      <c r="AJ1164" s="86"/>
    </row>
    <row r="1165" spans="1:36" x14ac:dyDescent="0.25">
      <c r="A1165" s="277"/>
      <c r="B1165" s="87"/>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row>
    <row r="1166" spans="1:36" x14ac:dyDescent="0.25">
      <c r="A1166" s="276"/>
      <c r="B1166" s="86"/>
      <c r="C1166" s="86"/>
      <c r="D1166" s="86"/>
      <c r="E1166" s="86"/>
      <c r="F1166" s="86"/>
      <c r="G1166" s="86"/>
      <c r="H1166" s="86"/>
      <c r="I1166" s="86"/>
      <c r="J1166" s="86"/>
      <c r="K1166" s="86"/>
      <c r="L1166" s="86"/>
      <c r="M1166" s="86"/>
      <c r="N1166" s="86"/>
      <c r="O1166" s="86"/>
      <c r="P1166" s="86"/>
      <c r="Q1166" s="86"/>
      <c r="R1166" s="86"/>
      <c r="S1166" s="86"/>
      <c r="T1166" s="86"/>
      <c r="U1166" s="86"/>
      <c r="V1166" s="86"/>
      <c r="W1166" s="86"/>
      <c r="X1166" s="86"/>
      <c r="Y1166" s="86"/>
      <c r="Z1166" s="86"/>
      <c r="AA1166" s="86"/>
      <c r="AB1166" s="86"/>
      <c r="AC1166" s="86"/>
      <c r="AD1166" s="86"/>
      <c r="AE1166" s="86"/>
      <c r="AF1166" s="86"/>
      <c r="AG1166" s="86"/>
      <c r="AH1166" s="86"/>
      <c r="AI1166" s="86"/>
      <c r="AJ1166" s="86"/>
    </row>
    <row r="1167" spans="1:36" x14ac:dyDescent="0.25">
      <c r="A1167" s="277"/>
      <c r="B1167" s="87"/>
      <c r="C1167" s="87"/>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row>
    <row r="1168" spans="1:36" x14ac:dyDescent="0.25">
      <c r="A1168" s="276"/>
      <c r="B1168" s="86"/>
      <c r="C1168" s="86"/>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row>
    <row r="1169" spans="1:36" x14ac:dyDescent="0.25">
      <c r="A1169" s="277"/>
      <c r="B1169" s="87"/>
      <c r="C1169" s="87"/>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row>
    <row r="1170" spans="1:36" x14ac:dyDescent="0.25">
      <c r="A1170" s="276"/>
      <c r="B1170" s="86"/>
      <c r="C1170" s="86"/>
      <c r="D1170" s="86"/>
      <c r="E1170" s="86"/>
      <c r="F1170" s="86"/>
      <c r="G1170" s="86"/>
      <c r="H1170" s="86"/>
      <c r="I1170" s="86"/>
      <c r="J1170" s="86"/>
      <c r="K1170" s="86"/>
      <c r="L1170" s="86"/>
      <c r="M1170" s="86"/>
      <c r="N1170" s="86"/>
      <c r="O1170" s="86"/>
      <c r="P1170" s="86"/>
      <c r="Q1170" s="86"/>
      <c r="R1170" s="86"/>
      <c r="S1170" s="86"/>
      <c r="T1170" s="86"/>
      <c r="U1170" s="86"/>
      <c r="V1170" s="86"/>
      <c r="W1170" s="86"/>
      <c r="X1170" s="86"/>
      <c r="Y1170" s="86"/>
      <c r="Z1170" s="86"/>
      <c r="AA1170" s="86"/>
      <c r="AB1170" s="86"/>
      <c r="AC1170" s="86"/>
      <c r="AD1170" s="86"/>
      <c r="AE1170" s="86"/>
      <c r="AF1170" s="86"/>
      <c r="AG1170" s="86"/>
      <c r="AH1170" s="86"/>
      <c r="AI1170" s="86"/>
      <c r="AJ1170" s="86"/>
    </row>
    <row r="1171" spans="1:36" x14ac:dyDescent="0.25">
      <c r="A1171" s="277"/>
      <c r="B1171" s="87"/>
      <c r="C1171" s="87"/>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row>
    <row r="1172" spans="1:36" x14ac:dyDescent="0.25">
      <c r="A1172" s="276"/>
      <c r="B1172" s="86"/>
      <c r="C1172" s="86"/>
      <c r="D1172" s="86"/>
      <c r="E1172" s="86"/>
      <c r="F1172" s="86"/>
      <c r="G1172" s="86"/>
      <c r="H1172" s="86"/>
      <c r="I1172" s="86"/>
      <c r="J1172" s="86"/>
      <c r="K1172" s="86"/>
      <c r="L1172" s="86"/>
      <c r="M1172" s="86"/>
      <c r="N1172" s="86"/>
      <c r="O1172" s="86"/>
      <c r="P1172" s="86"/>
      <c r="Q1172" s="86"/>
      <c r="R1172" s="86"/>
      <c r="S1172" s="86"/>
      <c r="T1172" s="86"/>
      <c r="U1172" s="86"/>
      <c r="V1172" s="86"/>
      <c r="W1172" s="86"/>
      <c r="X1172" s="86"/>
      <c r="Y1172" s="86"/>
      <c r="Z1172" s="86"/>
      <c r="AA1172" s="86"/>
      <c r="AB1172" s="86"/>
      <c r="AC1172" s="86"/>
      <c r="AD1172" s="86"/>
      <c r="AE1172" s="86"/>
      <c r="AF1172" s="86"/>
      <c r="AG1172" s="86"/>
      <c r="AH1172" s="86"/>
      <c r="AI1172" s="86"/>
      <c r="AJ1172" s="86"/>
    </row>
    <row r="1173" spans="1:36" x14ac:dyDescent="0.25">
      <c r="A1173" s="277"/>
      <c r="B1173" s="87"/>
      <c r="C1173" s="87"/>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row>
    <row r="1174" spans="1:36" x14ac:dyDescent="0.25">
      <c r="A1174" s="276"/>
      <c r="B1174" s="86"/>
      <c r="C1174" s="86"/>
      <c r="D1174" s="86"/>
      <c r="E1174" s="86"/>
      <c r="F1174" s="86"/>
      <c r="G1174" s="86"/>
      <c r="H1174" s="86"/>
      <c r="I1174" s="86"/>
      <c r="J1174" s="86"/>
      <c r="K1174" s="86"/>
      <c r="L1174" s="86"/>
      <c r="M1174" s="86"/>
      <c r="N1174" s="86"/>
      <c r="O1174" s="86"/>
      <c r="P1174" s="86"/>
      <c r="Q1174" s="86"/>
      <c r="R1174" s="86"/>
      <c r="S1174" s="86"/>
      <c r="T1174" s="86"/>
      <c r="U1174" s="86"/>
      <c r="V1174" s="86"/>
      <c r="W1174" s="86"/>
      <c r="X1174" s="86"/>
      <c r="Y1174" s="86"/>
      <c r="Z1174" s="86"/>
      <c r="AA1174" s="86"/>
      <c r="AB1174" s="86"/>
      <c r="AC1174" s="86"/>
      <c r="AD1174" s="86"/>
      <c r="AE1174" s="86"/>
      <c r="AF1174" s="86"/>
      <c r="AG1174" s="86"/>
      <c r="AH1174" s="86"/>
      <c r="AI1174" s="86"/>
      <c r="AJ1174" s="86"/>
    </row>
    <row r="1175" spans="1:36" x14ac:dyDescent="0.25">
      <c r="A1175" s="277"/>
      <c r="B1175" s="87"/>
      <c r="C1175" s="87"/>
      <c r="D1175" s="87"/>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row>
    <row r="1176" spans="1:36" x14ac:dyDescent="0.25">
      <c r="A1176" s="276"/>
      <c r="B1176" s="86"/>
      <c r="C1176" s="86"/>
      <c r="D1176" s="86"/>
      <c r="E1176" s="86"/>
      <c r="F1176" s="86"/>
      <c r="G1176" s="86"/>
      <c r="H1176" s="86"/>
      <c r="I1176" s="86"/>
      <c r="J1176" s="86"/>
      <c r="K1176" s="86"/>
      <c r="L1176" s="86"/>
      <c r="M1176" s="86"/>
      <c r="N1176" s="86"/>
      <c r="O1176" s="86"/>
      <c r="P1176" s="86"/>
      <c r="Q1176" s="86"/>
      <c r="R1176" s="86"/>
      <c r="S1176" s="86"/>
      <c r="T1176" s="86"/>
      <c r="U1176" s="86"/>
      <c r="V1176" s="86"/>
      <c r="W1176" s="86"/>
      <c r="X1176" s="86"/>
      <c r="Y1176" s="86"/>
      <c r="Z1176" s="86"/>
      <c r="AA1176" s="86"/>
      <c r="AB1176" s="86"/>
      <c r="AC1176" s="86"/>
      <c r="AD1176" s="86"/>
      <c r="AE1176" s="86"/>
      <c r="AF1176" s="86"/>
      <c r="AG1176" s="86"/>
      <c r="AH1176" s="86"/>
      <c r="AI1176" s="86"/>
      <c r="AJ1176" s="86"/>
    </row>
    <row r="1177" spans="1:36" x14ac:dyDescent="0.25">
      <c r="A1177" s="277"/>
      <c r="B1177" s="87"/>
      <c r="C1177" s="87"/>
      <c r="D1177" s="87"/>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row>
    <row r="1178" spans="1:36" x14ac:dyDescent="0.25">
      <c r="A1178" s="276"/>
      <c r="B1178" s="86"/>
      <c r="C1178" s="86"/>
      <c r="D1178" s="86"/>
      <c r="E1178" s="86"/>
      <c r="F1178" s="86"/>
      <c r="G1178" s="86"/>
      <c r="H1178" s="86"/>
      <c r="I1178" s="86"/>
      <c r="J1178" s="86"/>
      <c r="K1178" s="86"/>
      <c r="L1178" s="86"/>
      <c r="M1178" s="86"/>
      <c r="N1178" s="86"/>
      <c r="O1178" s="86"/>
      <c r="P1178" s="86"/>
      <c r="Q1178" s="86"/>
      <c r="R1178" s="86"/>
      <c r="S1178" s="86"/>
      <c r="T1178" s="86"/>
      <c r="U1178" s="86"/>
      <c r="V1178" s="86"/>
      <c r="W1178" s="86"/>
      <c r="X1178" s="86"/>
      <c r="Y1178" s="86"/>
      <c r="Z1178" s="86"/>
      <c r="AA1178" s="86"/>
      <c r="AB1178" s="86"/>
      <c r="AC1178" s="86"/>
      <c r="AD1178" s="86"/>
      <c r="AE1178" s="86"/>
      <c r="AF1178" s="86"/>
      <c r="AG1178" s="86"/>
      <c r="AH1178" s="86"/>
      <c r="AI1178" s="86"/>
      <c r="AJ1178" s="86"/>
    </row>
    <row r="1179" spans="1:36" x14ac:dyDescent="0.25">
      <c r="A1179" s="277"/>
      <c r="B1179" s="87"/>
      <c r="C1179" s="87"/>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row>
    <row r="1180" spans="1:36" x14ac:dyDescent="0.25">
      <c r="A1180" s="276"/>
      <c r="B1180" s="86"/>
      <c r="C1180" s="86"/>
      <c r="D1180" s="86"/>
      <c r="E1180" s="86"/>
      <c r="F1180" s="86"/>
      <c r="G1180" s="86"/>
      <c r="H1180" s="86"/>
      <c r="I1180" s="86"/>
      <c r="J1180" s="86"/>
      <c r="K1180" s="86"/>
      <c r="L1180" s="86"/>
      <c r="M1180" s="86"/>
      <c r="N1180" s="86"/>
      <c r="O1180" s="86"/>
      <c r="P1180" s="86"/>
      <c r="Q1180" s="86"/>
      <c r="R1180" s="86"/>
      <c r="S1180" s="86"/>
      <c r="T1180" s="86"/>
      <c r="U1180" s="86"/>
      <c r="V1180" s="86"/>
      <c r="W1180" s="86"/>
      <c r="X1180" s="86"/>
      <c r="Y1180" s="86"/>
      <c r="Z1180" s="86"/>
      <c r="AA1180" s="86"/>
      <c r="AB1180" s="86"/>
      <c r="AC1180" s="86"/>
      <c r="AD1180" s="86"/>
      <c r="AE1180" s="86"/>
      <c r="AF1180" s="86"/>
      <c r="AG1180" s="86"/>
      <c r="AH1180" s="86"/>
      <c r="AI1180" s="86"/>
      <c r="AJ1180" s="86"/>
    </row>
    <row r="1181" spans="1:36" x14ac:dyDescent="0.25">
      <c r="A1181" s="277"/>
      <c r="B1181" s="87"/>
      <c r="C1181" s="87"/>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row>
    <row r="1182" spans="1:36" x14ac:dyDescent="0.25">
      <c r="A1182" s="276"/>
      <c r="B1182" s="86"/>
      <c r="C1182" s="86"/>
      <c r="D1182" s="86"/>
      <c r="E1182" s="86"/>
      <c r="F1182" s="86"/>
      <c r="G1182" s="86"/>
      <c r="H1182" s="86"/>
      <c r="I1182" s="86"/>
      <c r="J1182" s="86"/>
      <c r="K1182" s="86"/>
      <c r="L1182" s="86"/>
      <c r="M1182" s="86"/>
      <c r="N1182" s="86"/>
      <c r="O1182" s="86"/>
      <c r="P1182" s="86"/>
      <c r="Q1182" s="86"/>
      <c r="R1182" s="86"/>
      <c r="S1182" s="86"/>
      <c r="T1182" s="86"/>
      <c r="U1182" s="86"/>
      <c r="V1182" s="86"/>
      <c r="W1182" s="86"/>
      <c r="X1182" s="86"/>
      <c r="Y1182" s="86"/>
      <c r="Z1182" s="86"/>
      <c r="AA1182" s="86"/>
      <c r="AB1182" s="86"/>
      <c r="AC1182" s="86"/>
      <c r="AD1182" s="86"/>
      <c r="AE1182" s="86"/>
      <c r="AF1182" s="86"/>
      <c r="AG1182" s="86"/>
      <c r="AH1182" s="86"/>
      <c r="AI1182" s="86"/>
      <c r="AJ1182" s="86"/>
    </row>
    <row r="1183" spans="1:36" x14ac:dyDescent="0.25">
      <c r="A1183" s="277"/>
      <c r="B1183" s="87"/>
      <c r="C1183" s="87"/>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row>
    <row r="1184" spans="1:36" x14ac:dyDescent="0.25">
      <c r="A1184" s="276"/>
      <c r="B1184" s="86"/>
      <c r="C1184" s="86"/>
      <c r="D1184" s="86"/>
      <c r="E1184" s="86"/>
      <c r="F1184" s="86"/>
      <c r="G1184" s="86"/>
      <c r="H1184" s="86"/>
      <c r="I1184" s="86"/>
      <c r="J1184" s="86"/>
      <c r="K1184" s="86"/>
      <c r="L1184" s="86"/>
      <c r="M1184" s="86"/>
      <c r="N1184" s="86"/>
      <c r="O1184" s="86"/>
      <c r="P1184" s="86"/>
      <c r="Q1184" s="86"/>
      <c r="R1184" s="86"/>
      <c r="S1184" s="86"/>
      <c r="T1184" s="86"/>
      <c r="U1184" s="86"/>
      <c r="V1184" s="86"/>
      <c r="W1184" s="86"/>
      <c r="X1184" s="86"/>
      <c r="Y1184" s="86"/>
      <c r="Z1184" s="86"/>
      <c r="AA1184" s="86"/>
      <c r="AB1184" s="86"/>
      <c r="AC1184" s="86"/>
      <c r="AD1184" s="86"/>
      <c r="AE1184" s="86"/>
      <c r="AF1184" s="86"/>
      <c r="AG1184" s="86"/>
      <c r="AH1184" s="86"/>
      <c r="AI1184" s="86"/>
      <c r="AJ1184" s="86"/>
    </row>
    <row r="1185" spans="1:36" x14ac:dyDescent="0.25">
      <c r="A1185" s="277"/>
      <c r="B1185" s="87"/>
      <c r="C1185" s="87"/>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row>
    <row r="1186" spans="1:36" x14ac:dyDescent="0.25">
      <c r="A1186" s="276"/>
      <c r="B1186" s="86"/>
      <c r="C1186" s="86"/>
      <c r="D1186" s="86"/>
      <c r="E1186" s="86"/>
      <c r="F1186" s="86"/>
      <c r="G1186" s="86"/>
      <c r="H1186" s="86"/>
      <c r="I1186" s="86"/>
      <c r="J1186" s="86"/>
      <c r="K1186" s="86"/>
      <c r="L1186" s="86"/>
      <c r="M1186" s="86"/>
      <c r="N1186" s="86"/>
      <c r="O1186" s="86"/>
      <c r="P1186" s="86"/>
      <c r="Q1186" s="86"/>
      <c r="R1186" s="86"/>
      <c r="S1186" s="86"/>
      <c r="T1186" s="86"/>
      <c r="U1186" s="86"/>
      <c r="V1186" s="86"/>
      <c r="W1186" s="86"/>
      <c r="X1186" s="86"/>
      <c r="Y1186" s="86"/>
      <c r="Z1186" s="86"/>
      <c r="AA1186" s="86"/>
      <c r="AB1186" s="86"/>
      <c r="AC1186" s="86"/>
      <c r="AD1186" s="86"/>
      <c r="AE1186" s="86"/>
      <c r="AF1186" s="86"/>
      <c r="AG1186" s="86"/>
      <c r="AH1186" s="86"/>
      <c r="AI1186" s="86"/>
      <c r="AJ1186" s="86"/>
    </row>
    <row r="1187" spans="1:36" x14ac:dyDescent="0.25">
      <c r="A1187" s="277"/>
      <c r="B1187" s="87"/>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row>
    <row r="1188" spans="1:36" x14ac:dyDescent="0.25">
      <c r="A1188" s="276"/>
      <c r="B1188" s="86"/>
      <c r="C1188" s="86"/>
      <c r="D1188" s="86"/>
      <c r="E1188" s="86"/>
      <c r="F1188" s="86"/>
      <c r="G1188" s="86"/>
      <c r="H1188" s="86"/>
      <c r="I1188" s="86"/>
      <c r="J1188" s="86"/>
      <c r="K1188" s="86"/>
      <c r="L1188" s="86"/>
      <c r="M1188" s="86"/>
      <c r="N1188" s="86"/>
      <c r="O1188" s="86"/>
      <c r="P1188" s="86"/>
      <c r="Q1188" s="86"/>
      <c r="R1188" s="86"/>
      <c r="S1188" s="86"/>
      <c r="T1188" s="86"/>
      <c r="U1188" s="86"/>
      <c r="V1188" s="86"/>
      <c r="W1188" s="86"/>
      <c r="X1188" s="86"/>
      <c r="Y1188" s="86"/>
      <c r="Z1188" s="86"/>
      <c r="AA1188" s="86"/>
      <c r="AB1188" s="86"/>
      <c r="AC1188" s="86"/>
      <c r="AD1188" s="86"/>
      <c r="AE1188" s="86"/>
      <c r="AF1188" s="86"/>
      <c r="AG1188" s="86"/>
      <c r="AH1188" s="86"/>
      <c r="AI1188" s="86"/>
      <c r="AJ1188" s="86"/>
    </row>
    <row r="1189" spans="1:36" x14ac:dyDescent="0.25">
      <c r="A1189" s="277"/>
      <c r="B1189" s="87"/>
      <c r="C1189" s="87"/>
      <c r="D1189" s="87"/>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row>
    <row r="1190" spans="1:36" x14ac:dyDescent="0.25">
      <c r="A1190" s="276"/>
      <c r="B1190" s="86"/>
      <c r="C1190" s="86"/>
      <c r="D1190" s="86"/>
      <c r="E1190" s="86"/>
      <c r="F1190" s="86"/>
      <c r="G1190" s="86"/>
      <c r="H1190" s="86"/>
      <c r="I1190" s="86"/>
      <c r="J1190" s="86"/>
      <c r="K1190" s="86"/>
      <c r="L1190" s="86"/>
      <c r="M1190" s="86"/>
      <c r="N1190" s="86"/>
      <c r="O1190" s="86"/>
      <c r="P1190" s="86"/>
      <c r="Q1190" s="86"/>
      <c r="R1190" s="86"/>
      <c r="S1190" s="86"/>
      <c r="T1190" s="86"/>
      <c r="U1190" s="86"/>
      <c r="V1190" s="86"/>
      <c r="W1190" s="86"/>
      <c r="X1190" s="86"/>
      <c r="Y1190" s="86"/>
      <c r="Z1190" s="86"/>
      <c r="AA1190" s="86"/>
      <c r="AB1190" s="86"/>
      <c r="AC1190" s="86"/>
      <c r="AD1190" s="86"/>
      <c r="AE1190" s="86"/>
      <c r="AF1190" s="86"/>
      <c r="AG1190" s="86"/>
      <c r="AH1190" s="86"/>
      <c r="AI1190" s="86"/>
      <c r="AJ1190" s="86"/>
    </row>
    <row r="1191" spans="1:36" x14ac:dyDescent="0.25">
      <c r="A1191" s="277"/>
      <c r="B1191" s="87"/>
      <c r="C1191" s="87"/>
      <c r="D1191" s="87"/>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row>
    <row r="1192" spans="1:36" x14ac:dyDescent="0.25">
      <c r="A1192" s="276"/>
      <c r="B1192" s="86"/>
      <c r="C1192" s="86"/>
      <c r="D1192" s="86"/>
      <c r="E1192" s="86"/>
      <c r="F1192" s="86"/>
      <c r="G1192" s="86"/>
      <c r="H1192" s="86"/>
      <c r="I1192" s="86"/>
      <c r="J1192" s="86"/>
      <c r="K1192" s="86"/>
      <c r="L1192" s="86"/>
      <c r="M1192" s="86"/>
      <c r="N1192" s="86"/>
      <c r="O1192" s="86"/>
      <c r="P1192" s="86"/>
      <c r="Q1192" s="86"/>
      <c r="R1192" s="86"/>
      <c r="S1192" s="86"/>
      <c r="T1192" s="86"/>
      <c r="U1192" s="86"/>
      <c r="V1192" s="86"/>
      <c r="W1192" s="86"/>
      <c r="X1192" s="86"/>
      <c r="Y1192" s="86"/>
      <c r="Z1192" s="86"/>
      <c r="AA1192" s="86"/>
      <c r="AB1192" s="86"/>
      <c r="AC1192" s="86"/>
      <c r="AD1192" s="86"/>
      <c r="AE1192" s="86"/>
      <c r="AF1192" s="86"/>
      <c r="AG1192" s="86"/>
      <c r="AH1192" s="86"/>
      <c r="AI1192" s="86"/>
      <c r="AJ1192" s="86"/>
    </row>
    <row r="1193" spans="1:36" x14ac:dyDescent="0.25">
      <c r="A1193" s="277"/>
      <c r="B1193" s="87"/>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row>
    <row r="1194" spans="1:36" x14ac:dyDescent="0.25">
      <c r="A1194" s="276"/>
      <c r="B1194" s="86"/>
      <c r="C1194" s="86"/>
      <c r="D1194" s="86"/>
      <c r="E1194" s="86"/>
      <c r="F1194" s="86"/>
      <c r="G1194" s="86"/>
      <c r="H1194" s="86"/>
      <c r="I1194" s="86"/>
      <c r="J1194" s="86"/>
      <c r="K1194" s="86"/>
      <c r="L1194" s="86"/>
      <c r="M1194" s="86"/>
      <c r="N1194" s="86"/>
      <c r="O1194" s="86"/>
      <c r="P1194" s="86"/>
      <c r="Q1194" s="86"/>
      <c r="R1194" s="86"/>
      <c r="S1194" s="86"/>
      <c r="T1194" s="86"/>
      <c r="U1194" s="86"/>
      <c r="V1194" s="86"/>
      <c r="W1194" s="86"/>
      <c r="X1194" s="86"/>
      <c r="Y1194" s="86"/>
      <c r="Z1194" s="86"/>
      <c r="AA1194" s="86"/>
      <c r="AB1194" s="86"/>
      <c r="AC1194" s="86"/>
      <c r="AD1194" s="86"/>
      <c r="AE1194" s="86"/>
      <c r="AF1194" s="86"/>
      <c r="AG1194" s="86"/>
      <c r="AH1194" s="86"/>
      <c r="AI1194" s="86"/>
      <c r="AJ1194" s="86"/>
    </row>
    <row r="1195" spans="1:36" x14ac:dyDescent="0.25">
      <c r="A1195" s="277"/>
      <c r="B1195" s="87"/>
      <c r="C1195" s="87"/>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row>
    <row r="1196" spans="1:36" x14ac:dyDescent="0.25">
      <c r="A1196" s="276"/>
      <c r="B1196" s="86"/>
      <c r="C1196" s="86"/>
      <c r="D1196" s="86"/>
      <c r="E1196" s="86"/>
      <c r="F1196" s="86"/>
      <c r="G1196" s="86"/>
      <c r="H1196" s="86"/>
      <c r="I1196" s="86"/>
      <c r="J1196" s="86"/>
      <c r="K1196" s="86"/>
      <c r="L1196" s="86"/>
      <c r="M1196" s="86"/>
      <c r="N1196" s="86"/>
      <c r="O1196" s="86"/>
      <c r="P1196" s="86"/>
      <c r="Q1196" s="86"/>
      <c r="R1196" s="86"/>
      <c r="S1196" s="86"/>
      <c r="T1196" s="86"/>
      <c r="U1196" s="86"/>
      <c r="V1196" s="86"/>
      <c r="W1196" s="86"/>
      <c r="X1196" s="86"/>
      <c r="Y1196" s="86"/>
      <c r="Z1196" s="86"/>
      <c r="AA1196" s="86"/>
      <c r="AB1196" s="86"/>
      <c r="AC1196" s="86"/>
      <c r="AD1196" s="86"/>
      <c r="AE1196" s="86"/>
      <c r="AF1196" s="86"/>
      <c r="AG1196" s="86"/>
      <c r="AH1196" s="86"/>
      <c r="AI1196" s="86"/>
      <c r="AJ1196" s="86"/>
    </row>
    <row r="1197" spans="1:36" x14ac:dyDescent="0.25">
      <c r="A1197" s="277"/>
      <c r="B1197" s="87"/>
      <c r="C1197" s="87"/>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row>
    <row r="1198" spans="1:36" x14ac:dyDescent="0.25">
      <c r="A1198" s="276"/>
      <c r="B1198" s="86"/>
      <c r="C1198" s="86"/>
      <c r="D1198" s="86"/>
      <c r="E1198" s="86"/>
      <c r="F1198" s="86"/>
      <c r="G1198" s="86"/>
      <c r="H1198" s="86"/>
      <c r="I1198" s="86"/>
      <c r="J1198" s="86"/>
      <c r="K1198" s="86"/>
      <c r="L1198" s="86"/>
      <c r="M1198" s="86"/>
      <c r="N1198" s="86"/>
      <c r="O1198" s="86"/>
      <c r="P1198" s="86"/>
      <c r="Q1198" s="86"/>
      <c r="R1198" s="86"/>
      <c r="S1198" s="86"/>
      <c r="T1198" s="86"/>
      <c r="U1198" s="86"/>
      <c r="V1198" s="86"/>
      <c r="W1198" s="86"/>
      <c r="X1198" s="86"/>
      <c r="Y1198" s="86"/>
      <c r="Z1198" s="86"/>
      <c r="AA1198" s="86"/>
      <c r="AB1198" s="86"/>
      <c r="AC1198" s="86"/>
      <c r="AD1198" s="86"/>
      <c r="AE1198" s="86"/>
      <c r="AF1198" s="86"/>
      <c r="AG1198" s="86"/>
      <c r="AH1198" s="86"/>
      <c r="AI1198" s="86"/>
      <c r="AJ1198" s="86"/>
    </row>
    <row r="1199" spans="1:36" x14ac:dyDescent="0.25">
      <c r="A1199" s="277"/>
      <c r="B1199" s="87"/>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row>
    <row r="1200" spans="1:36" x14ac:dyDescent="0.25">
      <c r="A1200" s="276"/>
      <c r="B1200" s="86"/>
      <c r="C1200" s="86"/>
      <c r="D1200" s="86"/>
      <c r="E1200" s="86"/>
      <c r="F1200" s="86"/>
      <c r="G1200" s="86"/>
      <c r="H1200" s="86"/>
      <c r="I1200" s="86"/>
      <c r="J1200" s="86"/>
      <c r="K1200" s="86"/>
      <c r="L1200" s="86"/>
      <c r="M1200" s="86"/>
      <c r="N1200" s="86"/>
      <c r="O1200" s="86"/>
      <c r="P1200" s="86"/>
      <c r="Q1200" s="86"/>
      <c r="R1200" s="86"/>
      <c r="S1200" s="86"/>
      <c r="T1200" s="86"/>
      <c r="U1200" s="86"/>
      <c r="V1200" s="86"/>
      <c r="W1200" s="86"/>
      <c r="X1200" s="86"/>
      <c r="Y1200" s="86"/>
      <c r="Z1200" s="86"/>
      <c r="AA1200" s="86"/>
      <c r="AB1200" s="86"/>
      <c r="AC1200" s="86"/>
      <c r="AD1200" s="86"/>
      <c r="AE1200" s="86"/>
      <c r="AF1200" s="86"/>
      <c r="AG1200" s="86"/>
      <c r="AH1200" s="86"/>
      <c r="AI1200" s="86"/>
      <c r="AJ1200" s="86"/>
    </row>
    <row r="1201" spans="1:36" x14ac:dyDescent="0.25">
      <c r="A1201" s="277"/>
      <c r="B1201" s="87"/>
      <c r="C1201" s="87"/>
      <c r="D1201" s="87"/>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row>
    <row r="1202" spans="1:36" x14ac:dyDescent="0.25">
      <c r="A1202" s="276"/>
      <c r="B1202" s="86"/>
      <c r="C1202" s="86"/>
      <c r="D1202" s="86"/>
      <c r="E1202" s="86"/>
      <c r="F1202" s="86"/>
      <c r="G1202" s="86"/>
      <c r="H1202" s="86"/>
      <c r="I1202" s="86"/>
      <c r="J1202" s="86"/>
      <c r="K1202" s="86"/>
      <c r="L1202" s="86"/>
      <c r="M1202" s="86"/>
      <c r="N1202" s="86"/>
      <c r="O1202" s="86"/>
      <c r="P1202" s="86"/>
      <c r="Q1202" s="86"/>
      <c r="R1202" s="86"/>
      <c r="S1202" s="86"/>
      <c r="T1202" s="86"/>
      <c r="U1202" s="86"/>
      <c r="V1202" s="86"/>
      <c r="W1202" s="86"/>
      <c r="X1202" s="86"/>
      <c r="Y1202" s="86"/>
      <c r="Z1202" s="86"/>
      <c r="AA1202" s="86"/>
      <c r="AB1202" s="86"/>
      <c r="AC1202" s="86"/>
      <c r="AD1202" s="86"/>
      <c r="AE1202" s="86"/>
      <c r="AF1202" s="86"/>
      <c r="AG1202" s="86"/>
      <c r="AH1202" s="86"/>
      <c r="AI1202" s="86"/>
      <c r="AJ1202" s="86"/>
    </row>
    <row r="1203" spans="1:36" x14ac:dyDescent="0.25">
      <c r="A1203" s="277"/>
      <c r="B1203" s="87"/>
      <c r="C1203" s="87"/>
      <c r="D1203" s="87"/>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row>
    <row r="1204" spans="1:36" x14ac:dyDescent="0.25">
      <c r="A1204" s="276"/>
      <c r="B1204" s="86"/>
      <c r="C1204" s="86"/>
      <c r="D1204" s="86"/>
      <c r="E1204" s="86"/>
      <c r="F1204" s="86"/>
      <c r="G1204" s="86"/>
      <c r="H1204" s="86"/>
      <c r="I1204" s="86"/>
      <c r="J1204" s="86"/>
      <c r="K1204" s="86"/>
      <c r="L1204" s="86"/>
      <c r="M1204" s="86"/>
      <c r="N1204" s="86"/>
      <c r="O1204" s="86"/>
      <c r="P1204" s="86"/>
      <c r="Q1204" s="86"/>
      <c r="R1204" s="86"/>
      <c r="S1204" s="86"/>
      <c r="T1204" s="86"/>
      <c r="U1204" s="86"/>
      <c r="V1204" s="86"/>
      <c r="W1204" s="86"/>
      <c r="X1204" s="86"/>
      <c r="Y1204" s="86"/>
      <c r="Z1204" s="86"/>
      <c r="AA1204" s="86"/>
      <c r="AB1204" s="86"/>
      <c r="AC1204" s="86"/>
      <c r="AD1204" s="86"/>
      <c r="AE1204" s="86"/>
      <c r="AF1204" s="86"/>
      <c r="AG1204" s="86"/>
      <c r="AH1204" s="86"/>
      <c r="AI1204" s="86"/>
      <c r="AJ1204" s="86"/>
    </row>
    <row r="1205" spans="1:36" x14ac:dyDescent="0.25">
      <c r="A1205" s="277"/>
      <c r="B1205" s="87"/>
      <c r="C1205" s="87"/>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row>
    <row r="1206" spans="1:36" x14ac:dyDescent="0.25">
      <c r="A1206" s="276"/>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row>
    <row r="1207" spans="1:36" x14ac:dyDescent="0.25">
      <c r="A1207" s="277"/>
      <c r="B1207" s="87"/>
      <c r="C1207" s="87"/>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row>
    <row r="1208" spans="1:36" x14ac:dyDescent="0.25">
      <c r="A1208" s="276"/>
      <c r="B1208" s="86"/>
      <c r="C1208" s="86"/>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6"/>
      <c r="AA1208" s="86"/>
      <c r="AB1208" s="86"/>
      <c r="AC1208" s="86"/>
      <c r="AD1208" s="86"/>
      <c r="AE1208" s="86"/>
      <c r="AF1208" s="86"/>
      <c r="AG1208" s="86"/>
      <c r="AH1208" s="86"/>
      <c r="AI1208" s="86"/>
      <c r="AJ1208" s="86"/>
    </row>
    <row r="1209" spans="1:36" x14ac:dyDescent="0.25">
      <c r="A1209" s="277"/>
      <c r="B1209" s="87"/>
      <c r="C1209" s="87"/>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row>
    <row r="1210" spans="1:36" x14ac:dyDescent="0.25">
      <c r="A1210" s="276"/>
      <c r="B1210" s="86"/>
      <c r="C1210" s="86"/>
      <c r="D1210" s="86"/>
      <c r="E1210" s="86"/>
      <c r="F1210" s="86"/>
      <c r="G1210" s="86"/>
      <c r="H1210" s="86"/>
      <c r="I1210" s="86"/>
      <c r="J1210" s="86"/>
      <c r="K1210" s="86"/>
      <c r="L1210" s="86"/>
      <c r="M1210" s="86"/>
      <c r="N1210" s="86"/>
      <c r="O1210" s="86"/>
      <c r="P1210" s="86"/>
      <c r="Q1210" s="86"/>
      <c r="R1210" s="86"/>
      <c r="S1210" s="86"/>
      <c r="T1210" s="86"/>
      <c r="U1210" s="86"/>
      <c r="V1210" s="86"/>
      <c r="W1210" s="86"/>
      <c r="X1210" s="86"/>
      <c r="Y1210" s="86"/>
      <c r="Z1210" s="86"/>
      <c r="AA1210" s="86"/>
      <c r="AB1210" s="86"/>
      <c r="AC1210" s="86"/>
      <c r="AD1210" s="86"/>
      <c r="AE1210" s="86"/>
      <c r="AF1210" s="86"/>
      <c r="AG1210" s="86"/>
      <c r="AH1210" s="86"/>
      <c r="AI1210" s="86"/>
      <c r="AJ1210" s="86"/>
    </row>
    <row r="1211" spans="1:36" x14ac:dyDescent="0.25">
      <c r="A1211" s="277"/>
      <c r="B1211" s="87"/>
      <c r="C1211" s="87"/>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row>
    <row r="1212" spans="1:36" x14ac:dyDescent="0.25">
      <c r="A1212" s="276"/>
      <c r="B1212" s="86"/>
      <c r="C1212" s="86"/>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6"/>
      <c r="AA1212" s="86"/>
      <c r="AB1212" s="86"/>
      <c r="AC1212" s="86"/>
      <c r="AD1212" s="86"/>
      <c r="AE1212" s="86"/>
      <c r="AF1212" s="86"/>
      <c r="AG1212" s="86"/>
      <c r="AH1212" s="86"/>
      <c r="AI1212" s="86"/>
      <c r="AJ1212" s="86"/>
    </row>
    <row r="1213" spans="1:36" x14ac:dyDescent="0.25">
      <c r="A1213" s="277"/>
      <c r="B1213" s="87"/>
      <c r="C1213" s="87"/>
      <c r="D1213" s="87"/>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row>
    <row r="1214" spans="1:36" x14ac:dyDescent="0.25">
      <c r="A1214" s="276"/>
      <c r="B1214" s="86"/>
      <c r="C1214" s="86"/>
      <c r="D1214" s="86"/>
      <c r="E1214" s="86"/>
      <c r="F1214" s="86"/>
      <c r="G1214" s="86"/>
      <c r="H1214" s="86"/>
      <c r="I1214" s="86"/>
      <c r="J1214" s="86"/>
      <c r="K1214" s="86"/>
      <c r="L1214" s="86"/>
      <c r="M1214" s="86"/>
      <c r="N1214" s="86"/>
      <c r="O1214" s="86"/>
      <c r="P1214" s="86"/>
      <c r="Q1214" s="86"/>
      <c r="R1214" s="86"/>
      <c r="S1214" s="86"/>
      <c r="T1214" s="86"/>
      <c r="U1214" s="86"/>
      <c r="V1214" s="86"/>
      <c r="W1214" s="86"/>
      <c r="X1214" s="86"/>
      <c r="Y1214" s="86"/>
      <c r="Z1214" s="86"/>
      <c r="AA1214" s="86"/>
      <c r="AB1214" s="86"/>
      <c r="AC1214" s="86"/>
      <c r="AD1214" s="86"/>
      <c r="AE1214" s="86"/>
      <c r="AF1214" s="86"/>
      <c r="AG1214" s="86"/>
      <c r="AH1214" s="86"/>
      <c r="AI1214" s="86"/>
      <c r="AJ1214" s="86"/>
    </row>
    <row r="1215" spans="1:36" x14ac:dyDescent="0.25">
      <c r="A1215" s="277"/>
      <c r="B1215" s="87"/>
      <c r="C1215" s="87"/>
      <c r="D1215" s="87"/>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row>
    <row r="1216" spans="1:36" x14ac:dyDescent="0.25">
      <c r="A1216" s="276"/>
      <c r="B1216" s="86"/>
      <c r="C1216" s="86"/>
      <c r="D1216" s="86"/>
      <c r="E1216" s="86"/>
      <c r="F1216" s="86"/>
      <c r="G1216" s="86"/>
      <c r="H1216" s="86"/>
      <c r="I1216" s="86"/>
      <c r="J1216" s="86"/>
      <c r="K1216" s="86"/>
      <c r="L1216" s="86"/>
      <c r="M1216" s="86"/>
      <c r="N1216" s="86"/>
      <c r="O1216" s="86"/>
      <c r="P1216" s="86"/>
      <c r="Q1216" s="86"/>
      <c r="R1216" s="86"/>
      <c r="S1216" s="86"/>
      <c r="T1216" s="86"/>
      <c r="U1216" s="86"/>
      <c r="V1216" s="86"/>
      <c r="W1216" s="86"/>
      <c r="X1216" s="86"/>
      <c r="Y1216" s="86"/>
      <c r="Z1216" s="86"/>
      <c r="AA1216" s="86"/>
      <c r="AB1216" s="86"/>
      <c r="AC1216" s="86"/>
      <c r="AD1216" s="86"/>
      <c r="AE1216" s="86"/>
      <c r="AF1216" s="86"/>
      <c r="AG1216" s="86"/>
      <c r="AH1216" s="86"/>
      <c r="AI1216" s="86"/>
      <c r="AJ1216" s="86"/>
    </row>
    <row r="1217" spans="1:36" x14ac:dyDescent="0.25">
      <c r="A1217" s="277"/>
      <c r="B1217" s="87"/>
      <c r="C1217" s="87"/>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row>
    <row r="1218" spans="1:36" x14ac:dyDescent="0.25">
      <c r="A1218" s="276"/>
      <c r="B1218" s="86"/>
      <c r="C1218" s="86"/>
      <c r="D1218" s="86"/>
      <c r="E1218" s="86"/>
      <c r="F1218" s="86"/>
      <c r="G1218" s="86"/>
      <c r="H1218" s="86"/>
      <c r="I1218" s="86"/>
      <c r="J1218" s="86"/>
      <c r="K1218" s="86"/>
      <c r="L1218" s="86"/>
      <c r="M1218" s="86"/>
      <c r="N1218" s="86"/>
      <c r="O1218" s="86"/>
      <c r="P1218" s="86"/>
      <c r="Q1218" s="86"/>
      <c r="R1218" s="86"/>
      <c r="S1218" s="86"/>
      <c r="T1218" s="86"/>
      <c r="U1218" s="86"/>
      <c r="V1218" s="86"/>
      <c r="W1218" s="86"/>
      <c r="X1218" s="86"/>
      <c r="Y1218" s="86"/>
      <c r="Z1218" s="86"/>
      <c r="AA1218" s="86"/>
      <c r="AB1218" s="86"/>
      <c r="AC1218" s="86"/>
      <c r="AD1218" s="86"/>
      <c r="AE1218" s="86"/>
      <c r="AF1218" s="86"/>
      <c r="AG1218" s="86"/>
      <c r="AH1218" s="86"/>
      <c r="AI1218" s="86"/>
      <c r="AJ1218" s="86"/>
    </row>
    <row r="1219" spans="1:36" x14ac:dyDescent="0.25">
      <c r="A1219" s="277"/>
      <c r="B1219" s="87"/>
      <c r="C1219" s="87"/>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row>
    <row r="1220" spans="1:36" x14ac:dyDescent="0.25">
      <c r="A1220" s="276"/>
      <c r="B1220" s="86"/>
      <c r="C1220" s="86"/>
      <c r="D1220" s="86"/>
      <c r="E1220" s="86"/>
      <c r="F1220" s="86"/>
      <c r="G1220" s="86"/>
      <c r="H1220" s="86"/>
      <c r="I1220" s="86"/>
      <c r="J1220" s="86"/>
      <c r="K1220" s="86"/>
      <c r="L1220" s="86"/>
      <c r="M1220" s="86"/>
      <c r="N1220" s="86"/>
      <c r="O1220" s="86"/>
      <c r="P1220" s="86"/>
      <c r="Q1220" s="86"/>
      <c r="R1220" s="86"/>
      <c r="S1220" s="86"/>
      <c r="T1220" s="86"/>
      <c r="U1220" s="86"/>
      <c r="V1220" s="86"/>
      <c r="W1220" s="86"/>
      <c r="X1220" s="86"/>
      <c r="Y1220" s="86"/>
      <c r="Z1220" s="86"/>
      <c r="AA1220" s="86"/>
      <c r="AB1220" s="86"/>
      <c r="AC1220" s="86"/>
      <c r="AD1220" s="86"/>
      <c r="AE1220" s="86"/>
      <c r="AF1220" s="86"/>
      <c r="AG1220" s="86"/>
      <c r="AH1220" s="86"/>
      <c r="AI1220" s="86"/>
      <c r="AJ1220" s="86"/>
    </row>
    <row r="1221" spans="1:36" x14ac:dyDescent="0.25">
      <c r="A1221" s="277"/>
      <c r="B1221" s="87"/>
      <c r="C1221" s="87"/>
      <c r="D1221" s="87"/>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row>
    <row r="1222" spans="1:36" x14ac:dyDescent="0.25">
      <c r="A1222" s="276"/>
      <c r="B1222" s="86"/>
      <c r="C1222" s="86"/>
      <c r="D1222" s="86"/>
      <c r="E1222" s="86"/>
      <c r="F1222" s="86"/>
      <c r="G1222" s="86"/>
      <c r="H1222" s="86"/>
      <c r="I1222" s="86"/>
      <c r="J1222" s="86"/>
      <c r="K1222" s="86"/>
      <c r="L1222" s="86"/>
      <c r="M1222" s="86"/>
      <c r="N1222" s="86"/>
      <c r="O1222" s="86"/>
      <c r="P1222" s="86"/>
      <c r="Q1222" s="86"/>
      <c r="R1222" s="86"/>
      <c r="S1222" s="86"/>
      <c r="T1222" s="86"/>
      <c r="U1222" s="86"/>
      <c r="V1222" s="86"/>
      <c r="W1222" s="86"/>
      <c r="X1222" s="86"/>
      <c r="Y1222" s="86"/>
      <c r="Z1222" s="86"/>
      <c r="AA1222" s="86"/>
      <c r="AB1222" s="86"/>
      <c r="AC1222" s="86"/>
      <c r="AD1222" s="86"/>
      <c r="AE1222" s="86"/>
      <c r="AF1222" s="86"/>
      <c r="AG1222" s="86"/>
      <c r="AH1222" s="86"/>
      <c r="AI1222" s="86"/>
      <c r="AJ1222" s="86"/>
    </row>
    <row r="1223" spans="1:36" x14ac:dyDescent="0.25">
      <c r="A1223" s="277"/>
      <c r="B1223" s="87"/>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row>
    <row r="1224" spans="1:36" x14ac:dyDescent="0.25">
      <c r="A1224" s="276"/>
      <c r="B1224" s="86"/>
      <c r="C1224" s="86"/>
      <c r="D1224" s="86"/>
      <c r="E1224" s="86"/>
      <c r="F1224" s="86"/>
      <c r="G1224" s="86"/>
      <c r="H1224" s="86"/>
      <c r="I1224" s="86"/>
      <c r="J1224" s="86"/>
      <c r="K1224" s="86"/>
      <c r="L1224" s="86"/>
      <c r="M1224" s="86"/>
      <c r="N1224" s="86"/>
      <c r="O1224" s="86"/>
      <c r="P1224" s="86"/>
      <c r="Q1224" s="86"/>
      <c r="R1224" s="86"/>
      <c r="S1224" s="86"/>
      <c r="T1224" s="86"/>
      <c r="U1224" s="86"/>
      <c r="V1224" s="86"/>
      <c r="W1224" s="86"/>
      <c r="X1224" s="86"/>
      <c r="Y1224" s="86"/>
      <c r="Z1224" s="86"/>
      <c r="AA1224" s="86"/>
      <c r="AB1224" s="86"/>
      <c r="AC1224" s="86"/>
      <c r="AD1224" s="86"/>
      <c r="AE1224" s="86"/>
      <c r="AF1224" s="86"/>
      <c r="AG1224" s="86"/>
      <c r="AH1224" s="86"/>
      <c r="AI1224" s="86"/>
      <c r="AJ1224" s="86"/>
    </row>
    <row r="1225" spans="1:36" x14ac:dyDescent="0.25">
      <c r="A1225" s="277"/>
      <c r="B1225" s="87"/>
      <c r="C1225" s="87"/>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row>
    <row r="1226" spans="1:36" x14ac:dyDescent="0.25">
      <c r="A1226" s="276"/>
      <c r="B1226" s="86"/>
      <c r="C1226" s="86"/>
      <c r="D1226" s="86"/>
      <c r="E1226" s="86"/>
      <c r="F1226" s="86"/>
      <c r="G1226" s="86"/>
      <c r="H1226" s="86"/>
      <c r="I1226" s="86"/>
      <c r="J1226" s="86"/>
      <c r="K1226" s="86"/>
      <c r="L1226" s="86"/>
      <c r="M1226" s="86"/>
      <c r="N1226" s="86"/>
      <c r="O1226" s="86"/>
      <c r="P1226" s="86"/>
      <c r="Q1226" s="86"/>
      <c r="R1226" s="86"/>
      <c r="S1226" s="86"/>
      <c r="T1226" s="86"/>
      <c r="U1226" s="86"/>
      <c r="V1226" s="86"/>
      <c r="W1226" s="86"/>
      <c r="X1226" s="86"/>
      <c r="Y1226" s="86"/>
      <c r="Z1226" s="86"/>
      <c r="AA1226" s="86"/>
      <c r="AB1226" s="86"/>
      <c r="AC1226" s="86"/>
      <c r="AD1226" s="86"/>
      <c r="AE1226" s="86"/>
      <c r="AF1226" s="86"/>
      <c r="AG1226" s="86"/>
      <c r="AH1226" s="86"/>
      <c r="AI1226" s="86"/>
      <c r="AJ1226" s="86"/>
    </row>
    <row r="1227" spans="1:36" x14ac:dyDescent="0.25">
      <c r="A1227" s="277"/>
      <c r="B1227" s="87"/>
      <c r="C1227" s="87"/>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row>
    <row r="1228" spans="1:36" x14ac:dyDescent="0.25">
      <c r="A1228" s="276"/>
      <c r="B1228" s="86"/>
      <c r="C1228" s="86"/>
      <c r="D1228" s="86"/>
      <c r="E1228" s="86"/>
      <c r="F1228" s="86"/>
      <c r="G1228" s="86"/>
      <c r="H1228" s="86"/>
      <c r="I1228" s="86"/>
      <c r="J1228" s="86"/>
      <c r="K1228" s="86"/>
      <c r="L1228" s="86"/>
      <c r="M1228" s="86"/>
      <c r="N1228" s="86"/>
      <c r="O1228" s="86"/>
      <c r="P1228" s="86"/>
      <c r="Q1228" s="86"/>
      <c r="R1228" s="86"/>
      <c r="S1228" s="86"/>
      <c r="T1228" s="86"/>
      <c r="U1228" s="86"/>
      <c r="V1228" s="86"/>
      <c r="W1228" s="86"/>
      <c r="X1228" s="86"/>
      <c r="Y1228" s="86"/>
      <c r="Z1228" s="86"/>
      <c r="AA1228" s="86"/>
      <c r="AB1228" s="86"/>
      <c r="AC1228" s="86"/>
      <c r="AD1228" s="86"/>
      <c r="AE1228" s="86"/>
      <c r="AF1228" s="86"/>
      <c r="AG1228" s="86"/>
      <c r="AH1228" s="86"/>
      <c r="AI1228" s="86"/>
      <c r="AJ1228" s="86"/>
    </row>
    <row r="1229" spans="1:36" x14ac:dyDescent="0.25">
      <c r="A1229" s="277"/>
      <c r="B1229" s="87"/>
      <c r="C1229" s="87"/>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row>
    <row r="1230" spans="1:36" x14ac:dyDescent="0.25">
      <c r="A1230" s="276"/>
      <c r="B1230" s="86"/>
      <c r="C1230" s="86"/>
      <c r="D1230" s="86"/>
      <c r="E1230" s="86"/>
      <c r="F1230" s="86"/>
      <c r="G1230" s="86"/>
      <c r="H1230" s="86"/>
      <c r="I1230" s="86"/>
      <c r="J1230" s="86"/>
      <c r="K1230" s="86"/>
      <c r="L1230" s="86"/>
      <c r="M1230" s="86"/>
      <c r="N1230" s="86"/>
      <c r="O1230" s="86"/>
      <c r="P1230" s="86"/>
      <c r="Q1230" s="86"/>
      <c r="R1230" s="86"/>
      <c r="S1230" s="86"/>
      <c r="T1230" s="86"/>
      <c r="U1230" s="86"/>
      <c r="V1230" s="86"/>
      <c r="W1230" s="86"/>
      <c r="X1230" s="86"/>
      <c r="Y1230" s="86"/>
      <c r="Z1230" s="86"/>
      <c r="AA1230" s="86"/>
      <c r="AB1230" s="86"/>
      <c r="AC1230" s="86"/>
      <c r="AD1230" s="86"/>
      <c r="AE1230" s="86"/>
      <c r="AF1230" s="86"/>
      <c r="AG1230" s="86"/>
      <c r="AH1230" s="86"/>
      <c r="AI1230" s="86"/>
      <c r="AJ1230" s="86"/>
    </row>
    <row r="1231" spans="1:36" x14ac:dyDescent="0.25">
      <c r="A1231" s="277"/>
      <c r="B1231" s="87"/>
      <c r="C1231" s="87"/>
      <c r="D1231" s="87"/>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row>
    <row r="1232" spans="1:36" x14ac:dyDescent="0.25">
      <c r="A1232" s="276"/>
      <c r="B1232" s="86"/>
      <c r="C1232" s="86"/>
      <c r="D1232" s="86"/>
      <c r="E1232" s="86"/>
      <c r="F1232" s="86"/>
      <c r="G1232" s="86"/>
      <c r="H1232" s="86"/>
      <c r="I1232" s="86"/>
      <c r="J1232" s="86"/>
      <c r="K1232" s="86"/>
      <c r="L1232" s="86"/>
      <c r="M1232" s="86"/>
      <c r="N1232" s="86"/>
      <c r="O1232" s="86"/>
      <c r="P1232" s="86"/>
      <c r="Q1232" s="86"/>
      <c r="R1232" s="86"/>
      <c r="S1232" s="86"/>
      <c r="T1232" s="86"/>
      <c r="U1232" s="86"/>
      <c r="V1232" s="86"/>
      <c r="W1232" s="86"/>
      <c r="X1232" s="86"/>
      <c r="Y1232" s="86"/>
      <c r="Z1232" s="86"/>
      <c r="AA1232" s="86"/>
      <c r="AB1232" s="86"/>
      <c r="AC1232" s="86"/>
      <c r="AD1232" s="86"/>
      <c r="AE1232" s="86"/>
      <c r="AF1232" s="86"/>
      <c r="AG1232" s="86"/>
      <c r="AH1232" s="86"/>
      <c r="AI1232" s="86"/>
      <c r="AJ1232" s="86"/>
    </row>
    <row r="1233" spans="1:36" x14ac:dyDescent="0.25">
      <c r="A1233" s="277"/>
      <c r="B1233" s="87"/>
      <c r="C1233" s="87"/>
      <c r="D1233" s="87"/>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row>
    <row r="1234" spans="1:36" x14ac:dyDescent="0.25">
      <c r="A1234" s="276"/>
      <c r="B1234" s="86"/>
      <c r="C1234" s="86"/>
      <c r="D1234" s="86"/>
      <c r="E1234" s="86"/>
      <c r="F1234" s="86"/>
      <c r="G1234" s="86"/>
      <c r="H1234" s="86"/>
      <c r="I1234" s="86"/>
      <c r="J1234" s="86"/>
      <c r="K1234" s="86"/>
      <c r="L1234" s="86"/>
      <c r="M1234" s="86"/>
      <c r="N1234" s="86"/>
      <c r="O1234" s="86"/>
      <c r="P1234" s="86"/>
      <c r="Q1234" s="86"/>
      <c r="R1234" s="86"/>
      <c r="S1234" s="86"/>
      <c r="T1234" s="86"/>
      <c r="U1234" s="86"/>
      <c r="V1234" s="86"/>
      <c r="W1234" s="86"/>
      <c r="X1234" s="86"/>
      <c r="Y1234" s="86"/>
      <c r="Z1234" s="86"/>
      <c r="AA1234" s="86"/>
      <c r="AB1234" s="86"/>
      <c r="AC1234" s="86"/>
      <c r="AD1234" s="86"/>
      <c r="AE1234" s="86"/>
      <c r="AF1234" s="86"/>
      <c r="AG1234" s="86"/>
      <c r="AH1234" s="86"/>
      <c r="AI1234" s="86"/>
      <c r="AJ1234" s="86"/>
    </row>
    <row r="1235" spans="1:36" x14ac:dyDescent="0.25">
      <c r="A1235" s="277"/>
      <c r="B1235" s="87"/>
      <c r="C1235" s="87"/>
      <c r="D1235" s="87"/>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row>
    <row r="1236" spans="1:36" x14ac:dyDescent="0.25">
      <c r="A1236" s="276"/>
      <c r="B1236" s="86"/>
      <c r="C1236" s="86"/>
      <c r="D1236" s="86"/>
      <c r="E1236" s="86"/>
      <c r="F1236" s="86"/>
      <c r="G1236" s="86"/>
      <c r="H1236" s="86"/>
      <c r="I1236" s="86"/>
      <c r="J1236" s="86"/>
      <c r="K1236" s="86"/>
      <c r="L1236" s="86"/>
      <c r="M1236" s="86"/>
      <c r="N1236" s="86"/>
      <c r="O1236" s="86"/>
      <c r="P1236" s="86"/>
      <c r="Q1236" s="86"/>
      <c r="R1236" s="86"/>
      <c r="S1236" s="86"/>
      <c r="T1236" s="86"/>
      <c r="U1236" s="86"/>
      <c r="V1236" s="86"/>
      <c r="W1236" s="86"/>
      <c r="X1236" s="86"/>
      <c r="Y1236" s="86"/>
      <c r="Z1236" s="86"/>
      <c r="AA1236" s="86"/>
      <c r="AB1236" s="86"/>
      <c r="AC1236" s="86"/>
      <c r="AD1236" s="86"/>
      <c r="AE1236" s="86"/>
      <c r="AF1236" s="86"/>
      <c r="AG1236" s="86"/>
      <c r="AH1236" s="86"/>
      <c r="AI1236" s="86"/>
      <c r="AJ1236" s="86"/>
    </row>
    <row r="1237" spans="1:36" x14ac:dyDescent="0.25">
      <c r="A1237" s="277"/>
      <c r="B1237" s="87"/>
      <c r="C1237" s="87"/>
      <c r="D1237" s="87"/>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row>
    <row r="1238" spans="1:36" x14ac:dyDescent="0.25">
      <c r="A1238" s="276"/>
      <c r="B1238" s="86"/>
      <c r="C1238" s="86"/>
      <c r="D1238" s="86"/>
      <c r="E1238" s="86"/>
      <c r="F1238" s="86"/>
      <c r="G1238" s="86"/>
      <c r="H1238" s="86"/>
      <c r="I1238" s="86"/>
      <c r="J1238" s="86"/>
      <c r="K1238" s="86"/>
      <c r="L1238" s="86"/>
      <c r="M1238" s="86"/>
      <c r="N1238" s="86"/>
      <c r="O1238" s="86"/>
      <c r="P1238" s="86"/>
      <c r="Q1238" s="86"/>
      <c r="R1238" s="86"/>
      <c r="S1238" s="86"/>
      <c r="T1238" s="86"/>
      <c r="U1238" s="86"/>
      <c r="V1238" s="86"/>
      <c r="W1238" s="86"/>
      <c r="X1238" s="86"/>
      <c r="Y1238" s="86"/>
      <c r="Z1238" s="86"/>
      <c r="AA1238" s="86"/>
      <c r="AB1238" s="86"/>
      <c r="AC1238" s="86"/>
      <c r="AD1238" s="86"/>
      <c r="AE1238" s="86"/>
      <c r="AF1238" s="86"/>
      <c r="AG1238" s="86"/>
      <c r="AH1238" s="86"/>
      <c r="AI1238" s="86"/>
      <c r="AJ1238" s="86"/>
    </row>
    <row r="1239" spans="1:36" x14ac:dyDescent="0.25">
      <c r="A1239" s="277"/>
      <c r="B1239" s="87"/>
      <c r="C1239" s="87"/>
      <c r="D1239" s="87"/>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row>
    <row r="1240" spans="1:36" x14ac:dyDescent="0.25">
      <c r="A1240" s="276"/>
      <c r="B1240" s="86"/>
      <c r="C1240" s="86"/>
      <c r="D1240" s="86"/>
      <c r="E1240" s="86"/>
      <c r="F1240" s="86"/>
      <c r="G1240" s="86"/>
      <c r="H1240" s="86"/>
      <c r="I1240" s="86"/>
      <c r="J1240" s="86"/>
      <c r="K1240" s="86"/>
      <c r="L1240" s="86"/>
      <c r="M1240" s="86"/>
      <c r="N1240" s="86"/>
      <c r="O1240" s="86"/>
      <c r="P1240" s="86"/>
      <c r="Q1240" s="86"/>
      <c r="R1240" s="86"/>
      <c r="S1240" s="86"/>
      <c r="T1240" s="86"/>
      <c r="U1240" s="86"/>
      <c r="V1240" s="86"/>
      <c r="W1240" s="86"/>
      <c r="X1240" s="86"/>
      <c r="Y1240" s="86"/>
      <c r="Z1240" s="86"/>
      <c r="AA1240" s="86"/>
      <c r="AB1240" s="86"/>
      <c r="AC1240" s="86"/>
      <c r="AD1240" s="86"/>
      <c r="AE1240" s="86"/>
      <c r="AF1240" s="86"/>
      <c r="AG1240" s="86"/>
      <c r="AH1240" s="86"/>
      <c r="AI1240" s="86"/>
      <c r="AJ1240" s="86"/>
    </row>
    <row r="1241" spans="1:36" x14ac:dyDescent="0.25">
      <c r="A1241" s="277"/>
      <c r="B1241" s="87"/>
      <c r="C1241" s="87"/>
      <c r="D1241" s="87"/>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row>
    <row r="1242" spans="1:36" x14ac:dyDescent="0.25">
      <c r="A1242" s="276"/>
      <c r="B1242" s="86"/>
      <c r="C1242" s="86"/>
      <c r="D1242" s="86"/>
      <c r="E1242" s="86"/>
      <c r="F1242" s="86"/>
      <c r="G1242" s="86"/>
      <c r="H1242" s="86"/>
      <c r="I1242" s="86"/>
      <c r="J1242" s="86"/>
      <c r="K1242" s="86"/>
      <c r="L1242" s="86"/>
      <c r="M1242" s="86"/>
      <c r="N1242" s="86"/>
      <c r="O1242" s="86"/>
      <c r="P1242" s="86"/>
      <c r="Q1242" s="86"/>
      <c r="R1242" s="86"/>
      <c r="S1242" s="86"/>
      <c r="T1242" s="86"/>
      <c r="U1242" s="86"/>
      <c r="V1242" s="86"/>
      <c r="W1242" s="86"/>
      <c r="X1242" s="86"/>
      <c r="Y1242" s="86"/>
      <c r="Z1242" s="86"/>
      <c r="AA1242" s="86"/>
      <c r="AB1242" s="86"/>
      <c r="AC1242" s="86"/>
      <c r="AD1242" s="86"/>
      <c r="AE1242" s="86"/>
      <c r="AF1242" s="86"/>
      <c r="AG1242" s="86"/>
      <c r="AH1242" s="86"/>
      <c r="AI1242" s="86"/>
      <c r="AJ1242" s="86"/>
    </row>
    <row r="1243" spans="1:36" x14ac:dyDescent="0.25">
      <c r="A1243" s="277"/>
      <c r="B1243" s="87"/>
      <c r="C1243" s="87"/>
      <c r="D1243" s="87"/>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row>
    <row r="1244" spans="1:36" x14ac:dyDescent="0.25">
      <c r="A1244" s="276"/>
      <c r="B1244" s="86"/>
      <c r="C1244" s="86"/>
      <c r="D1244" s="86"/>
      <c r="E1244" s="86"/>
      <c r="F1244" s="86"/>
      <c r="G1244" s="86"/>
      <c r="H1244" s="86"/>
      <c r="I1244" s="86"/>
      <c r="J1244" s="86"/>
      <c r="K1244" s="86"/>
      <c r="L1244" s="86"/>
      <c r="M1244" s="86"/>
      <c r="N1244" s="86"/>
      <c r="O1244" s="86"/>
      <c r="P1244" s="86"/>
      <c r="Q1244" s="86"/>
      <c r="R1244" s="86"/>
      <c r="S1244" s="86"/>
      <c r="T1244" s="86"/>
      <c r="U1244" s="86"/>
      <c r="V1244" s="86"/>
      <c r="W1244" s="86"/>
      <c r="X1244" s="86"/>
      <c r="Y1244" s="86"/>
      <c r="Z1244" s="86"/>
      <c r="AA1244" s="86"/>
      <c r="AB1244" s="86"/>
      <c r="AC1244" s="86"/>
      <c r="AD1244" s="86"/>
      <c r="AE1244" s="86"/>
      <c r="AF1244" s="86"/>
      <c r="AG1244" s="86"/>
      <c r="AH1244" s="86"/>
      <c r="AI1244" s="86"/>
      <c r="AJ1244" s="86"/>
    </row>
    <row r="1245" spans="1:36" x14ac:dyDescent="0.25">
      <c r="A1245" s="277"/>
      <c r="B1245" s="87"/>
      <c r="C1245" s="87"/>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row>
    <row r="1246" spans="1:36" x14ac:dyDescent="0.25">
      <c r="A1246" s="276"/>
      <c r="B1246" s="86"/>
      <c r="C1246" s="86"/>
      <c r="D1246" s="86"/>
      <c r="E1246" s="86"/>
      <c r="F1246" s="86"/>
      <c r="G1246" s="86"/>
      <c r="H1246" s="86"/>
      <c r="I1246" s="86"/>
      <c r="J1246" s="86"/>
      <c r="K1246" s="86"/>
      <c r="L1246" s="86"/>
      <c r="M1246" s="86"/>
      <c r="N1246" s="86"/>
      <c r="O1246" s="86"/>
      <c r="P1246" s="86"/>
      <c r="Q1246" s="86"/>
      <c r="R1246" s="86"/>
      <c r="S1246" s="86"/>
      <c r="T1246" s="86"/>
      <c r="U1246" s="86"/>
      <c r="V1246" s="86"/>
      <c r="W1246" s="86"/>
      <c r="X1246" s="86"/>
      <c r="Y1246" s="86"/>
      <c r="Z1246" s="86"/>
      <c r="AA1246" s="86"/>
      <c r="AB1246" s="86"/>
      <c r="AC1246" s="86"/>
      <c r="AD1246" s="86"/>
      <c r="AE1246" s="86"/>
      <c r="AF1246" s="86"/>
      <c r="AG1246" s="86"/>
      <c r="AH1246" s="86"/>
      <c r="AI1246" s="86"/>
      <c r="AJ1246" s="86"/>
    </row>
    <row r="1247" spans="1:36" x14ac:dyDescent="0.25">
      <c r="A1247" s="277"/>
      <c r="B1247" s="87"/>
      <c r="C1247" s="87"/>
      <c r="D1247" s="87"/>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row>
    <row r="1248" spans="1:36" x14ac:dyDescent="0.25">
      <c r="A1248" s="276"/>
      <c r="B1248" s="86"/>
      <c r="C1248" s="86"/>
      <c r="D1248" s="86"/>
      <c r="E1248" s="86"/>
      <c r="F1248" s="86"/>
      <c r="G1248" s="86"/>
      <c r="H1248" s="86"/>
      <c r="I1248" s="86"/>
      <c r="J1248" s="86"/>
      <c r="K1248" s="86"/>
      <c r="L1248" s="86"/>
      <c r="M1248" s="86"/>
      <c r="N1248" s="86"/>
      <c r="O1248" s="86"/>
      <c r="P1248" s="86"/>
      <c r="Q1248" s="86"/>
      <c r="R1248" s="86"/>
      <c r="S1248" s="86"/>
      <c r="T1248" s="86"/>
      <c r="U1248" s="86"/>
      <c r="V1248" s="86"/>
      <c r="W1248" s="86"/>
      <c r="X1248" s="86"/>
      <c r="Y1248" s="86"/>
      <c r="Z1248" s="86"/>
      <c r="AA1248" s="86"/>
      <c r="AB1248" s="86"/>
      <c r="AC1248" s="86"/>
      <c r="AD1248" s="86"/>
      <c r="AE1248" s="86"/>
      <c r="AF1248" s="86"/>
      <c r="AG1248" s="86"/>
      <c r="AH1248" s="86"/>
      <c r="AI1248" s="86"/>
      <c r="AJ1248" s="86"/>
    </row>
    <row r="1249" spans="1:36" x14ac:dyDescent="0.25">
      <c r="A1249" s="277"/>
      <c r="B1249" s="87"/>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row>
    <row r="1250" spans="1:36" x14ac:dyDescent="0.25">
      <c r="A1250" s="276"/>
      <c r="B1250" s="86"/>
      <c r="C1250" s="86"/>
      <c r="D1250" s="86"/>
      <c r="E1250" s="86"/>
      <c r="F1250" s="86"/>
      <c r="G1250" s="86"/>
      <c r="H1250" s="86"/>
      <c r="I1250" s="86"/>
      <c r="J1250" s="86"/>
      <c r="K1250" s="86"/>
      <c r="L1250" s="86"/>
      <c r="M1250" s="86"/>
      <c r="N1250" s="86"/>
      <c r="O1250" s="86"/>
      <c r="P1250" s="86"/>
      <c r="Q1250" s="86"/>
      <c r="R1250" s="86"/>
      <c r="S1250" s="86"/>
      <c r="T1250" s="86"/>
      <c r="U1250" s="86"/>
      <c r="V1250" s="86"/>
      <c r="W1250" s="86"/>
      <c r="X1250" s="86"/>
      <c r="Y1250" s="86"/>
      <c r="Z1250" s="86"/>
      <c r="AA1250" s="86"/>
      <c r="AB1250" s="86"/>
      <c r="AC1250" s="86"/>
      <c r="AD1250" s="86"/>
      <c r="AE1250" s="86"/>
      <c r="AF1250" s="86"/>
      <c r="AG1250" s="86"/>
      <c r="AH1250" s="86"/>
      <c r="AI1250" s="86"/>
      <c r="AJ1250" s="86"/>
    </row>
    <row r="1251" spans="1:36" x14ac:dyDescent="0.25">
      <c r="A1251" s="277"/>
      <c r="B1251" s="87"/>
      <c r="C1251" s="87"/>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row>
    <row r="1252" spans="1:36" x14ac:dyDescent="0.25">
      <c r="A1252" s="276"/>
      <c r="B1252" s="86"/>
      <c r="C1252" s="86"/>
      <c r="D1252" s="86"/>
      <c r="E1252" s="86"/>
      <c r="F1252" s="86"/>
      <c r="G1252" s="86"/>
      <c r="H1252" s="86"/>
      <c r="I1252" s="86"/>
      <c r="J1252" s="86"/>
      <c r="K1252" s="86"/>
      <c r="L1252" s="86"/>
      <c r="M1252" s="86"/>
      <c r="N1252" s="86"/>
      <c r="O1252" s="86"/>
      <c r="P1252" s="86"/>
      <c r="Q1252" s="86"/>
      <c r="R1252" s="86"/>
      <c r="S1252" s="86"/>
      <c r="T1252" s="86"/>
      <c r="U1252" s="86"/>
      <c r="V1252" s="86"/>
      <c r="W1252" s="86"/>
      <c r="X1252" s="86"/>
      <c r="Y1252" s="86"/>
      <c r="Z1252" s="86"/>
      <c r="AA1252" s="86"/>
      <c r="AB1252" s="86"/>
      <c r="AC1252" s="86"/>
      <c r="AD1252" s="86"/>
      <c r="AE1252" s="86"/>
      <c r="AF1252" s="86"/>
      <c r="AG1252" s="86"/>
      <c r="AH1252" s="86"/>
      <c r="AI1252" s="86"/>
      <c r="AJ1252" s="86"/>
    </row>
    <row r="1253" spans="1:36" x14ac:dyDescent="0.25">
      <c r="A1253" s="277"/>
      <c r="B1253" s="87"/>
      <c r="C1253" s="87"/>
      <c r="D1253" s="87"/>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row>
    <row r="1254" spans="1:36" x14ac:dyDescent="0.25">
      <c r="A1254" s="276"/>
      <c r="B1254" s="86"/>
      <c r="C1254" s="86"/>
      <c r="D1254" s="86"/>
      <c r="E1254" s="86"/>
      <c r="F1254" s="86"/>
      <c r="G1254" s="86"/>
      <c r="H1254" s="86"/>
      <c r="I1254" s="86"/>
      <c r="J1254" s="86"/>
      <c r="K1254" s="86"/>
      <c r="L1254" s="86"/>
      <c r="M1254" s="86"/>
      <c r="N1254" s="86"/>
      <c r="O1254" s="86"/>
      <c r="P1254" s="86"/>
      <c r="Q1254" s="86"/>
      <c r="R1254" s="86"/>
      <c r="S1254" s="86"/>
      <c r="T1254" s="86"/>
      <c r="U1254" s="86"/>
      <c r="V1254" s="86"/>
      <c r="W1254" s="86"/>
      <c r="X1254" s="86"/>
      <c r="Y1254" s="86"/>
      <c r="Z1254" s="86"/>
      <c r="AA1254" s="86"/>
      <c r="AB1254" s="86"/>
      <c r="AC1254" s="86"/>
      <c r="AD1254" s="86"/>
      <c r="AE1254" s="86"/>
      <c r="AF1254" s="86"/>
      <c r="AG1254" s="86"/>
      <c r="AH1254" s="86"/>
      <c r="AI1254" s="86"/>
      <c r="AJ1254" s="86"/>
    </row>
    <row r="1255" spans="1:36" x14ac:dyDescent="0.25">
      <c r="A1255" s="277"/>
      <c r="B1255" s="87"/>
      <c r="C1255" s="87"/>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row>
    <row r="1256" spans="1:36" x14ac:dyDescent="0.25">
      <c r="A1256" s="276"/>
      <c r="B1256" s="86"/>
      <c r="C1256" s="86"/>
      <c r="D1256" s="86"/>
      <c r="E1256" s="86"/>
      <c r="F1256" s="86"/>
      <c r="G1256" s="86"/>
      <c r="H1256" s="86"/>
      <c r="I1256" s="86"/>
      <c r="J1256" s="86"/>
      <c r="K1256" s="86"/>
      <c r="L1256" s="86"/>
      <c r="M1256" s="86"/>
      <c r="N1256" s="86"/>
      <c r="O1256" s="86"/>
      <c r="P1256" s="86"/>
      <c r="Q1256" s="86"/>
      <c r="R1256" s="86"/>
      <c r="S1256" s="86"/>
      <c r="T1256" s="86"/>
      <c r="U1256" s="86"/>
      <c r="V1256" s="86"/>
      <c r="W1256" s="86"/>
      <c r="X1256" s="86"/>
      <c r="Y1256" s="86"/>
      <c r="Z1256" s="86"/>
      <c r="AA1256" s="86"/>
      <c r="AB1256" s="86"/>
      <c r="AC1256" s="86"/>
      <c r="AD1256" s="86"/>
      <c r="AE1256" s="86"/>
      <c r="AF1256" s="86"/>
      <c r="AG1256" s="86"/>
      <c r="AH1256" s="86"/>
      <c r="AI1256" s="86"/>
      <c r="AJ1256" s="86"/>
    </row>
    <row r="1257" spans="1:36" x14ac:dyDescent="0.25">
      <c r="A1257" s="277"/>
      <c r="B1257" s="87"/>
      <c r="C1257" s="87"/>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row>
    <row r="1258" spans="1:36" x14ac:dyDescent="0.25">
      <c r="A1258" s="276"/>
      <c r="B1258" s="86"/>
      <c r="C1258" s="86"/>
      <c r="D1258" s="86"/>
      <c r="E1258" s="86"/>
      <c r="F1258" s="86"/>
      <c r="G1258" s="86"/>
      <c r="H1258" s="86"/>
      <c r="I1258" s="86"/>
      <c r="J1258" s="86"/>
      <c r="K1258" s="86"/>
      <c r="L1258" s="86"/>
      <c r="M1258" s="86"/>
      <c r="N1258" s="86"/>
      <c r="O1258" s="86"/>
      <c r="P1258" s="86"/>
      <c r="Q1258" s="86"/>
      <c r="R1258" s="86"/>
      <c r="S1258" s="86"/>
      <c r="T1258" s="86"/>
      <c r="U1258" s="86"/>
      <c r="V1258" s="86"/>
      <c r="W1258" s="86"/>
      <c r="X1258" s="86"/>
      <c r="Y1258" s="86"/>
      <c r="Z1258" s="86"/>
      <c r="AA1258" s="86"/>
      <c r="AB1258" s="86"/>
      <c r="AC1258" s="86"/>
      <c r="AD1258" s="86"/>
      <c r="AE1258" s="86"/>
      <c r="AF1258" s="86"/>
      <c r="AG1258" s="86"/>
      <c r="AH1258" s="86"/>
      <c r="AI1258" s="86"/>
      <c r="AJ1258" s="86"/>
    </row>
    <row r="1259" spans="1:36" x14ac:dyDescent="0.25">
      <c r="A1259" s="277"/>
      <c r="B1259" s="87"/>
      <c r="C1259" s="87"/>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row>
    <row r="1260" spans="1:36" x14ac:dyDescent="0.25">
      <c r="A1260" s="276"/>
      <c r="B1260" s="86"/>
      <c r="C1260" s="86"/>
      <c r="D1260" s="86"/>
      <c r="E1260" s="86"/>
      <c r="F1260" s="86"/>
      <c r="G1260" s="86"/>
      <c r="H1260" s="86"/>
      <c r="I1260" s="86"/>
      <c r="J1260" s="86"/>
      <c r="K1260" s="86"/>
      <c r="L1260" s="86"/>
      <c r="M1260" s="86"/>
      <c r="N1260" s="86"/>
      <c r="O1260" s="86"/>
      <c r="P1260" s="86"/>
      <c r="Q1260" s="86"/>
      <c r="R1260" s="86"/>
      <c r="S1260" s="86"/>
      <c r="T1260" s="86"/>
      <c r="U1260" s="86"/>
      <c r="V1260" s="86"/>
      <c r="W1260" s="86"/>
      <c r="X1260" s="86"/>
      <c r="Y1260" s="86"/>
      <c r="Z1260" s="86"/>
      <c r="AA1260" s="86"/>
      <c r="AB1260" s="86"/>
      <c r="AC1260" s="86"/>
      <c r="AD1260" s="86"/>
      <c r="AE1260" s="86"/>
      <c r="AF1260" s="86"/>
      <c r="AG1260" s="86"/>
      <c r="AH1260" s="86"/>
      <c r="AI1260" s="86"/>
      <c r="AJ1260" s="86"/>
    </row>
    <row r="1261" spans="1:36" x14ac:dyDescent="0.25">
      <c r="A1261" s="277"/>
      <c r="B1261" s="87"/>
      <c r="C1261" s="87"/>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row>
    <row r="1262" spans="1:36" x14ac:dyDescent="0.25">
      <c r="A1262" s="276"/>
      <c r="B1262" s="86"/>
      <c r="C1262" s="86"/>
      <c r="D1262" s="86"/>
      <c r="E1262" s="86"/>
      <c r="F1262" s="86"/>
      <c r="G1262" s="86"/>
      <c r="H1262" s="86"/>
      <c r="I1262" s="86"/>
      <c r="J1262" s="86"/>
      <c r="K1262" s="86"/>
      <c r="L1262" s="86"/>
      <c r="M1262" s="86"/>
      <c r="N1262" s="86"/>
      <c r="O1262" s="86"/>
      <c r="P1262" s="86"/>
      <c r="Q1262" s="86"/>
      <c r="R1262" s="86"/>
      <c r="S1262" s="86"/>
      <c r="T1262" s="86"/>
      <c r="U1262" s="86"/>
      <c r="V1262" s="86"/>
      <c r="W1262" s="86"/>
      <c r="X1262" s="86"/>
      <c r="Y1262" s="86"/>
      <c r="Z1262" s="86"/>
      <c r="AA1262" s="86"/>
      <c r="AB1262" s="86"/>
      <c r="AC1262" s="86"/>
      <c r="AD1262" s="86"/>
      <c r="AE1262" s="86"/>
      <c r="AF1262" s="86"/>
      <c r="AG1262" s="86"/>
      <c r="AH1262" s="86"/>
      <c r="AI1262" s="86"/>
      <c r="AJ1262" s="86"/>
    </row>
    <row r="1263" spans="1:36" x14ac:dyDescent="0.25">
      <c r="A1263" s="277"/>
      <c r="B1263" s="87"/>
      <c r="C1263" s="87"/>
      <c r="D1263" s="87"/>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row>
    <row r="1264" spans="1:36" x14ac:dyDescent="0.25">
      <c r="A1264" s="276"/>
      <c r="B1264" s="86"/>
      <c r="C1264" s="86"/>
      <c r="D1264" s="86"/>
      <c r="E1264" s="86"/>
      <c r="F1264" s="86"/>
      <c r="G1264" s="86"/>
      <c r="H1264" s="86"/>
      <c r="I1264" s="86"/>
      <c r="J1264" s="86"/>
      <c r="K1264" s="86"/>
      <c r="L1264" s="86"/>
      <c r="M1264" s="86"/>
      <c r="N1264" s="86"/>
      <c r="O1264" s="86"/>
      <c r="P1264" s="86"/>
      <c r="Q1264" s="86"/>
      <c r="R1264" s="86"/>
      <c r="S1264" s="86"/>
      <c r="T1264" s="86"/>
      <c r="U1264" s="86"/>
      <c r="V1264" s="86"/>
      <c r="W1264" s="86"/>
      <c r="X1264" s="86"/>
      <c r="Y1264" s="86"/>
      <c r="Z1264" s="86"/>
      <c r="AA1264" s="86"/>
      <c r="AB1264" s="86"/>
      <c r="AC1264" s="86"/>
      <c r="AD1264" s="86"/>
      <c r="AE1264" s="86"/>
      <c r="AF1264" s="86"/>
      <c r="AG1264" s="86"/>
      <c r="AH1264" s="86"/>
      <c r="AI1264" s="86"/>
      <c r="AJ1264" s="86"/>
    </row>
    <row r="1265" spans="1:36" x14ac:dyDescent="0.25">
      <c r="A1265" s="277"/>
      <c r="B1265" s="87"/>
      <c r="C1265" s="87"/>
      <c r="D1265" s="87"/>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row>
    <row r="1266" spans="1:36" x14ac:dyDescent="0.25">
      <c r="A1266" s="276"/>
      <c r="B1266" s="86"/>
      <c r="C1266" s="86"/>
      <c r="D1266" s="86"/>
      <c r="E1266" s="86"/>
      <c r="F1266" s="86"/>
      <c r="G1266" s="86"/>
      <c r="H1266" s="86"/>
      <c r="I1266" s="86"/>
      <c r="J1266" s="86"/>
      <c r="K1266" s="86"/>
      <c r="L1266" s="86"/>
      <c r="M1266" s="86"/>
      <c r="N1266" s="86"/>
      <c r="O1266" s="86"/>
      <c r="P1266" s="86"/>
      <c r="Q1266" s="86"/>
      <c r="R1266" s="86"/>
      <c r="S1266" s="86"/>
      <c r="T1266" s="86"/>
      <c r="U1266" s="86"/>
      <c r="V1266" s="86"/>
      <c r="W1266" s="86"/>
      <c r="X1266" s="86"/>
      <c r="Y1266" s="86"/>
      <c r="Z1266" s="86"/>
      <c r="AA1266" s="86"/>
      <c r="AB1266" s="86"/>
      <c r="AC1266" s="86"/>
      <c r="AD1266" s="86"/>
      <c r="AE1266" s="86"/>
      <c r="AF1266" s="86"/>
      <c r="AG1266" s="86"/>
      <c r="AH1266" s="86"/>
      <c r="AI1266" s="86"/>
      <c r="AJ1266" s="86"/>
    </row>
    <row r="1267" spans="1:36" x14ac:dyDescent="0.25">
      <c r="A1267" s="277"/>
      <c r="B1267" s="87"/>
      <c r="C1267" s="87"/>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row>
    <row r="1268" spans="1:36" x14ac:dyDescent="0.25">
      <c r="A1268" s="276"/>
      <c r="B1268" s="86"/>
      <c r="C1268" s="86"/>
      <c r="D1268" s="86"/>
      <c r="E1268" s="86"/>
      <c r="F1268" s="86"/>
      <c r="G1268" s="86"/>
      <c r="H1268" s="86"/>
      <c r="I1268" s="86"/>
      <c r="J1268" s="86"/>
      <c r="K1268" s="86"/>
      <c r="L1268" s="86"/>
      <c r="M1268" s="86"/>
      <c r="N1268" s="86"/>
      <c r="O1268" s="86"/>
      <c r="P1268" s="86"/>
      <c r="Q1268" s="86"/>
      <c r="R1268" s="86"/>
      <c r="S1268" s="86"/>
      <c r="T1268" s="86"/>
      <c r="U1268" s="86"/>
      <c r="V1268" s="86"/>
      <c r="W1268" s="86"/>
      <c r="X1268" s="86"/>
      <c r="Y1268" s="86"/>
      <c r="Z1268" s="86"/>
      <c r="AA1268" s="86"/>
      <c r="AB1268" s="86"/>
      <c r="AC1268" s="86"/>
      <c r="AD1268" s="86"/>
      <c r="AE1268" s="86"/>
      <c r="AF1268" s="86"/>
      <c r="AG1268" s="86"/>
      <c r="AH1268" s="86"/>
      <c r="AI1268" s="86"/>
      <c r="AJ1268" s="86"/>
    </row>
    <row r="1269" spans="1:36" x14ac:dyDescent="0.25">
      <c r="A1269" s="277"/>
      <c r="B1269" s="87"/>
      <c r="C1269" s="87"/>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row>
    <row r="1270" spans="1:36" x14ac:dyDescent="0.25">
      <c r="A1270" s="276"/>
      <c r="B1270" s="86"/>
      <c r="C1270" s="86"/>
      <c r="D1270" s="86"/>
      <c r="E1270" s="86"/>
      <c r="F1270" s="86"/>
      <c r="G1270" s="86"/>
      <c r="H1270" s="86"/>
      <c r="I1270" s="86"/>
      <c r="J1270" s="86"/>
      <c r="K1270" s="86"/>
      <c r="L1270" s="86"/>
      <c r="M1270" s="86"/>
      <c r="N1270" s="86"/>
      <c r="O1270" s="86"/>
      <c r="P1270" s="86"/>
      <c r="Q1270" s="86"/>
      <c r="R1270" s="86"/>
      <c r="S1270" s="86"/>
      <c r="T1270" s="86"/>
      <c r="U1270" s="86"/>
      <c r="V1270" s="86"/>
      <c r="W1270" s="86"/>
      <c r="X1270" s="86"/>
      <c r="Y1270" s="86"/>
      <c r="Z1270" s="86"/>
      <c r="AA1270" s="86"/>
      <c r="AB1270" s="86"/>
      <c r="AC1270" s="86"/>
      <c r="AD1270" s="86"/>
      <c r="AE1270" s="86"/>
      <c r="AF1270" s="86"/>
      <c r="AG1270" s="86"/>
      <c r="AH1270" s="86"/>
      <c r="AI1270" s="86"/>
      <c r="AJ1270" s="86"/>
    </row>
    <row r="1271" spans="1:36" x14ac:dyDescent="0.25">
      <c r="A1271" s="277"/>
      <c r="B1271" s="87"/>
      <c r="C1271" s="87"/>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row>
    <row r="1272" spans="1:36" x14ac:dyDescent="0.25">
      <c r="A1272" s="276"/>
      <c r="B1272" s="86"/>
      <c r="C1272" s="86"/>
      <c r="D1272" s="86"/>
      <c r="E1272" s="86"/>
      <c r="F1272" s="86"/>
      <c r="G1272" s="86"/>
      <c r="H1272" s="86"/>
      <c r="I1272" s="86"/>
      <c r="J1272" s="86"/>
      <c r="K1272" s="86"/>
      <c r="L1272" s="86"/>
      <c r="M1272" s="86"/>
      <c r="N1272" s="86"/>
      <c r="O1272" s="86"/>
      <c r="P1272" s="86"/>
      <c r="Q1272" s="86"/>
      <c r="R1272" s="86"/>
      <c r="S1272" s="86"/>
      <c r="T1272" s="86"/>
      <c r="U1272" s="86"/>
      <c r="V1272" s="86"/>
      <c r="W1272" s="86"/>
      <c r="X1272" s="86"/>
      <c r="Y1272" s="86"/>
      <c r="Z1272" s="86"/>
      <c r="AA1272" s="86"/>
      <c r="AB1272" s="86"/>
      <c r="AC1272" s="86"/>
      <c r="AD1272" s="86"/>
      <c r="AE1272" s="86"/>
      <c r="AF1272" s="86"/>
      <c r="AG1272" s="86"/>
      <c r="AH1272" s="86"/>
      <c r="AI1272" s="86"/>
      <c r="AJ1272" s="86"/>
    </row>
    <row r="1273" spans="1:36" x14ac:dyDescent="0.25">
      <c r="A1273" s="277"/>
      <c r="B1273" s="87"/>
      <c r="C1273" s="87"/>
      <c r="D1273" s="87"/>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row>
    <row r="1274" spans="1:36" x14ac:dyDescent="0.25">
      <c r="A1274" s="276"/>
      <c r="B1274" s="86"/>
      <c r="C1274" s="86"/>
      <c r="D1274" s="86"/>
      <c r="E1274" s="86"/>
      <c r="F1274" s="86"/>
      <c r="G1274" s="86"/>
      <c r="H1274" s="86"/>
      <c r="I1274" s="86"/>
      <c r="J1274" s="86"/>
      <c r="K1274" s="86"/>
      <c r="L1274" s="86"/>
      <c r="M1274" s="86"/>
      <c r="N1274" s="86"/>
      <c r="O1274" s="86"/>
      <c r="P1274" s="86"/>
      <c r="Q1274" s="86"/>
      <c r="R1274" s="86"/>
      <c r="S1274" s="86"/>
      <c r="T1274" s="86"/>
      <c r="U1274" s="86"/>
      <c r="V1274" s="86"/>
      <c r="W1274" s="86"/>
      <c r="X1274" s="86"/>
      <c r="Y1274" s="86"/>
      <c r="Z1274" s="86"/>
      <c r="AA1274" s="86"/>
      <c r="AB1274" s="86"/>
      <c r="AC1274" s="86"/>
      <c r="AD1274" s="86"/>
      <c r="AE1274" s="86"/>
      <c r="AF1274" s="86"/>
      <c r="AG1274" s="86"/>
      <c r="AH1274" s="86"/>
      <c r="AI1274" s="86"/>
      <c r="AJ1274" s="86"/>
    </row>
    <row r="1275" spans="1:36" x14ac:dyDescent="0.25">
      <c r="A1275" s="277"/>
      <c r="B1275" s="87"/>
      <c r="C1275" s="87"/>
      <c r="D1275" s="87"/>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row>
    <row r="1276" spans="1:36" x14ac:dyDescent="0.25">
      <c r="A1276" s="276"/>
      <c r="B1276" s="86"/>
      <c r="C1276" s="86"/>
      <c r="D1276" s="86"/>
      <c r="E1276" s="86"/>
      <c r="F1276" s="86"/>
      <c r="G1276" s="86"/>
      <c r="H1276" s="86"/>
      <c r="I1276" s="86"/>
      <c r="J1276" s="86"/>
      <c r="K1276" s="86"/>
      <c r="L1276" s="86"/>
      <c r="M1276" s="86"/>
      <c r="N1276" s="86"/>
      <c r="O1276" s="86"/>
      <c r="P1276" s="86"/>
      <c r="Q1276" s="86"/>
      <c r="R1276" s="86"/>
      <c r="S1276" s="86"/>
      <c r="T1276" s="86"/>
      <c r="U1276" s="86"/>
      <c r="V1276" s="86"/>
      <c r="W1276" s="86"/>
      <c r="X1276" s="86"/>
      <c r="Y1276" s="86"/>
      <c r="Z1276" s="86"/>
      <c r="AA1276" s="86"/>
      <c r="AB1276" s="86"/>
      <c r="AC1276" s="86"/>
      <c r="AD1276" s="86"/>
      <c r="AE1276" s="86"/>
      <c r="AF1276" s="86"/>
      <c r="AG1276" s="86"/>
      <c r="AH1276" s="86"/>
      <c r="AI1276" s="86"/>
      <c r="AJ1276" s="86"/>
    </row>
    <row r="1277" spans="1:36" x14ac:dyDescent="0.25">
      <c r="A1277" s="277"/>
      <c r="B1277" s="87"/>
      <c r="C1277" s="87"/>
      <c r="D1277" s="87"/>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row>
    <row r="1278" spans="1:36" x14ac:dyDescent="0.25">
      <c r="A1278" s="276"/>
      <c r="B1278" s="86"/>
      <c r="C1278" s="86"/>
      <c r="D1278" s="86"/>
      <c r="E1278" s="86"/>
      <c r="F1278" s="86"/>
      <c r="G1278" s="86"/>
      <c r="H1278" s="86"/>
      <c r="I1278" s="86"/>
      <c r="J1278" s="86"/>
      <c r="K1278" s="86"/>
      <c r="L1278" s="86"/>
      <c r="M1278" s="86"/>
      <c r="N1278" s="86"/>
      <c r="O1278" s="86"/>
      <c r="P1278" s="86"/>
      <c r="Q1278" s="86"/>
      <c r="R1278" s="86"/>
      <c r="S1278" s="86"/>
      <c r="T1278" s="86"/>
      <c r="U1278" s="86"/>
      <c r="V1278" s="86"/>
      <c r="W1278" s="86"/>
      <c r="X1278" s="86"/>
      <c r="Y1278" s="86"/>
      <c r="Z1278" s="86"/>
      <c r="AA1278" s="86"/>
      <c r="AB1278" s="86"/>
      <c r="AC1278" s="86"/>
      <c r="AD1278" s="86"/>
      <c r="AE1278" s="86"/>
      <c r="AF1278" s="86"/>
      <c r="AG1278" s="86"/>
      <c r="AH1278" s="86"/>
      <c r="AI1278" s="86"/>
      <c r="AJ1278" s="86"/>
    </row>
    <row r="1279" spans="1:36" x14ac:dyDescent="0.25">
      <c r="A1279" s="277"/>
      <c r="B1279" s="87"/>
      <c r="C1279" s="87"/>
      <c r="D1279" s="87"/>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row>
    <row r="1280" spans="1:36" x14ac:dyDescent="0.25">
      <c r="A1280" s="276"/>
      <c r="B1280" s="86"/>
      <c r="C1280" s="86"/>
      <c r="D1280" s="86"/>
      <c r="E1280" s="86"/>
      <c r="F1280" s="86"/>
      <c r="G1280" s="86"/>
      <c r="H1280" s="86"/>
      <c r="I1280" s="86"/>
      <c r="J1280" s="86"/>
      <c r="K1280" s="86"/>
      <c r="L1280" s="86"/>
      <c r="M1280" s="86"/>
      <c r="N1280" s="86"/>
      <c r="O1280" s="86"/>
      <c r="P1280" s="86"/>
      <c r="Q1280" s="86"/>
      <c r="R1280" s="86"/>
      <c r="S1280" s="86"/>
      <c r="T1280" s="86"/>
      <c r="U1280" s="86"/>
      <c r="V1280" s="86"/>
      <c r="W1280" s="86"/>
      <c r="X1280" s="86"/>
      <c r="Y1280" s="86"/>
      <c r="Z1280" s="86"/>
      <c r="AA1280" s="86"/>
      <c r="AB1280" s="86"/>
      <c r="AC1280" s="86"/>
      <c r="AD1280" s="86"/>
      <c r="AE1280" s="86"/>
      <c r="AF1280" s="86"/>
      <c r="AG1280" s="86"/>
      <c r="AH1280" s="86"/>
      <c r="AI1280" s="86"/>
      <c r="AJ1280" s="86"/>
    </row>
    <row r="1281" spans="1:36" x14ac:dyDescent="0.25">
      <c r="A1281" s="277"/>
      <c r="B1281" s="87"/>
      <c r="C1281" s="87"/>
      <c r="D1281" s="87"/>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row>
    <row r="1282" spans="1:36" x14ac:dyDescent="0.25">
      <c r="A1282" s="276"/>
      <c r="B1282" s="86"/>
      <c r="C1282" s="86"/>
      <c r="D1282" s="86"/>
      <c r="E1282" s="86"/>
      <c r="F1282" s="86"/>
      <c r="G1282" s="86"/>
      <c r="H1282" s="86"/>
      <c r="I1282" s="86"/>
      <c r="J1282" s="86"/>
      <c r="K1282" s="86"/>
      <c r="L1282" s="86"/>
      <c r="M1282" s="86"/>
      <c r="N1282" s="86"/>
      <c r="O1282" s="86"/>
      <c r="P1282" s="86"/>
      <c r="Q1282" s="86"/>
      <c r="R1282" s="86"/>
      <c r="S1282" s="86"/>
      <c r="T1282" s="86"/>
      <c r="U1282" s="86"/>
      <c r="V1282" s="86"/>
      <c r="W1282" s="86"/>
      <c r="X1282" s="86"/>
      <c r="Y1282" s="86"/>
      <c r="Z1282" s="86"/>
      <c r="AA1282" s="86"/>
      <c r="AB1282" s="86"/>
      <c r="AC1282" s="86"/>
      <c r="AD1282" s="86"/>
      <c r="AE1282" s="86"/>
      <c r="AF1282" s="86"/>
      <c r="AG1282" s="86"/>
      <c r="AH1282" s="86"/>
      <c r="AI1282" s="86"/>
      <c r="AJ1282" s="86"/>
    </row>
    <row r="1283" spans="1:36" x14ac:dyDescent="0.25">
      <c r="A1283" s="277"/>
      <c r="B1283" s="87"/>
      <c r="C1283" s="87"/>
      <c r="D1283" s="87"/>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row>
    <row r="1284" spans="1:36" x14ac:dyDescent="0.25">
      <c r="A1284" s="276"/>
      <c r="B1284" s="86"/>
      <c r="C1284" s="86"/>
      <c r="D1284" s="86"/>
      <c r="E1284" s="86"/>
      <c r="F1284" s="86"/>
      <c r="G1284" s="86"/>
      <c r="H1284" s="86"/>
      <c r="I1284" s="86"/>
      <c r="J1284" s="86"/>
      <c r="K1284" s="86"/>
      <c r="L1284" s="86"/>
      <c r="M1284" s="86"/>
      <c r="N1284" s="86"/>
      <c r="O1284" s="86"/>
      <c r="P1284" s="86"/>
      <c r="Q1284" s="86"/>
      <c r="R1284" s="86"/>
      <c r="S1284" s="86"/>
      <c r="T1284" s="86"/>
      <c r="U1284" s="86"/>
      <c r="V1284" s="86"/>
      <c r="W1284" s="86"/>
      <c r="X1284" s="86"/>
      <c r="Y1284" s="86"/>
      <c r="Z1284" s="86"/>
      <c r="AA1284" s="86"/>
      <c r="AB1284" s="86"/>
      <c r="AC1284" s="86"/>
      <c r="AD1284" s="86"/>
      <c r="AE1284" s="86"/>
      <c r="AF1284" s="86"/>
      <c r="AG1284" s="86"/>
      <c r="AH1284" s="86"/>
      <c r="AI1284" s="86"/>
      <c r="AJ1284" s="86"/>
    </row>
    <row r="1285" spans="1:36" x14ac:dyDescent="0.25">
      <c r="A1285" s="277"/>
      <c r="B1285" s="87"/>
      <c r="C1285" s="87"/>
      <c r="D1285" s="87"/>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row>
    <row r="1286" spans="1:36" x14ac:dyDescent="0.25">
      <c r="A1286" s="276"/>
      <c r="B1286" s="86"/>
      <c r="C1286" s="86"/>
      <c r="D1286" s="86"/>
      <c r="E1286" s="86"/>
      <c r="F1286" s="86"/>
      <c r="G1286" s="86"/>
      <c r="H1286" s="86"/>
      <c r="I1286" s="86"/>
      <c r="J1286" s="86"/>
      <c r="K1286" s="86"/>
      <c r="L1286" s="86"/>
      <c r="M1286" s="86"/>
      <c r="N1286" s="86"/>
      <c r="O1286" s="86"/>
      <c r="P1286" s="86"/>
      <c r="Q1286" s="86"/>
      <c r="R1286" s="86"/>
      <c r="S1286" s="86"/>
      <c r="T1286" s="86"/>
      <c r="U1286" s="86"/>
      <c r="V1286" s="86"/>
      <c r="W1286" s="86"/>
      <c r="X1286" s="86"/>
      <c r="Y1286" s="86"/>
      <c r="Z1286" s="86"/>
      <c r="AA1286" s="86"/>
      <c r="AB1286" s="86"/>
      <c r="AC1286" s="86"/>
      <c r="AD1286" s="86"/>
      <c r="AE1286" s="86"/>
      <c r="AF1286" s="86"/>
      <c r="AG1286" s="86"/>
      <c r="AH1286" s="86"/>
      <c r="AI1286" s="86"/>
      <c r="AJ1286" s="86"/>
    </row>
    <row r="1287" spans="1:36" x14ac:dyDescent="0.25">
      <c r="A1287" s="277"/>
      <c r="B1287" s="87"/>
      <c r="C1287" s="87"/>
      <c r="D1287" s="87"/>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row>
    <row r="1288" spans="1:36" x14ac:dyDescent="0.25">
      <c r="A1288" s="276"/>
      <c r="B1288" s="86"/>
      <c r="C1288" s="86"/>
      <c r="D1288" s="86"/>
      <c r="E1288" s="86"/>
      <c r="F1288" s="86"/>
      <c r="G1288" s="86"/>
      <c r="H1288" s="86"/>
      <c r="I1288" s="86"/>
      <c r="J1288" s="86"/>
      <c r="K1288" s="86"/>
      <c r="L1288" s="86"/>
      <c r="M1288" s="86"/>
      <c r="N1288" s="86"/>
      <c r="O1288" s="86"/>
      <c r="P1288" s="86"/>
      <c r="Q1288" s="86"/>
      <c r="R1288" s="86"/>
      <c r="S1288" s="86"/>
      <c r="T1288" s="86"/>
      <c r="U1288" s="86"/>
      <c r="V1288" s="86"/>
      <c r="W1288" s="86"/>
      <c r="X1288" s="86"/>
      <c r="Y1288" s="86"/>
      <c r="Z1288" s="86"/>
      <c r="AA1288" s="86"/>
      <c r="AB1288" s="86"/>
      <c r="AC1288" s="86"/>
      <c r="AD1288" s="86"/>
      <c r="AE1288" s="86"/>
      <c r="AF1288" s="86"/>
      <c r="AG1288" s="86"/>
      <c r="AH1288" s="86"/>
      <c r="AI1288" s="86"/>
      <c r="AJ1288" s="86"/>
    </row>
    <row r="1289" spans="1:36" x14ac:dyDescent="0.25">
      <c r="A1289" s="277"/>
      <c r="B1289" s="87"/>
      <c r="C1289" s="87"/>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row>
    <row r="1290" spans="1:36" x14ac:dyDescent="0.25">
      <c r="A1290" s="276"/>
      <c r="B1290" s="86"/>
      <c r="C1290" s="86"/>
      <c r="D1290" s="86"/>
      <c r="E1290" s="86"/>
      <c r="F1290" s="86"/>
      <c r="G1290" s="86"/>
      <c r="H1290" s="86"/>
      <c r="I1290" s="86"/>
      <c r="J1290" s="86"/>
      <c r="K1290" s="86"/>
      <c r="L1290" s="86"/>
      <c r="M1290" s="86"/>
      <c r="N1290" s="86"/>
      <c r="O1290" s="86"/>
      <c r="P1290" s="86"/>
      <c r="Q1290" s="86"/>
      <c r="R1290" s="86"/>
      <c r="S1290" s="86"/>
      <c r="T1290" s="86"/>
      <c r="U1290" s="86"/>
      <c r="V1290" s="86"/>
      <c r="W1290" s="86"/>
      <c r="X1290" s="86"/>
      <c r="Y1290" s="86"/>
      <c r="Z1290" s="86"/>
      <c r="AA1290" s="86"/>
      <c r="AB1290" s="86"/>
      <c r="AC1290" s="86"/>
      <c r="AD1290" s="86"/>
      <c r="AE1290" s="86"/>
      <c r="AF1290" s="86"/>
      <c r="AG1290" s="86"/>
      <c r="AH1290" s="86"/>
      <c r="AI1290" s="86"/>
      <c r="AJ1290" s="86"/>
    </row>
    <row r="1291" spans="1:36" x14ac:dyDescent="0.25">
      <c r="A1291" s="277"/>
      <c r="B1291" s="87"/>
      <c r="C1291" s="87"/>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row>
    <row r="1292" spans="1:36" x14ac:dyDescent="0.25">
      <c r="A1292" s="276"/>
      <c r="B1292" s="86"/>
      <c r="C1292" s="86"/>
      <c r="D1292" s="86"/>
      <c r="E1292" s="86"/>
      <c r="F1292" s="86"/>
      <c r="G1292" s="86"/>
      <c r="H1292" s="86"/>
      <c r="I1292" s="86"/>
      <c r="J1292" s="86"/>
      <c r="K1292" s="86"/>
      <c r="L1292" s="86"/>
      <c r="M1292" s="86"/>
      <c r="N1292" s="86"/>
      <c r="O1292" s="86"/>
      <c r="P1292" s="86"/>
      <c r="Q1292" s="86"/>
      <c r="R1292" s="86"/>
      <c r="S1292" s="86"/>
      <c r="T1292" s="86"/>
      <c r="U1292" s="86"/>
      <c r="V1292" s="86"/>
      <c r="W1292" s="86"/>
      <c r="X1292" s="86"/>
      <c r="Y1292" s="86"/>
      <c r="Z1292" s="86"/>
      <c r="AA1292" s="86"/>
      <c r="AB1292" s="86"/>
      <c r="AC1292" s="86"/>
      <c r="AD1292" s="86"/>
      <c r="AE1292" s="86"/>
      <c r="AF1292" s="86"/>
      <c r="AG1292" s="86"/>
      <c r="AH1292" s="86"/>
      <c r="AI1292" s="86"/>
      <c r="AJ1292" s="86"/>
    </row>
    <row r="1293" spans="1:36" x14ac:dyDescent="0.25">
      <c r="A1293" s="277"/>
      <c r="B1293" s="87"/>
      <c r="C1293" s="87"/>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row>
    <row r="1294" spans="1:36" x14ac:dyDescent="0.25">
      <c r="A1294" s="276"/>
      <c r="B1294" s="86"/>
      <c r="C1294" s="86"/>
      <c r="D1294" s="86"/>
      <c r="E1294" s="86"/>
      <c r="F1294" s="86"/>
      <c r="G1294" s="86"/>
      <c r="H1294" s="86"/>
      <c r="I1294" s="86"/>
      <c r="J1294" s="86"/>
      <c r="K1294" s="86"/>
      <c r="L1294" s="86"/>
      <c r="M1294" s="86"/>
      <c r="N1294" s="86"/>
      <c r="O1294" s="86"/>
      <c r="P1294" s="86"/>
      <c r="Q1294" s="86"/>
      <c r="R1294" s="86"/>
      <c r="S1294" s="86"/>
      <c r="T1294" s="86"/>
      <c r="U1294" s="86"/>
      <c r="V1294" s="86"/>
      <c r="W1294" s="86"/>
      <c r="X1294" s="86"/>
      <c r="Y1294" s="86"/>
      <c r="Z1294" s="86"/>
      <c r="AA1294" s="86"/>
      <c r="AB1294" s="86"/>
      <c r="AC1294" s="86"/>
      <c r="AD1294" s="86"/>
      <c r="AE1294" s="86"/>
      <c r="AF1294" s="86"/>
      <c r="AG1294" s="86"/>
      <c r="AH1294" s="86"/>
      <c r="AI1294" s="86"/>
      <c r="AJ1294" s="86"/>
    </row>
    <row r="1295" spans="1:36" x14ac:dyDescent="0.25">
      <c r="A1295" s="277"/>
      <c r="B1295" s="87"/>
      <c r="C1295" s="87"/>
      <c r="D1295" s="87"/>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row>
    <row r="1296" spans="1:36" x14ac:dyDescent="0.25">
      <c r="A1296" s="276"/>
      <c r="B1296" s="86"/>
      <c r="C1296" s="86"/>
      <c r="D1296" s="86"/>
      <c r="E1296" s="86"/>
      <c r="F1296" s="86"/>
      <c r="G1296" s="86"/>
      <c r="H1296" s="86"/>
      <c r="I1296" s="86"/>
      <c r="J1296" s="86"/>
      <c r="K1296" s="86"/>
      <c r="L1296" s="86"/>
      <c r="M1296" s="86"/>
      <c r="N1296" s="86"/>
      <c r="O1296" s="86"/>
      <c r="P1296" s="86"/>
      <c r="Q1296" s="86"/>
      <c r="R1296" s="86"/>
      <c r="S1296" s="86"/>
      <c r="T1296" s="86"/>
      <c r="U1296" s="86"/>
      <c r="V1296" s="86"/>
      <c r="W1296" s="86"/>
      <c r="X1296" s="86"/>
      <c r="Y1296" s="86"/>
      <c r="Z1296" s="86"/>
      <c r="AA1296" s="86"/>
      <c r="AB1296" s="86"/>
      <c r="AC1296" s="86"/>
      <c r="AD1296" s="86"/>
      <c r="AE1296" s="86"/>
      <c r="AF1296" s="86"/>
      <c r="AG1296" s="86"/>
      <c r="AH1296" s="86"/>
      <c r="AI1296" s="86"/>
      <c r="AJ1296" s="86"/>
    </row>
    <row r="1297" spans="1:36" x14ac:dyDescent="0.25">
      <c r="A1297" s="277"/>
      <c r="B1297" s="87"/>
      <c r="C1297" s="87"/>
      <c r="D1297" s="87"/>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row>
    <row r="1298" spans="1:36" x14ac:dyDescent="0.25">
      <c r="A1298" s="276"/>
      <c r="B1298" s="86"/>
      <c r="C1298" s="86"/>
      <c r="D1298" s="86"/>
      <c r="E1298" s="86"/>
      <c r="F1298" s="86"/>
      <c r="G1298" s="86"/>
      <c r="H1298" s="86"/>
      <c r="I1298" s="86"/>
      <c r="J1298" s="86"/>
      <c r="K1298" s="86"/>
      <c r="L1298" s="86"/>
      <c r="M1298" s="86"/>
      <c r="N1298" s="86"/>
      <c r="O1298" s="86"/>
      <c r="P1298" s="86"/>
      <c r="Q1298" s="86"/>
      <c r="R1298" s="86"/>
      <c r="S1298" s="86"/>
      <c r="T1298" s="86"/>
      <c r="U1298" s="86"/>
      <c r="V1298" s="86"/>
      <c r="W1298" s="86"/>
      <c r="X1298" s="86"/>
      <c r="Y1298" s="86"/>
      <c r="Z1298" s="86"/>
      <c r="AA1298" s="86"/>
      <c r="AB1298" s="86"/>
      <c r="AC1298" s="86"/>
      <c r="AD1298" s="86"/>
      <c r="AE1298" s="86"/>
      <c r="AF1298" s="86"/>
      <c r="AG1298" s="86"/>
      <c r="AH1298" s="86"/>
      <c r="AI1298" s="86"/>
      <c r="AJ1298" s="86"/>
    </row>
    <row r="1299" spans="1:36" x14ac:dyDescent="0.25">
      <c r="A1299" s="277"/>
      <c r="B1299" s="87"/>
      <c r="C1299" s="87"/>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row>
    <row r="1300" spans="1:36" x14ac:dyDescent="0.25">
      <c r="A1300" s="276"/>
      <c r="B1300" s="86"/>
      <c r="C1300" s="86"/>
      <c r="D1300" s="86"/>
      <c r="E1300" s="86"/>
      <c r="F1300" s="86"/>
      <c r="G1300" s="86"/>
      <c r="H1300" s="86"/>
      <c r="I1300" s="86"/>
      <c r="J1300" s="86"/>
      <c r="K1300" s="86"/>
      <c r="L1300" s="86"/>
      <c r="M1300" s="86"/>
      <c r="N1300" s="86"/>
      <c r="O1300" s="86"/>
      <c r="P1300" s="86"/>
      <c r="Q1300" s="86"/>
      <c r="R1300" s="86"/>
      <c r="S1300" s="86"/>
      <c r="T1300" s="86"/>
      <c r="U1300" s="86"/>
      <c r="V1300" s="86"/>
      <c r="W1300" s="86"/>
      <c r="X1300" s="86"/>
      <c r="Y1300" s="86"/>
      <c r="Z1300" s="86"/>
      <c r="AA1300" s="86"/>
      <c r="AB1300" s="86"/>
      <c r="AC1300" s="86"/>
      <c r="AD1300" s="86"/>
      <c r="AE1300" s="86"/>
      <c r="AF1300" s="86"/>
      <c r="AG1300" s="86"/>
      <c r="AH1300" s="86"/>
      <c r="AI1300" s="86"/>
      <c r="AJ1300" s="86"/>
    </row>
    <row r="1301" spans="1:36" x14ac:dyDescent="0.25">
      <c r="A1301" s="277"/>
      <c r="B1301" s="87"/>
      <c r="C1301" s="87"/>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row>
    <row r="1302" spans="1:36" x14ac:dyDescent="0.25">
      <c r="A1302" s="276"/>
      <c r="B1302" s="86"/>
      <c r="C1302" s="86"/>
      <c r="D1302" s="86"/>
      <c r="E1302" s="86"/>
      <c r="F1302" s="86"/>
      <c r="G1302" s="86"/>
      <c r="H1302" s="86"/>
      <c r="I1302" s="86"/>
      <c r="J1302" s="86"/>
      <c r="K1302" s="86"/>
      <c r="L1302" s="86"/>
      <c r="M1302" s="86"/>
      <c r="N1302" s="86"/>
      <c r="O1302" s="86"/>
      <c r="P1302" s="86"/>
      <c r="Q1302" s="86"/>
      <c r="R1302" s="86"/>
      <c r="S1302" s="86"/>
      <c r="T1302" s="86"/>
      <c r="U1302" s="86"/>
      <c r="V1302" s="86"/>
      <c r="W1302" s="86"/>
      <c r="X1302" s="86"/>
      <c r="Y1302" s="86"/>
      <c r="Z1302" s="86"/>
      <c r="AA1302" s="86"/>
      <c r="AB1302" s="86"/>
      <c r="AC1302" s="86"/>
      <c r="AD1302" s="86"/>
      <c r="AE1302" s="86"/>
      <c r="AF1302" s="86"/>
      <c r="AG1302" s="86"/>
      <c r="AH1302" s="86"/>
      <c r="AI1302" s="86"/>
      <c r="AJ1302" s="86"/>
    </row>
    <row r="1303" spans="1:36" x14ac:dyDescent="0.25">
      <c r="A1303" s="277"/>
      <c r="B1303" s="87"/>
      <c r="C1303" s="87"/>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row>
    <row r="1304" spans="1:36" x14ac:dyDescent="0.25">
      <c r="A1304" s="276"/>
      <c r="B1304" s="86"/>
      <c r="C1304" s="86"/>
      <c r="D1304" s="86"/>
      <c r="E1304" s="86"/>
      <c r="F1304" s="86"/>
      <c r="G1304" s="86"/>
      <c r="H1304" s="86"/>
      <c r="I1304" s="86"/>
      <c r="J1304" s="86"/>
      <c r="K1304" s="86"/>
      <c r="L1304" s="86"/>
      <c r="M1304" s="86"/>
      <c r="N1304" s="86"/>
      <c r="O1304" s="86"/>
      <c r="P1304" s="86"/>
      <c r="Q1304" s="86"/>
      <c r="R1304" s="86"/>
      <c r="S1304" s="86"/>
      <c r="T1304" s="86"/>
      <c r="U1304" s="86"/>
      <c r="V1304" s="86"/>
      <c r="W1304" s="86"/>
      <c r="X1304" s="86"/>
      <c r="Y1304" s="86"/>
      <c r="Z1304" s="86"/>
      <c r="AA1304" s="86"/>
      <c r="AB1304" s="86"/>
      <c r="AC1304" s="86"/>
      <c r="AD1304" s="86"/>
      <c r="AE1304" s="86"/>
      <c r="AF1304" s="86"/>
      <c r="AG1304" s="86"/>
      <c r="AH1304" s="86"/>
      <c r="AI1304" s="86"/>
      <c r="AJ1304" s="86"/>
    </row>
    <row r="1305" spans="1:36" x14ac:dyDescent="0.25">
      <c r="A1305" s="277"/>
      <c r="B1305" s="87"/>
      <c r="C1305" s="87"/>
      <c r="D1305" s="87"/>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row>
    <row r="1306" spans="1:36" x14ac:dyDescent="0.25">
      <c r="A1306" s="276"/>
      <c r="B1306" s="86"/>
      <c r="C1306" s="86"/>
      <c r="D1306" s="86"/>
      <c r="E1306" s="86"/>
      <c r="F1306" s="86"/>
      <c r="G1306" s="86"/>
      <c r="H1306" s="86"/>
      <c r="I1306" s="86"/>
      <c r="J1306" s="86"/>
      <c r="K1306" s="86"/>
      <c r="L1306" s="86"/>
      <c r="M1306" s="86"/>
      <c r="N1306" s="86"/>
      <c r="O1306" s="86"/>
      <c r="P1306" s="86"/>
      <c r="Q1306" s="86"/>
      <c r="R1306" s="86"/>
      <c r="S1306" s="86"/>
      <c r="T1306" s="86"/>
      <c r="U1306" s="86"/>
      <c r="V1306" s="86"/>
      <c r="W1306" s="86"/>
      <c r="X1306" s="86"/>
      <c r="Y1306" s="86"/>
      <c r="Z1306" s="86"/>
      <c r="AA1306" s="86"/>
      <c r="AB1306" s="86"/>
      <c r="AC1306" s="86"/>
      <c r="AD1306" s="86"/>
      <c r="AE1306" s="86"/>
      <c r="AF1306" s="86"/>
      <c r="AG1306" s="86"/>
      <c r="AH1306" s="86"/>
      <c r="AI1306" s="86"/>
      <c r="AJ1306" s="86"/>
    </row>
    <row r="1307" spans="1:36" x14ac:dyDescent="0.25">
      <c r="A1307" s="277"/>
      <c r="B1307" s="87"/>
      <c r="C1307" s="87"/>
      <c r="D1307" s="87"/>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row>
    <row r="1308" spans="1:36" x14ac:dyDescent="0.25">
      <c r="A1308" s="276"/>
      <c r="B1308" s="86"/>
      <c r="C1308" s="86"/>
      <c r="D1308" s="86"/>
      <c r="E1308" s="86"/>
      <c r="F1308" s="86"/>
      <c r="G1308" s="86"/>
      <c r="H1308" s="86"/>
      <c r="I1308" s="86"/>
      <c r="J1308" s="86"/>
      <c r="K1308" s="86"/>
      <c r="L1308" s="86"/>
      <c r="M1308" s="86"/>
      <c r="N1308" s="86"/>
      <c r="O1308" s="86"/>
      <c r="P1308" s="86"/>
      <c r="Q1308" s="86"/>
      <c r="R1308" s="86"/>
      <c r="S1308" s="86"/>
      <c r="T1308" s="86"/>
      <c r="U1308" s="86"/>
      <c r="V1308" s="86"/>
      <c r="W1308" s="86"/>
      <c r="X1308" s="86"/>
      <c r="Y1308" s="86"/>
      <c r="Z1308" s="86"/>
      <c r="AA1308" s="86"/>
      <c r="AB1308" s="86"/>
      <c r="AC1308" s="86"/>
      <c r="AD1308" s="86"/>
      <c r="AE1308" s="86"/>
      <c r="AF1308" s="86"/>
      <c r="AG1308" s="86"/>
      <c r="AH1308" s="86"/>
      <c r="AI1308" s="86"/>
      <c r="AJ1308" s="86"/>
    </row>
    <row r="1309" spans="1:36" x14ac:dyDescent="0.25">
      <c r="A1309" s="277"/>
      <c r="B1309" s="87"/>
      <c r="C1309" s="87"/>
      <c r="D1309" s="87"/>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row>
    <row r="1310" spans="1:36" x14ac:dyDescent="0.25">
      <c r="A1310" s="276"/>
      <c r="B1310" s="86"/>
      <c r="C1310" s="86"/>
      <c r="D1310" s="86"/>
      <c r="E1310" s="86"/>
      <c r="F1310" s="86"/>
      <c r="G1310" s="86"/>
      <c r="H1310" s="86"/>
      <c r="I1310" s="86"/>
      <c r="J1310" s="86"/>
      <c r="K1310" s="86"/>
      <c r="L1310" s="86"/>
      <c r="M1310" s="86"/>
      <c r="N1310" s="86"/>
      <c r="O1310" s="86"/>
      <c r="P1310" s="86"/>
      <c r="Q1310" s="86"/>
      <c r="R1310" s="86"/>
      <c r="S1310" s="86"/>
      <c r="T1310" s="86"/>
      <c r="U1310" s="86"/>
      <c r="V1310" s="86"/>
      <c r="W1310" s="86"/>
      <c r="X1310" s="86"/>
      <c r="Y1310" s="86"/>
      <c r="Z1310" s="86"/>
      <c r="AA1310" s="86"/>
      <c r="AB1310" s="86"/>
      <c r="AC1310" s="86"/>
      <c r="AD1310" s="86"/>
      <c r="AE1310" s="86"/>
      <c r="AF1310" s="86"/>
      <c r="AG1310" s="86"/>
      <c r="AH1310" s="86"/>
      <c r="AI1310" s="86"/>
      <c r="AJ1310" s="86"/>
    </row>
    <row r="1311" spans="1:36" x14ac:dyDescent="0.25">
      <c r="A1311" s="277"/>
      <c r="B1311" s="87"/>
      <c r="C1311" s="87"/>
      <c r="D1311" s="87"/>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row>
    <row r="1312" spans="1:36" x14ac:dyDescent="0.25">
      <c r="A1312" s="276"/>
      <c r="B1312" s="86"/>
      <c r="C1312" s="86"/>
      <c r="D1312" s="86"/>
      <c r="E1312" s="86"/>
      <c r="F1312" s="86"/>
      <c r="G1312" s="86"/>
      <c r="H1312" s="86"/>
      <c r="I1312" s="86"/>
      <c r="J1312" s="86"/>
      <c r="K1312" s="86"/>
      <c r="L1312" s="86"/>
      <c r="M1312" s="86"/>
      <c r="N1312" s="86"/>
      <c r="O1312" s="86"/>
      <c r="P1312" s="86"/>
      <c r="Q1312" s="86"/>
      <c r="R1312" s="86"/>
      <c r="S1312" s="86"/>
      <c r="T1312" s="86"/>
      <c r="U1312" s="86"/>
      <c r="V1312" s="86"/>
      <c r="W1312" s="86"/>
      <c r="X1312" s="86"/>
      <c r="Y1312" s="86"/>
      <c r="Z1312" s="86"/>
      <c r="AA1312" s="86"/>
      <c r="AB1312" s="86"/>
      <c r="AC1312" s="86"/>
      <c r="AD1312" s="86"/>
      <c r="AE1312" s="86"/>
      <c r="AF1312" s="86"/>
      <c r="AG1312" s="86"/>
      <c r="AH1312" s="86"/>
      <c r="AI1312" s="86"/>
      <c r="AJ1312" s="86"/>
    </row>
    <row r="1313" spans="1:36" x14ac:dyDescent="0.25">
      <c r="A1313" s="277"/>
      <c r="B1313" s="87"/>
      <c r="C1313" s="87"/>
      <c r="D1313" s="87"/>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row>
    <row r="1314" spans="1:36" x14ac:dyDescent="0.25">
      <c r="A1314" s="276"/>
      <c r="B1314" s="86"/>
      <c r="C1314" s="86"/>
      <c r="D1314" s="86"/>
      <c r="E1314" s="86"/>
      <c r="F1314" s="86"/>
      <c r="G1314" s="86"/>
      <c r="H1314" s="86"/>
      <c r="I1314" s="86"/>
      <c r="J1314" s="86"/>
      <c r="K1314" s="86"/>
      <c r="L1314" s="86"/>
      <c r="M1314" s="86"/>
      <c r="N1314" s="86"/>
      <c r="O1314" s="86"/>
      <c r="P1314" s="86"/>
      <c r="Q1314" s="86"/>
      <c r="R1314" s="86"/>
      <c r="S1314" s="86"/>
      <c r="T1314" s="86"/>
      <c r="U1314" s="86"/>
      <c r="V1314" s="86"/>
      <c r="W1314" s="86"/>
      <c r="X1314" s="86"/>
      <c r="Y1314" s="86"/>
      <c r="Z1314" s="86"/>
      <c r="AA1314" s="86"/>
      <c r="AB1314" s="86"/>
      <c r="AC1314" s="86"/>
      <c r="AD1314" s="86"/>
      <c r="AE1314" s="86"/>
      <c r="AF1314" s="86"/>
      <c r="AG1314" s="86"/>
      <c r="AH1314" s="86"/>
      <c r="AI1314" s="86"/>
      <c r="AJ1314" s="86"/>
    </row>
    <row r="1315" spans="1:36" x14ac:dyDescent="0.25">
      <c r="A1315" s="277"/>
      <c r="B1315" s="87"/>
      <c r="C1315" s="87"/>
      <c r="D1315" s="87"/>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row>
    <row r="1316" spans="1:36" x14ac:dyDescent="0.25">
      <c r="A1316" s="276"/>
      <c r="B1316" s="86"/>
      <c r="C1316" s="86"/>
      <c r="D1316" s="86"/>
      <c r="E1316" s="86"/>
      <c r="F1316" s="86"/>
      <c r="G1316" s="86"/>
      <c r="H1316" s="86"/>
      <c r="I1316" s="86"/>
      <c r="J1316" s="86"/>
      <c r="K1316" s="86"/>
      <c r="L1316" s="86"/>
      <c r="M1316" s="86"/>
      <c r="N1316" s="86"/>
      <c r="O1316" s="86"/>
      <c r="P1316" s="86"/>
      <c r="Q1316" s="86"/>
      <c r="R1316" s="86"/>
      <c r="S1316" s="86"/>
      <c r="T1316" s="86"/>
      <c r="U1316" s="86"/>
      <c r="V1316" s="86"/>
      <c r="W1316" s="86"/>
      <c r="X1316" s="86"/>
      <c r="Y1316" s="86"/>
      <c r="Z1316" s="86"/>
      <c r="AA1316" s="86"/>
      <c r="AB1316" s="86"/>
      <c r="AC1316" s="86"/>
      <c r="AD1316" s="86"/>
      <c r="AE1316" s="86"/>
      <c r="AF1316" s="86"/>
      <c r="AG1316" s="86"/>
      <c r="AH1316" s="86"/>
      <c r="AI1316" s="86"/>
      <c r="AJ1316" s="86"/>
    </row>
    <row r="1317" spans="1:36" x14ac:dyDescent="0.25">
      <c r="A1317" s="277"/>
      <c r="B1317" s="87"/>
      <c r="C1317" s="87"/>
      <c r="D1317" s="87"/>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row>
    <row r="1318" spans="1:36" x14ac:dyDescent="0.25">
      <c r="A1318" s="276"/>
      <c r="B1318" s="86"/>
      <c r="C1318" s="86"/>
      <c r="D1318" s="86"/>
      <c r="E1318" s="86"/>
      <c r="F1318" s="86"/>
      <c r="G1318" s="86"/>
      <c r="H1318" s="86"/>
      <c r="I1318" s="86"/>
      <c r="J1318" s="86"/>
      <c r="K1318" s="86"/>
      <c r="L1318" s="86"/>
      <c r="M1318" s="86"/>
      <c r="N1318" s="86"/>
      <c r="O1318" s="86"/>
      <c r="P1318" s="86"/>
      <c r="Q1318" s="86"/>
      <c r="R1318" s="86"/>
      <c r="S1318" s="86"/>
      <c r="T1318" s="86"/>
      <c r="U1318" s="86"/>
      <c r="V1318" s="86"/>
      <c r="W1318" s="86"/>
      <c r="X1318" s="86"/>
      <c r="Y1318" s="86"/>
      <c r="Z1318" s="86"/>
      <c r="AA1318" s="86"/>
      <c r="AB1318" s="86"/>
      <c r="AC1318" s="86"/>
      <c r="AD1318" s="86"/>
      <c r="AE1318" s="86"/>
      <c r="AF1318" s="86"/>
      <c r="AG1318" s="86"/>
      <c r="AH1318" s="86"/>
      <c r="AI1318" s="86"/>
      <c r="AJ1318" s="86"/>
    </row>
    <row r="1319" spans="1:36" x14ac:dyDescent="0.25">
      <c r="A1319" s="277"/>
      <c r="B1319" s="87"/>
      <c r="C1319" s="87"/>
      <c r="D1319" s="87"/>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row>
    <row r="1320" spans="1:36" x14ac:dyDescent="0.25">
      <c r="A1320" s="276"/>
      <c r="B1320" s="86"/>
      <c r="C1320" s="86"/>
      <c r="D1320" s="86"/>
      <c r="E1320" s="86"/>
      <c r="F1320" s="86"/>
      <c r="G1320" s="86"/>
      <c r="H1320" s="86"/>
      <c r="I1320" s="86"/>
      <c r="J1320" s="86"/>
      <c r="K1320" s="86"/>
      <c r="L1320" s="86"/>
      <c r="M1320" s="86"/>
      <c r="N1320" s="86"/>
      <c r="O1320" s="86"/>
      <c r="P1320" s="86"/>
      <c r="Q1320" s="86"/>
      <c r="R1320" s="86"/>
      <c r="S1320" s="86"/>
      <c r="T1320" s="86"/>
      <c r="U1320" s="86"/>
      <c r="V1320" s="86"/>
      <c r="W1320" s="86"/>
      <c r="X1320" s="86"/>
      <c r="Y1320" s="86"/>
      <c r="Z1320" s="86"/>
      <c r="AA1320" s="86"/>
      <c r="AB1320" s="86"/>
      <c r="AC1320" s="86"/>
      <c r="AD1320" s="86"/>
      <c r="AE1320" s="86"/>
      <c r="AF1320" s="86"/>
      <c r="AG1320" s="86"/>
      <c r="AH1320" s="86"/>
      <c r="AI1320" s="86"/>
      <c r="AJ1320" s="86"/>
    </row>
    <row r="1321" spans="1:36" x14ac:dyDescent="0.25">
      <c r="A1321" s="277"/>
      <c r="B1321" s="87"/>
      <c r="C1321" s="87"/>
      <c r="D1321" s="87"/>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row>
    <row r="1322" spans="1:36" x14ac:dyDescent="0.25">
      <c r="A1322" s="276"/>
      <c r="B1322" s="86"/>
      <c r="C1322" s="86"/>
      <c r="D1322" s="86"/>
      <c r="E1322" s="86"/>
      <c r="F1322" s="86"/>
      <c r="G1322" s="86"/>
      <c r="H1322" s="86"/>
      <c r="I1322" s="86"/>
      <c r="J1322" s="86"/>
      <c r="K1322" s="86"/>
      <c r="L1322" s="86"/>
      <c r="M1322" s="86"/>
      <c r="N1322" s="86"/>
      <c r="O1322" s="86"/>
      <c r="P1322" s="86"/>
      <c r="Q1322" s="86"/>
      <c r="R1322" s="86"/>
      <c r="S1322" s="86"/>
      <c r="T1322" s="86"/>
      <c r="U1322" s="86"/>
      <c r="V1322" s="86"/>
      <c r="W1322" s="86"/>
      <c r="X1322" s="86"/>
      <c r="Y1322" s="86"/>
      <c r="Z1322" s="86"/>
      <c r="AA1322" s="86"/>
      <c r="AB1322" s="86"/>
      <c r="AC1322" s="86"/>
      <c r="AD1322" s="86"/>
      <c r="AE1322" s="86"/>
      <c r="AF1322" s="86"/>
      <c r="AG1322" s="86"/>
      <c r="AH1322" s="86"/>
      <c r="AI1322" s="86"/>
      <c r="AJ1322" s="86"/>
    </row>
    <row r="1323" spans="1:36" x14ac:dyDescent="0.25">
      <c r="A1323" s="277"/>
      <c r="B1323" s="87"/>
      <c r="C1323" s="87"/>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row>
    <row r="1324" spans="1:36" x14ac:dyDescent="0.25">
      <c r="A1324" s="276"/>
      <c r="B1324" s="86"/>
      <c r="C1324" s="86"/>
      <c r="D1324" s="86"/>
      <c r="E1324" s="86"/>
      <c r="F1324" s="86"/>
      <c r="G1324" s="86"/>
      <c r="H1324" s="86"/>
      <c r="I1324" s="86"/>
      <c r="J1324" s="86"/>
      <c r="K1324" s="86"/>
      <c r="L1324" s="86"/>
      <c r="M1324" s="86"/>
      <c r="N1324" s="86"/>
      <c r="O1324" s="86"/>
      <c r="P1324" s="86"/>
      <c r="Q1324" s="86"/>
      <c r="R1324" s="86"/>
      <c r="S1324" s="86"/>
      <c r="T1324" s="86"/>
      <c r="U1324" s="86"/>
      <c r="V1324" s="86"/>
      <c r="W1324" s="86"/>
      <c r="X1324" s="86"/>
      <c r="Y1324" s="86"/>
      <c r="Z1324" s="86"/>
      <c r="AA1324" s="86"/>
      <c r="AB1324" s="86"/>
      <c r="AC1324" s="86"/>
      <c r="AD1324" s="86"/>
      <c r="AE1324" s="86"/>
      <c r="AF1324" s="86"/>
      <c r="AG1324" s="86"/>
      <c r="AH1324" s="86"/>
      <c r="AI1324" s="86"/>
      <c r="AJ1324" s="86"/>
    </row>
    <row r="1325" spans="1:36" x14ac:dyDescent="0.25">
      <c r="A1325" s="277"/>
      <c r="B1325" s="87"/>
      <c r="C1325" s="87"/>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row>
    <row r="1326" spans="1:36" x14ac:dyDescent="0.25">
      <c r="A1326" s="276"/>
      <c r="B1326" s="86"/>
      <c r="C1326" s="86"/>
      <c r="D1326" s="86"/>
      <c r="E1326" s="86"/>
      <c r="F1326" s="86"/>
      <c r="G1326" s="86"/>
      <c r="H1326" s="86"/>
      <c r="I1326" s="86"/>
      <c r="J1326" s="86"/>
      <c r="K1326" s="86"/>
      <c r="L1326" s="86"/>
      <c r="M1326" s="86"/>
      <c r="N1326" s="86"/>
      <c r="O1326" s="86"/>
      <c r="P1326" s="86"/>
      <c r="Q1326" s="86"/>
      <c r="R1326" s="86"/>
      <c r="S1326" s="86"/>
      <c r="T1326" s="86"/>
      <c r="U1326" s="86"/>
      <c r="V1326" s="86"/>
      <c r="W1326" s="86"/>
      <c r="X1326" s="86"/>
      <c r="Y1326" s="86"/>
      <c r="Z1326" s="86"/>
      <c r="AA1326" s="86"/>
      <c r="AB1326" s="86"/>
      <c r="AC1326" s="86"/>
      <c r="AD1326" s="86"/>
      <c r="AE1326" s="86"/>
      <c r="AF1326" s="86"/>
      <c r="AG1326" s="86"/>
      <c r="AH1326" s="86"/>
      <c r="AI1326" s="86"/>
      <c r="AJ1326" s="86"/>
    </row>
    <row r="1327" spans="1:36" x14ac:dyDescent="0.25">
      <c r="A1327" s="277"/>
      <c r="B1327" s="87"/>
      <c r="C1327" s="87"/>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row>
    <row r="1328" spans="1:36" x14ac:dyDescent="0.25">
      <c r="A1328" s="276"/>
      <c r="B1328" s="86"/>
      <c r="C1328" s="86"/>
      <c r="D1328" s="86"/>
      <c r="E1328" s="86"/>
      <c r="F1328" s="86"/>
      <c r="G1328" s="86"/>
      <c r="H1328" s="86"/>
      <c r="I1328" s="86"/>
      <c r="J1328" s="86"/>
      <c r="K1328" s="86"/>
      <c r="L1328" s="86"/>
      <c r="M1328" s="86"/>
      <c r="N1328" s="86"/>
      <c r="O1328" s="86"/>
      <c r="P1328" s="86"/>
      <c r="Q1328" s="86"/>
      <c r="R1328" s="86"/>
      <c r="S1328" s="86"/>
      <c r="T1328" s="86"/>
      <c r="U1328" s="86"/>
      <c r="V1328" s="86"/>
      <c r="W1328" s="86"/>
      <c r="X1328" s="86"/>
      <c r="Y1328" s="86"/>
      <c r="Z1328" s="86"/>
      <c r="AA1328" s="86"/>
      <c r="AB1328" s="86"/>
      <c r="AC1328" s="86"/>
      <c r="AD1328" s="86"/>
      <c r="AE1328" s="86"/>
      <c r="AF1328" s="86"/>
      <c r="AG1328" s="86"/>
      <c r="AH1328" s="86"/>
      <c r="AI1328" s="86"/>
      <c r="AJ1328" s="86"/>
    </row>
    <row r="1329" spans="1:36" x14ac:dyDescent="0.25">
      <c r="A1329" s="277"/>
      <c r="B1329" s="87"/>
      <c r="C1329" s="87"/>
      <c r="D1329" s="87"/>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row>
    <row r="1330" spans="1:36" x14ac:dyDescent="0.25">
      <c r="A1330" s="276"/>
      <c r="B1330" s="86"/>
      <c r="C1330" s="86"/>
      <c r="D1330" s="86"/>
      <c r="E1330" s="86"/>
      <c r="F1330" s="86"/>
      <c r="G1330" s="86"/>
      <c r="H1330" s="86"/>
      <c r="I1330" s="86"/>
      <c r="J1330" s="86"/>
      <c r="K1330" s="86"/>
      <c r="L1330" s="86"/>
      <c r="M1330" s="86"/>
      <c r="N1330" s="86"/>
      <c r="O1330" s="86"/>
      <c r="P1330" s="86"/>
      <c r="Q1330" s="86"/>
      <c r="R1330" s="86"/>
      <c r="S1330" s="86"/>
      <c r="T1330" s="86"/>
      <c r="U1330" s="86"/>
      <c r="V1330" s="86"/>
      <c r="W1330" s="86"/>
      <c r="X1330" s="86"/>
      <c r="Y1330" s="86"/>
      <c r="Z1330" s="86"/>
      <c r="AA1330" s="86"/>
      <c r="AB1330" s="86"/>
      <c r="AC1330" s="86"/>
      <c r="AD1330" s="86"/>
      <c r="AE1330" s="86"/>
      <c r="AF1330" s="86"/>
      <c r="AG1330" s="86"/>
      <c r="AH1330" s="86"/>
      <c r="AI1330" s="86"/>
      <c r="AJ1330" s="86"/>
    </row>
    <row r="1331" spans="1:36" x14ac:dyDescent="0.25">
      <c r="A1331" s="277"/>
      <c r="B1331" s="87"/>
      <c r="C1331" s="87"/>
      <c r="D1331" s="87"/>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row>
    <row r="1332" spans="1:36" x14ac:dyDescent="0.25">
      <c r="A1332" s="276"/>
      <c r="B1332" s="86"/>
      <c r="C1332" s="86"/>
      <c r="D1332" s="86"/>
      <c r="E1332" s="86"/>
      <c r="F1332" s="86"/>
      <c r="G1332" s="86"/>
      <c r="H1332" s="86"/>
      <c r="I1332" s="86"/>
      <c r="J1332" s="86"/>
      <c r="K1332" s="86"/>
      <c r="L1332" s="86"/>
      <c r="M1332" s="86"/>
      <c r="N1332" s="86"/>
      <c r="O1332" s="86"/>
      <c r="P1332" s="86"/>
      <c r="Q1332" s="86"/>
      <c r="R1332" s="86"/>
      <c r="S1332" s="86"/>
      <c r="T1332" s="86"/>
      <c r="U1332" s="86"/>
      <c r="V1332" s="86"/>
      <c r="W1332" s="86"/>
      <c r="X1332" s="86"/>
      <c r="Y1332" s="86"/>
      <c r="Z1332" s="86"/>
      <c r="AA1332" s="86"/>
      <c r="AB1332" s="86"/>
      <c r="AC1332" s="86"/>
      <c r="AD1332" s="86"/>
      <c r="AE1332" s="86"/>
      <c r="AF1332" s="86"/>
      <c r="AG1332" s="86"/>
      <c r="AH1332" s="86"/>
      <c r="AI1332" s="86"/>
      <c r="AJ1332" s="86"/>
    </row>
    <row r="1333" spans="1:36" x14ac:dyDescent="0.25">
      <c r="A1333" s="277"/>
      <c r="B1333" s="87"/>
      <c r="C1333" s="87"/>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row>
    <row r="1334" spans="1:36" x14ac:dyDescent="0.25">
      <c r="A1334" s="276"/>
      <c r="B1334" s="86"/>
      <c r="C1334" s="86"/>
      <c r="D1334" s="86"/>
      <c r="E1334" s="86"/>
      <c r="F1334" s="86"/>
      <c r="G1334" s="86"/>
      <c r="H1334" s="86"/>
      <c r="I1334" s="86"/>
      <c r="J1334" s="86"/>
      <c r="K1334" s="86"/>
      <c r="L1334" s="86"/>
      <c r="M1334" s="86"/>
      <c r="N1334" s="86"/>
      <c r="O1334" s="86"/>
      <c r="P1334" s="86"/>
      <c r="Q1334" s="86"/>
      <c r="R1334" s="86"/>
      <c r="S1334" s="86"/>
      <c r="T1334" s="86"/>
      <c r="U1334" s="86"/>
      <c r="V1334" s="86"/>
      <c r="W1334" s="86"/>
      <c r="X1334" s="86"/>
      <c r="Y1334" s="86"/>
      <c r="Z1334" s="86"/>
      <c r="AA1334" s="86"/>
      <c r="AB1334" s="86"/>
      <c r="AC1334" s="86"/>
      <c r="AD1334" s="86"/>
      <c r="AE1334" s="86"/>
      <c r="AF1334" s="86"/>
      <c r="AG1334" s="86"/>
      <c r="AH1334" s="86"/>
      <c r="AI1334" s="86"/>
      <c r="AJ1334" s="86"/>
    </row>
    <row r="1335" spans="1:36" x14ac:dyDescent="0.25">
      <c r="A1335" s="277"/>
      <c r="B1335" s="87"/>
      <c r="C1335" s="87"/>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row>
    <row r="1336" spans="1:36" x14ac:dyDescent="0.25">
      <c r="A1336" s="276"/>
      <c r="B1336" s="86"/>
      <c r="C1336" s="86"/>
      <c r="D1336" s="86"/>
      <c r="E1336" s="86"/>
      <c r="F1336" s="86"/>
      <c r="G1336" s="86"/>
      <c r="H1336" s="86"/>
      <c r="I1336" s="86"/>
      <c r="J1336" s="86"/>
      <c r="K1336" s="86"/>
      <c r="L1336" s="86"/>
      <c r="M1336" s="86"/>
      <c r="N1336" s="86"/>
      <c r="O1336" s="86"/>
      <c r="P1336" s="86"/>
      <c r="Q1336" s="86"/>
      <c r="R1336" s="86"/>
      <c r="S1336" s="86"/>
      <c r="T1336" s="86"/>
      <c r="U1336" s="86"/>
      <c r="V1336" s="86"/>
      <c r="W1336" s="86"/>
      <c r="X1336" s="86"/>
      <c r="Y1336" s="86"/>
      <c r="Z1336" s="86"/>
      <c r="AA1336" s="86"/>
      <c r="AB1336" s="86"/>
      <c r="AC1336" s="86"/>
      <c r="AD1336" s="86"/>
      <c r="AE1336" s="86"/>
      <c r="AF1336" s="86"/>
      <c r="AG1336" s="86"/>
      <c r="AH1336" s="86"/>
      <c r="AI1336" s="86"/>
      <c r="AJ1336" s="86"/>
    </row>
    <row r="1337" spans="1:36" x14ac:dyDescent="0.25">
      <c r="A1337" s="277"/>
      <c r="B1337" s="87"/>
      <c r="C1337" s="87"/>
      <c r="D1337" s="87"/>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row>
    <row r="1338" spans="1:36" x14ac:dyDescent="0.25">
      <c r="A1338" s="276"/>
      <c r="B1338" s="86"/>
      <c r="C1338" s="86"/>
      <c r="D1338" s="86"/>
      <c r="E1338" s="86"/>
      <c r="F1338" s="86"/>
      <c r="G1338" s="86"/>
      <c r="H1338" s="86"/>
      <c r="I1338" s="86"/>
      <c r="J1338" s="86"/>
      <c r="K1338" s="86"/>
      <c r="L1338" s="86"/>
      <c r="M1338" s="86"/>
      <c r="N1338" s="86"/>
      <c r="O1338" s="86"/>
      <c r="P1338" s="86"/>
      <c r="Q1338" s="86"/>
      <c r="R1338" s="86"/>
      <c r="S1338" s="86"/>
      <c r="T1338" s="86"/>
      <c r="U1338" s="86"/>
      <c r="V1338" s="86"/>
      <c r="W1338" s="86"/>
      <c r="X1338" s="86"/>
      <c r="Y1338" s="86"/>
      <c r="Z1338" s="86"/>
      <c r="AA1338" s="86"/>
      <c r="AB1338" s="86"/>
      <c r="AC1338" s="86"/>
      <c r="AD1338" s="86"/>
      <c r="AE1338" s="86"/>
      <c r="AF1338" s="86"/>
      <c r="AG1338" s="86"/>
      <c r="AH1338" s="86"/>
      <c r="AI1338" s="86"/>
      <c r="AJ1338" s="86"/>
    </row>
    <row r="1339" spans="1:36" x14ac:dyDescent="0.25">
      <c r="A1339" s="277"/>
      <c r="B1339" s="87"/>
      <c r="C1339" s="87"/>
      <c r="D1339" s="87"/>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row>
    <row r="1340" spans="1:36" x14ac:dyDescent="0.25">
      <c r="A1340" s="276"/>
      <c r="B1340" s="86"/>
      <c r="C1340" s="86"/>
      <c r="D1340" s="86"/>
      <c r="E1340" s="86"/>
      <c r="F1340" s="86"/>
      <c r="G1340" s="86"/>
      <c r="H1340" s="86"/>
      <c r="I1340" s="86"/>
      <c r="J1340" s="86"/>
      <c r="K1340" s="86"/>
      <c r="L1340" s="86"/>
      <c r="M1340" s="86"/>
      <c r="N1340" s="86"/>
      <c r="O1340" s="86"/>
      <c r="P1340" s="86"/>
      <c r="Q1340" s="86"/>
      <c r="R1340" s="86"/>
      <c r="S1340" s="86"/>
      <c r="T1340" s="86"/>
      <c r="U1340" s="86"/>
      <c r="V1340" s="86"/>
      <c r="W1340" s="86"/>
      <c r="X1340" s="86"/>
      <c r="Y1340" s="86"/>
      <c r="Z1340" s="86"/>
      <c r="AA1340" s="86"/>
      <c r="AB1340" s="86"/>
      <c r="AC1340" s="86"/>
      <c r="AD1340" s="86"/>
      <c r="AE1340" s="86"/>
      <c r="AF1340" s="86"/>
      <c r="AG1340" s="86"/>
      <c r="AH1340" s="86"/>
      <c r="AI1340" s="86"/>
      <c r="AJ1340" s="86"/>
    </row>
    <row r="1341" spans="1:36" x14ac:dyDescent="0.25">
      <c r="A1341" s="277"/>
      <c r="B1341" s="87"/>
      <c r="C1341" s="87"/>
      <c r="D1341" s="87"/>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row>
    <row r="1342" spans="1:36" x14ac:dyDescent="0.25">
      <c r="A1342" s="276"/>
      <c r="B1342" s="86"/>
      <c r="C1342" s="86"/>
      <c r="D1342" s="86"/>
      <c r="E1342" s="86"/>
      <c r="F1342" s="86"/>
      <c r="G1342" s="86"/>
      <c r="H1342" s="86"/>
      <c r="I1342" s="86"/>
      <c r="J1342" s="86"/>
      <c r="K1342" s="86"/>
      <c r="L1342" s="86"/>
      <c r="M1342" s="86"/>
      <c r="N1342" s="86"/>
      <c r="O1342" s="86"/>
      <c r="P1342" s="86"/>
      <c r="Q1342" s="86"/>
      <c r="R1342" s="86"/>
      <c r="S1342" s="86"/>
      <c r="T1342" s="86"/>
      <c r="U1342" s="86"/>
      <c r="V1342" s="86"/>
      <c r="W1342" s="86"/>
      <c r="X1342" s="86"/>
      <c r="Y1342" s="86"/>
      <c r="Z1342" s="86"/>
      <c r="AA1342" s="86"/>
      <c r="AB1342" s="86"/>
      <c r="AC1342" s="86"/>
      <c r="AD1342" s="86"/>
      <c r="AE1342" s="86"/>
      <c r="AF1342" s="86"/>
      <c r="AG1342" s="86"/>
      <c r="AH1342" s="86"/>
      <c r="AI1342" s="86"/>
      <c r="AJ1342" s="86"/>
    </row>
    <row r="1343" spans="1:36" x14ac:dyDescent="0.25">
      <c r="A1343" s="277"/>
      <c r="B1343" s="87"/>
      <c r="C1343" s="87"/>
      <c r="D1343" s="87"/>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row>
    <row r="1344" spans="1:36" x14ac:dyDescent="0.25">
      <c r="A1344" s="276"/>
      <c r="B1344" s="86"/>
      <c r="C1344" s="86"/>
      <c r="D1344" s="86"/>
      <c r="E1344" s="86"/>
      <c r="F1344" s="86"/>
      <c r="G1344" s="86"/>
      <c r="H1344" s="86"/>
      <c r="I1344" s="86"/>
      <c r="J1344" s="86"/>
      <c r="K1344" s="86"/>
      <c r="L1344" s="86"/>
      <c r="M1344" s="86"/>
      <c r="N1344" s="86"/>
      <c r="O1344" s="86"/>
      <c r="P1344" s="86"/>
      <c r="Q1344" s="86"/>
      <c r="R1344" s="86"/>
      <c r="S1344" s="86"/>
      <c r="T1344" s="86"/>
      <c r="U1344" s="86"/>
      <c r="V1344" s="86"/>
      <c r="W1344" s="86"/>
      <c r="X1344" s="86"/>
      <c r="Y1344" s="86"/>
      <c r="Z1344" s="86"/>
      <c r="AA1344" s="86"/>
      <c r="AB1344" s="86"/>
      <c r="AC1344" s="86"/>
      <c r="AD1344" s="86"/>
      <c r="AE1344" s="86"/>
      <c r="AF1344" s="86"/>
      <c r="AG1344" s="86"/>
      <c r="AH1344" s="86"/>
      <c r="AI1344" s="86"/>
      <c r="AJ1344" s="86"/>
    </row>
    <row r="1345" spans="1:36" x14ac:dyDescent="0.25">
      <c r="A1345" s="277"/>
      <c r="B1345" s="87"/>
      <c r="C1345" s="87"/>
      <c r="D1345" s="87"/>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row>
    <row r="1346" spans="1:36" x14ac:dyDescent="0.25">
      <c r="A1346" s="276"/>
      <c r="B1346" s="86"/>
      <c r="C1346" s="86"/>
      <c r="D1346" s="86"/>
      <c r="E1346" s="86"/>
      <c r="F1346" s="86"/>
      <c r="G1346" s="86"/>
      <c r="H1346" s="86"/>
      <c r="I1346" s="86"/>
      <c r="J1346" s="86"/>
      <c r="K1346" s="86"/>
      <c r="L1346" s="86"/>
      <c r="M1346" s="86"/>
      <c r="N1346" s="86"/>
      <c r="O1346" s="86"/>
      <c r="P1346" s="86"/>
      <c r="Q1346" s="86"/>
      <c r="R1346" s="86"/>
      <c r="S1346" s="86"/>
      <c r="T1346" s="86"/>
      <c r="U1346" s="86"/>
      <c r="V1346" s="86"/>
      <c r="W1346" s="86"/>
      <c r="X1346" s="86"/>
      <c r="Y1346" s="86"/>
      <c r="Z1346" s="86"/>
      <c r="AA1346" s="86"/>
      <c r="AB1346" s="86"/>
      <c r="AC1346" s="86"/>
      <c r="AD1346" s="86"/>
      <c r="AE1346" s="86"/>
      <c r="AF1346" s="86"/>
      <c r="AG1346" s="86"/>
      <c r="AH1346" s="86"/>
      <c r="AI1346" s="86"/>
      <c r="AJ1346" s="86"/>
    </row>
    <row r="1347" spans="1:36" x14ac:dyDescent="0.25">
      <c r="A1347" s="277"/>
      <c r="B1347" s="87"/>
      <c r="C1347" s="87"/>
      <c r="D1347" s="87"/>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row>
    <row r="1348" spans="1:36" x14ac:dyDescent="0.25">
      <c r="A1348" s="276"/>
      <c r="B1348" s="86"/>
      <c r="C1348" s="86"/>
      <c r="D1348" s="86"/>
      <c r="E1348" s="86"/>
      <c r="F1348" s="86"/>
      <c r="G1348" s="86"/>
      <c r="H1348" s="86"/>
      <c r="I1348" s="86"/>
      <c r="J1348" s="86"/>
      <c r="K1348" s="86"/>
      <c r="L1348" s="86"/>
      <c r="M1348" s="86"/>
      <c r="N1348" s="86"/>
      <c r="O1348" s="86"/>
      <c r="P1348" s="86"/>
      <c r="Q1348" s="86"/>
      <c r="R1348" s="86"/>
      <c r="S1348" s="86"/>
      <c r="T1348" s="86"/>
      <c r="U1348" s="86"/>
      <c r="V1348" s="86"/>
      <c r="W1348" s="86"/>
      <c r="X1348" s="86"/>
      <c r="Y1348" s="86"/>
      <c r="Z1348" s="86"/>
      <c r="AA1348" s="86"/>
      <c r="AB1348" s="86"/>
      <c r="AC1348" s="86"/>
      <c r="AD1348" s="86"/>
      <c r="AE1348" s="86"/>
      <c r="AF1348" s="86"/>
      <c r="AG1348" s="86"/>
      <c r="AH1348" s="86"/>
      <c r="AI1348" s="86"/>
      <c r="AJ1348" s="86"/>
    </row>
    <row r="1349" spans="1:36" x14ac:dyDescent="0.25">
      <c r="A1349" s="277"/>
      <c r="B1349" s="87"/>
      <c r="C1349" s="87"/>
      <c r="D1349" s="87"/>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row>
    <row r="1350" spans="1:36" x14ac:dyDescent="0.25">
      <c r="A1350" s="276"/>
      <c r="B1350" s="86"/>
      <c r="C1350" s="86"/>
      <c r="D1350" s="86"/>
      <c r="E1350" s="86"/>
      <c r="F1350" s="86"/>
      <c r="G1350" s="86"/>
      <c r="H1350" s="86"/>
      <c r="I1350" s="86"/>
      <c r="J1350" s="86"/>
      <c r="K1350" s="86"/>
      <c r="L1350" s="86"/>
      <c r="M1350" s="86"/>
      <c r="N1350" s="86"/>
      <c r="O1350" s="86"/>
      <c r="P1350" s="86"/>
      <c r="Q1350" s="86"/>
      <c r="R1350" s="86"/>
      <c r="S1350" s="86"/>
      <c r="T1350" s="86"/>
      <c r="U1350" s="86"/>
      <c r="V1350" s="86"/>
      <c r="W1350" s="86"/>
      <c r="X1350" s="86"/>
      <c r="Y1350" s="86"/>
      <c r="Z1350" s="86"/>
      <c r="AA1350" s="86"/>
      <c r="AB1350" s="86"/>
      <c r="AC1350" s="86"/>
      <c r="AD1350" s="86"/>
      <c r="AE1350" s="86"/>
      <c r="AF1350" s="86"/>
      <c r="AG1350" s="86"/>
      <c r="AH1350" s="86"/>
      <c r="AI1350" s="86"/>
      <c r="AJ1350" s="86"/>
    </row>
    <row r="1351" spans="1:36" x14ac:dyDescent="0.25">
      <c r="A1351" s="277"/>
      <c r="B1351" s="87"/>
      <c r="C1351" s="87"/>
      <c r="D1351" s="87"/>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row>
    <row r="1352" spans="1:36" x14ac:dyDescent="0.25">
      <c r="A1352" s="276"/>
      <c r="B1352" s="86"/>
      <c r="C1352" s="86"/>
      <c r="D1352" s="86"/>
      <c r="E1352" s="86"/>
      <c r="F1352" s="86"/>
      <c r="G1352" s="86"/>
      <c r="H1352" s="86"/>
      <c r="I1352" s="86"/>
      <c r="J1352" s="86"/>
      <c r="K1352" s="86"/>
      <c r="L1352" s="86"/>
      <c r="M1352" s="86"/>
      <c r="N1352" s="86"/>
      <c r="O1352" s="86"/>
      <c r="P1352" s="86"/>
      <c r="Q1352" s="86"/>
      <c r="R1352" s="86"/>
      <c r="S1352" s="86"/>
      <c r="T1352" s="86"/>
      <c r="U1352" s="86"/>
      <c r="V1352" s="86"/>
      <c r="W1352" s="86"/>
      <c r="X1352" s="86"/>
      <c r="Y1352" s="86"/>
      <c r="Z1352" s="86"/>
      <c r="AA1352" s="86"/>
      <c r="AB1352" s="86"/>
      <c r="AC1352" s="86"/>
      <c r="AD1352" s="86"/>
      <c r="AE1352" s="86"/>
      <c r="AF1352" s="86"/>
      <c r="AG1352" s="86"/>
      <c r="AH1352" s="86"/>
      <c r="AI1352" s="86"/>
      <c r="AJ1352" s="86"/>
    </row>
    <row r="1353" spans="1:36" x14ac:dyDescent="0.25">
      <c r="A1353" s="277"/>
      <c r="B1353" s="87"/>
      <c r="C1353" s="87"/>
      <c r="D1353" s="87"/>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row>
    <row r="1354" spans="1:36" x14ac:dyDescent="0.25">
      <c r="A1354" s="276"/>
      <c r="B1354" s="86"/>
      <c r="C1354" s="86"/>
      <c r="D1354" s="86"/>
      <c r="E1354" s="86"/>
      <c r="F1354" s="86"/>
      <c r="G1354" s="86"/>
      <c r="H1354" s="86"/>
      <c r="I1354" s="86"/>
      <c r="J1354" s="86"/>
      <c r="K1354" s="86"/>
      <c r="L1354" s="86"/>
      <c r="M1354" s="86"/>
      <c r="N1354" s="86"/>
      <c r="O1354" s="86"/>
      <c r="P1354" s="86"/>
      <c r="Q1354" s="86"/>
      <c r="R1354" s="86"/>
      <c r="S1354" s="86"/>
      <c r="T1354" s="86"/>
      <c r="U1354" s="86"/>
      <c r="V1354" s="86"/>
      <c r="W1354" s="86"/>
      <c r="X1354" s="86"/>
      <c r="Y1354" s="86"/>
      <c r="Z1354" s="86"/>
      <c r="AA1354" s="86"/>
      <c r="AB1354" s="86"/>
      <c r="AC1354" s="86"/>
      <c r="AD1354" s="86"/>
      <c r="AE1354" s="86"/>
      <c r="AF1354" s="86"/>
      <c r="AG1354" s="86"/>
      <c r="AH1354" s="86"/>
      <c r="AI1354" s="86"/>
      <c r="AJ1354" s="86"/>
    </row>
    <row r="1355" spans="1:36" x14ac:dyDescent="0.25">
      <c r="A1355" s="277"/>
      <c r="B1355" s="87"/>
      <c r="C1355" s="87"/>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row>
    <row r="1356" spans="1:36" x14ac:dyDescent="0.25">
      <c r="A1356" s="276"/>
      <c r="B1356" s="86"/>
      <c r="C1356" s="86"/>
      <c r="D1356" s="86"/>
      <c r="E1356" s="86"/>
      <c r="F1356" s="86"/>
      <c r="G1356" s="86"/>
      <c r="H1356" s="86"/>
      <c r="I1356" s="86"/>
      <c r="J1356" s="86"/>
      <c r="K1356" s="86"/>
      <c r="L1356" s="86"/>
      <c r="M1356" s="86"/>
      <c r="N1356" s="86"/>
      <c r="O1356" s="86"/>
      <c r="P1356" s="86"/>
      <c r="Q1356" s="86"/>
      <c r="R1356" s="86"/>
      <c r="S1356" s="86"/>
      <c r="T1356" s="86"/>
      <c r="U1356" s="86"/>
      <c r="V1356" s="86"/>
      <c r="W1356" s="86"/>
      <c r="X1356" s="86"/>
      <c r="Y1356" s="86"/>
      <c r="Z1356" s="86"/>
      <c r="AA1356" s="86"/>
      <c r="AB1356" s="86"/>
      <c r="AC1356" s="86"/>
      <c r="AD1356" s="86"/>
      <c r="AE1356" s="86"/>
      <c r="AF1356" s="86"/>
      <c r="AG1356" s="86"/>
      <c r="AH1356" s="86"/>
      <c r="AI1356" s="86"/>
      <c r="AJ1356" s="86"/>
    </row>
    <row r="1357" spans="1:36" x14ac:dyDescent="0.25">
      <c r="A1357" s="277"/>
      <c r="B1357" s="87"/>
      <c r="C1357" s="87"/>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row>
    <row r="1358" spans="1:36" x14ac:dyDescent="0.25">
      <c r="A1358" s="276"/>
      <c r="B1358" s="86"/>
      <c r="C1358" s="86"/>
      <c r="D1358" s="86"/>
      <c r="E1358" s="86"/>
      <c r="F1358" s="86"/>
      <c r="G1358" s="86"/>
      <c r="H1358" s="86"/>
      <c r="I1358" s="86"/>
      <c r="J1358" s="86"/>
      <c r="K1358" s="86"/>
      <c r="L1358" s="86"/>
      <c r="M1358" s="86"/>
      <c r="N1358" s="86"/>
      <c r="O1358" s="86"/>
      <c r="P1358" s="86"/>
      <c r="Q1358" s="86"/>
      <c r="R1358" s="86"/>
      <c r="S1358" s="86"/>
      <c r="T1358" s="86"/>
      <c r="U1358" s="86"/>
      <c r="V1358" s="86"/>
      <c r="W1358" s="86"/>
      <c r="X1358" s="86"/>
      <c r="Y1358" s="86"/>
      <c r="Z1358" s="86"/>
      <c r="AA1358" s="86"/>
      <c r="AB1358" s="86"/>
      <c r="AC1358" s="86"/>
      <c r="AD1358" s="86"/>
      <c r="AE1358" s="86"/>
      <c r="AF1358" s="86"/>
      <c r="AG1358" s="86"/>
      <c r="AH1358" s="86"/>
      <c r="AI1358" s="86"/>
      <c r="AJ1358" s="86"/>
    </row>
    <row r="1359" spans="1:36" x14ac:dyDescent="0.25">
      <c r="A1359" s="277"/>
      <c r="B1359" s="87"/>
      <c r="C1359" s="87"/>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row>
    <row r="1360" spans="1:36" x14ac:dyDescent="0.25">
      <c r="A1360" s="276"/>
      <c r="B1360" s="86"/>
      <c r="C1360" s="86"/>
      <c r="D1360" s="86"/>
      <c r="E1360" s="86"/>
      <c r="F1360" s="86"/>
      <c r="G1360" s="86"/>
      <c r="H1360" s="86"/>
      <c r="I1360" s="86"/>
      <c r="J1360" s="86"/>
      <c r="K1360" s="86"/>
      <c r="L1360" s="86"/>
      <c r="M1360" s="86"/>
      <c r="N1360" s="86"/>
      <c r="O1360" s="86"/>
      <c r="P1360" s="86"/>
      <c r="Q1360" s="86"/>
      <c r="R1360" s="86"/>
      <c r="S1360" s="86"/>
      <c r="T1360" s="86"/>
      <c r="U1360" s="86"/>
      <c r="V1360" s="86"/>
      <c r="W1360" s="86"/>
      <c r="X1360" s="86"/>
      <c r="Y1360" s="86"/>
      <c r="Z1360" s="86"/>
      <c r="AA1360" s="86"/>
      <c r="AB1360" s="86"/>
      <c r="AC1360" s="86"/>
      <c r="AD1360" s="86"/>
      <c r="AE1360" s="86"/>
      <c r="AF1360" s="86"/>
      <c r="AG1360" s="86"/>
      <c r="AH1360" s="86"/>
      <c r="AI1360" s="86"/>
      <c r="AJ1360" s="86"/>
    </row>
    <row r="1361" spans="1:36" x14ac:dyDescent="0.25">
      <c r="A1361" s="277"/>
      <c r="B1361" s="87"/>
      <c r="C1361" s="87"/>
      <c r="D1361" s="87"/>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row>
    <row r="1362" spans="1:36" x14ac:dyDescent="0.25">
      <c r="A1362" s="276"/>
      <c r="B1362" s="86"/>
      <c r="C1362" s="86"/>
      <c r="D1362" s="86"/>
      <c r="E1362" s="86"/>
      <c r="F1362" s="86"/>
      <c r="G1362" s="86"/>
      <c r="H1362" s="86"/>
      <c r="I1362" s="86"/>
      <c r="J1362" s="86"/>
      <c r="K1362" s="86"/>
      <c r="L1362" s="86"/>
      <c r="M1362" s="86"/>
      <c r="N1362" s="86"/>
      <c r="O1362" s="86"/>
      <c r="P1362" s="86"/>
      <c r="Q1362" s="86"/>
      <c r="R1362" s="86"/>
      <c r="S1362" s="86"/>
      <c r="T1362" s="86"/>
      <c r="U1362" s="86"/>
      <c r="V1362" s="86"/>
      <c r="W1362" s="86"/>
      <c r="X1362" s="86"/>
      <c r="Y1362" s="86"/>
      <c r="Z1362" s="86"/>
      <c r="AA1362" s="86"/>
      <c r="AB1362" s="86"/>
      <c r="AC1362" s="86"/>
      <c r="AD1362" s="86"/>
      <c r="AE1362" s="86"/>
      <c r="AF1362" s="86"/>
      <c r="AG1362" s="86"/>
      <c r="AH1362" s="86"/>
      <c r="AI1362" s="86"/>
      <c r="AJ1362" s="86"/>
    </row>
    <row r="1363" spans="1:36" x14ac:dyDescent="0.25">
      <c r="A1363" s="277"/>
      <c r="B1363" s="87"/>
      <c r="C1363" s="87"/>
      <c r="D1363" s="87"/>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row>
    <row r="1364" spans="1:36" x14ac:dyDescent="0.25">
      <c r="A1364" s="276"/>
      <c r="B1364" s="86"/>
      <c r="C1364" s="86"/>
      <c r="D1364" s="86"/>
      <c r="E1364" s="86"/>
      <c r="F1364" s="86"/>
      <c r="G1364" s="86"/>
      <c r="H1364" s="86"/>
      <c r="I1364" s="86"/>
      <c r="J1364" s="86"/>
      <c r="K1364" s="86"/>
      <c r="L1364" s="86"/>
      <c r="M1364" s="86"/>
      <c r="N1364" s="86"/>
      <c r="O1364" s="86"/>
      <c r="P1364" s="86"/>
      <c r="Q1364" s="86"/>
      <c r="R1364" s="86"/>
      <c r="S1364" s="86"/>
      <c r="T1364" s="86"/>
      <c r="U1364" s="86"/>
      <c r="V1364" s="86"/>
      <c r="W1364" s="86"/>
      <c r="X1364" s="86"/>
      <c r="Y1364" s="86"/>
      <c r="Z1364" s="86"/>
      <c r="AA1364" s="86"/>
      <c r="AB1364" s="86"/>
      <c r="AC1364" s="86"/>
      <c r="AD1364" s="86"/>
      <c r="AE1364" s="86"/>
      <c r="AF1364" s="86"/>
      <c r="AG1364" s="86"/>
      <c r="AH1364" s="86"/>
      <c r="AI1364" s="86"/>
      <c r="AJ1364" s="86"/>
    </row>
    <row r="1365" spans="1:36" x14ac:dyDescent="0.25">
      <c r="A1365" s="277"/>
      <c r="B1365" s="87"/>
      <c r="C1365" s="87"/>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row>
    <row r="1366" spans="1:36" x14ac:dyDescent="0.25">
      <c r="A1366" s="276"/>
      <c r="B1366" s="86"/>
      <c r="C1366" s="86"/>
      <c r="D1366" s="86"/>
      <c r="E1366" s="86"/>
      <c r="F1366" s="86"/>
      <c r="G1366" s="86"/>
      <c r="H1366" s="86"/>
      <c r="I1366" s="86"/>
      <c r="J1366" s="86"/>
      <c r="K1366" s="86"/>
      <c r="L1366" s="86"/>
      <c r="M1366" s="86"/>
      <c r="N1366" s="86"/>
      <c r="O1366" s="86"/>
      <c r="P1366" s="86"/>
      <c r="Q1366" s="86"/>
      <c r="R1366" s="86"/>
      <c r="S1366" s="86"/>
      <c r="T1366" s="86"/>
      <c r="U1366" s="86"/>
      <c r="V1366" s="86"/>
      <c r="W1366" s="86"/>
      <c r="X1366" s="86"/>
      <c r="Y1366" s="86"/>
      <c r="Z1366" s="86"/>
      <c r="AA1366" s="86"/>
      <c r="AB1366" s="86"/>
      <c r="AC1366" s="86"/>
      <c r="AD1366" s="86"/>
      <c r="AE1366" s="86"/>
      <c r="AF1366" s="86"/>
      <c r="AG1366" s="86"/>
      <c r="AH1366" s="86"/>
      <c r="AI1366" s="86"/>
      <c r="AJ1366" s="86"/>
    </row>
    <row r="1367" spans="1:36" x14ac:dyDescent="0.25">
      <c r="A1367" s="277"/>
      <c r="B1367" s="87"/>
      <c r="C1367" s="87"/>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row>
    <row r="1368" spans="1:36" x14ac:dyDescent="0.25">
      <c r="A1368" s="276"/>
      <c r="B1368" s="86"/>
      <c r="C1368" s="86"/>
      <c r="D1368" s="86"/>
      <c r="E1368" s="86"/>
      <c r="F1368" s="86"/>
      <c r="G1368" s="86"/>
      <c r="H1368" s="86"/>
      <c r="I1368" s="86"/>
      <c r="J1368" s="86"/>
      <c r="K1368" s="86"/>
      <c r="L1368" s="86"/>
      <c r="M1368" s="86"/>
      <c r="N1368" s="86"/>
      <c r="O1368" s="86"/>
      <c r="P1368" s="86"/>
      <c r="Q1368" s="86"/>
      <c r="R1368" s="86"/>
      <c r="S1368" s="86"/>
      <c r="T1368" s="86"/>
      <c r="U1368" s="86"/>
      <c r="V1368" s="86"/>
      <c r="W1368" s="86"/>
      <c r="X1368" s="86"/>
      <c r="Y1368" s="86"/>
      <c r="Z1368" s="86"/>
      <c r="AA1368" s="86"/>
      <c r="AB1368" s="86"/>
      <c r="AC1368" s="86"/>
      <c r="AD1368" s="86"/>
      <c r="AE1368" s="86"/>
      <c r="AF1368" s="86"/>
      <c r="AG1368" s="86"/>
      <c r="AH1368" s="86"/>
      <c r="AI1368" s="86"/>
      <c r="AJ1368" s="86"/>
    </row>
    <row r="1369" spans="1:36" x14ac:dyDescent="0.25">
      <c r="A1369" s="277"/>
      <c r="B1369" s="87"/>
      <c r="C1369" s="87"/>
      <c r="D1369" s="87"/>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row>
    <row r="1370" spans="1:36" x14ac:dyDescent="0.25">
      <c r="A1370" s="276"/>
      <c r="B1370" s="86"/>
      <c r="C1370" s="86"/>
      <c r="D1370" s="86"/>
      <c r="E1370" s="86"/>
      <c r="F1370" s="86"/>
      <c r="G1370" s="86"/>
      <c r="H1370" s="86"/>
      <c r="I1370" s="86"/>
      <c r="J1370" s="86"/>
      <c r="K1370" s="86"/>
      <c r="L1370" s="86"/>
      <c r="M1370" s="86"/>
      <c r="N1370" s="86"/>
      <c r="O1370" s="86"/>
      <c r="P1370" s="86"/>
      <c r="Q1370" s="86"/>
      <c r="R1370" s="86"/>
      <c r="S1370" s="86"/>
      <c r="T1370" s="86"/>
      <c r="U1370" s="86"/>
      <c r="V1370" s="86"/>
      <c r="W1370" s="86"/>
      <c r="X1370" s="86"/>
      <c r="Y1370" s="86"/>
      <c r="Z1370" s="86"/>
      <c r="AA1370" s="86"/>
      <c r="AB1370" s="86"/>
      <c r="AC1370" s="86"/>
      <c r="AD1370" s="86"/>
      <c r="AE1370" s="86"/>
      <c r="AF1370" s="86"/>
      <c r="AG1370" s="86"/>
      <c r="AH1370" s="86"/>
      <c r="AI1370" s="86"/>
      <c r="AJ1370" s="86"/>
    </row>
    <row r="1371" spans="1:36" x14ac:dyDescent="0.25">
      <c r="A1371" s="277"/>
      <c r="B1371" s="87"/>
      <c r="C1371" s="87"/>
      <c r="D1371" s="87"/>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row>
    <row r="1372" spans="1:36" x14ac:dyDescent="0.25">
      <c r="A1372" s="276"/>
      <c r="B1372" s="86"/>
      <c r="C1372" s="86"/>
      <c r="D1372" s="86"/>
      <c r="E1372" s="86"/>
      <c r="F1372" s="86"/>
      <c r="G1372" s="86"/>
      <c r="H1372" s="86"/>
      <c r="I1372" s="86"/>
      <c r="J1372" s="86"/>
      <c r="K1372" s="86"/>
      <c r="L1372" s="86"/>
      <c r="M1372" s="86"/>
      <c r="N1372" s="86"/>
      <c r="O1372" s="86"/>
      <c r="P1372" s="86"/>
      <c r="Q1372" s="86"/>
      <c r="R1372" s="86"/>
      <c r="S1372" s="86"/>
      <c r="T1372" s="86"/>
      <c r="U1372" s="86"/>
      <c r="V1372" s="86"/>
      <c r="W1372" s="86"/>
      <c r="X1372" s="86"/>
      <c r="Y1372" s="86"/>
      <c r="Z1372" s="86"/>
      <c r="AA1372" s="86"/>
      <c r="AB1372" s="86"/>
      <c r="AC1372" s="86"/>
      <c r="AD1372" s="86"/>
      <c r="AE1372" s="86"/>
      <c r="AF1372" s="86"/>
      <c r="AG1372" s="86"/>
      <c r="AH1372" s="86"/>
      <c r="AI1372" s="86"/>
      <c r="AJ1372" s="86"/>
    </row>
    <row r="1373" spans="1:36" x14ac:dyDescent="0.25">
      <c r="A1373" s="277"/>
      <c r="B1373" s="87"/>
      <c r="C1373" s="87"/>
      <c r="D1373" s="87"/>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row>
    <row r="1374" spans="1:36" x14ac:dyDescent="0.25">
      <c r="A1374" s="276"/>
      <c r="B1374" s="86"/>
      <c r="C1374" s="86"/>
      <c r="D1374" s="86"/>
      <c r="E1374" s="86"/>
      <c r="F1374" s="86"/>
      <c r="G1374" s="86"/>
      <c r="H1374" s="86"/>
      <c r="I1374" s="86"/>
      <c r="J1374" s="86"/>
      <c r="K1374" s="86"/>
      <c r="L1374" s="86"/>
      <c r="M1374" s="86"/>
      <c r="N1374" s="86"/>
      <c r="O1374" s="86"/>
      <c r="P1374" s="86"/>
      <c r="Q1374" s="86"/>
      <c r="R1374" s="86"/>
      <c r="S1374" s="86"/>
      <c r="T1374" s="86"/>
      <c r="U1374" s="86"/>
      <c r="V1374" s="86"/>
      <c r="W1374" s="86"/>
      <c r="X1374" s="86"/>
      <c r="Y1374" s="86"/>
      <c r="Z1374" s="86"/>
      <c r="AA1374" s="86"/>
      <c r="AB1374" s="86"/>
      <c r="AC1374" s="86"/>
      <c r="AD1374" s="86"/>
      <c r="AE1374" s="86"/>
      <c r="AF1374" s="86"/>
      <c r="AG1374" s="86"/>
      <c r="AH1374" s="86"/>
      <c r="AI1374" s="86"/>
      <c r="AJ1374" s="86"/>
    </row>
    <row r="1375" spans="1:36" x14ac:dyDescent="0.25">
      <c r="A1375" s="277"/>
      <c r="B1375" s="87"/>
      <c r="C1375" s="87"/>
      <c r="D1375" s="87"/>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row>
    <row r="1376" spans="1:36" x14ac:dyDescent="0.25">
      <c r="A1376" s="276"/>
      <c r="B1376" s="86"/>
      <c r="C1376" s="86"/>
      <c r="D1376" s="86"/>
      <c r="E1376" s="86"/>
      <c r="F1376" s="86"/>
      <c r="G1376" s="86"/>
      <c r="H1376" s="86"/>
      <c r="I1376" s="86"/>
      <c r="J1376" s="86"/>
      <c r="K1376" s="86"/>
      <c r="L1376" s="86"/>
      <c r="M1376" s="86"/>
      <c r="N1376" s="86"/>
      <c r="O1376" s="86"/>
      <c r="P1376" s="86"/>
      <c r="Q1376" s="86"/>
      <c r="R1376" s="86"/>
      <c r="S1376" s="86"/>
      <c r="T1376" s="86"/>
      <c r="U1376" s="86"/>
      <c r="V1376" s="86"/>
      <c r="W1376" s="86"/>
      <c r="X1376" s="86"/>
      <c r="Y1376" s="86"/>
      <c r="Z1376" s="86"/>
      <c r="AA1376" s="86"/>
      <c r="AB1376" s="86"/>
      <c r="AC1376" s="86"/>
      <c r="AD1376" s="86"/>
      <c r="AE1376" s="86"/>
      <c r="AF1376" s="86"/>
      <c r="AG1376" s="86"/>
      <c r="AH1376" s="86"/>
      <c r="AI1376" s="86"/>
      <c r="AJ1376" s="86"/>
    </row>
    <row r="1377" spans="1:36" x14ac:dyDescent="0.25">
      <c r="A1377" s="277"/>
      <c r="B1377" s="87"/>
      <c r="C1377" s="87"/>
      <c r="D1377" s="87"/>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row>
    <row r="1378" spans="1:36" x14ac:dyDescent="0.25">
      <c r="A1378" s="276"/>
      <c r="B1378" s="86"/>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c r="AE1378" s="86"/>
      <c r="AF1378" s="86"/>
      <c r="AG1378" s="86"/>
      <c r="AH1378" s="86"/>
      <c r="AI1378" s="86"/>
      <c r="AJ1378" s="86"/>
    </row>
    <row r="1379" spans="1:36" x14ac:dyDescent="0.25">
      <c r="A1379" s="277"/>
      <c r="B1379" s="87"/>
      <c r="C1379" s="87"/>
      <c r="D1379" s="87"/>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row>
    <row r="1380" spans="1:36" x14ac:dyDescent="0.25">
      <c r="A1380" s="276"/>
      <c r="B1380" s="86"/>
      <c r="C1380" s="86"/>
      <c r="D1380" s="86"/>
      <c r="E1380" s="86"/>
      <c r="F1380" s="86"/>
      <c r="G1380" s="86"/>
      <c r="H1380" s="86"/>
      <c r="I1380" s="86"/>
      <c r="J1380" s="86"/>
      <c r="K1380" s="86"/>
      <c r="L1380" s="86"/>
      <c r="M1380" s="86"/>
      <c r="N1380" s="86"/>
      <c r="O1380" s="86"/>
      <c r="P1380" s="86"/>
      <c r="Q1380" s="86"/>
      <c r="R1380" s="86"/>
      <c r="S1380" s="86"/>
      <c r="T1380" s="86"/>
      <c r="U1380" s="86"/>
      <c r="V1380" s="86"/>
      <c r="W1380" s="86"/>
      <c r="X1380" s="86"/>
      <c r="Y1380" s="86"/>
      <c r="Z1380" s="86"/>
      <c r="AA1380" s="86"/>
      <c r="AB1380" s="86"/>
      <c r="AC1380" s="86"/>
      <c r="AD1380" s="86"/>
      <c r="AE1380" s="86"/>
      <c r="AF1380" s="86"/>
      <c r="AG1380" s="86"/>
      <c r="AH1380" s="86"/>
      <c r="AI1380" s="86"/>
      <c r="AJ1380" s="86"/>
    </row>
    <row r="1381" spans="1:36" x14ac:dyDescent="0.25">
      <c r="A1381" s="277"/>
      <c r="B1381" s="87"/>
      <c r="C1381" s="87"/>
      <c r="D1381" s="87"/>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row>
    <row r="1382" spans="1:36" x14ac:dyDescent="0.25">
      <c r="A1382" s="276"/>
      <c r="B1382" s="86"/>
      <c r="C1382" s="86"/>
      <c r="D1382" s="86"/>
      <c r="E1382" s="86"/>
      <c r="F1382" s="86"/>
      <c r="G1382" s="86"/>
      <c r="H1382" s="86"/>
      <c r="I1382" s="86"/>
      <c r="J1382" s="86"/>
      <c r="K1382" s="86"/>
      <c r="L1382" s="86"/>
      <c r="M1382" s="86"/>
      <c r="N1382" s="86"/>
      <c r="O1382" s="86"/>
      <c r="P1382" s="86"/>
      <c r="Q1382" s="86"/>
      <c r="R1382" s="86"/>
      <c r="S1382" s="86"/>
      <c r="T1382" s="86"/>
      <c r="U1382" s="86"/>
      <c r="V1382" s="86"/>
      <c r="W1382" s="86"/>
      <c r="X1382" s="86"/>
      <c r="Y1382" s="86"/>
      <c r="Z1382" s="86"/>
      <c r="AA1382" s="86"/>
      <c r="AB1382" s="86"/>
      <c r="AC1382" s="86"/>
      <c r="AD1382" s="86"/>
      <c r="AE1382" s="86"/>
      <c r="AF1382" s="86"/>
      <c r="AG1382" s="86"/>
      <c r="AH1382" s="86"/>
      <c r="AI1382" s="86"/>
      <c r="AJ1382" s="86"/>
    </row>
    <row r="1383" spans="1:36" x14ac:dyDescent="0.25">
      <c r="A1383" s="277"/>
      <c r="B1383" s="87"/>
      <c r="C1383" s="87"/>
      <c r="D1383" s="87"/>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row>
    <row r="1384" spans="1:36" x14ac:dyDescent="0.25">
      <c r="A1384" s="276"/>
      <c r="B1384" s="86"/>
      <c r="C1384" s="86"/>
      <c r="D1384" s="86"/>
      <c r="E1384" s="86"/>
      <c r="F1384" s="86"/>
      <c r="G1384" s="86"/>
      <c r="H1384" s="86"/>
      <c r="I1384" s="86"/>
      <c r="J1384" s="86"/>
      <c r="K1384" s="86"/>
      <c r="L1384" s="86"/>
      <c r="M1384" s="86"/>
      <c r="N1384" s="86"/>
      <c r="O1384" s="86"/>
      <c r="P1384" s="86"/>
      <c r="Q1384" s="86"/>
      <c r="R1384" s="86"/>
      <c r="S1384" s="86"/>
      <c r="T1384" s="86"/>
      <c r="U1384" s="86"/>
      <c r="V1384" s="86"/>
      <c r="W1384" s="86"/>
      <c r="X1384" s="86"/>
      <c r="Y1384" s="86"/>
      <c r="Z1384" s="86"/>
      <c r="AA1384" s="86"/>
      <c r="AB1384" s="86"/>
      <c r="AC1384" s="86"/>
      <c r="AD1384" s="86"/>
      <c r="AE1384" s="86"/>
      <c r="AF1384" s="86"/>
      <c r="AG1384" s="86"/>
      <c r="AH1384" s="86"/>
      <c r="AI1384" s="86"/>
      <c r="AJ1384" s="86"/>
    </row>
    <row r="1385" spans="1:36" x14ac:dyDescent="0.25">
      <c r="A1385" s="277"/>
      <c r="B1385" s="87"/>
      <c r="C1385" s="87"/>
      <c r="D1385" s="87"/>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row>
    <row r="1386" spans="1:36" x14ac:dyDescent="0.25">
      <c r="A1386" s="276"/>
      <c r="B1386" s="86"/>
      <c r="C1386" s="86"/>
      <c r="D1386" s="86"/>
      <c r="E1386" s="86"/>
      <c r="F1386" s="86"/>
      <c r="G1386" s="86"/>
      <c r="H1386" s="86"/>
      <c r="I1386" s="86"/>
      <c r="J1386" s="86"/>
      <c r="K1386" s="86"/>
      <c r="L1386" s="86"/>
      <c r="M1386" s="86"/>
      <c r="N1386" s="86"/>
      <c r="O1386" s="86"/>
      <c r="P1386" s="86"/>
      <c r="Q1386" s="86"/>
      <c r="R1386" s="86"/>
      <c r="S1386" s="86"/>
      <c r="T1386" s="86"/>
      <c r="U1386" s="86"/>
      <c r="V1386" s="86"/>
      <c r="W1386" s="86"/>
      <c r="X1386" s="86"/>
      <c r="Y1386" s="86"/>
      <c r="Z1386" s="86"/>
      <c r="AA1386" s="86"/>
      <c r="AB1386" s="86"/>
      <c r="AC1386" s="86"/>
      <c r="AD1386" s="86"/>
      <c r="AE1386" s="86"/>
      <c r="AF1386" s="86"/>
      <c r="AG1386" s="86"/>
      <c r="AH1386" s="86"/>
      <c r="AI1386" s="86"/>
      <c r="AJ1386" s="86"/>
    </row>
    <row r="1387" spans="1:36" x14ac:dyDescent="0.25">
      <c r="A1387" s="277"/>
      <c r="B1387" s="87"/>
      <c r="C1387" s="87"/>
      <c r="D1387" s="87"/>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row>
    <row r="1388" spans="1:36" x14ac:dyDescent="0.25">
      <c r="A1388" s="276"/>
      <c r="B1388" s="86"/>
      <c r="C1388" s="86"/>
      <c r="D1388" s="86"/>
      <c r="E1388" s="86"/>
      <c r="F1388" s="86"/>
      <c r="G1388" s="86"/>
      <c r="H1388" s="86"/>
      <c r="I1388" s="86"/>
      <c r="J1388" s="86"/>
      <c r="K1388" s="86"/>
      <c r="L1388" s="86"/>
      <c r="M1388" s="86"/>
      <c r="N1388" s="86"/>
      <c r="O1388" s="86"/>
      <c r="P1388" s="86"/>
      <c r="Q1388" s="86"/>
      <c r="R1388" s="86"/>
      <c r="S1388" s="86"/>
      <c r="T1388" s="86"/>
      <c r="U1388" s="86"/>
      <c r="V1388" s="86"/>
      <c r="W1388" s="86"/>
      <c r="X1388" s="86"/>
      <c r="Y1388" s="86"/>
      <c r="Z1388" s="86"/>
      <c r="AA1388" s="86"/>
      <c r="AB1388" s="86"/>
      <c r="AC1388" s="86"/>
      <c r="AD1388" s="86"/>
      <c r="AE1388" s="86"/>
      <c r="AF1388" s="86"/>
      <c r="AG1388" s="86"/>
      <c r="AH1388" s="86"/>
      <c r="AI1388" s="86"/>
      <c r="AJ1388" s="86"/>
    </row>
    <row r="1389" spans="1:36" x14ac:dyDescent="0.25">
      <c r="A1389" s="277"/>
      <c r="B1389" s="87"/>
      <c r="C1389" s="87"/>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row>
    <row r="1390" spans="1:36" x14ac:dyDescent="0.25">
      <c r="A1390" s="276"/>
      <c r="B1390" s="86"/>
      <c r="C1390" s="86"/>
      <c r="D1390" s="86"/>
      <c r="E1390" s="86"/>
      <c r="F1390" s="86"/>
      <c r="G1390" s="86"/>
      <c r="H1390" s="86"/>
      <c r="I1390" s="86"/>
      <c r="J1390" s="86"/>
      <c r="K1390" s="86"/>
      <c r="L1390" s="86"/>
      <c r="M1390" s="86"/>
      <c r="N1390" s="86"/>
      <c r="O1390" s="86"/>
      <c r="P1390" s="86"/>
      <c r="Q1390" s="86"/>
      <c r="R1390" s="86"/>
      <c r="S1390" s="86"/>
      <c r="T1390" s="86"/>
      <c r="U1390" s="86"/>
      <c r="V1390" s="86"/>
      <c r="W1390" s="86"/>
      <c r="X1390" s="86"/>
      <c r="Y1390" s="86"/>
      <c r="Z1390" s="86"/>
      <c r="AA1390" s="86"/>
      <c r="AB1390" s="86"/>
      <c r="AC1390" s="86"/>
      <c r="AD1390" s="86"/>
      <c r="AE1390" s="86"/>
      <c r="AF1390" s="86"/>
      <c r="AG1390" s="86"/>
      <c r="AH1390" s="86"/>
      <c r="AI1390" s="86"/>
      <c r="AJ1390" s="86"/>
    </row>
    <row r="1391" spans="1:36" x14ac:dyDescent="0.25">
      <c r="A1391" s="277"/>
      <c r="B1391" s="87"/>
      <c r="C1391" s="87"/>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row>
    <row r="1392" spans="1:36" x14ac:dyDescent="0.25">
      <c r="A1392" s="276"/>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row>
    <row r="1393" spans="1:36" x14ac:dyDescent="0.25">
      <c r="A1393" s="277"/>
      <c r="B1393" s="87"/>
      <c r="C1393" s="87"/>
      <c r="D1393" s="87"/>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row>
    <row r="1394" spans="1:36" x14ac:dyDescent="0.25">
      <c r="A1394" s="276"/>
      <c r="B1394" s="86"/>
      <c r="C1394" s="86"/>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6"/>
      <c r="AA1394" s="86"/>
      <c r="AB1394" s="86"/>
      <c r="AC1394" s="86"/>
      <c r="AD1394" s="86"/>
      <c r="AE1394" s="86"/>
      <c r="AF1394" s="86"/>
      <c r="AG1394" s="86"/>
      <c r="AH1394" s="86"/>
      <c r="AI1394" s="86"/>
      <c r="AJ1394" s="86"/>
    </row>
    <row r="1395" spans="1:36" x14ac:dyDescent="0.25">
      <c r="A1395" s="277"/>
      <c r="B1395" s="87"/>
      <c r="C1395" s="87"/>
      <c r="D1395" s="87"/>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row>
    <row r="1396" spans="1:36" x14ac:dyDescent="0.25">
      <c r="A1396" s="276"/>
      <c r="B1396" s="86"/>
      <c r="C1396" s="86"/>
      <c r="D1396" s="86"/>
      <c r="E1396" s="86"/>
      <c r="F1396" s="86"/>
      <c r="G1396" s="86"/>
      <c r="H1396" s="86"/>
      <c r="I1396" s="86"/>
      <c r="J1396" s="86"/>
      <c r="K1396" s="86"/>
      <c r="L1396" s="86"/>
      <c r="M1396" s="86"/>
      <c r="N1396" s="86"/>
      <c r="O1396" s="86"/>
      <c r="P1396" s="86"/>
      <c r="Q1396" s="86"/>
      <c r="R1396" s="86"/>
      <c r="S1396" s="86"/>
      <c r="T1396" s="86"/>
      <c r="U1396" s="86"/>
      <c r="V1396" s="86"/>
      <c r="W1396" s="86"/>
      <c r="X1396" s="86"/>
      <c r="Y1396" s="86"/>
      <c r="Z1396" s="86"/>
      <c r="AA1396" s="86"/>
      <c r="AB1396" s="86"/>
      <c r="AC1396" s="86"/>
      <c r="AD1396" s="86"/>
      <c r="AE1396" s="86"/>
      <c r="AF1396" s="86"/>
      <c r="AG1396" s="86"/>
      <c r="AH1396" s="86"/>
      <c r="AI1396" s="86"/>
      <c r="AJ1396" s="86"/>
    </row>
    <row r="1397" spans="1:36" x14ac:dyDescent="0.25">
      <c r="A1397" s="277"/>
      <c r="B1397" s="87"/>
      <c r="C1397" s="87"/>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row>
    <row r="1398" spans="1:36" x14ac:dyDescent="0.25">
      <c r="A1398" s="276"/>
      <c r="B1398" s="86"/>
      <c r="C1398" s="86"/>
      <c r="D1398" s="86"/>
      <c r="E1398" s="86"/>
      <c r="F1398" s="86"/>
      <c r="G1398" s="86"/>
      <c r="H1398" s="86"/>
      <c r="I1398" s="86"/>
      <c r="J1398" s="86"/>
      <c r="K1398" s="86"/>
      <c r="L1398" s="86"/>
      <c r="M1398" s="86"/>
      <c r="N1398" s="86"/>
      <c r="O1398" s="86"/>
      <c r="P1398" s="86"/>
      <c r="Q1398" s="86"/>
      <c r="R1398" s="86"/>
      <c r="S1398" s="86"/>
      <c r="T1398" s="86"/>
      <c r="U1398" s="86"/>
      <c r="V1398" s="86"/>
      <c r="W1398" s="86"/>
      <c r="X1398" s="86"/>
      <c r="Y1398" s="86"/>
      <c r="Z1398" s="86"/>
      <c r="AA1398" s="86"/>
      <c r="AB1398" s="86"/>
      <c r="AC1398" s="86"/>
      <c r="AD1398" s="86"/>
      <c r="AE1398" s="86"/>
      <c r="AF1398" s="86"/>
      <c r="AG1398" s="86"/>
      <c r="AH1398" s="86"/>
      <c r="AI1398" s="86"/>
      <c r="AJ1398" s="86"/>
    </row>
    <row r="1399" spans="1:36" x14ac:dyDescent="0.25">
      <c r="A1399" s="277"/>
      <c r="B1399" s="87"/>
      <c r="C1399" s="87"/>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row>
    <row r="1400" spans="1:36" x14ac:dyDescent="0.25">
      <c r="A1400" s="276"/>
      <c r="B1400" s="86"/>
      <c r="C1400" s="86"/>
      <c r="D1400" s="86"/>
      <c r="E1400" s="86"/>
      <c r="F1400" s="86"/>
      <c r="G1400" s="86"/>
      <c r="H1400" s="86"/>
      <c r="I1400" s="86"/>
      <c r="J1400" s="86"/>
      <c r="K1400" s="86"/>
      <c r="L1400" s="86"/>
      <c r="M1400" s="86"/>
      <c r="N1400" s="86"/>
      <c r="O1400" s="86"/>
      <c r="P1400" s="86"/>
      <c r="Q1400" s="86"/>
      <c r="R1400" s="86"/>
      <c r="S1400" s="86"/>
      <c r="T1400" s="86"/>
      <c r="U1400" s="86"/>
      <c r="V1400" s="86"/>
      <c r="W1400" s="86"/>
      <c r="X1400" s="86"/>
      <c r="Y1400" s="86"/>
      <c r="Z1400" s="86"/>
      <c r="AA1400" s="86"/>
      <c r="AB1400" s="86"/>
      <c r="AC1400" s="86"/>
      <c r="AD1400" s="86"/>
      <c r="AE1400" s="86"/>
      <c r="AF1400" s="86"/>
      <c r="AG1400" s="86"/>
      <c r="AH1400" s="86"/>
      <c r="AI1400" s="86"/>
      <c r="AJ1400" s="86"/>
    </row>
    <row r="1401" spans="1:36" x14ac:dyDescent="0.25">
      <c r="A1401" s="277"/>
      <c r="B1401" s="87"/>
      <c r="C1401" s="87"/>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row>
    <row r="1402" spans="1:36" x14ac:dyDescent="0.25">
      <c r="A1402" s="276"/>
      <c r="B1402" s="86"/>
      <c r="C1402" s="86"/>
      <c r="D1402" s="86"/>
      <c r="E1402" s="86"/>
      <c r="F1402" s="86"/>
      <c r="G1402" s="86"/>
      <c r="H1402" s="86"/>
      <c r="I1402" s="86"/>
      <c r="J1402" s="86"/>
      <c r="K1402" s="86"/>
      <c r="L1402" s="86"/>
      <c r="M1402" s="86"/>
      <c r="N1402" s="86"/>
      <c r="O1402" s="86"/>
      <c r="P1402" s="86"/>
      <c r="Q1402" s="86"/>
      <c r="R1402" s="86"/>
      <c r="S1402" s="86"/>
      <c r="T1402" s="86"/>
      <c r="U1402" s="86"/>
      <c r="V1402" s="86"/>
      <c r="W1402" s="86"/>
      <c r="X1402" s="86"/>
      <c r="Y1402" s="86"/>
      <c r="Z1402" s="86"/>
      <c r="AA1402" s="86"/>
      <c r="AB1402" s="86"/>
      <c r="AC1402" s="86"/>
      <c r="AD1402" s="86"/>
      <c r="AE1402" s="86"/>
      <c r="AF1402" s="86"/>
      <c r="AG1402" s="86"/>
      <c r="AH1402" s="86"/>
      <c r="AI1402" s="86"/>
      <c r="AJ1402" s="86"/>
    </row>
    <row r="1403" spans="1:36" x14ac:dyDescent="0.25">
      <c r="A1403" s="277"/>
      <c r="B1403" s="87"/>
      <c r="C1403" s="87"/>
      <c r="D1403" s="87"/>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row>
    <row r="1404" spans="1:36" x14ac:dyDescent="0.25">
      <c r="A1404" s="276"/>
      <c r="B1404" s="86"/>
      <c r="C1404" s="86"/>
      <c r="D1404" s="86"/>
      <c r="E1404" s="86"/>
      <c r="F1404" s="86"/>
      <c r="G1404" s="86"/>
      <c r="H1404" s="86"/>
      <c r="I1404" s="86"/>
      <c r="J1404" s="86"/>
      <c r="K1404" s="86"/>
      <c r="L1404" s="86"/>
      <c r="M1404" s="86"/>
      <c r="N1404" s="86"/>
      <c r="O1404" s="86"/>
      <c r="P1404" s="86"/>
      <c r="Q1404" s="86"/>
      <c r="R1404" s="86"/>
      <c r="S1404" s="86"/>
      <c r="T1404" s="86"/>
      <c r="U1404" s="86"/>
      <c r="V1404" s="86"/>
      <c r="W1404" s="86"/>
      <c r="X1404" s="86"/>
      <c r="Y1404" s="86"/>
      <c r="Z1404" s="86"/>
      <c r="AA1404" s="86"/>
      <c r="AB1404" s="86"/>
      <c r="AC1404" s="86"/>
      <c r="AD1404" s="86"/>
      <c r="AE1404" s="86"/>
      <c r="AF1404" s="86"/>
      <c r="AG1404" s="86"/>
      <c r="AH1404" s="86"/>
      <c r="AI1404" s="86"/>
      <c r="AJ1404" s="86"/>
    </row>
    <row r="1405" spans="1:36" x14ac:dyDescent="0.25">
      <c r="A1405" s="277"/>
      <c r="B1405" s="87"/>
      <c r="C1405" s="87"/>
      <c r="D1405" s="87"/>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row>
    <row r="1406" spans="1:36" x14ac:dyDescent="0.25">
      <c r="A1406" s="276"/>
      <c r="B1406" s="86"/>
      <c r="C1406" s="86"/>
      <c r="D1406" s="86"/>
      <c r="E1406" s="86"/>
      <c r="F1406" s="86"/>
      <c r="G1406" s="86"/>
      <c r="H1406" s="86"/>
      <c r="I1406" s="86"/>
      <c r="J1406" s="86"/>
      <c r="K1406" s="86"/>
      <c r="L1406" s="86"/>
      <c r="M1406" s="86"/>
      <c r="N1406" s="86"/>
      <c r="O1406" s="86"/>
      <c r="P1406" s="86"/>
      <c r="Q1406" s="86"/>
      <c r="R1406" s="86"/>
      <c r="S1406" s="86"/>
      <c r="T1406" s="86"/>
      <c r="U1406" s="86"/>
      <c r="V1406" s="86"/>
      <c r="W1406" s="86"/>
      <c r="X1406" s="86"/>
      <c r="Y1406" s="86"/>
      <c r="Z1406" s="86"/>
      <c r="AA1406" s="86"/>
      <c r="AB1406" s="86"/>
      <c r="AC1406" s="86"/>
      <c r="AD1406" s="86"/>
      <c r="AE1406" s="86"/>
      <c r="AF1406" s="86"/>
      <c r="AG1406" s="86"/>
      <c r="AH1406" s="86"/>
      <c r="AI1406" s="86"/>
      <c r="AJ1406" s="86"/>
    </row>
    <row r="1407" spans="1:36" x14ac:dyDescent="0.25">
      <c r="A1407" s="277"/>
      <c r="B1407" s="87"/>
      <c r="C1407" s="87"/>
      <c r="D1407" s="87"/>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row>
    <row r="1408" spans="1:36" x14ac:dyDescent="0.25">
      <c r="A1408" s="276"/>
      <c r="B1408" s="86"/>
      <c r="C1408" s="86"/>
      <c r="D1408" s="86"/>
      <c r="E1408" s="86"/>
      <c r="F1408" s="86"/>
      <c r="G1408" s="86"/>
      <c r="H1408" s="86"/>
      <c r="I1408" s="86"/>
      <c r="J1408" s="86"/>
      <c r="K1408" s="86"/>
      <c r="L1408" s="86"/>
      <c r="M1408" s="86"/>
      <c r="N1408" s="86"/>
      <c r="O1408" s="86"/>
      <c r="P1408" s="86"/>
      <c r="Q1408" s="86"/>
      <c r="R1408" s="86"/>
      <c r="S1408" s="86"/>
      <c r="T1408" s="86"/>
      <c r="U1408" s="86"/>
      <c r="V1408" s="86"/>
      <c r="W1408" s="86"/>
      <c r="X1408" s="86"/>
      <c r="Y1408" s="86"/>
      <c r="Z1408" s="86"/>
      <c r="AA1408" s="86"/>
      <c r="AB1408" s="86"/>
      <c r="AC1408" s="86"/>
      <c r="AD1408" s="86"/>
      <c r="AE1408" s="86"/>
      <c r="AF1408" s="86"/>
      <c r="AG1408" s="86"/>
      <c r="AH1408" s="86"/>
      <c r="AI1408" s="86"/>
      <c r="AJ1408" s="86"/>
    </row>
    <row r="1409" spans="1:36" x14ac:dyDescent="0.25">
      <c r="A1409" s="277"/>
      <c r="B1409" s="87"/>
      <c r="C1409" s="87"/>
      <c r="D1409" s="87"/>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row>
    <row r="1410" spans="1:36" x14ac:dyDescent="0.25">
      <c r="A1410" s="276"/>
      <c r="B1410" s="86"/>
      <c r="C1410" s="86"/>
      <c r="D1410" s="86"/>
      <c r="E1410" s="86"/>
      <c r="F1410" s="86"/>
      <c r="G1410" s="86"/>
      <c r="H1410" s="86"/>
      <c r="I1410" s="86"/>
      <c r="J1410" s="86"/>
      <c r="K1410" s="86"/>
      <c r="L1410" s="86"/>
      <c r="M1410" s="86"/>
      <c r="N1410" s="86"/>
      <c r="O1410" s="86"/>
      <c r="P1410" s="86"/>
      <c r="Q1410" s="86"/>
      <c r="R1410" s="86"/>
      <c r="S1410" s="86"/>
      <c r="T1410" s="86"/>
      <c r="U1410" s="86"/>
      <c r="V1410" s="86"/>
      <c r="W1410" s="86"/>
      <c r="X1410" s="86"/>
      <c r="Y1410" s="86"/>
      <c r="Z1410" s="86"/>
      <c r="AA1410" s="86"/>
      <c r="AB1410" s="86"/>
      <c r="AC1410" s="86"/>
      <c r="AD1410" s="86"/>
      <c r="AE1410" s="86"/>
      <c r="AF1410" s="86"/>
      <c r="AG1410" s="86"/>
      <c r="AH1410" s="86"/>
      <c r="AI1410" s="86"/>
      <c r="AJ1410" s="86"/>
    </row>
    <row r="1411" spans="1:36" x14ac:dyDescent="0.25">
      <c r="A1411" s="277"/>
      <c r="B1411" s="87"/>
      <c r="C1411" s="87"/>
      <c r="D1411" s="87"/>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row>
    <row r="1412" spans="1:36" x14ac:dyDescent="0.25">
      <c r="A1412" s="276"/>
      <c r="B1412" s="86"/>
      <c r="C1412" s="86"/>
      <c r="D1412" s="86"/>
      <c r="E1412" s="86"/>
      <c r="F1412" s="86"/>
      <c r="G1412" s="86"/>
      <c r="H1412" s="86"/>
      <c r="I1412" s="86"/>
      <c r="J1412" s="86"/>
      <c r="K1412" s="86"/>
      <c r="L1412" s="86"/>
      <c r="M1412" s="86"/>
      <c r="N1412" s="86"/>
      <c r="O1412" s="86"/>
      <c r="P1412" s="86"/>
      <c r="Q1412" s="86"/>
      <c r="R1412" s="86"/>
      <c r="S1412" s="86"/>
      <c r="T1412" s="86"/>
      <c r="U1412" s="86"/>
      <c r="V1412" s="86"/>
      <c r="W1412" s="86"/>
      <c r="X1412" s="86"/>
      <c r="Y1412" s="86"/>
      <c r="Z1412" s="86"/>
      <c r="AA1412" s="86"/>
      <c r="AB1412" s="86"/>
      <c r="AC1412" s="86"/>
      <c r="AD1412" s="86"/>
      <c r="AE1412" s="86"/>
      <c r="AF1412" s="86"/>
      <c r="AG1412" s="86"/>
      <c r="AH1412" s="86"/>
      <c r="AI1412" s="86"/>
      <c r="AJ1412" s="86"/>
    </row>
    <row r="1413" spans="1:36" x14ac:dyDescent="0.25">
      <c r="A1413" s="277"/>
      <c r="B1413" s="87"/>
      <c r="C1413" s="87"/>
      <c r="D1413" s="87"/>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row>
    <row r="1414" spans="1:36" x14ac:dyDescent="0.25">
      <c r="A1414" s="276"/>
      <c r="B1414" s="86"/>
      <c r="C1414" s="86"/>
      <c r="D1414" s="86"/>
      <c r="E1414" s="86"/>
      <c r="F1414" s="86"/>
      <c r="G1414" s="86"/>
      <c r="H1414" s="86"/>
      <c r="I1414" s="86"/>
      <c r="J1414" s="86"/>
      <c r="K1414" s="86"/>
      <c r="L1414" s="86"/>
      <c r="M1414" s="86"/>
      <c r="N1414" s="86"/>
      <c r="O1414" s="86"/>
      <c r="P1414" s="86"/>
      <c r="Q1414" s="86"/>
      <c r="R1414" s="86"/>
      <c r="S1414" s="86"/>
      <c r="T1414" s="86"/>
      <c r="U1414" s="86"/>
      <c r="V1414" s="86"/>
      <c r="W1414" s="86"/>
      <c r="X1414" s="86"/>
      <c r="Y1414" s="86"/>
      <c r="Z1414" s="86"/>
      <c r="AA1414" s="86"/>
      <c r="AB1414" s="86"/>
      <c r="AC1414" s="86"/>
      <c r="AD1414" s="86"/>
      <c r="AE1414" s="86"/>
      <c r="AF1414" s="86"/>
      <c r="AG1414" s="86"/>
      <c r="AH1414" s="86"/>
      <c r="AI1414" s="86"/>
      <c r="AJ1414" s="86"/>
    </row>
    <row r="1415" spans="1:36" x14ac:dyDescent="0.25">
      <c r="A1415" s="277"/>
      <c r="B1415" s="87"/>
      <c r="C1415" s="87"/>
      <c r="D1415" s="87"/>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row>
    <row r="1416" spans="1:36" x14ac:dyDescent="0.25">
      <c r="A1416" s="276"/>
      <c r="B1416" s="86"/>
      <c r="C1416" s="86"/>
      <c r="D1416" s="86"/>
      <c r="E1416" s="86"/>
      <c r="F1416" s="86"/>
      <c r="G1416" s="86"/>
      <c r="H1416" s="86"/>
      <c r="I1416" s="86"/>
      <c r="J1416" s="86"/>
      <c r="K1416" s="86"/>
      <c r="L1416" s="86"/>
      <c r="M1416" s="86"/>
      <c r="N1416" s="86"/>
      <c r="O1416" s="86"/>
      <c r="P1416" s="86"/>
      <c r="Q1416" s="86"/>
      <c r="R1416" s="86"/>
      <c r="S1416" s="86"/>
      <c r="T1416" s="86"/>
      <c r="U1416" s="86"/>
      <c r="V1416" s="86"/>
      <c r="W1416" s="86"/>
      <c r="X1416" s="86"/>
      <c r="Y1416" s="86"/>
      <c r="Z1416" s="86"/>
      <c r="AA1416" s="86"/>
      <c r="AB1416" s="86"/>
      <c r="AC1416" s="86"/>
      <c r="AD1416" s="86"/>
      <c r="AE1416" s="86"/>
      <c r="AF1416" s="86"/>
      <c r="AG1416" s="86"/>
      <c r="AH1416" s="86"/>
      <c r="AI1416" s="86"/>
      <c r="AJ1416" s="86"/>
    </row>
    <row r="1417" spans="1:36" x14ac:dyDescent="0.25">
      <c r="A1417" s="277"/>
      <c r="B1417" s="87"/>
      <c r="C1417" s="87"/>
      <c r="D1417" s="87"/>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row>
    <row r="1418" spans="1:36" x14ac:dyDescent="0.25">
      <c r="A1418" s="276"/>
      <c r="B1418" s="86"/>
      <c r="C1418" s="86"/>
      <c r="D1418" s="86"/>
      <c r="E1418" s="86"/>
      <c r="F1418" s="86"/>
      <c r="G1418" s="86"/>
      <c r="H1418" s="86"/>
      <c r="I1418" s="86"/>
      <c r="J1418" s="86"/>
      <c r="K1418" s="86"/>
      <c r="L1418" s="86"/>
      <c r="M1418" s="86"/>
      <c r="N1418" s="86"/>
      <c r="O1418" s="86"/>
      <c r="P1418" s="86"/>
      <c r="Q1418" s="86"/>
      <c r="R1418" s="86"/>
      <c r="S1418" s="86"/>
      <c r="T1418" s="86"/>
      <c r="U1418" s="86"/>
      <c r="V1418" s="86"/>
      <c r="W1418" s="86"/>
      <c r="X1418" s="86"/>
      <c r="Y1418" s="86"/>
      <c r="Z1418" s="86"/>
      <c r="AA1418" s="86"/>
      <c r="AB1418" s="86"/>
      <c r="AC1418" s="86"/>
      <c r="AD1418" s="86"/>
      <c r="AE1418" s="86"/>
      <c r="AF1418" s="86"/>
      <c r="AG1418" s="86"/>
      <c r="AH1418" s="86"/>
      <c r="AI1418" s="86"/>
      <c r="AJ1418" s="86"/>
    </row>
    <row r="1419" spans="1:36" x14ac:dyDescent="0.25">
      <c r="A1419" s="277"/>
      <c r="B1419" s="87"/>
      <c r="C1419" s="87"/>
      <c r="D1419" s="87"/>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row>
    <row r="1420" spans="1:36" x14ac:dyDescent="0.25">
      <c r="A1420" s="276"/>
      <c r="B1420" s="86"/>
      <c r="C1420" s="86"/>
      <c r="D1420" s="86"/>
      <c r="E1420" s="86"/>
      <c r="F1420" s="86"/>
      <c r="G1420" s="86"/>
      <c r="H1420" s="86"/>
      <c r="I1420" s="86"/>
      <c r="J1420" s="86"/>
      <c r="K1420" s="86"/>
      <c r="L1420" s="86"/>
      <c r="M1420" s="86"/>
      <c r="N1420" s="86"/>
      <c r="O1420" s="86"/>
      <c r="P1420" s="86"/>
      <c r="Q1420" s="86"/>
      <c r="R1420" s="86"/>
      <c r="S1420" s="86"/>
      <c r="T1420" s="86"/>
      <c r="U1420" s="86"/>
      <c r="V1420" s="86"/>
      <c r="W1420" s="86"/>
      <c r="X1420" s="86"/>
      <c r="Y1420" s="86"/>
      <c r="Z1420" s="86"/>
      <c r="AA1420" s="86"/>
      <c r="AB1420" s="86"/>
      <c r="AC1420" s="86"/>
      <c r="AD1420" s="86"/>
      <c r="AE1420" s="86"/>
      <c r="AF1420" s="86"/>
      <c r="AG1420" s="86"/>
      <c r="AH1420" s="86"/>
      <c r="AI1420" s="86"/>
      <c r="AJ1420" s="86"/>
    </row>
    <row r="1421" spans="1:36" x14ac:dyDescent="0.25">
      <c r="A1421" s="277"/>
      <c r="B1421" s="87"/>
      <c r="C1421" s="87"/>
      <c r="D1421" s="87"/>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row>
    <row r="1422" spans="1:36" x14ac:dyDescent="0.25">
      <c r="A1422" s="276"/>
      <c r="B1422" s="86"/>
      <c r="C1422" s="86"/>
      <c r="D1422" s="86"/>
      <c r="E1422" s="86"/>
      <c r="F1422" s="86"/>
      <c r="G1422" s="86"/>
      <c r="H1422" s="86"/>
      <c r="I1422" s="86"/>
      <c r="J1422" s="86"/>
      <c r="K1422" s="86"/>
      <c r="L1422" s="86"/>
      <c r="M1422" s="86"/>
      <c r="N1422" s="86"/>
      <c r="O1422" s="86"/>
      <c r="P1422" s="86"/>
      <c r="Q1422" s="86"/>
      <c r="R1422" s="86"/>
      <c r="S1422" s="86"/>
      <c r="T1422" s="86"/>
      <c r="U1422" s="86"/>
      <c r="V1422" s="86"/>
      <c r="W1422" s="86"/>
      <c r="X1422" s="86"/>
      <c r="Y1422" s="86"/>
      <c r="Z1422" s="86"/>
      <c r="AA1422" s="86"/>
      <c r="AB1422" s="86"/>
      <c r="AC1422" s="86"/>
      <c r="AD1422" s="86"/>
      <c r="AE1422" s="86"/>
      <c r="AF1422" s="86"/>
      <c r="AG1422" s="86"/>
      <c r="AH1422" s="86"/>
      <c r="AI1422" s="86"/>
      <c r="AJ1422" s="86"/>
    </row>
    <row r="1423" spans="1:36" x14ac:dyDescent="0.25">
      <c r="A1423" s="277"/>
      <c r="B1423" s="87"/>
      <c r="C1423" s="87"/>
      <c r="D1423" s="87"/>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row>
    <row r="1424" spans="1:36" x14ac:dyDescent="0.25">
      <c r="A1424" s="276"/>
      <c r="B1424" s="86"/>
      <c r="C1424" s="86"/>
      <c r="D1424" s="86"/>
      <c r="E1424" s="86"/>
      <c r="F1424" s="86"/>
      <c r="G1424" s="86"/>
      <c r="H1424" s="86"/>
      <c r="I1424" s="86"/>
      <c r="J1424" s="86"/>
      <c r="K1424" s="86"/>
      <c r="L1424" s="86"/>
      <c r="M1424" s="86"/>
      <c r="N1424" s="86"/>
      <c r="O1424" s="86"/>
      <c r="P1424" s="86"/>
      <c r="Q1424" s="86"/>
      <c r="R1424" s="86"/>
      <c r="S1424" s="86"/>
      <c r="T1424" s="86"/>
      <c r="U1424" s="86"/>
      <c r="V1424" s="86"/>
      <c r="W1424" s="86"/>
      <c r="X1424" s="86"/>
      <c r="Y1424" s="86"/>
      <c r="Z1424" s="86"/>
      <c r="AA1424" s="86"/>
      <c r="AB1424" s="86"/>
      <c r="AC1424" s="86"/>
      <c r="AD1424" s="86"/>
      <c r="AE1424" s="86"/>
      <c r="AF1424" s="86"/>
      <c r="AG1424" s="86"/>
      <c r="AH1424" s="86"/>
      <c r="AI1424" s="86"/>
      <c r="AJ1424" s="86"/>
    </row>
    <row r="1425" spans="1:36" x14ac:dyDescent="0.25">
      <c r="A1425" s="277"/>
      <c r="B1425" s="87"/>
      <c r="C1425" s="87"/>
      <c r="D1425" s="87"/>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row>
    <row r="1426" spans="1:36" x14ac:dyDescent="0.25">
      <c r="A1426" s="276"/>
      <c r="B1426" s="86"/>
      <c r="C1426" s="86"/>
      <c r="D1426" s="86"/>
      <c r="E1426" s="86"/>
      <c r="F1426" s="86"/>
      <c r="G1426" s="86"/>
      <c r="H1426" s="86"/>
      <c r="I1426" s="86"/>
      <c r="J1426" s="86"/>
      <c r="K1426" s="86"/>
      <c r="L1426" s="86"/>
      <c r="M1426" s="86"/>
      <c r="N1426" s="86"/>
      <c r="O1426" s="86"/>
      <c r="P1426" s="86"/>
      <c r="Q1426" s="86"/>
      <c r="R1426" s="86"/>
      <c r="S1426" s="86"/>
      <c r="T1426" s="86"/>
      <c r="U1426" s="86"/>
      <c r="V1426" s="86"/>
      <c r="W1426" s="86"/>
      <c r="X1426" s="86"/>
      <c r="Y1426" s="86"/>
      <c r="Z1426" s="86"/>
      <c r="AA1426" s="86"/>
      <c r="AB1426" s="86"/>
      <c r="AC1426" s="86"/>
      <c r="AD1426" s="86"/>
      <c r="AE1426" s="86"/>
      <c r="AF1426" s="86"/>
      <c r="AG1426" s="86"/>
      <c r="AH1426" s="86"/>
      <c r="AI1426" s="86"/>
      <c r="AJ1426" s="86"/>
    </row>
    <row r="1427" spans="1:36" x14ac:dyDescent="0.25">
      <c r="A1427" s="277"/>
      <c r="B1427" s="87"/>
      <c r="C1427" s="87"/>
      <c r="D1427" s="87"/>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row>
    <row r="1428" spans="1:36" x14ac:dyDescent="0.25">
      <c r="A1428" s="276"/>
      <c r="B1428" s="86"/>
      <c r="C1428" s="86"/>
      <c r="D1428" s="86"/>
      <c r="E1428" s="86"/>
      <c r="F1428" s="86"/>
      <c r="G1428" s="86"/>
      <c r="H1428" s="86"/>
      <c r="I1428" s="86"/>
      <c r="J1428" s="86"/>
      <c r="K1428" s="86"/>
      <c r="L1428" s="86"/>
      <c r="M1428" s="86"/>
      <c r="N1428" s="86"/>
      <c r="O1428" s="86"/>
      <c r="P1428" s="86"/>
      <c r="Q1428" s="86"/>
      <c r="R1428" s="86"/>
      <c r="S1428" s="86"/>
      <c r="T1428" s="86"/>
      <c r="U1428" s="86"/>
      <c r="V1428" s="86"/>
      <c r="W1428" s="86"/>
      <c r="X1428" s="86"/>
      <c r="Y1428" s="86"/>
      <c r="Z1428" s="86"/>
      <c r="AA1428" s="86"/>
      <c r="AB1428" s="86"/>
      <c r="AC1428" s="86"/>
      <c r="AD1428" s="86"/>
      <c r="AE1428" s="86"/>
      <c r="AF1428" s="86"/>
      <c r="AG1428" s="86"/>
      <c r="AH1428" s="86"/>
      <c r="AI1428" s="86"/>
      <c r="AJ1428" s="86"/>
    </row>
    <row r="1429" spans="1:36" x14ac:dyDescent="0.25">
      <c r="A1429" s="277"/>
      <c r="B1429" s="87"/>
      <c r="C1429" s="87"/>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row>
    <row r="1430" spans="1:36" x14ac:dyDescent="0.25">
      <c r="A1430" s="276"/>
      <c r="B1430" s="86"/>
      <c r="C1430" s="86"/>
      <c r="D1430" s="86"/>
      <c r="E1430" s="86"/>
      <c r="F1430" s="86"/>
      <c r="G1430" s="86"/>
      <c r="H1430" s="86"/>
      <c r="I1430" s="86"/>
      <c r="J1430" s="86"/>
      <c r="K1430" s="86"/>
      <c r="L1430" s="86"/>
      <c r="M1430" s="86"/>
      <c r="N1430" s="86"/>
      <c r="O1430" s="86"/>
      <c r="P1430" s="86"/>
      <c r="Q1430" s="86"/>
      <c r="R1430" s="86"/>
      <c r="S1430" s="86"/>
      <c r="T1430" s="86"/>
      <c r="U1430" s="86"/>
      <c r="V1430" s="86"/>
      <c r="W1430" s="86"/>
      <c r="X1430" s="86"/>
      <c r="Y1430" s="86"/>
      <c r="Z1430" s="86"/>
      <c r="AA1430" s="86"/>
      <c r="AB1430" s="86"/>
      <c r="AC1430" s="86"/>
      <c r="AD1430" s="86"/>
      <c r="AE1430" s="86"/>
      <c r="AF1430" s="86"/>
      <c r="AG1430" s="86"/>
      <c r="AH1430" s="86"/>
      <c r="AI1430" s="86"/>
      <c r="AJ1430" s="86"/>
    </row>
    <row r="1431" spans="1:36" x14ac:dyDescent="0.25">
      <c r="A1431" s="277"/>
      <c r="B1431" s="87"/>
      <c r="C1431" s="87"/>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row>
    <row r="1432" spans="1:36" x14ac:dyDescent="0.25">
      <c r="A1432" s="276"/>
      <c r="B1432" s="86"/>
      <c r="C1432" s="86"/>
      <c r="D1432" s="86"/>
      <c r="E1432" s="86"/>
      <c r="F1432" s="86"/>
      <c r="G1432" s="86"/>
      <c r="H1432" s="86"/>
      <c r="I1432" s="86"/>
      <c r="J1432" s="86"/>
      <c r="K1432" s="86"/>
      <c r="L1432" s="86"/>
      <c r="M1432" s="86"/>
      <c r="N1432" s="86"/>
      <c r="O1432" s="86"/>
      <c r="P1432" s="86"/>
      <c r="Q1432" s="86"/>
      <c r="R1432" s="86"/>
      <c r="S1432" s="86"/>
      <c r="T1432" s="86"/>
      <c r="U1432" s="86"/>
      <c r="V1432" s="86"/>
      <c r="W1432" s="86"/>
      <c r="X1432" s="86"/>
      <c r="Y1432" s="86"/>
      <c r="Z1432" s="86"/>
      <c r="AA1432" s="86"/>
      <c r="AB1432" s="86"/>
      <c r="AC1432" s="86"/>
      <c r="AD1432" s="86"/>
      <c r="AE1432" s="86"/>
      <c r="AF1432" s="86"/>
      <c r="AG1432" s="86"/>
      <c r="AH1432" s="86"/>
      <c r="AI1432" s="86"/>
      <c r="AJ1432" s="86"/>
    </row>
    <row r="1433" spans="1:36" x14ac:dyDescent="0.25">
      <c r="A1433" s="277"/>
      <c r="B1433" s="87"/>
      <c r="C1433" s="87"/>
      <c r="D1433" s="87"/>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row>
    <row r="1434" spans="1:36" x14ac:dyDescent="0.25">
      <c r="A1434" s="276"/>
      <c r="B1434" s="86"/>
      <c r="C1434" s="86"/>
      <c r="D1434" s="86"/>
      <c r="E1434" s="86"/>
      <c r="F1434" s="86"/>
      <c r="G1434" s="86"/>
      <c r="H1434" s="86"/>
      <c r="I1434" s="86"/>
      <c r="J1434" s="86"/>
      <c r="K1434" s="86"/>
      <c r="L1434" s="86"/>
      <c r="M1434" s="86"/>
      <c r="N1434" s="86"/>
      <c r="O1434" s="86"/>
      <c r="P1434" s="86"/>
      <c r="Q1434" s="86"/>
      <c r="R1434" s="86"/>
      <c r="S1434" s="86"/>
      <c r="T1434" s="86"/>
      <c r="U1434" s="86"/>
      <c r="V1434" s="86"/>
      <c r="W1434" s="86"/>
      <c r="X1434" s="86"/>
      <c r="Y1434" s="86"/>
      <c r="Z1434" s="86"/>
      <c r="AA1434" s="86"/>
      <c r="AB1434" s="86"/>
      <c r="AC1434" s="86"/>
      <c r="AD1434" s="86"/>
      <c r="AE1434" s="86"/>
      <c r="AF1434" s="86"/>
      <c r="AG1434" s="86"/>
      <c r="AH1434" s="86"/>
      <c r="AI1434" s="86"/>
      <c r="AJ1434" s="86"/>
    </row>
    <row r="1435" spans="1:36" x14ac:dyDescent="0.25">
      <c r="A1435" s="277"/>
      <c r="B1435" s="87"/>
      <c r="C1435" s="87"/>
      <c r="D1435" s="87"/>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row>
    <row r="1436" spans="1:36" x14ac:dyDescent="0.25">
      <c r="A1436" s="276"/>
      <c r="B1436" s="86"/>
      <c r="C1436" s="86"/>
      <c r="D1436" s="86"/>
      <c r="E1436" s="86"/>
      <c r="F1436" s="86"/>
      <c r="G1436" s="86"/>
      <c r="H1436" s="86"/>
      <c r="I1436" s="86"/>
      <c r="J1436" s="86"/>
      <c r="K1436" s="86"/>
      <c r="L1436" s="86"/>
      <c r="M1436" s="86"/>
      <c r="N1436" s="86"/>
      <c r="O1436" s="86"/>
      <c r="P1436" s="86"/>
      <c r="Q1436" s="86"/>
      <c r="R1436" s="86"/>
      <c r="S1436" s="86"/>
      <c r="T1436" s="86"/>
      <c r="U1436" s="86"/>
      <c r="V1436" s="86"/>
      <c r="W1436" s="86"/>
      <c r="X1436" s="86"/>
      <c r="Y1436" s="86"/>
      <c r="Z1436" s="86"/>
      <c r="AA1436" s="86"/>
      <c r="AB1436" s="86"/>
      <c r="AC1436" s="86"/>
      <c r="AD1436" s="86"/>
      <c r="AE1436" s="86"/>
      <c r="AF1436" s="86"/>
      <c r="AG1436" s="86"/>
      <c r="AH1436" s="86"/>
      <c r="AI1436" s="86"/>
      <c r="AJ1436" s="86"/>
    </row>
    <row r="1437" spans="1:36" x14ac:dyDescent="0.25">
      <c r="A1437" s="277"/>
      <c r="B1437" s="87"/>
      <c r="C1437" s="87"/>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row>
    <row r="1438" spans="1:36" x14ac:dyDescent="0.25">
      <c r="A1438" s="276"/>
      <c r="B1438" s="86"/>
      <c r="C1438" s="86"/>
      <c r="D1438" s="86"/>
      <c r="E1438" s="86"/>
      <c r="F1438" s="86"/>
      <c r="G1438" s="86"/>
      <c r="H1438" s="86"/>
      <c r="I1438" s="86"/>
      <c r="J1438" s="86"/>
      <c r="K1438" s="86"/>
      <c r="L1438" s="86"/>
      <c r="M1438" s="86"/>
      <c r="N1438" s="86"/>
      <c r="O1438" s="86"/>
      <c r="P1438" s="86"/>
      <c r="Q1438" s="86"/>
      <c r="R1438" s="86"/>
      <c r="S1438" s="86"/>
      <c r="T1438" s="86"/>
      <c r="U1438" s="86"/>
      <c r="V1438" s="86"/>
      <c r="W1438" s="86"/>
      <c r="X1438" s="86"/>
      <c r="Y1438" s="86"/>
      <c r="Z1438" s="86"/>
      <c r="AA1438" s="86"/>
      <c r="AB1438" s="86"/>
      <c r="AC1438" s="86"/>
      <c r="AD1438" s="86"/>
      <c r="AE1438" s="86"/>
      <c r="AF1438" s="86"/>
      <c r="AG1438" s="86"/>
      <c r="AH1438" s="86"/>
      <c r="AI1438" s="86"/>
      <c r="AJ1438" s="86"/>
    </row>
    <row r="1439" spans="1:36" x14ac:dyDescent="0.25">
      <c r="A1439" s="277"/>
      <c r="B1439" s="87"/>
      <c r="C1439" s="87"/>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row>
    <row r="1440" spans="1:36" x14ac:dyDescent="0.25">
      <c r="A1440" s="276"/>
      <c r="B1440" s="86"/>
      <c r="C1440" s="86"/>
      <c r="D1440" s="86"/>
      <c r="E1440" s="86"/>
      <c r="F1440" s="86"/>
      <c r="G1440" s="86"/>
      <c r="H1440" s="86"/>
      <c r="I1440" s="86"/>
      <c r="J1440" s="86"/>
      <c r="K1440" s="86"/>
      <c r="L1440" s="86"/>
      <c r="M1440" s="86"/>
      <c r="N1440" s="86"/>
      <c r="O1440" s="86"/>
      <c r="P1440" s="86"/>
      <c r="Q1440" s="86"/>
      <c r="R1440" s="86"/>
      <c r="S1440" s="86"/>
      <c r="T1440" s="86"/>
      <c r="U1440" s="86"/>
      <c r="V1440" s="86"/>
      <c r="W1440" s="86"/>
      <c r="X1440" s="86"/>
      <c r="Y1440" s="86"/>
      <c r="Z1440" s="86"/>
      <c r="AA1440" s="86"/>
      <c r="AB1440" s="86"/>
      <c r="AC1440" s="86"/>
      <c r="AD1440" s="86"/>
      <c r="AE1440" s="86"/>
      <c r="AF1440" s="86"/>
      <c r="AG1440" s="86"/>
      <c r="AH1440" s="86"/>
      <c r="AI1440" s="86"/>
      <c r="AJ1440" s="86"/>
    </row>
    <row r="1441" spans="1:36" x14ac:dyDescent="0.25">
      <c r="A1441" s="277"/>
      <c r="B1441" s="87"/>
      <c r="C1441" s="87"/>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row>
    <row r="1442" spans="1:36" x14ac:dyDescent="0.25">
      <c r="A1442" s="276"/>
      <c r="B1442" s="86"/>
      <c r="C1442" s="86"/>
      <c r="D1442" s="86"/>
      <c r="E1442" s="86"/>
      <c r="F1442" s="86"/>
      <c r="G1442" s="86"/>
      <c r="H1442" s="86"/>
      <c r="I1442" s="86"/>
      <c r="J1442" s="86"/>
      <c r="K1442" s="86"/>
      <c r="L1442" s="86"/>
      <c r="M1442" s="86"/>
      <c r="N1442" s="86"/>
      <c r="O1442" s="86"/>
      <c r="P1442" s="86"/>
      <c r="Q1442" s="86"/>
      <c r="R1442" s="86"/>
      <c r="S1442" s="86"/>
      <c r="T1442" s="86"/>
      <c r="U1442" s="86"/>
      <c r="V1442" s="86"/>
      <c r="W1442" s="86"/>
      <c r="X1442" s="86"/>
      <c r="Y1442" s="86"/>
      <c r="Z1442" s="86"/>
      <c r="AA1442" s="86"/>
      <c r="AB1442" s="86"/>
      <c r="AC1442" s="86"/>
      <c r="AD1442" s="86"/>
      <c r="AE1442" s="86"/>
      <c r="AF1442" s="86"/>
      <c r="AG1442" s="86"/>
      <c r="AH1442" s="86"/>
      <c r="AI1442" s="86"/>
      <c r="AJ1442" s="86"/>
    </row>
    <row r="1443" spans="1:36" x14ac:dyDescent="0.25">
      <c r="A1443" s="277"/>
      <c r="B1443" s="87"/>
      <c r="C1443" s="87"/>
      <c r="D1443" s="87"/>
      <c r="E1443" s="87"/>
      <c r="F1443" s="87"/>
      <c r="G1443" s="87"/>
      <c r="H1443" s="87"/>
      <c r="I1443" s="87"/>
      <c r="J1443" s="87"/>
      <c r="K1443" s="87"/>
      <c r="L1443" s="87"/>
      <c r="M1443" s="87"/>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row>
    <row r="1444" spans="1:36" x14ac:dyDescent="0.25">
      <c r="A1444" s="276"/>
      <c r="B1444" s="86"/>
      <c r="C1444" s="86"/>
      <c r="D1444" s="86"/>
      <c r="E1444" s="86"/>
      <c r="F1444" s="86"/>
      <c r="G1444" s="86"/>
      <c r="H1444" s="86"/>
      <c r="I1444" s="86"/>
      <c r="J1444" s="86"/>
      <c r="K1444" s="86"/>
      <c r="L1444" s="86"/>
      <c r="M1444" s="86"/>
      <c r="N1444" s="86"/>
      <c r="O1444" s="86"/>
      <c r="P1444" s="86"/>
      <c r="Q1444" s="86"/>
      <c r="R1444" s="86"/>
      <c r="S1444" s="86"/>
      <c r="T1444" s="86"/>
      <c r="U1444" s="86"/>
      <c r="V1444" s="86"/>
      <c r="W1444" s="86"/>
      <c r="X1444" s="86"/>
      <c r="Y1444" s="86"/>
      <c r="Z1444" s="86"/>
      <c r="AA1444" s="86"/>
      <c r="AB1444" s="86"/>
      <c r="AC1444" s="86"/>
      <c r="AD1444" s="86"/>
      <c r="AE1444" s="86"/>
      <c r="AF1444" s="86"/>
      <c r="AG1444" s="86"/>
      <c r="AH1444" s="86"/>
      <c r="AI1444" s="86"/>
      <c r="AJ1444" s="86"/>
    </row>
    <row r="1445" spans="1:36" x14ac:dyDescent="0.25">
      <c r="A1445" s="277"/>
      <c r="B1445" s="87"/>
      <c r="C1445" s="87"/>
      <c r="D1445" s="87"/>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row>
    <row r="1446" spans="1:36" x14ac:dyDescent="0.25">
      <c r="A1446" s="276"/>
      <c r="B1446" s="86"/>
      <c r="C1446" s="86"/>
      <c r="D1446" s="86"/>
      <c r="E1446" s="86"/>
      <c r="F1446" s="86"/>
      <c r="G1446" s="86"/>
      <c r="H1446" s="86"/>
      <c r="I1446" s="86"/>
      <c r="J1446" s="86"/>
      <c r="K1446" s="86"/>
      <c r="L1446" s="86"/>
      <c r="M1446" s="86"/>
      <c r="N1446" s="86"/>
      <c r="O1446" s="86"/>
      <c r="P1446" s="86"/>
      <c r="Q1446" s="86"/>
      <c r="R1446" s="86"/>
      <c r="S1446" s="86"/>
      <c r="T1446" s="86"/>
      <c r="U1446" s="86"/>
      <c r="V1446" s="86"/>
      <c r="W1446" s="86"/>
      <c r="X1446" s="86"/>
      <c r="Y1446" s="86"/>
      <c r="Z1446" s="86"/>
      <c r="AA1446" s="86"/>
      <c r="AB1446" s="86"/>
      <c r="AC1446" s="86"/>
      <c r="AD1446" s="86"/>
      <c r="AE1446" s="86"/>
      <c r="AF1446" s="86"/>
      <c r="AG1446" s="86"/>
      <c r="AH1446" s="86"/>
      <c r="AI1446" s="86"/>
      <c r="AJ1446" s="86"/>
    </row>
    <row r="1447" spans="1:36" x14ac:dyDescent="0.25">
      <c r="A1447" s="277"/>
      <c r="B1447" s="87"/>
      <c r="C1447" s="87"/>
      <c r="D1447" s="87"/>
      <c r="E1447" s="87"/>
      <c r="F1447" s="87"/>
      <c r="G1447" s="87"/>
      <c r="H1447" s="87"/>
      <c r="I1447" s="87"/>
      <c r="J1447" s="87"/>
      <c r="K1447" s="87"/>
      <c r="L1447" s="87"/>
      <c r="M1447" s="87"/>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row>
    <row r="1448" spans="1:36" x14ac:dyDescent="0.25">
      <c r="A1448" s="276"/>
      <c r="B1448" s="86"/>
      <c r="C1448" s="86"/>
      <c r="D1448" s="86"/>
      <c r="E1448" s="86"/>
      <c r="F1448" s="86"/>
      <c r="G1448" s="86"/>
      <c r="H1448" s="86"/>
      <c r="I1448" s="86"/>
      <c r="J1448" s="86"/>
      <c r="K1448" s="86"/>
      <c r="L1448" s="86"/>
      <c r="M1448" s="86"/>
      <c r="N1448" s="86"/>
      <c r="O1448" s="86"/>
      <c r="P1448" s="86"/>
      <c r="Q1448" s="86"/>
      <c r="R1448" s="86"/>
      <c r="S1448" s="86"/>
      <c r="T1448" s="86"/>
      <c r="U1448" s="86"/>
      <c r="V1448" s="86"/>
      <c r="W1448" s="86"/>
      <c r="X1448" s="86"/>
      <c r="Y1448" s="86"/>
      <c r="Z1448" s="86"/>
      <c r="AA1448" s="86"/>
      <c r="AB1448" s="86"/>
      <c r="AC1448" s="86"/>
      <c r="AD1448" s="86"/>
      <c r="AE1448" s="86"/>
      <c r="AF1448" s="86"/>
      <c r="AG1448" s="86"/>
      <c r="AH1448" s="86"/>
      <c r="AI1448" s="86"/>
      <c r="AJ1448" s="86"/>
    </row>
    <row r="1449" spans="1:36" x14ac:dyDescent="0.25">
      <c r="A1449" s="277"/>
      <c r="B1449" s="87"/>
      <c r="C1449" s="87"/>
      <c r="D1449" s="87"/>
      <c r="E1449" s="87"/>
      <c r="F1449" s="87"/>
      <c r="G1449" s="87"/>
      <c r="H1449" s="87"/>
      <c r="I1449" s="87"/>
      <c r="J1449" s="87"/>
      <c r="K1449" s="87"/>
      <c r="L1449" s="87"/>
      <c r="M1449" s="87"/>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row>
    <row r="1450" spans="1:36" x14ac:dyDescent="0.25">
      <c r="A1450" s="276"/>
      <c r="B1450" s="86"/>
      <c r="C1450" s="86"/>
      <c r="D1450" s="86"/>
      <c r="E1450" s="86"/>
      <c r="F1450" s="86"/>
      <c r="G1450" s="86"/>
      <c r="H1450" s="86"/>
      <c r="I1450" s="86"/>
      <c r="J1450" s="86"/>
      <c r="K1450" s="86"/>
      <c r="L1450" s="86"/>
      <c r="M1450" s="86"/>
      <c r="N1450" s="86"/>
      <c r="O1450" s="86"/>
      <c r="P1450" s="86"/>
      <c r="Q1450" s="86"/>
      <c r="R1450" s="86"/>
      <c r="S1450" s="86"/>
      <c r="T1450" s="86"/>
      <c r="U1450" s="86"/>
      <c r="V1450" s="86"/>
      <c r="W1450" s="86"/>
      <c r="X1450" s="86"/>
      <c r="Y1450" s="86"/>
      <c r="Z1450" s="86"/>
      <c r="AA1450" s="86"/>
      <c r="AB1450" s="86"/>
      <c r="AC1450" s="86"/>
      <c r="AD1450" s="86"/>
      <c r="AE1450" s="86"/>
      <c r="AF1450" s="86"/>
      <c r="AG1450" s="86"/>
      <c r="AH1450" s="86"/>
      <c r="AI1450" s="86"/>
      <c r="AJ1450" s="86"/>
    </row>
    <row r="1451" spans="1:36" x14ac:dyDescent="0.25">
      <c r="A1451" s="277"/>
      <c r="B1451" s="87"/>
      <c r="C1451" s="87"/>
      <c r="D1451" s="87"/>
      <c r="E1451" s="87"/>
      <c r="F1451" s="87"/>
      <c r="G1451" s="87"/>
      <c r="H1451" s="87"/>
      <c r="I1451" s="87"/>
      <c r="J1451" s="87"/>
      <c r="K1451" s="87"/>
      <c r="L1451" s="87"/>
      <c r="M1451" s="87"/>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row>
    <row r="1452" spans="1:36" x14ac:dyDescent="0.25">
      <c r="A1452" s="276"/>
      <c r="B1452" s="86"/>
      <c r="C1452" s="86"/>
      <c r="D1452" s="86"/>
      <c r="E1452" s="86"/>
      <c r="F1452" s="86"/>
      <c r="G1452" s="86"/>
      <c r="H1452" s="86"/>
      <c r="I1452" s="86"/>
      <c r="J1452" s="86"/>
      <c r="K1452" s="86"/>
      <c r="L1452" s="86"/>
      <c r="M1452" s="86"/>
      <c r="N1452" s="86"/>
      <c r="O1452" s="86"/>
      <c r="P1452" s="86"/>
      <c r="Q1452" s="86"/>
      <c r="R1452" s="86"/>
      <c r="S1452" s="86"/>
      <c r="T1452" s="86"/>
      <c r="U1452" s="86"/>
      <c r="V1452" s="86"/>
      <c r="W1452" s="86"/>
      <c r="X1452" s="86"/>
      <c r="Y1452" s="86"/>
      <c r="Z1452" s="86"/>
      <c r="AA1452" s="86"/>
      <c r="AB1452" s="86"/>
      <c r="AC1452" s="86"/>
      <c r="AD1452" s="86"/>
      <c r="AE1452" s="86"/>
      <c r="AF1452" s="86"/>
      <c r="AG1452" s="86"/>
      <c r="AH1452" s="86"/>
      <c r="AI1452" s="86"/>
      <c r="AJ1452" s="86"/>
    </row>
    <row r="1453" spans="1:36" x14ac:dyDescent="0.25">
      <c r="A1453" s="277"/>
      <c r="B1453" s="87"/>
      <c r="C1453" s="87"/>
      <c r="D1453" s="87"/>
      <c r="E1453" s="87"/>
      <c r="F1453" s="87"/>
      <c r="G1453" s="87"/>
      <c r="H1453" s="87"/>
      <c r="I1453" s="87"/>
      <c r="J1453" s="87"/>
      <c r="K1453" s="87"/>
      <c r="L1453" s="87"/>
      <c r="M1453" s="87"/>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row>
    <row r="1454" spans="1:36" x14ac:dyDescent="0.25">
      <c r="A1454" s="276"/>
      <c r="B1454" s="86"/>
      <c r="C1454" s="86"/>
      <c r="D1454" s="86"/>
      <c r="E1454" s="86"/>
      <c r="F1454" s="86"/>
      <c r="G1454" s="86"/>
      <c r="H1454" s="86"/>
      <c r="I1454" s="86"/>
      <c r="J1454" s="86"/>
      <c r="K1454" s="86"/>
      <c r="L1454" s="86"/>
      <c r="M1454" s="86"/>
      <c r="N1454" s="86"/>
      <c r="O1454" s="86"/>
      <c r="P1454" s="86"/>
      <c r="Q1454" s="86"/>
      <c r="R1454" s="86"/>
      <c r="S1454" s="86"/>
      <c r="T1454" s="86"/>
      <c r="U1454" s="86"/>
      <c r="V1454" s="86"/>
      <c r="W1454" s="86"/>
      <c r="X1454" s="86"/>
      <c r="Y1454" s="86"/>
      <c r="Z1454" s="86"/>
      <c r="AA1454" s="86"/>
      <c r="AB1454" s="86"/>
      <c r="AC1454" s="86"/>
      <c r="AD1454" s="86"/>
      <c r="AE1454" s="86"/>
      <c r="AF1454" s="86"/>
      <c r="AG1454" s="86"/>
      <c r="AH1454" s="86"/>
      <c r="AI1454" s="86"/>
      <c r="AJ1454" s="86"/>
    </row>
    <row r="1455" spans="1:36" x14ac:dyDescent="0.25">
      <c r="A1455" s="277"/>
      <c r="B1455" s="87"/>
      <c r="C1455" s="87"/>
      <c r="D1455" s="87"/>
      <c r="E1455" s="87"/>
      <c r="F1455" s="87"/>
      <c r="G1455" s="87"/>
      <c r="H1455" s="87"/>
      <c r="I1455" s="87"/>
      <c r="J1455" s="87"/>
      <c r="K1455" s="87"/>
      <c r="L1455" s="87"/>
      <c r="M1455" s="87"/>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row>
    <row r="1456" spans="1:36" x14ac:dyDescent="0.25">
      <c r="A1456" s="276"/>
      <c r="B1456" s="86"/>
      <c r="C1456" s="86"/>
      <c r="D1456" s="86"/>
      <c r="E1456" s="86"/>
      <c r="F1456" s="86"/>
      <c r="G1456" s="86"/>
      <c r="H1456" s="86"/>
      <c r="I1456" s="86"/>
      <c r="J1456" s="86"/>
      <c r="K1456" s="86"/>
      <c r="L1456" s="86"/>
      <c r="M1456" s="86"/>
      <c r="N1456" s="86"/>
      <c r="O1456" s="86"/>
      <c r="P1456" s="86"/>
      <c r="Q1456" s="86"/>
      <c r="R1456" s="86"/>
      <c r="S1456" s="86"/>
      <c r="T1456" s="86"/>
      <c r="U1456" s="86"/>
      <c r="V1456" s="86"/>
      <c r="W1456" s="86"/>
      <c r="X1456" s="86"/>
      <c r="Y1456" s="86"/>
      <c r="Z1456" s="86"/>
      <c r="AA1456" s="86"/>
      <c r="AB1456" s="86"/>
      <c r="AC1456" s="86"/>
      <c r="AD1456" s="86"/>
      <c r="AE1456" s="86"/>
      <c r="AF1456" s="86"/>
      <c r="AG1456" s="86"/>
      <c r="AH1456" s="86"/>
      <c r="AI1456" s="86"/>
      <c r="AJ1456" s="86"/>
    </row>
    <row r="1457" spans="1:36" x14ac:dyDescent="0.25">
      <c r="A1457" s="277"/>
      <c r="B1457" s="87"/>
      <c r="C1457" s="87"/>
      <c r="D1457" s="87"/>
      <c r="E1457" s="87"/>
      <c r="F1457" s="87"/>
      <c r="G1457" s="87"/>
      <c r="H1457" s="87"/>
      <c r="I1457" s="87"/>
      <c r="J1457" s="87"/>
      <c r="K1457" s="87"/>
      <c r="L1457" s="87"/>
      <c r="M1457" s="87"/>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row>
    <row r="1458" spans="1:36" x14ac:dyDescent="0.25">
      <c r="A1458" s="276"/>
      <c r="B1458" s="86"/>
      <c r="C1458" s="86"/>
      <c r="D1458" s="86"/>
      <c r="E1458" s="86"/>
      <c r="F1458" s="86"/>
      <c r="G1458" s="86"/>
      <c r="H1458" s="86"/>
      <c r="I1458" s="86"/>
      <c r="J1458" s="86"/>
      <c r="K1458" s="86"/>
      <c r="L1458" s="86"/>
      <c r="M1458" s="86"/>
      <c r="N1458" s="86"/>
      <c r="O1458" s="86"/>
      <c r="P1458" s="86"/>
      <c r="Q1458" s="86"/>
      <c r="R1458" s="86"/>
      <c r="S1458" s="86"/>
      <c r="T1458" s="86"/>
      <c r="U1458" s="86"/>
      <c r="V1458" s="86"/>
      <c r="W1458" s="86"/>
      <c r="X1458" s="86"/>
      <c r="Y1458" s="86"/>
      <c r="Z1458" s="86"/>
      <c r="AA1458" s="86"/>
      <c r="AB1458" s="86"/>
      <c r="AC1458" s="86"/>
      <c r="AD1458" s="86"/>
      <c r="AE1458" s="86"/>
      <c r="AF1458" s="86"/>
      <c r="AG1458" s="86"/>
      <c r="AH1458" s="86"/>
      <c r="AI1458" s="86"/>
      <c r="AJ1458" s="86"/>
    </row>
    <row r="1459" spans="1:36" x14ac:dyDescent="0.25">
      <c r="A1459" s="277"/>
      <c r="B1459" s="87"/>
      <c r="C1459" s="87"/>
      <c r="D1459" s="87"/>
      <c r="E1459" s="87"/>
      <c r="F1459" s="87"/>
      <c r="G1459" s="87"/>
      <c r="H1459" s="87"/>
      <c r="I1459" s="87"/>
      <c r="J1459" s="87"/>
      <c r="K1459" s="87"/>
      <c r="L1459" s="87"/>
      <c r="M1459" s="87"/>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row>
    <row r="1460" spans="1:36" x14ac:dyDescent="0.25">
      <c r="A1460" s="276"/>
      <c r="B1460" s="86"/>
      <c r="C1460" s="86"/>
      <c r="D1460" s="86"/>
      <c r="E1460" s="86"/>
      <c r="F1460" s="86"/>
      <c r="G1460" s="86"/>
      <c r="H1460" s="86"/>
      <c r="I1460" s="86"/>
      <c r="J1460" s="86"/>
      <c r="K1460" s="86"/>
      <c r="L1460" s="86"/>
      <c r="M1460" s="86"/>
      <c r="N1460" s="86"/>
      <c r="O1460" s="86"/>
      <c r="P1460" s="86"/>
      <c r="Q1460" s="86"/>
      <c r="R1460" s="86"/>
      <c r="S1460" s="86"/>
      <c r="T1460" s="86"/>
      <c r="U1460" s="86"/>
      <c r="V1460" s="86"/>
      <c r="W1460" s="86"/>
      <c r="X1460" s="86"/>
      <c r="Y1460" s="86"/>
      <c r="Z1460" s="86"/>
      <c r="AA1460" s="86"/>
      <c r="AB1460" s="86"/>
      <c r="AC1460" s="86"/>
      <c r="AD1460" s="86"/>
      <c r="AE1460" s="86"/>
      <c r="AF1460" s="86"/>
      <c r="AG1460" s="86"/>
      <c r="AH1460" s="86"/>
      <c r="AI1460" s="86"/>
      <c r="AJ1460" s="86"/>
    </row>
    <row r="1461" spans="1:36" x14ac:dyDescent="0.25">
      <c r="A1461" s="277"/>
      <c r="B1461" s="87"/>
      <c r="C1461" s="87"/>
      <c r="D1461" s="87"/>
      <c r="E1461" s="87"/>
      <c r="F1461" s="87"/>
      <c r="G1461" s="87"/>
      <c r="H1461" s="87"/>
      <c r="I1461" s="87"/>
      <c r="J1461" s="87"/>
      <c r="K1461" s="87"/>
      <c r="L1461" s="87"/>
      <c r="M1461" s="87"/>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row>
    <row r="1462" spans="1:36" x14ac:dyDescent="0.25">
      <c r="A1462" s="276"/>
      <c r="B1462" s="86"/>
      <c r="C1462" s="86"/>
      <c r="D1462" s="86"/>
      <c r="E1462" s="86"/>
      <c r="F1462" s="86"/>
      <c r="G1462" s="86"/>
      <c r="H1462" s="86"/>
      <c r="I1462" s="86"/>
      <c r="J1462" s="86"/>
      <c r="K1462" s="86"/>
      <c r="L1462" s="86"/>
      <c r="M1462" s="86"/>
      <c r="N1462" s="86"/>
      <c r="O1462" s="86"/>
      <c r="P1462" s="86"/>
      <c r="Q1462" s="86"/>
      <c r="R1462" s="86"/>
      <c r="S1462" s="86"/>
      <c r="T1462" s="86"/>
      <c r="U1462" s="86"/>
      <c r="V1462" s="86"/>
      <c r="W1462" s="86"/>
      <c r="X1462" s="86"/>
      <c r="Y1462" s="86"/>
      <c r="Z1462" s="86"/>
      <c r="AA1462" s="86"/>
      <c r="AB1462" s="86"/>
      <c r="AC1462" s="86"/>
      <c r="AD1462" s="86"/>
      <c r="AE1462" s="86"/>
      <c r="AF1462" s="86"/>
      <c r="AG1462" s="86"/>
      <c r="AH1462" s="86"/>
      <c r="AI1462" s="86"/>
      <c r="AJ1462" s="86"/>
    </row>
    <row r="1463" spans="1:36" x14ac:dyDescent="0.25">
      <c r="A1463" s="277"/>
      <c r="B1463" s="87"/>
      <c r="C1463" s="87"/>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row>
    <row r="1464" spans="1:36" x14ac:dyDescent="0.25">
      <c r="A1464" s="276"/>
      <c r="B1464" s="86"/>
      <c r="C1464" s="86"/>
      <c r="D1464" s="86"/>
      <c r="E1464" s="86"/>
      <c r="F1464" s="86"/>
      <c r="G1464" s="86"/>
      <c r="H1464" s="86"/>
      <c r="I1464" s="86"/>
      <c r="J1464" s="86"/>
      <c r="K1464" s="86"/>
      <c r="L1464" s="86"/>
      <c r="M1464" s="86"/>
      <c r="N1464" s="86"/>
      <c r="O1464" s="86"/>
      <c r="P1464" s="86"/>
      <c r="Q1464" s="86"/>
      <c r="R1464" s="86"/>
      <c r="S1464" s="86"/>
      <c r="T1464" s="86"/>
      <c r="U1464" s="86"/>
      <c r="V1464" s="86"/>
      <c r="W1464" s="86"/>
      <c r="X1464" s="86"/>
      <c r="Y1464" s="86"/>
      <c r="Z1464" s="86"/>
      <c r="AA1464" s="86"/>
      <c r="AB1464" s="86"/>
      <c r="AC1464" s="86"/>
      <c r="AD1464" s="86"/>
      <c r="AE1464" s="86"/>
      <c r="AF1464" s="86"/>
      <c r="AG1464" s="86"/>
      <c r="AH1464" s="86"/>
      <c r="AI1464" s="86"/>
      <c r="AJ1464" s="86"/>
    </row>
    <row r="1465" spans="1:36" x14ac:dyDescent="0.25">
      <c r="A1465" s="277"/>
      <c r="B1465" s="87"/>
      <c r="C1465" s="87"/>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row>
    <row r="1466" spans="1:36" x14ac:dyDescent="0.25">
      <c r="A1466" s="276"/>
      <c r="B1466" s="86"/>
      <c r="C1466" s="86"/>
      <c r="D1466" s="86"/>
      <c r="E1466" s="86"/>
      <c r="F1466" s="86"/>
      <c r="G1466" s="86"/>
      <c r="H1466" s="86"/>
      <c r="I1466" s="86"/>
      <c r="J1466" s="86"/>
      <c r="K1466" s="86"/>
      <c r="L1466" s="86"/>
      <c r="M1466" s="86"/>
      <c r="N1466" s="86"/>
      <c r="O1466" s="86"/>
      <c r="P1466" s="86"/>
      <c r="Q1466" s="86"/>
      <c r="R1466" s="86"/>
      <c r="S1466" s="86"/>
      <c r="T1466" s="86"/>
      <c r="U1466" s="86"/>
      <c r="V1466" s="86"/>
      <c r="W1466" s="86"/>
      <c r="X1466" s="86"/>
      <c r="Y1466" s="86"/>
      <c r="Z1466" s="86"/>
      <c r="AA1466" s="86"/>
      <c r="AB1466" s="86"/>
      <c r="AC1466" s="86"/>
      <c r="AD1466" s="86"/>
      <c r="AE1466" s="86"/>
      <c r="AF1466" s="86"/>
      <c r="AG1466" s="86"/>
      <c r="AH1466" s="86"/>
      <c r="AI1466" s="86"/>
      <c r="AJ1466" s="86"/>
    </row>
    <row r="1467" spans="1:36" x14ac:dyDescent="0.25">
      <c r="A1467" s="277"/>
      <c r="B1467" s="87"/>
      <c r="C1467" s="87"/>
      <c r="D1467" s="87"/>
      <c r="E1467" s="87"/>
      <c r="F1467" s="87"/>
      <c r="G1467" s="87"/>
      <c r="H1467" s="87"/>
      <c r="I1467" s="87"/>
      <c r="J1467" s="87"/>
      <c r="K1467" s="87"/>
      <c r="L1467" s="87"/>
      <c r="M1467" s="87"/>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row>
    <row r="1468" spans="1:36" x14ac:dyDescent="0.25">
      <c r="A1468" s="276"/>
      <c r="B1468" s="86"/>
      <c r="C1468" s="86"/>
      <c r="D1468" s="86"/>
      <c r="E1468" s="86"/>
      <c r="F1468" s="86"/>
      <c r="G1468" s="86"/>
      <c r="H1468" s="86"/>
      <c r="I1468" s="86"/>
      <c r="J1468" s="86"/>
      <c r="K1468" s="86"/>
      <c r="L1468" s="86"/>
      <c r="M1468" s="86"/>
      <c r="N1468" s="86"/>
      <c r="O1468" s="86"/>
      <c r="P1468" s="86"/>
      <c r="Q1468" s="86"/>
      <c r="R1468" s="86"/>
      <c r="S1468" s="86"/>
      <c r="T1468" s="86"/>
      <c r="U1468" s="86"/>
      <c r="V1468" s="86"/>
      <c r="W1468" s="86"/>
      <c r="X1468" s="86"/>
      <c r="Y1468" s="86"/>
      <c r="Z1468" s="86"/>
      <c r="AA1468" s="86"/>
      <c r="AB1468" s="86"/>
      <c r="AC1468" s="86"/>
      <c r="AD1468" s="86"/>
      <c r="AE1468" s="86"/>
      <c r="AF1468" s="86"/>
      <c r="AG1468" s="86"/>
      <c r="AH1468" s="86"/>
      <c r="AI1468" s="86"/>
      <c r="AJ1468" s="86"/>
    </row>
    <row r="1469" spans="1:36" x14ac:dyDescent="0.25">
      <c r="A1469" s="277"/>
      <c r="B1469" s="87"/>
      <c r="C1469" s="87"/>
      <c r="D1469" s="87"/>
      <c r="E1469" s="87"/>
      <c r="F1469" s="87"/>
      <c r="G1469" s="87"/>
      <c r="H1469" s="87"/>
      <c r="I1469" s="87"/>
      <c r="J1469" s="87"/>
      <c r="K1469" s="87"/>
      <c r="L1469" s="87"/>
      <c r="M1469" s="87"/>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row>
    <row r="1470" spans="1:36" x14ac:dyDescent="0.25">
      <c r="A1470" s="276"/>
      <c r="B1470" s="86"/>
      <c r="C1470" s="86"/>
      <c r="D1470" s="86"/>
      <c r="E1470" s="86"/>
      <c r="F1470" s="86"/>
      <c r="G1470" s="86"/>
      <c r="H1470" s="86"/>
      <c r="I1470" s="86"/>
      <c r="J1470" s="86"/>
      <c r="K1470" s="86"/>
      <c r="L1470" s="86"/>
      <c r="M1470" s="86"/>
      <c r="N1470" s="86"/>
      <c r="O1470" s="86"/>
      <c r="P1470" s="86"/>
      <c r="Q1470" s="86"/>
      <c r="R1470" s="86"/>
      <c r="S1470" s="86"/>
      <c r="T1470" s="86"/>
      <c r="U1470" s="86"/>
      <c r="V1470" s="86"/>
      <c r="W1470" s="86"/>
      <c r="X1470" s="86"/>
      <c r="Y1470" s="86"/>
      <c r="Z1470" s="86"/>
      <c r="AA1470" s="86"/>
      <c r="AB1470" s="86"/>
      <c r="AC1470" s="86"/>
      <c r="AD1470" s="86"/>
      <c r="AE1470" s="86"/>
      <c r="AF1470" s="86"/>
      <c r="AG1470" s="86"/>
      <c r="AH1470" s="86"/>
      <c r="AI1470" s="86"/>
      <c r="AJ1470" s="86"/>
    </row>
    <row r="1471" spans="1:36" x14ac:dyDescent="0.25">
      <c r="A1471" s="277"/>
      <c r="B1471" s="87"/>
      <c r="C1471" s="87"/>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row>
    <row r="1472" spans="1:36" x14ac:dyDescent="0.25">
      <c r="A1472" s="276"/>
      <c r="B1472" s="86"/>
      <c r="C1472" s="86"/>
      <c r="D1472" s="86"/>
      <c r="E1472" s="86"/>
      <c r="F1472" s="86"/>
      <c r="G1472" s="86"/>
      <c r="H1472" s="86"/>
      <c r="I1472" s="86"/>
      <c r="J1472" s="86"/>
      <c r="K1472" s="86"/>
      <c r="L1472" s="86"/>
      <c r="M1472" s="86"/>
      <c r="N1472" s="86"/>
      <c r="O1472" s="86"/>
      <c r="P1472" s="86"/>
      <c r="Q1472" s="86"/>
      <c r="R1472" s="86"/>
      <c r="S1472" s="86"/>
      <c r="T1472" s="86"/>
      <c r="U1472" s="86"/>
      <c r="V1472" s="86"/>
      <c r="W1472" s="86"/>
      <c r="X1472" s="86"/>
      <c r="Y1472" s="86"/>
      <c r="Z1472" s="86"/>
      <c r="AA1472" s="86"/>
      <c r="AB1472" s="86"/>
      <c r="AC1472" s="86"/>
      <c r="AD1472" s="86"/>
      <c r="AE1472" s="86"/>
      <c r="AF1472" s="86"/>
      <c r="AG1472" s="86"/>
      <c r="AH1472" s="86"/>
      <c r="AI1472" s="86"/>
      <c r="AJ1472" s="86"/>
    </row>
    <row r="1473" spans="1:36" x14ac:dyDescent="0.25">
      <c r="A1473" s="277"/>
      <c r="B1473" s="87"/>
      <c r="C1473" s="87"/>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row>
    <row r="1474" spans="1:36" x14ac:dyDescent="0.25">
      <c r="A1474" s="276"/>
      <c r="B1474" s="86"/>
      <c r="C1474" s="86"/>
      <c r="D1474" s="86"/>
      <c r="E1474" s="86"/>
      <c r="F1474" s="86"/>
      <c r="G1474" s="86"/>
      <c r="H1474" s="86"/>
      <c r="I1474" s="86"/>
      <c r="J1474" s="86"/>
      <c r="K1474" s="86"/>
      <c r="L1474" s="86"/>
      <c r="M1474" s="86"/>
      <c r="N1474" s="86"/>
      <c r="O1474" s="86"/>
      <c r="P1474" s="86"/>
      <c r="Q1474" s="86"/>
      <c r="R1474" s="86"/>
      <c r="S1474" s="86"/>
      <c r="T1474" s="86"/>
      <c r="U1474" s="86"/>
      <c r="V1474" s="86"/>
      <c r="W1474" s="86"/>
      <c r="X1474" s="86"/>
      <c r="Y1474" s="86"/>
      <c r="Z1474" s="86"/>
      <c r="AA1474" s="86"/>
      <c r="AB1474" s="86"/>
      <c r="AC1474" s="86"/>
      <c r="AD1474" s="86"/>
      <c r="AE1474" s="86"/>
      <c r="AF1474" s="86"/>
      <c r="AG1474" s="86"/>
      <c r="AH1474" s="86"/>
      <c r="AI1474" s="86"/>
      <c r="AJ1474" s="86"/>
    </row>
    <row r="1475" spans="1:36" x14ac:dyDescent="0.25">
      <c r="A1475" s="277"/>
      <c r="B1475" s="87"/>
      <c r="C1475" s="87"/>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row>
    <row r="1476" spans="1:36" x14ac:dyDescent="0.25">
      <c r="A1476" s="276"/>
      <c r="B1476" s="86"/>
      <c r="C1476" s="86"/>
      <c r="D1476" s="86"/>
      <c r="E1476" s="86"/>
      <c r="F1476" s="86"/>
      <c r="G1476" s="86"/>
      <c r="H1476" s="86"/>
      <c r="I1476" s="86"/>
      <c r="J1476" s="86"/>
      <c r="K1476" s="86"/>
      <c r="L1476" s="86"/>
      <c r="M1476" s="86"/>
      <c r="N1476" s="86"/>
      <c r="O1476" s="86"/>
      <c r="P1476" s="86"/>
      <c r="Q1476" s="86"/>
      <c r="R1476" s="86"/>
      <c r="S1476" s="86"/>
      <c r="T1476" s="86"/>
      <c r="U1476" s="86"/>
      <c r="V1476" s="86"/>
      <c r="W1476" s="86"/>
      <c r="X1476" s="86"/>
      <c r="Y1476" s="86"/>
      <c r="Z1476" s="86"/>
      <c r="AA1476" s="86"/>
      <c r="AB1476" s="86"/>
      <c r="AC1476" s="86"/>
      <c r="AD1476" s="86"/>
      <c r="AE1476" s="86"/>
      <c r="AF1476" s="86"/>
      <c r="AG1476" s="86"/>
      <c r="AH1476" s="86"/>
      <c r="AI1476" s="86"/>
      <c r="AJ1476" s="86"/>
    </row>
    <row r="1477" spans="1:36" x14ac:dyDescent="0.25">
      <c r="A1477" s="277"/>
      <c r="B1477" s="87"/>
      <c r="C1477" s="87"/>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row>
    <row r="1478" spans="1:36" x14ac:dyDescent="0.25">
      <c r="A1478" s="276"/>
      <c r="B1478" s="86"/>
      <c r="C1478" s="86"/>
      <c r="D1478" s="86"/>
      <c r="E1478" s="86"/>
      <c r="F1478" s="86"/>
      <c r="G1478" s="86"/>
      <c r="H1478" s="86"/>
      <c r="I1478" s="86"/>
      <c r="J1478" s="86"/>
      <c r="K1478" s="86"/>
      <c r="L1478" s="86"/>
      <c r="M1478" s="86"/>
      <c r="N1478" s="86"/>
      <c r="O1478" s="86"/>
      <c r="P1478" s="86"/>
      <c r="Q1478" s="86"/>
      <c r="R1478" s="86"/>
      <c r="S1478" s="86"/>
      <c r="T1478" s="86"/>
      <c r="U1478" s="86"/>
      <c r="V1478" s="86"/>
      <c r="W1478" s="86"/>
      <c r="X1478" s="86"/>
      <c r="Y1478" s="86"/>
      <c r="Z1478" s="86"/>
      <c r="AA1478" s="86"/>
      <c r="AB1478" s="86"/>
      <c r="AC1478" s="86"/>
      <c r="AD1478" s="86"/>
      <c r="AE1478" s="86"/>
      <c r="AF1478" s="86"/>
      <c r="AG1478" s="86"/>
      <c r="AH1478" s="86"/>
      <c r="AI1478" s="86"/>
      <c r="AJ1478" s="86"/>
    </row>
    <row r="1479" spans="1:36" x14ac:dyDescent="0.25">
      <c r="A1479" s="277"/>
      <c r="B1479" s="87"/>
      <c r="C1479" s="87"/>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row>
    <row r="1480" spans="1:36" x14ac:dyDescent="0.25">
      <c r="A1480" s="276"/>
      <c r="B1480" s="86"/>
      <c r="C1480" s="86"/>
      <c r="D1480" s="86"/>
      <c r="E1480" s="86"/>
      <c r="F1480" s="86"/>
      <c r="G1480" s="86"/>
      <c r="H1480" s="86"/>
      <c r="I1480" s="86"/>
      <c r="J1480" s="86"/>
      <c r="K1480" s="86"/>
      <c r="L1480" s="86"/>
      <c r="M1480" s="86"/>
      <c r="N1480" s="86"/>
      <c r="O1480" s="86"/>
      <c r="P1480" s="86"/>
      <c r="Q1480" s="86"/>
      <c r="R1480" s="86"/>
      <c r="S1480" s="86"/>
      <c r="T1480" s="86"/>
      <c r="U1480" s="86"/>
      <c r="V1480" s="86"/>
      <c r="W1480" s="86"/>
      <c r="X1480" s="86"/>
      <c r="Y1480" s="86"/>
      <c r="Z1480" s="86"/>
      <c r="AA1480" s="86"/>
      <c r="AB1480" s="86"/>
      <c r="AC1480" s="86"/>
      <c r="AD1480" s="86"/>
      <c r="AE1480" s="86"/>
      <c r="AF1480" s="86"/>
      <c r="AG1480" s="86"/>
      <c r="AH1480" s="86"/>
      <c r="AI1480" s="86"/>
      <c r="AJ1480" s="86"/>
    </row>
    <row r="1481" spans="1:36" x14ac:dyDescent="0.25">
      <c r="A1481" s="277"/>
      <c r="B1481" s="87"/>
      <c r="C1481" s="87"/>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row>
    <row r="1482" spans="1:36" x14ac:dyDescent="0.25">
      <c r="A1482" s="276"/>
      <c r="B1482" s="86"/>
      <c r="C1482" s="86"/>
      <c r="D1482" s="86"/>
      <c r="E1482" s="86"/>
      <c r="F1482" s="86"/>
      <c r="G1482" s="86"/>
      <c r="H1482" s="86"/>
      <c r="I1482" s="86"/>
      <c r="J1482" s="86"/>
      <c r="K1482" s="86"/>
      <c r="L1482" s="86"/>
      <c r="M1482" s="86"/>
      <c r="N1482" s="86"/>
      <c r="O1482" s="86"/>
      <c r="P1482" s="86"/>
      <c r="Q1482" s="86"/>
      <c r="R1482" s="86"/>
      <c r="S1482" s="86"/>
      <c r="T1482" s="86"/>
      <c r="U1482" s="86"/>
      <c r="V1482" s="86"/>
      <c r="W1482" s="86"/>
      <c r="X1482" s="86"/>
      <c r="Y1482" s="86"/>
      <c r="Z1482" s="86"/>
      <c r="AA1482" s="86"/>
      <c r="AB1482" s="86"/>
      <c r="AC1482" s="86"/>
      <c r="AD1482" s="86"/>
      <c r="AE1482" s="86"/>
      <c r="AF1482" s="86"/>
      <c r="AG1482" s="86"/>
      <c r="AH1482" s="86"/>
      <c r="AI1482" s="86"/>
      <c r="AJ1482" s="86"/>
    </row>
    <row r="1483" spans="1:36" x14ac:dyDescent="0.25">
      <c r="A1483" s="277"/>
      <c r="B1483" s="87"/>
      <c r="C1483" s="87"/>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row>
    <row r="1484" spans="1:36" x14ac:dyDescent="0.25">
      <c r="A1484" s="276"/>
      <c r="B1484" s="86"/>
      <c r="C1484" s="86"/>
      <c r="D1484" s="86"/>
      <c r="E1484" s="86"/>
      <c r="F1484" s="86"/>
      <c r="G1484" s="86"/>
      <c r="H1484" s="86"/>
      <c r="I1484" s="86"/>
      <c r="J1484" s="86"/>
      <c r="K1484" s="86"/>
      <c r="L1484" s="86"/>
      <c r="M1484" s="86"/>
      <c r="N1484" s="86"/>
      <c r="O1484" s="86"/>
      <c r="P1484" s="86"/>
      <c r="Q1484" s="86"/>
      <c r="R1484" s="86"/>
      <c r="S1484" s="86"/>
      <c r="T1484" s="86"/>
      <c r="U1484" s="86"/>
      <c r="V1484" s="86"/>
      <c r="W1484" s="86"/>
      <c r="X1484" s="86"/>
      <c r="Y1484" s="86"/>
      <c r="Z1484" s="86"/>
      <c r="AA1484" s="86"/>
      <c r="AB1484" s="86"/>
      <c r="AC1484" s="86"/>
      <c r="AD1484" s="86"/>
      <c r="AE1484" s="86"/>
      <c r="AF1484" s="86"/>
      <c r="AG1484" s="86"/>
      <c r="AH1484" s="86"/>
      <c r="AI1484" s="86"/>
      <c r="AJ1484" s="86"/>
    </row>
    <row r="1485" spans="1:36" x14ac:dyDescent="0.25">
      <c r="A1485" s="277"/>
      <c r="B1485" s="87"/>
      <c r="C1485" s="87"/>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row>
    <row r="1486" spans="1:36" x14ac:dyDescent="0.25">
      <c r="A1486" s="276"/>
      <c r="B1486" s="86"/>
      <c r="C1486" s="86"/>
      <c r="D1486" s="86"/>
      <c r="E1486" s="86"/>
      <c r="F1486" s="86"/>
      <c r="G1486" s="86"/>
      <c r="H1486" s="86"/>
      <c r="I1486" s="86"/>
      <c r="J1486" s="86"/>
      <c r="K1486" s="86"/>
      <c r="L1486" s="86"/>
      <c r="M1486" s="86"/>
      <c r="N1486" s="86"/>
      <c r="O1486" s="86"/>
      <c r="P1486" s="86"/>
      <c r="Q1486" s="86"/>
      <c r="R1486" s="86"/>
      <c r="S1486" s="86"/>
      <c r="T1486" s="86"/>
      <c r="U1486" s="86"/>
      <c r="V1486" s="86"/>
      <c r="W1486" s="86"/>
      <c r="X1486" s="86"/>
      <c r="Y1486" s="86"/>
      <c r="Z1486" s="86"/>
      <c r="AA1486" s="86"/>
      <c r="AB1486" s="86"/>
      <c r="AC1486" s="86"/>
      <c r="AD1486" s="86"/>
      <c r="AE1486" s="86"/>
      <c r="AF1486" s="86"/>
      <c r="AG1486" s="86"/>
      <c r="AH1486" s="86"/>
      <c r="AI1486" s="86"/>
      <c r="AJ1486" s="86"/>
    </row>
    <row r="1487" spans="1:36" x14ac:dyDescent="0.25">
      <c r="A1487" s="277"/>
      <c r="B1487" s="87"/>
      <c r="C1487" s="87"/>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row>
    <row r="1488" spans="1:36" x14ac:dyDescent="0.25">
      <c r="A1488" s="276"/>
      <c r="B1488" s="86"/>
      <c r="C1488" s="86"/>
      <c r="D1488" s="86"/>
      <c r="E1488" s="86"/>
      <c r="F1488" s="86"/>
      <c r="G1488" s="86"/>
      <c r="H1488" s="86"/>
      <c r="I1488" s="86"/>
      <c r="J1488" s="86"/>
      <c r="K1488" s="86"/>
      <c r="L1488" s="86"/>
      <c r="M1488" s="86"/>
      <c r="N1488" s="86"/>
      <c r="O1488" s="86"/>
      <c r="P1488" s="86"/>
      <c r="Q1488" s="86"/>
      <c r="R1488" s="86"/>
      <c r="S1488" s="86"/>
      <c r="T1488" s="86"/>
      <c r="U1488" s="86"/>
      <c r="V1488" s="86"/>
      <c r="W1488" s="86"/>
      <c r="X1488" s="86"/>
      <c r="Y1488" s="86"/>
      <c r="Z1488" s="86"/>
      <c r="AA1488" s="86"/>
      <c r="AB1488" s="86"/>
      <c r="AC1488" s="86"/>
      <c r="AD1488" s="86"/>
      <c r="AE1488" s="86"/>
      <c r="AF1488" s="86"/>
      <c r="AG1488" s="86"/>
      <c r="AH1488" s="86"/>
      <c r="AI1488" s="86"/>
      <c r="AJ1488" s="86"/>
    </row>
    <row r="1489" spans="1:36" x14ac:dyDescent="0.25">
      <c r="A1489" s="277"/>
      <c r="B1489" s="87"/>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row>
    <row r="1490" spans="1:36" x14ac:dyDescent="0.25">
      <c r="A1490" s="276"/>
      <c r="B1490" s="86"/>
      <c r="C1490" s="86"/>
      <c r="D1490" s="86"/>
      <c r="E1490" s="86"/>
      <c r="F1490" s="86"/>
      <c r="G1490" s="86"/>
      <c r="H1490" s="86"/>
      <c r="I1490" s="86"/>
      <c r="J1490" s="86"/>
      <c r="K1490" s="86"/>
      <c r="L1490" s="86"/>
      <c r="M1490" s="86"/>
      <c r="N1490" s="86"/>
      <c r="O1490" s="86"/>
      <c r="P1490" s="86"/>
      <c r="Q1490" s="86"/>
      <c r="R1490" s="86"/>
      <c r="S1490" s="86"/>
      <c r="T1490" s="86"/>
      <c r="U1490" s="86"/>
      <c r="V1490" s="86"/>
      <c r="W1490" s="86"/>
      <c r="X1490" s="86"/>
      <c r="Y1490" s="86"/>
      <c r="Z1490" s="86"/>
      <c r="AA1490" s="86"/>
      <c r="AB1490" s="86"/>
      <c r="AC1490" s="86"/>
      <c r="AD1490" s="86"/>
      <c r="AE1490" s="86"/>
      <c r="AF1490" s="86"/>
      <c r="AG1490" s="86"/>
      <c r="AH1490" s="86"/>
      <c r="AI1490" s="86"/>
      <c r="AJ1490" s="86"/>
    </row>
    <row r="1491" spans="1:36" x14ac:dyDescent="0.25">
      <c r="A1491" s="277"/>
      <c r="B1491" s="87"/>
      <c r="C1491" s="87"/>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row>
    <row r="1492" spans="1:36" x14ac:dyDescent="0.25">
      <c r="A1492" s="276"/>
      <c r="B1492" s="86"/>
      <c r="C1492" s="86"/>
      <c r="D1492" s="86"/>
      <c r="E1492" s="86"/>
      <c r="F1492" s="86"/>
      <c r="G1492" s="86"/>
      <c r="H1492" s="86"/>
      <c r="I1492" s="86"/>
      <c r="J1492" s="86"/>
      <c r="K1492" s="86"/>
      <c r="L1492" s="86"/>
      <c r="M1492" s="86"/>
      <c r="N1492" s="86"/>
      <c r="O1492" s="86"/>
      <c r="P1492" s="86"/>
      <c r="Q1492" s="86"/>
      <c r="R1492" s="86"/>
      <c r="S1492" s="86"/>
      <c r="T1492" s="86"/>
      <c r="U1492" s="86"/>
      <c r="V1492" s="86"/>
      <c r="W1492" s="86"/>
      <c r="X1492" s="86"/>
      <c r="Y1492" s="86"/>
      <c r="Z1492" s="86"/>
      <c r="AA1492" s="86"/>
      <c r="AB1492" s="86"/>
      <c r="AC1492" s="86"/>
      <c r="AD1492" s="86"/>
      <c r="AE1492" s="86"/>
      <c r="AF1492" s="86"/>
      <c r="AG1492" s="86"/>
      <c r="AH1492" s="86"/>
      <c r="AI1492" s="86"/>
      <c r="AJ1492" s="86"/>
    </row>
    <row r="1493" spans="1:36" x14ac:dyDescent="0.25">
      <c r="A1493" s="277"/>
      <c r="B1493" s="87"/>
      <c r="C1493" s="87"/>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row>
    <row r="1494" spans="1:36" x14ac:dyDescent="0.25">
      <c r="A1494" s="276"/>
      <c r="B1494" s="86"/>
      <c r="C1494" s="86"/>
      <c r="D1494" s="86"/>
      <c r="E1494" s="86"/>
      <c r="F1494" s="86"/>
      <c r="G1494" s="86"/>
      <c r="H1494" s="86"/>
      <c r="I1494" s="86"/>
      <c r="J1494" s="86"/>
      <c r="K1494" s="86"/>
      <c r="L1494" s="86"/>
      <c r="M1494" s="86"/>
      <c r="N1494" s="86"/>
      <c r="O1494" s="86"/>
      <c r="P1494" s="86"/>
      <c r="Q1494" s="86"/>
      <c r="R1494" s="86"/>
      <c r="S1494" s="86"/>
      <c r="T1494" s="86"/>
      <c r="U1494" s="86"/>
      <c r="V1494" s="86"/>
      <c r="W1494" s="86"/>
      <c r="X1494" s="86"/>
      <c r="Y1494" s="86"/>
      <c r="Z1494" s="86"/>
      <c r="AA1494" s="86"/>
      <c r="AB1494" s="86"/>
      <c r="AC1494" s="86"/>
      <c r="AD1494" s="86"/>
      <c r="AE1494" s="86"/>
      <c r="AF1494" s="86"/>
      <c r="AG1494" s="86"/>
      <c r="AH1494" s="86"/>
      <c r="AI1494" s="86"/>
      <c r="AJ1494" s="86"/>
    </row>
    <row r="1495" spans="1:36" x14ac:dyDescent="0.25">
      <c r="A1495" s="277"/>
      <c r="B1495" s="87"/>
      <c r="C1495" s="87"/>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row>
    <row r="1496" spans="1:36" x14ac:dyDescent="0.25">
      <c r="A1496" s="276"/>
      <c r="B1496" s="86"/>
      <c r="C1496" s="86"/>
      <c r="D1496" s="86"/>
      <c r="E1496" s="86"/>
      <c r="F1496" s="86"/>
      <c r="G1496" s="86"/>
      <c r="H1496" s="86"/>
      <c r="I1496" s="86"/>
      <c r="J1496" s="86"/>
      <c r="K1496" s="86"/>
      <c r="L1496" s="86"/>
      <c r="M1496" s="86"/>
      <c r="N1496" s="86"/>
      <c r="O1496" s="86"/>
      <c r="P1496" s="86"/>
      <c r="Q1496" s="86"/>
      <c r="R1496" s="86"/>
      <c r="S1496" s="86"/>
      <c r="T1496" s="86"/>
      <c r="U1496" s="86"/>
      <c r="V1496" s="86"/>
      <c r="W1496" s="86"/>
      <c r="X1496" s="86"/>
      <c r="Y1496" s="86"/>
      <c r="Z1496" s="86"/>
      <c r="AA1496" s="86"/>
      <c r="AB1496" s="86"/>
      <c r="AC1496" s="86"/>
      <c r="AD1496" s="86"/>
      <c r="AE1496" s="86"/>
      <c r="AF1496" s="86"/>
      <c r="AG1496" s="86"/>
      <c r="AH1496" s="86"/>
      <c r="AI1496" s="86"/>
      <c r="AJ1496" s="86"/>
    </row>
    <row r="1497" spans="1:36" x14ac:dyDescent="0.25">
      <c r="A1497" s="277"/>
      <c r="B1497" s="87"/>
      <c r="C1497" s="87"/>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row>
    <row r="1498" spans="1:36" x14ac:dyDescent="0.25">
      <c r="A1498" s="276"/>
      <c r="B1498" s="86"/>
      <c r="C1498" s="86"/>
      <c r="D1498" s="86"/>
      <c r="E1498" s="86"/>
      <c r="F1498" s="86"/>
      <c r="G1498" s="86"/>
      <c r="H1498" s="86"/>
      <c r="I1498" s="86"/>
      <c r="J1498" s="86"/>
      <c r="K1498" s="86"/>
      <c r="L1498" s="86"/>
      <c r="M1498" s="86"/>
      <c r="N1498" s="86"/>
      <c r="O1498" s="86"/>
      <c r="P1498" s="86"/>
      <c r="Q1498" s="86"/>
      <c r="R1498" s="86"/>
      <c r="S1498" s="86"/>
      <c r="T1498" s="86"/>
      <c r="U1498" s="86"/>
      <c r="V1498" s="86"/>
      <c r="W1498" s="86"/>
      <c r="X1498" s="86"/>
      <c r="Y1498" s="86"/>
      <c r="Z1498" s="86"/>
      <c r="AA1498" s="86"/>
      <c r="AB1498" s="86"/>
      <c r="AC1498" s="86"/>
      <c r="AD1498" s="86"/>
      <c r="AE1498" s="86"/>
      <c r="AF1498" s="86"/>
      <c r="AG1498" s="86"/>
      <c r="AH1498" s="86"/>
      <c r="AI1498" s="86"/>
      <c r="AJ1498" s="86"/>
    </row>
  </sheetData>
  <sheetProtection algorithmName="SHA-512" hashValue="iyNQPebh7q2Zo+RvJQglJyjoqWLW+0EOmxDbiPeHQ5t8SpSGyZ3D0CkZ5dBZ48bqlIhQ8zVgopF0m56MxyYkcQ==" saltValue="b70jL1dDMTxMfoh6FcS0K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6" t="s">
        <v>310</v>
      </c>
      <c r="B1" s="256" t="s">
        <v>311</v>
      </c>
      <c r="C1" s="257" t="s">
        <v>312</v>
      </c>
      <c r="E1" s="85" t="s">
        <v>313</v>
      </c>
    </row>
    <row r="2" spans="1:5" x14ac:dyDescent="0.25">
      <c r="A2" s="253">
        <v>1</v>
      </c>
      <c r="B2" s="253" t="str">
        <f>Tb_Activiteiten[[#Headers],[Arbeidskosten]]</f>
        <v>Arbeidskosten</v>
      </c>
      <c r="C2" s="252">
        <f>COUNTIFS(INDEX(Tb_Activiteiten[#All],0,MATCH($B2,Tb_Activiteiten[#Headers],0)),"&gt;0",Tb_Activiteiten[[#All],[Openstelling]],Openstelling_Keuze)</f>
        <v>3</v>
      </c>
      <c r="E2" s="258" t="str" cm="1">
        <f t="array" ref="E2:E7">IFERROR(_xlfn._xlws.FILTER(_xlfn.SORTBY(Kosten_Posten!$B$2:$B$12,Kosten_Posten!$A$2:$A$12,1),_xlfn.SORTBY(Kosten_Posten!$C$2:$C$12,Kosten_Posten!$A$2:$A$12,1)&gt;0),"")</f>
        <v>Arbeidskosten</v>
      </c>
    </row>
    <row r="3" spans="1:5" x14ac:dyDescent="0.25">
      <c r="A3" s="255">
        <v>2</v>
      </c>
      <c r="B3" s="255" t="str">
        <f>Tb_Activiteiten[[#Headers],[Arbeidskosten op basis van IKS]]</f>
        <v>Arbeidskosten op basis van IKS</v>
      </c>
      <c r="C3" s="254">
        <f>COUNTIFS(INDEX(Tb_Activiteiten[#All],0,MATCH($B3,Tb_Activiteiten[#Headers],0)),"&gt;0",Tb_Activiteiten[[#All],[Openstelling]],Openstelling_Keuze)</f>
        <v>3</v>
      </c>
      <c r="E3" s="258" t="str">
        <v>Arbeidskosten op basis van IKS</v>
      </c>
    </row>
    <row r="4" spans="1:5" x14ac:dyDescent="0.25">
      <c r="A4" s="253">
        <v>4</v>
      </c>
      <c r="B4" s="253" t="str">
        <f>Tb_Activiteiten[[#Headers],[Kosten derden exclusief btw]]</f>
        <v>Kosten derden exclusief btw</v>
      </c>
      <c r="C4" s="252">
        <f>COUNTIFS(INDEX(Tb_Activiteiten[#All],0,MATCH($B4,Tb_Activiteiten[#Headers],0)),"&gt;0",Tb_Activiteiten[[#All],[Openstelling]],Openstelling_Keuze)</f>
        <v>3</v>
      </c>
      <c r="E4" s="258" t="str">
        <v>Kosten derden exclusief btw</v>
      </c>
    </row>
    <row r="5" spans="1:5" x14ac:dyDescent="0.25">
      <c r="A5" s="255">
        <v>11</v>
      </c>
      <c r="B5" s="255" t="str">
        <f>Tb_Activiteiten[[#Headers],[Niet verrekenbare btw]]</f>
        <v>Niet verrekenbare btw</v>
      </c>
      <c r="C5" s="254">
        <f>COUNTIFS(INDEX(Tb_Activiteiten[#All],0,MATCH($B5,Tb_Activiteiten[#Headers],0)),"&gt;0",Tb_Activiteiten[[#All],[Openstelling]],Openstelling_Keuze)</f>
        <v>3</v>
      </c>
      <c r="E5" s="258" t="str">
        <v>Bijdrage in natura (overige)</v>
      </c>
    </row>
    <row r="6" spans="1:5" x14ac:dyDescent="0.25">
      <c r="A6" s="253">
        <v>5</v>
      </c>
      <c r="B6" s="253" t="str">
        <f>Tb_Activiteiten[[#Headers],[Grondkosten]]</f>
        <v>Grondkosten</v>
      </c>
      <c r="C6" s="252">
        <f>COUNTIFS(INDEX(Tb_Activiteiten[#All],0,MATCH($B6,Tb_Activiteiten[#Headers],0)),"&gt;0",Tb_Activiteiten[[#All],[Openstelling]],Openstelling_Keuze)</f>
        <v>0</v>
      </c>
      <c r="E6" s="258" t="str">
        <v>Afschrijvingskosten</v>
      </c>
    </row>
    <row r="7" spans="1:5" x14ac:dyDescent="0.25">
      <c r="A7" s="255">
        <v>6</v>
      </c>
      <c r="B7" s="255" t="str">
        <f>Tb_Activiteiten[[#Headers],[Bijdrage in natura (overige)]]</f>
        <v>Bijdrage in natura (overige)</v>
      </c>
      <c r="C7" s="254">
        <f>COUNTIFS(INDEX(Tb_Activiteiten[#All],0,MATCH($B7,Tb_Activiteiten[#Headers],0)),"&gt;0",Tb_Activiteiten[[#All],[Openstelling]],Openstelling_Keuze)</f>
        <v>3</v>
      </c>
      <c r="E7" s="258" t="str">
        <v>Niet verrekenbare btw</v>
      </c>
    </row>
    <row r="8" spans="1:5" x14ac:dyDescent="0.25">
      <c r="A8" s="253">
        <v>7</v>
      </c>
      <c r="B8" s="253" t="str">
        <f>Tb_Activiteiten[[#Headers],[Bijdrage in natura (vrijwilligers)]]</f>
        <v>Bijdrage in natura (vrijwilligers)</v>
      </c>
      <c r="C8" s="252">
        <f>COUNTIFS(INDEX(Tb_Activiteiten[#All],0,MATCH($B8,Tb_Activiteiten[#Headers],0)),"&gt;0",Tb_Activiteiten[[#All],[Openstelling]],Openstelling_Keuze)</f>
        <v>0</v>
      </c>
      <c r="E8" s="258"/>
    </row>
    <row r="9" spans="1:5" x14ac:dyDescent="0.25">
      <c r="A9" s="255">
        <v>8</v>
      </c>
      <c r="B9" s="255" t="str">
        <f>Tb_Activiteiten[[#Headers],[Afschrijvingskosten]]</f>
        <v>Afschrijvingskosten</v>
      </c>
      <c r="C9" s="254">
        <f>COUNTIFS(INDEX(Tb_Activiteiten[#All],0,MATCH($B9,Tb_Activiteiten[#Headers],0)),"&gt;0",Tb_Activiteiten[[#All],[Openstelling]],Openstelling_Keuze)</f>
        <v>1</v>
      </c>
      <c r="E9" s="258"/>
    </row>
    <row r="10" spans="1:5" x14ac:dyDescent="0.25">
      <c r="A10" s="253">
        <v>9</v>
      </c>
      <c r="B10" s="253" t="str">
        <f>Tb_Activiteiten[[#Headers],[Vergoeding]]</f>
        <v>Vergoeding</v>
      </c>
      <c r="C10" s="252">
        <f>COUNTIFS(INDEX(Tb_Activiteiten[#All],0,MATCH($B10,Tb_Activiteiten[#Headers],0)),"&gt;0",Tb_Activiteiten[[#All],[Openstelling]],Openstelling_Keuze)</f>
        <v>0</v>
      </c>
      <c r="E10" s="258"/>
    </row>
    <row r="11" spans="1:5" x14ac:dyDescent="0.25">
      <c r="A11" s="255">
        <v>3</v>
      </c>
      <c r="B11" s="255" t="str">
        <f>Tb_Activiteiten[[#Headers],[Arbeidskosten - vast tarief (excl eigen arbeid)]]</f>
        <v>Arbeidskosten - vast tarief (excl eigen arbeid)</v>
      </c>
      <c r="C11" s="254">
        <f>COUNTIFS(INDEX(Tb_Activiteiten[#All],0,MATCH($B11,Tb_Activiteiten[#Headers],0)),"&gt;0",Tb_Activiteiten[[#All],[Openstelling]],Openstelling_Keuze)</f>
        <v>0</v>
      </c>
      <c r="E11" s="258"/>
    </row>
    <row r="12" spans="1:5" x14ac:dyDescent="0.25">
      <c r="A12" s="253">
        <v>10</v>
      </c>
      <c r="B12" s="253" t="str">
        <f>Tb_Activiteiten[[#Headers],[Overige kosten]]</f>
        <v>Overige kosten</v>
      </c>
      <c r="C12" s="252">
        <f>COUNTIFS(INDEX(Tb_Activiteiten[#All],0,MATCH($B12,Tb_Activiteiten[#Headers],0)),"&gt;0",Tb_Activiteiten[[#All],[Openstelling]],Openstelling_Keuze)</f>
        <v>0</v>
      </c>
      <c r="E12" s="258"/>
    </row>
    <row r="13" spans="1:5" x14ac:dyDescent="0.25">
      <c r="E13" s="258"/>
    </row>
    <row r="14" spans="1:5" x14ac:dyDescent="0.25">
      <c r="E14" s="258"/>
    </row>
    <row r="15" spans="1:5" x14ac:dyDescent="0.25">
      <c r="E15" s="258"/>
    </row>
    <row r="16" spans="1:5" x14ac:dyDescent="0.25">
      <c r="E16" s="258"/>
    </row>
    <row r="17" spans="5:5" x14ac:dyDescent="0.25">
      <c r="E17" s="258"/>
    </row>
    <row r="18" spans="5:5" x14ac:dyDescent="0.25">
      <c r="E18" s="258"/>
    </row>
    <row r="19" spans="5:5" x14ac:dyDescent="0.25">
      <c r="E19" s="258"/>
    </row>
    <row r="20" spans="5:5" x14ac:dyDescent="0.25">
      <c r="E20" s="258"/>
    </row>
    <row r="21" spans="5:5" x14ac:dyDescent="0.25">
      <c r="E21" s="258"/>
    </row>
    <row r="22" spans="5:5" x14ac:dyDescent="0.25">
      <c r="E22" s="258"/>
    </row>
    <row r="23" spans="5:5" x14ac:dyDescent="0.25">
      <c r="E23" s="258"/>
    </row>
    <row r="24" spans="5:5" x14ac:dyDescent="0.25">
      <c r="E24" s="258"/>
    </row>
    <row r="25" spans="5:5" x14ac:dyDescent="0.25">
      <c r="E25" s="258"/>
    </row>
    <row r="26" spans="5:5" x14ac:dyDescent="0.25">
      <c r="E26" s="258"/>
    </row>
    <row r="27" spans="5:5" x14ac:dyDescent="0.25">
      <c r="E27" s="258"/>
    </row>
    <row r="28" spans="5:5" x14ac:dyDescent="0.25">
      <c r="E28" s="258"/>
    </row>
    <row r="29" spans="5:5" x14ac:dyDescent="0.25">
      <c r="E29" s="258"/>
    </row>
    <row r="30" spans="5:5" x14ac:dyDescent="0.25">
      <c r="E30" s="258"/>
    </row>
    <row r="31" spans="5:5" x14ac:dyDescent="0.25">
      <c r="E31" s="258"/>
    </row>
    <row r="32" spans="5:5" x14ac:dyDescent="0.25">
      <c r="E32" s="258"/>
    </row>
    <row r="33" spans="5:5" x14ac:dyDescent="0.25">
      <c r="E33" s="258"/>
    </row>
    <row r="34" spans="5:5" x14ac:dyDescent="0.25">
      <c r="E34" s="258"/>
    </row>
    <row r="35" spans="5:5" x14ac:dyDescent="0.25">
      <c r="E35" s="258"/>
    </row>
    <row r="36" spans="5:5" x14ac:dyDescent="0.25">
      <c r="E36" s="258"/>
    </row>
    <row r="37" spans="5:5" x14ac:dyDescent="0.25">
      <c r="E37" s="258"/>
    </row>
    <row r="38" spans="5:5" x14ac:dyDescent="0.25">
      <c r="E38" s="258"/>
    </row>
    <row r="39" spans="5:5" x14ac:dyDescent="0.25">
      <c r="E39" s="258"/>
    </row>
    <row r="40" spans="5:5" x14ac:dyDescent="0.25">
      <c r="E40" s="258"/>
    </row>
    <row r="41" spans="5:5" x14ac:dyDescent="0.25">
      <c r="E41" s="258"/>
    </row>
    <row r="42" spans="5:5" x14ac:dyDescent="0.25">
      <c r="E42" s="258"/>
    </row>
    <row r="43" spans="5:5" x14ac:dyDescent="0.25">
      <c r="E43" s="258"/>
    </row>
    <row r="44" spans="5:5" x14ac:dyDescent="0.25">
      <c r="E44" s="258"/>
    </row>
    <row r="45" spans="5:5" x14ac:dyDescent="0.25">
      <c r="E45" s="258"/>
    </row>
    <row r="46" spans="5:5" x14ac:dyDescent="0.25">
      <c r="E46" s="258"/>
    </row>
    <row r="47" spans="5:5" x14ac:dyDescent="0.25">
      <c r="E47" s="258"/>
    </row>
    <row r="48" spans="5:5" x14ac:dyDescent="0.25">
      <c r="E48" s="258"/>
    </row>
    <row r="49" spans="5:5" x14ac:dyDescent="0.25">
      <c r="E49" s="258"/>
    </row>
    <row r="50" spans="5:5" x14ac:dyDescent="0.25">
      <c r="E50" s="258"/>
    </row>
    <row r="51" spans="5:5" x14ac:dyDescent="0.25">
      <c r="E51" s="258"/>
    </row>
    <row r="52" spans="5:5" x14ac:dyDescent="0.25">
      <c r="E52" s="258"/>
    </row>
    <row r="53" spans="5:5" x14ac:dyDescent="0.25">
      <c r="E53" s="258"/>
    </row>
    <row r="54" spans="5:5" x14ac:dyDescent="0.25">
      <c r="E54" s="258"/>
    </row>
    <row r="55" spans="5:5" x14ac:dyDescent="0.25">
      <c r="E55" s="258"/>
    </row>
    <row r="56" spans="5:5" x14ac:dyDescent="0.25">
      <c r="E56" s="258"/>
    </row>
    <row r="57" spans="5:5" x14ac:dyDescent="0.25">
      <c r="E57" s="258"/>
    </row>
    <row r="58" spans="5:5" x14ac:dyDescent="0.25">
      <c r="E58" s="258"/>
    </row>
    <row r="59" spans="5:5" x14ac:dyDescent="0.25">
      <c r="E59" s="258"/>
    </row>
    <row r="60" spans="5:5" x14ac:dyDescent="0.25">
      <c r="E60" s="258"/>
    </row>
    <row r="61" spans="5:5" x14ac:dyDescent="0.25">
      <c r="E61" s="258"/>
    </row>
    <row r="62" spans="5:5" x14ac:dyDescent="0.25">
      <c r="E62" s="258"/>
    </row>
    <row r="63" spans="5:5" x14ac:dyDescent="0.25">
      <c r="E63" s="258"/>
    </row>
    <row r="64" spans="5:5" x14ac:dyDescent="0.25">
      <c r="E64" s="258"/>
    </row>
    <row r="65" spans="5:5" x14ac:dyDescent="0.25">
      <c r="E65" s="258"/>
    </row>
    <row r="66" spans="5:5" x14ac:dyDescent="0.25">
      <c r="E66" s="258"/>
    </row>
    <row r="67" spans="5:5" x14ac:dyDescent="0.25">
      <c r="E67" s="258"/>
    </row>
    <row r="68" spans="5:5" x14ac:dyDescent="0.25">
      <c r="E68" s="258"/>
    </row>
    <row r="69" spans="5:5" x14ac:dyDescent="0.25">
      <c r="E69" s="258"/>
    </row>
    <row r="70" spans="5:5" x14ac:dyDescent="0.25">
      <c r="E70" s="258"/>
    </row>
    <row r="71" spans="5:5" x14ac:dyDescent="0.25">
      <c r="E71" s="258"/>
    </row>
    <row r="72" spans="5:5" x14ac:dyDescent="0.25">
      <c r="E72" s="258"/>
    </row>
    <row r="73" spans="5:5" x14ac:dyDescent="0.25">
      <c r="E73" s="258"/>
    </row>
    <row r="74" spans="5:5" x14ac:dyDescent="0.25">
      <c r="E74" s="258"/>
    </row>
    <row r="75" spans="5:5" x14ac:dyDescent="0.25">
      <c r="E75" s="258"/>
    </row>
    <row r="76" spans="5:5" x14ac:dyDescent="0.25">
      <c r="E76" s="258"/>
    </row>
    <row r="77" spans="5:5" x14ac:dyDescent="0.25">
      <c r="E77" s="258"/>
    </row>
    <row r="78" spans="5:5" x14ac:dyDescent="0.25">
      <c r="E78" s="258"/>
    </row>
    <row r="79" spans="5:5" x14ac:dyDescent="0.25">
      <c r="E79" s="258"/>
    </row>
    <row r="80" spans="5:5" x14ac:dyDescent="0.25">
      <c r="E80" s="258"/>
    </row>
    <row r="81" spans="5:5" x14ac:dyDescent="0.25">
      <c r="E81" s="258"/>
    </row>
    <row r="82" spans="5:5" x14ac:dyDescent="0.25">
      <c r="E82" s="258"/>
    </row>
    <row r="83" spans="5:5" x14ac:dyDescent="0.25">
      <c r="E83" s="258"/>
    </row>
    <row r="84" spans="5:5" x14ac:dyDescent="0.25">
      <c r="E84" s="258"/>
    </row>
    <row r="85" spans="5:5" x14ac:dyDescent="0.25">
      <c r="E85" s="258"/>
    </row>
    <row r="86" spans="5:5" x14ac:dyDescent="0.25">
      <c r="E86" s="258"/>
    </row>
    <row r="87" spans="5:5" x14ac:dyDescent="0.25">
      <c r="E87" s="258"/>
    </row>
    <row r="88" spans="5:5" x14ac:dyDescent="0.25">
      <c r="E88" s="258"/>
    </row>
    <row r="89" spans="5:5" x14ac:dyDescent="0.25">
      <c r="E89" s="258"/>
    </row>
    <row r="90" spans="5:5" x14ac:dyDescent="0.25">
      <c r="E90" s="258"/>
    </row>
    <row r="91" spans="5:5" x14ac:dyDescent="0.25">
      <c r="E91" s="258"/>
    </row>
    <row r="92" spans="5:5" x14ac:dyDescent="0.25">
      <c r="E92" s="258"/>
    </row>
    <row r="93" spans="5:5" x14ac:dyDescent="0.25">
      <c r="E93" s="258"/>
    </row>
    <row r="94" spans="5:5" x14ac:dyDescent="0.25">
      <c r="E94" s="258"/>
    </row>
    <row r="95" spans="5:5" x14ac:dyDescent="0.25">
      <c r="E95" s="258"/>
    </row>
    <row r="96" spans="5:5" x14ac:dyDescent="0.25">
      <c r="E96" s="258"/>
    </row>
    <row r="97" spans="5:5" x14ac:dyDescent="0.25">
      <c r="E97" s="258"/>
    </row>
    <row r="98" spans="5:5" x14ac:dyDescent="0.25">
      <c r="E98" s="258"/>
    </row>
    <row r="99" spans="5:5" x14ac:dyDescent="0.25">
      <c r="E99" s="258"/>
    </row>
    <row r="100" spans="5:5" x14ac:dyDescent="0.25">
      <c r="E100" s="258"/>
    </row>
    <row r="101" spans="5:5" x14ac:dyDescent="0.25">
      <c r="E101" s="258"/>
    </row>
    <row r="102" spans="5:5" x14ac:dyDescent="0.25">
      <c r="E102" s="258"/>
    </row>
    <row r="103" spans="5:5" x14ac:dyDescent="0.25">
      <c r="E103" s="258"/>
    </row>
    <row r="104" spans="5:5" x14ac:dyDescent="0.25">
      <c r="E104" s="258"/>
    </row>
    <row r="105" spans="5:5" x14ac:dyDescent="0.25">
      <c r="E105" s="258"/>
    </row>
    <row r="106" spans="5:5" x14ac:dyDescent="0.25">
      <c r="E106" s="258"/>
    </row>
    <row r="107" spans="5:5" x14ac:dyDescent="0.25">
      <c r="E107" s="258"/>
    </row>
    <row r="108" spans="5:5" x14ac:dyDescent="0.25">
      <c r="E108" s="258"/>
    </row>
    <row r="109" spans="5:5" x14ac:dyDescent="0.25">
      <c r="E109" s="258"/>
    </row>
    <row r="110" spans="5:5" x14ac:dyDescent="0.25">
      <c r="E110" s="258"/>
    </row>
    <row r="111" spans="5:5" x14ac:dyDescent="0.25">
      <c r="E111" s="258"/>
    </row>
    <row r="112" spans="5:5" x14ac:dyDescent="0.25">
      <c r="E112" s="258"/>
    </row>
    <row r="113" spans="5:5" x14ac:dyDescent="0.25">
      <c r="E113" s="258"/>
    </row>
    <row r="114" spans="5:5" x14ac:dyDescent="0.25">
      <c r="E114" s="258"/>
    </row>
    <row r="115" spans="5:5" x14ac:dyDescent="0.25">
      <c r="E115" s="258"/>
    </row>
    <row r="116" spans="5:5" x14ac:dyDescent="0.25">
      <c r="E116" s="258"/>
    </row>
    <row r="117" spans="5:5" x14ac:dyDescent="0.25">
      <c r="E117" s="258"/>
    </row>
    <row r="118" spans="5:5" x14ac:dyDescent="0.25">
      <c r="E118" s="258"/>
    </row>
    <row r="119" spans="5:5" x14ac:dyDescent="0.25">
      <c r="E119" s="258"/>
    </row>
    <row r="120" spans="5:5" x14ac:dyDescent="0.25">
      <c r="E120" s="258"/>
    </row>
    <row r="121" spans="5:5" x14ac:dyDescent="0.25">
      <c r="E121" s="258"/>
    </row>
    <row r="122" spans="5:5" x14ac:dyDescent="0.25">
      <c r="E122" s="258"/>
    </row>
    <row r="123" spans="5:5" x14ac:dyDescent="0.25">
      <c r="E123" s="258"/>
    </row>
    <row r="124" spans="5:5" x14ac:dyDescent="0.25">
      <c r="E124" s="258"/>
    </row>
    <row r="125" spans="5:5" x14ac:dyDescent="0.25">
      <c r="E125" s="258"/>
    </row>
    <row r="126" spans="5:5" x14ac:dyDescent="0.25">
      <c r="E126" s="258"/>
    </row>
    <row r="127" spans="5:5" x14ac:dyDescent="0.25">
      <c r="E127" s="258"/>
    </row>
    <row r="128" spans="5:5" x14ac:dyDescent="0.25">
      <c r="E128" s="258"/>
    </row>
    <row r="129" spans="5:5" x14ac:dyDescent="0.25">
      <c r="E129" s="258"/>
    </row>
    <row r="130" spans="5:5" x14ac:dyDescent="0.25">
      <c r="E130" s="258"/>
    </row>
    <row r="131" spans="5:5" x14ac:dyDescent="0.25">
      <c r="E131" s="258"/>
    </row>
    <row r="132" spans="5:5" x14ac:dyDescent="0.25">
      <c r="E132" s="258"/>
    </row>
    <row r="133" spans="5:5" x14ac:dyDescent="0.25">
      <c r="E133" s="258"/>
    </row>
    <row r="134" spans="5:5" x14ac:dyDescent="0.25">
      <c r="E134" s="258"/>
    </row>
    <row r="135" spans="5:5" x14ac:dyDescent="0.25">
      <c r="E135" s="258"/>
    </row>
    <row r="136" spans="5:5" x14ac:dyDescent="0.25">
      <c r="E136" s="258"/>
    </row>
    <row r="137" spans="5:5" x14ac:dyDescent="0.25">
      <c r="E137" s="258"/>
    </row>
    <row r="138" spans="5:5" x14ac:dyDescent="0.25">
      <c r="E138" s="258"/>
    </row>
    <row r="139" spans="5:5" x14ac:dyDescent="0.25">
      <c r="E139" s="258"/>
    </row>
    <row r="140" spans="5:5" x14ac:dyDescent="0.25">
      <c r="E140" s="258"/>
    </row>
    <row r="141" spans="5:5" x14ac:dyDescent="0.25">
      <c r="E141" s="258"/>
    </row>
    <row r="142" spans="5:5" x14ac:dyDescent="0.25">
      <c r="E142" s="258"/>
    </row>
    <row r="143" spans="5:5" x14ac:dyDescent="0.25">
      <c r="E143" s="258"/>
    </row>
    <row r="144" spans="5:5" x14ac:dyDescent="0.25">
      <c r="E144" s="258"/>
    </row>
    <row r="145" spans="5:5" x14ac:dyDescent="0.25">
      <c r="E145" s="258"/>
    </row>
    <row r="146" spans="5:5" x14ac:dyDescent="0.25">
      <c r="E146" s="258"/>
    </row>
    <row r="147" spans="5:5" x14ac:dyDescent="0.25">
      <c r="E147" s="258"/>
    </row>
    <row r="148" spans="5:5" x14ac:dyDescent="0.25">
      <c r="E148" s="258"/>
    </row>
    <row r="149" spans="5:5" x14ac:dyDescent="0.25">
      <c r="E149" s="258"/>
    </row>
    <row r="150" spans="5:5" x14ac:dyDescent="0.25">
      <c r="E150" s="258"/>
    </row>
    <row r="151" spans="5:5" x14ac:dyDescent="0.25">
      <c r="E151" s="258"/>
    </row>
    <row r="152" spans="5:5" x14ac:dyDescent="0.25">
      <c r="E152" s="258"/>
    </row>
    <row r="153" spans="5:5" x14ac:dyDescent="0.25">
      <c r="E153" s="258"/>
    </row>
    <row r="154" spans="5:5" x14ac:dyDescent="0.25">
      <c r="E154" s="258"/>
    </row>
    <row r="155" spans="5:5" x14ac:dyDescent="0.25">
      <c r="E155" s="258"/>
    </row>
    <row r="156" spans="5:5" x14ac:dyDescent="0.25">
      <c r="E156" s="258"/>
    </row>
    <row r="157" spans="5:5" x14ac:dyDescent="0.25">
      <c r="E157" s="258"/>
    </row>
    <row r="158" spans="5:5" x14ac:dyDescent="0.25">
      <c r="E158" s="258"/>
    </row>
    <row r="159" spans="5:5" x14ac:dyDescent="0.25">
      <c r="E159" s="258"/>
    </row>
    <row r="160" spans="5:5" x14ac:dyDescent="0.25">
      <c r="E160" s="258"/>
    </row>
    <row r="161" spans="5:5" x14ac:dyDescent="0.25">
      <c r="E161" s="258"/>
    </row>
    <row r="162" spans="5:5" x14ac:dyDescent="0.25">
      <c r="E162" s="258"/>
    </row>
    <row r="163" spans="5:5" x14ac:dyDescent="0.25">
      <c r="E163" s="258"/>
    </row>
    <row r="164" spans="5:5" x14ac:dyDescent="0.25">
      <c r="E164" s="258"/>
    </row>
    <row r="165" spans="5:5" x14ac:dyDescent="0.25">
      <c r="E165" s="258"/>
    </row>
    <row r="166" spans="5:5" x14ac:dyDescent="0.25">
      <c r="E166" s="258"/>
    </row>
    <row r="167" spans="5:5" x14ac:dyDescent="0.25">
      <c r="E167" s="258"/>
    </row>
    <row r="168" spans="5:5" x14ac:dyDescent="0.25">
      <c r="E168" s="258"/>
    </row>
    <row r="169" spans="5:5" x14ac:dyDescent="0.25">
      <c r="E169" s="258"/>
    </row>
    <row r="170" spans="5:5" x14ac:dyDescent="0.25">
      <c r="E170" s="258"/>
    </row>
    <row r="171" spans="5:5" x14ac:dyDescent="0.25">
      <c r="E171" s="258"/>
    </row>
    <row r="172" spans="5:5" x14ac:dyDescent="0.25">
      <c r="E172" s="258"/>
    </row>
    <row r="173" spans="5:5" x14ac:dyDescent="0.25">
      <c r="E173" s="258"/>
    </row>
    <row r="174" spans="5:5" x14ac:dyDescent="0.25">
      <c r="E174" s="258"/>
    </row>
    <row r="175" spans="5:5" x14ac:dyDescent="0.25">
      <c r="E175" s="258"/>
    </row>
    <row r="176" spans="5:5" x14ac:dyDescent="0.25">
      <c r="E176" s="258"/>
    </row>
    <row r="177" spans="5:5" x14ac:dyDescent="0.25">
      <c r="E177" s="258"/>
    </row>
    <row r="178" spans="5:5" x14ac:dyDescent="0.25">
      <c r="E178" s="258"/>
    </row>
    <row r="179" spans="5:5" x14ac:dyDescent="0.25">
      <c r="E179" s="258"/>
    </row>
    <row r="180" spans="5:5" x14ac:dyDescent="0.25">
      <c r="E180" s="258"/>
    </row>
    <row r="181" spans="5:5" x14ac:dyDescent="0.25">
      <c r="E181" s="258"/>
    </row>
    <row r="182" spans="5:5" x14ac:dyDescent="0.25">
      <c r="E182" s="258"/>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18.28515625" bestFit="1" customWidth="1"/>
    <col min="24" max="24" width="18.7109375" customWidth="1"/>
    <col min="25" max="25" width="21.42578125" bestFit="1" customWidth="1"/>
    <col min="26" max="26" width="14.140625" customWidth="1"/>
    <col min="27" max="27" width="18.140625" bestFit="1" customWidth="1"/>
    <col min="28" max="28" width="18.85546875" customWidth="1"/>
    <col min="29" max="29" width="6.42578125" customWidth="1"/>
    <col min="30" max="30" width="23" customWidth="1"/>
    <col min="31" max="31" width="29.5703125" customWidth="1"/>
    <col min="32" max="32" width="9.140625" bestFit="1" customWidth="1"/>
    <col min="33" max="33" width="28.7109375" bestFit="1" customWidth="1"/>
    <col min="34" max="35" width="14.85546875" customWidth="1"/>
    <col min="36" max="36" width="25.28515625" customWidth="1"/>
    <col min="37" max="37" width="20.140625" customWidth="1"/>
    <col min="38" max="38" width="14.28515625" bestFit="1" customWidth="1"/>
  </cols>
  <sheetData>
    <row r="1" spans="1:40" x14ac:dyDescent="0.25">
      <c r="A1" s="84" t="s">
        <v>152</v>
      </c>
      <c r="B1" s="85" t="s">
        <v>83</v>
      </c>
      <c r="C1" s="85" t="s">
        <v>160</v>
      </c>
      <c r="D1" s="85" t="s">
        <v>40</v>
      </c>
      <c r="E1" s="85" t="s">
        <v>123</v>
      </c>
      <c r="F1" s="85" t="s">
        <v>84</v>
      </c>
      <c r="G1" s="85" t="s">
        <v>85</v>
      </c>
      <c r="H1" s="85" t="s">
        <v>87</v>
      </c>
      <c r="I1" s="85" t="s">
        <v>88</v>
      </c>
      <c r="J1" s="85" t="s">
        <v>167</v>
      </c>
      <c r="K1" s="85" t="s">
        <v>168</v>
      </c>
      <c r="L1" s="85" t="s">
        <v>124</v>
      </c>
      <c r="M1" s="85" t="s">
        <v>126</v>
      </c>
      <c r="N1" s="85" t="s">
        <v>125</v>
      </c>
      <c r="O1" s="85" t="s">
        <v>338</v>
      </c>
      <c r="P1" s="280" t="s">
        <v>338</v>
      </c>
      <c r="Q1" s="85" t="s">
        <v>339</v>
      </c>
      <c r="R1" s="280" t="s">
        <v>339</v>
      </c>
      <c r="S1" s="85" t="s">
        <v>342</v>
      </c>
      <c r="T1" s="280" t="s">
        <v>342</v>
      </c>
      <c r="U1" s="85" t="s">
        <v>344</v>
      </c>
      <c r="V1" s="280" t="s">
        <v>344</v>
      </c>
      <c r="W1" s="85" t="s">
        <v>489</v>
      </c>
      <c r="X1" s="280" t="s">
        <v>490</v>
      </c>
      <c r="Y1" s="256" t="s">
        <v>487</v>
      </c>
      <c r="Z1" s="373" t="s">
        <v>488</v>
      </c>
      <c r="AA1" s="256" t="s">
        <v>491</v>
      </c>
      <c r="AB1" s="373" t="s">
        <v>491</v>
      </c>
      <c r="AD1" t="s">
        <v>81</v>
      </c>
      <c r="AE1" t="s">
        <v>24</v>
      </c>
      <c r="AF1" t="s">
        <v>23</v>
      </c>
      <c r="AG1" t="s">
        <v>22</v>
      </c>
      <c r="AI1" t="s">
        <v>81</v>
      </c>
      <c r="AJ1" t="s">
        <v>24</v>
      </c>
      <c r="AK1" t="s">
        <v>23</v>
      </c>
      <c r="AL1" t="s">
        <v>22</v>
      </c>
    </row>
    <row r="2" spans="1:40" x14ac:dyDescent="0.25">
      <c r="A2" s="281" t="str" cm="1">
        <f t="array" ref="A2">IFERROR(_xlfn.UNIQUE(_xlfn._xlws.FILTER('5. Kosten uitvoering project'!$E$6:$F$250,'5. Kosten uitvoering project'!$E$6:$E$250&lt;&gt;"")),"")</f>
        <v/>
      </c>
      <c r="B2" s="281"/>
      <c r="C2" s="281" t="str">
        <f>IFERROR(VLOOKUP($B2,Tb_ProjectKosten[],4,0),"")</f>
        <v/>
      </c>
      <c r="D2" s="281" t="str" cm="1">
        <f t="array" ref="D2">IFERROR(INDEX(Tb_KostenOpties[],MATCH(B2,Tb_KostenOpties[KostenOptie],0),IFERROR(MATCH(Methode_Keuze,Tb_KostenOpties[#Headers],0),2)),"")</f>
        <v/>
      </c>
      <c r="E2" s="282">
        <f>IFERROR(VLOOKUP(B2,Tb_ProjectKosten[[#All],[KostenOmschrijving]:[Forfait_Percentage]],6,0),0)</f>
        <v>0</v>
      </c>
      <c r="F2" s="283">
        <f>SUMIFS('5. Kosten uitvoering project'!P:P,'5. Kosten uitvoering project'!E:E,SubsidieTabel!A2,'5. Kosten uitvoering project'!F:F,SubsidieTabel!B2)</f>
        <v>0</v>
      </c>
      <c r="G2" s="283">
        <f>SUMIFS('5. Kosten uitvoering project'!Q:Q,'5. Kosten uitvoering project'!E:E,SubsidieTabel!A2,'5. Kosten uitvoering project'!F:F,SubsidieTabel!B2)</f>
        <v>0</v>
      </c>
      <c r="H2" s="283">
        <f>SUMIFS('5. Kosten uitvoering project'!R:R,'5. Kosten uitvoering project'!E:E,SubsidieTabel!A2,'5. Kosten uitvoering project'!F:F,SubsidieTabel!B2)</f>
        <v>0</v>
      </c>
      <c r="I2" s="283">
        <f>SUMIFS('5. Kosten uitvoering project'!S:S,'5. Kosten uitvoering project'!E:E,SubsidieTabel!A2,'5. Kosten uitvoering project'!F:F,SubsidieTabel!B2)</f>
        <v>0</v>
      </c>
      <c r="J2" s="283">
        <f>IFERROR(F2+H2,"")</f>
        <v>0</v>
      </c>
      <c r="K2" s="283">
        <f>IFERROR(G2+I2,"")</f>
        <v>0</v>
      </c>
      <c r="L2" s="282" t="str">
        <f>IFERROR(VLOOKUP(A2,Lijsten!$AK:$AL,2,0),"")</f>
        <v/>
      </c>
      <c r="M2" s="283">
        <f>IFERROR($L2*(F2+H2),0)</f>
        <v>0</v>
      </c>
      <c r="N2" s="283">
        <f>IFERROR($L2*(G2+I2),0)</f>
        <v>0</v>
      </c>
      <c r="O2" s="283">
        <f>IFERROR(IF(INDEX(Tb_Activiteiten[#All],MATCH(SubsidieTabel!$A2,Tb_Activiteiten[[#All],[Subsidiabele_Activiteit]],0),MATCH(SubsidieTabel!O$1,Tb_Activiteiten[#Headers],0))=1,SubsidieTabel!$J2,0),0)</f>
        <v>0</v>
      </c>
      <c r="P2" s="283">
        <f>IFERROR(IF(INDEX(Tb_Activiteiten[#All],MATCH(SubsidieTabel!$A2,Tb_Activiteiten[[#All],[Subsidiabele_Activiteit]],0),MATCH(SubsidieTabel!P$1,Tb_Activiteiten[#Headers],0))=1,SubsidieTabel!$K2,0),0)</f>
        <v>0</v>
      </c>
      <c r="Q2" s="283">
        <f>IFERROR(IF(INDEX(Tb_Activiteiten[#All],MATCH(SubsidieTabel!$A2,Tb_Activiteiten[[#All],[Subsidiabele_Activiteit]],0),MATCH(SubsidieTabel!Q$1,Tb_Activiteiten[#Headers],0))=1,SubsidieTabel!$J2,0),0)</f>
        <v>0</v>
      </c>
      <c r="R2" s="283">
        <f>IFERROR(IF(INDEX(Tb_Activiteiten[#All],MATCH(SubsidieTabel!$A2,Tb_Activiteiten[[#All],[Subsidiabele_Activiteit]],0),MATCH(SubsidieTabel!R$1,Tb_Activiteiten[#Headers],0))=1,SubsidieTabel!$K2,0),0)</f>
        <v>0</v>
      </c>
      <c r="S2" s="283">
        <f>IFERROR(IF(INDEX(Tb_Activiteiten[#All],MATCH(SubsidieTabel!$A2,Tb_Activiteiten[[#All],[Subsidiabele_Activiteit]],0),MATCH(SubsidieTabel!S$1,Tb_Activiteiten[#Headers],0))=1,SubsidieTabel!$J2,0),0)</f>
        <v>0</v>
      </c>
      <c r="T2" s="283">
        <f>IFERROR(IF(INDEX(Tb_Activiteiten[#All],MATCH(SubsidieTabel!$A2,Tb_Activiteiten[[#All],[Subsidiabele_Activiteit]],0),MATCH(SubsidieTabel!T$1,Tb_Activiteiten[#Headers],0))=1,SubsidieTabel!$K2,0),0)</f>
        <v>0</v>
      </c>
      <c r="U2" s="283">
        <f>IFERROR(IF(INDEX(Tb_Activiteiten[#All],MATCH(SubsidieTabel!$A2,Tb_Activiteiten[[#All],[Subsidiabele_Activiteit]],0),MATCH(SubsidieTabel!U$1,Tb_Activiteiten[#Headers],0))=1,SubsidieTabel!$J2,0),0)</f>
        <v>0</v>
      </c>
      <c r="V2" s="283">
        <f>IFERROR(IF(INDEX(Tb_Activiteiten[#All],MATCH(SubsidieTabel!$A2,Tb_Activiteiten[[#All],[Subsidiabele_Activiteit]],0),MATCH(SubsidieTabel!V$1,Tb_Activiteiten[#Headers],0))=1,SubsidieTabel!$K2,0),0)</f>
        <v>0</v>
      </c>
      <c r="W2" s="374">
        <f>IFERROR(IF(INDEX(Tb_Activiteiten[#All],MATCH(SubsidieTabel!$A2,Tb_Activiteiten[[#All],[Subsidiabele_Activiteit]],0),MATCH(SubsidieTabel!Q$1,Tb_Activiteiten[#Headers],0))=1,H2,0),0)</f>
        <v>0</v>
      </c>
      <c r="X2" s="374">
        <f>IFERROR(IF(INDEX(Tb_Activiteiten[#All],MATCH(SubsidieTabel!$A2,Tb_Activiteiten[[#All],[Subsidiabele_Activiteit]],0),MATCH(SubsidieTabel!Q$1,Tb_Activiteiten[#Headers],0))=1,I2,0),0)</f>
        <v>0</v>
      </c>
      <c r="Y2" s="374">
        <f>IFERROR(IF(INDEX(Tb_Activiteiten[#All],MATCH(SubsidieTabel!$A2,Tb_Activiteiten[[#All],[Subsidiabele_Activiteit]],0),MATCH(SubsidieTabel!S$1,Tb_Activiteiten[#Headers],0))=1,H2,0),0)</f>
        <v>0</v>
      </c>
      <c r="Z2" s="374">
        <f>IFERROR(IF(INDEX(Tb_Activiteiten[#All],MATCH(SubsidieTabel!$A2,Tb_Activiteiten[[#All],[Subsidiabele_Activiteit]],0),MATCH(SubsidieTabel!S$1,Tb_Activiteiten[#Headers],0))=1,I2,0),0)</f>
        <v>0</v>
      </c>
      <c r="AA2" s="374">
        <f>IFERROR(IF(INDEX(Tb_Activiteiten[#All],MATCH(SubsidieTabel!$A2,Tb_Activiteiten[[#All],[Subsidiabele_Activiteit]],0),MATCH(SubsidieTabel!O$1,Tb_Activiteiten[#Headers],0))=1,$F2,0),0)</f>
        <v>0</v>
      </c>
      <c r="AB2" s="374">
        <f>IFERROR(IF(INDEX(Tb_Activiteiten[#All],MATCH(SubsidieTabel!$A2,Tb_Activiteiten[[#All],[Subsidiabele_Activiteit]],0),MATCH(SubsidieTabel!O$1,Tb_Activiteiten[#Headers],0))=1,$G2,0),0)</f>
        <v>0</v>
      </c>
      <c r="AD2" s="63" t="str">
        <f>Openstelling_Activiteit!P3</f>
        <v>Arbeidskosten</v>
      </c>
      <c r="AE2">
        <v>1</v>
      </c>
      <c r="AF2">
        <v>0</v>
      </c>
      <c r="AG2">
        <v>1</v>
      </c>
      <c r="AI2" t="str">
        <f>Tb_KostenOpties[[#This Row],[KostenOptie]]</f>
        <v>Arbeidskosten</v>
      </c>
      <c r="AJ2">
        <v>1</v>
      </c>
      <c r="AK2">
        <v>0</v>
      </c>
      <c r="AL2">
        <v>1</v>
      </c>
    </row>
    <row r="3" spans="1:40" x14ac:dyDescent="0.25">
      <c r="A3" s="12"/>
      <c r="B3" s="12"/>
      <c r="C3" s="12" t="str">
        <f>IFERROR(VLOOKUP($B3,Tb_ProjectKosten[],4,0),"")</f>
        <v/>
      </c>
      <c r="D3" s="12" t="str" cm="1">
        <f t="array" ref="D3">IFERROR(INDEX(Tb_KostenOpties[],MATCH(B3,Tb_KostenOpties[KostenOptie],0),IFERROR(MATCH(Methode_Keuze,Tb_KostenOpties[#Headers],0),2)),"")</f>
        <v/>
      </c>
      <c r="E3" s="284">
        <f>IFERROR(VLOOKUP(B3,Tb_ProjectKosten[[#All],[KostenOmschrijving]:[Forfait_Percentage]],6,0),0)</f>
        <v>0</v>
      </c>
      <c r="F3" s="285">
        <f>SUMIFS('5. Kosten uitvoering project'!P:P,'5. Kosten uitvoering project'!E:E,SubsidieTabel!A3,'5. Kosten uitvoering project'!F:F,SubsidieTabel!B3)</f>
        <v>0</v>
      </c>
      <c r="G3" s="285">
        <f>SUMIFS('5. Kosten uitvoering project'!Q:Q,'5. Kosten uitvoering project'!E:E,SubsidieTabel!A3,'5. Kosten uitvoering project'!F:F,SubsidieTabel!B3)</f>
        <v>0</v>
      </c>
      <c r="H3" s="285">
        <f>SUMIFS('5. Kosten uitvoering project'!R:R,'5. Kosten uitvoering project'!E:E,SubsidieTabel!A3,'5. Kosten uitvoering project'!F:F,SubsidieTabel!B3)</f>
        <v>0</v>
      </c>
      <c r="I3" s="285">
        <f>SUMIFS('5. Kosten uitvoering project'!S:S,'5. Kosten uitvoering project'!E:E,SubsidieTabel!A3,'5. Kosten uitvoering project'!F:F,SubsidieTabel!B3)</f>
        <v>0</v>
      </c>
      <c r="J3" s="285">
        <f t="shared" ref="J3:J66" si="0">IFERROR(F3+H3,"")</f>
        <v>0</v>
      </c>
      <c r="K3" s="285">
        <f t="shared" ref="K3:K66" si="1">IFERROR(G3+I3,"")</f>
        <v>0</v>
      </c>
      <c r="L3" s="284" t="str">
        <f>IFERROR(VLOOKUP(A3,Lijsten!$AK:$AL,2,0),"")</f>
        <v/>
      </c>
      <c r="M3" s="285">
        <f t="shared" ref="M3:M66" si="2">IFERROR($L3*(F3+H3),0)</f>
        <v>0</v>
      </c>
      <c r="N3" s="285">
        <f t="shared" ref="N3:N66" si="3">IFERROR($L3*(G3+I3),0)</f>
        <v>0</v>
      </c>
      <c r="O3" s="285">
        <f>IFERROR(IF(INDEX(Tb_Activiteiten[#All],MATCH(SubsidieTabel!$A3,Tb_Activiteiten[[#All],[Subsidiabele_Activiteit]],0),MATCH(SubsidieTabel!O$1,Tb_Activiteiten[#Headers],0))=1,SubsidieTabel!$J3,0),0)</f>
        <v>0</v>
      </c>
      <c r="P3" s="285">
        <f>IFERROR(IF(INDEX(Tb_Activiteiten[#All],MATCH(SubsidieTabel!$A3,Tb_Activiteiten[[#All],[Subsidiabele_Activiteit]],0),MATCH(SubsidieTabel!P$1,Tb_Activiteiten[#Headers],0))=1,SubsidieTabel!$K3,0),0)</f>
        <v>0</v>
      </c>
      <c r="Q3" s="285">
        <f>IFERROR(IF(INDEX(Tb_Activiteiten[#All],MATCH(SubsidieTabel!$A3,Tb_Activiteiten[[#All],[Subsidiabele_Activiteit]],0),MATCH(SubsidieTabel!Q$1,Tb_Activiteiten[#Headers],0))=1,SubsidieTabel!$J3,0),0)</f>
        <v>0</v>
      </c>
      <c r="R3" s="285">
        <f>IFERROR(IF(INDEX(Tb_Activiteiten[#All],MATCH(SubsidieTabel!$A3,Tb_Activiteiten[[#All],[Subsidiabele_Activiteit]],0),MATCH(SubsidieTabel!R$1,Tb_Activiteiten[#Headers],0))=1,SubsidieTabel!$K3,0),0)</f>
        <v>0</v>
      </c>
      <c r="S3" s="285">
        <f>IFERROR(IF(INDEX(Tb_Activiteiten[#All],MATCH(SubsidieTabel!$A3,Tb_Activiteiten[[#All],[Subsidiabele_Activiteit]],0),MATCH(SubsidieTabel!S$1,Tb_Activiteiten[#Headers],0))=1,SubsidieTabel!$J3,0),0)</f>
        <v>0</v>
      </c>
      <c r="T3" s="285">
        <f>IFERROR(IF(INDEX(Tb_Activiteiten[#All],MATCH(SubsidieTabel!$A3,Tb_Activiteiten[[#All],[Subsidiabele_Activiteit]],0),MATCH(SubsidieTabel!T$1,Tb_Activiteiten[#Headers],0))=1,SubsidieTabel!$K3,0),0)</f>
        <v>0</v>
      </c>
      <c r="U3" s="285">
        <f>IFERROR(IF(INDEX(Tb_Activiteiten[#All],MATCH(SubsidieTabel!$A3,Tb_Activiteiten[[#All],[Subsidiabele_Activiteit]],0),MATCH(SubsidieTabel!U$1,Tb_Activiteiten[#Headers],0))=1,SubsidieTabel!$J3,0),0)</f>
        <v>0</v>
      </c>
      <c r="V3" s="285">
        <f>IFERROR(IF(INDEX(Tb_Activiteiten[#All],MATCH(SubsidieTabel!$A3,Tb_Activiteiten[[#All],[Subsidiabele_Activiteit]],0),MATCH(SubsidieTabel!V$1,Tb_Activiteiten[#Headers],0))=1,SubsidieTabel!$K3,0),0)</f>
        <v>0</v>
      </c>
      <c r="W3" s="64">
        <f>IFERROR(IF(INDEX(Tb_Activiteiten[#All],MATCH(SubsidieTabel!$A3,Tb_Activiteiten[[#All],[Subsidiabele_Activiteit]],0),MATCH(SubsidieTabel!Q$1,Tb_Activiteiten[#Headers],0))=1,H3,0),0)</f>
        <v>0</v>
      </c>
      <c r="X3" s="64">
        <f>IFERROR(IF(INDEX(Tb_Activiteiten[#All],MATCH(SubsidieTabel!$A3,Tb_Activiteiten[[#All],[Subsidiabele_Activiteit]],0),MATCH(SubsidieTabel!Q$1,Tb_Activiteiten[#Headers],0))=1,I3,0),0)</f>
        <v>0</v>
      </c>
      <c r="Y3" s="64">
        <f>IFERROR(IF(INDEX(Tb_Activiteiten[#All],MATCH(SubsidieTabel!$A3,Tb_Activiteiten[[#All],[Subsidiabele_Activiteit]],0),MATCH(SubsidieTabel!S$1,Tb_Activiteiten[#Headers],0))=1,H3,0),0)</f>
        <v>0</v>
      </c>
      <c r="Z3" s="64">
        <f>IFERROR(IF(INDEX(Tb_Activiteiten[#All],MATCH(SubsidieTabel!$A3,Tb_Activiteiten[[#All],[Subsidiabele_Activiteit]],0),MATCH(SubsidieTabel!S$1,Tb_Activiteiten[#Headers],0))=1,I3,0),0)</f>
        <v>0</v>
      </c>
      <c r="AA3" s="64">
        <f>IFERROR(IF(INDEX(Tb_Activiteiten[#All],MATCH(SubsidieTabel!$A3,Tb_Activiteiten[[#All],[Subsidiabele_Activiteit]],0),MATCH(SubsidieTabel!O$1,Tb_Activiteiten[#Headers],0))=1,$F3,0),0)</f>
        <v>0</v>
      </c>
      <c r="AB3" s="64">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25">
      <c r="A4" s="63"/>
      <c r="B4" s="63"/>
      <c r="C4" s="63" t="str">
        <f>IFERROR(VLOOKUP($B4,Tb_ProjectKosten[],4,0),"")</f>
        <v/>
      </c>
      <c r="D4" s="63" t="str" cm="1">
        <f t="array" ref="D4">IFERROR(INDEX(Tb_KostenOpties[],MATCH(B4,Tb_KostenOpties[KostenOptie],0),IFERROR(MATCH(Methode_Keuze,Tb_KostenOpties[#Headers],0),2)),"")</f>
        <v/>
      </c>
      <c r="E4" s="286">
        <f>IFERROR(VLOOKUP(B4,Tb_ProjectKosten[[#All],[KostenOmschrijving]:[Forfait_Percentage]],6,0),0)</f>
        <v>0</v>
      </c>
      <c r="F4" s="287">
        <f>SUMIFS('5. Kosten uitvoering project'!P:P,'5. Kosten uitvoering project'!E:E,SubsidieTabel!A4,'5. Kosten uitvoering project'!F:F,SubsidieTabel!B4)</f>
        <v>0</v>
      </c>
      <c r="G4" s="287">
        <f>SUMIFS('5. Kosten uitvoering project'!Q:Q,'5. Kosten uitvoering project'!E:E,SubsidieTabel!A4,'5. Kosten uitvoering project'!F:F,SubsidieTabel!B4)</f>
        <v>0</v>
      </c>
      <c r="H4" s="287">
        <f>SUMIFS('5. Kosten uitvoering project'!R:R,'5. Kosten uitvoering project'!E:E,SubsidieTabel!A4,'5. Kosten uitvoering project'!F:F,SubsidieTabel!B4)</f>
        <v>0</v>
      </c>
      <c r="I4" s="287">
        <f>SUMIFS('5. Kosten uitvoering project'!S:S,'5. Kosten uitvoering project'!E:E,SubsidieTabel!A4,'5. Kosten uitvoering project'!F:F,SubsidieTabel!B4)</f>
        <v>0</v>
      </c>
      <c r="J4" s="287">
        <f t="shared" si="0"/>
        <v>0</v>
      </c>
      <c r="K4" s="287">
        <f t="shared" si="1"/>
        <v>0</v>
      </c>
      <c r="L4" s="286" t="str">
        <f>IFERROR(VLOOKUP(A4,Lijsten!$AK:$AL,2,0),"")</f>
        <v/>
      </c>
      <c r="M4" s="287">
        <f>IFERROR($L4*(F4+H4),0)</f>
        <v>0</v>
      </c>
      <c r="N4" s="287">
        <f t="shared" si="3"/>
        <v>0</v>
      </c>
      <c r="O4" s="287">
        <f>IFERROR(IF(INDEX(Tb_Activiteiten[#All],MATCH(SubsidieTabel!$A4,Tb_Activiteiten[[#All],[Subsidiabele_Activiteit]],0),MATCH(SubsidieTabel!O$1,Tb_Activiteiten[#Headers],0))=1,SubsidieTabel!$J4,0),0)</f>
        <v>0</v>
      </c>
      <c r="P4" s="287">
        <f>IFERROR(IF(INDEX(Tb_Activiteiten[#All],MATCH(SubsidieTabel!$A4,Tb_Activiteiten[[#All],[Subsidiabele_Activiteit]],0),MATCH(SubsidieTabel!P$1,Tb_Activiteiten[#Headers],0))=1,SubsidieTabel!$K4,0),0)</f>
        <v>0</v>
      </c>
      <c r="Q4" s="287">
        <f>IFERROR(IF(INDEX(Tb_Activiteiten[#All],MATCH(SubsidieTabel!$A4,Tb_Activiteiten[[#All],[Subsidiabele_Activiteit]],0),MATCH(SubsidieTabel!Q$1,Tb_Activiteiten[#Headers],0))=1,SubsidieTabel!$J4,0),0)</f>
        <v>0</v>
      </c>
      <c r="R4" s="287">
        <f>IFERROR(IF(INDEX(Tb_Activiteiten[#All],MATCH(SubsidieTabel!$A4,Tb_Activiteiten[[#All],[Subsidiabele_Activiteit]],0),MATCH(SubsidieTabel!R$1,Tb_Activiteiten[#Headers],0))=1,SubsidieTabel!$K4,0),0)</f>
        <v>0</v>
      </c>
      <c r="S4" s="287">
        <f>IFERROR(IF(INDEX(Tb_Activiteiten[#All],MATCH(SubsidieTabel!$A4,Tb_Activiteiten[[#All],[Subsidiabele_Activiteit]],0),MATCH(SubsidieTabel!S$1,Tb_Activiteiten[#Headers],0))=1,SubsidieTabel!$J4,0),0)</f>
        <v>0</v>
      </c>
      <c r="T4" s="287">
        <f>IFERROR(IF(INDEX(Tb_Activiteiten[#All],MATCH(SubsidieTabel!$A4,Tb_Activiteiten[[#All],[Subsidiabele_Activiteit]],0),MATCH(SubsidieTabel!T$1,Tb_Activiteiten[#Headers],0))=1,SubsidieTabel!$K4,0),0)</f>
        <v>0</v>
      </c>
      <c r="U4" s="287">
        <f>IFERROR(IF(INDEX(Tb_Activiteiten[#All],MATCH(SubsidieTabel!$A4,Tb_Activiteiten[[#All],[Subsidiabele_Activiteit]],0),MATCH(SubsidieTabel!U$1,Tb_Activiteiten[#Headers],0))=1,SubsidieTabel!$J4,0),0)</f>
        <v>0</v>
      </c>
      <c r="V4" s="287">
        <f>IFERROR(IF(INDEX(Tb_Activiteiten[#All],MATCH(SubsidieTabel!$A4,Tb_Activiteiten[[#All],[Subsidiabele_Activiteit]],0),MATCH(SubsidieTabel!V$1,Tb_Activiteiten[#Headers],0))=1,SubsidieTabel!$K4,0),0)</f>
        <v>0</v>
      </c>
      <c r="W4" s="374">
        <f>IFERROR(IF(INDEX(Tb_Activiteiten[#All],MATCH(SubsidieTabel!$A4,Tb_Activiteiten[[#All],[Subsidiabele_Activiteit]],0),MATCH(SubsidieTabel!Q$1,Tb_Activiteiten[#Headers],0))=1,H4,0),0)</f>
        <v>0</v>
      </c>
      <c r="X4" s="374">
        <f>IFERROR(IF(INDEX(Tb_Activiteiten[#All],MATCH(SubsidieTabel!$A4,Tb_Activiteiten[[#All],[Subsidiabele_Activiteit]],0),MATCH(SubsidieTabel!Q$1,Tb_Activiteiten[#Headers],0))=1,I4,0),0)</f>
        <v>0</v>
      </c>
      <c r="Y4" s="374">
        <f>IFERROR(IF(INDEX(Tb_Activiteiten[#All],MATCH(SubsidieTabel!$A4,Tb_Activiteiten[[#All],[Subsidiabele_Activiteit]],0),MATCH(SubsidieTabel!S$1,Tb_Activiteiten[#Headers],0))=1,H4,0),0)</f>
        <v>0</v>
      </c>
      <c r="Z4" s="374">
        <f>IFERROR(IF(INDEX(Tb_Activiteiten[#All],MATCH(SubsidieTabel!$A4,Tb_Activiteiten[[#All],[Subsidiabele_Activiteit]],0),MATCH(SubsidieTabel!S$1,Tb_Activiteiten[#Headers],0))=1,I4,0),0)</f>
        <v>0</v>
      </c>
      <c r="AA4" s="374">
        <f>IFERROR(IF(INDEX(Tb_Activiteiten[#All],MATCH(SubsidieTabel!$A4,Tb_Activiteiten[[#All],[Subsidiabele_Activiteit]],0),MATCH(SubsidieTabel!O$1,Tb_Activiteiten[#Headers],0))=1,$F4,0),0)</f>
        <v>0</v>
      </c>
      <c r="AB4" s="374">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25">
      <c r="A5" s="12"/>
      <c r="B5" s="12"/>
      <c r="C5" s="12" t="str">
        <f>IFERROR(VLOOKUP($B5,Tb_ProjectKosten[],4,0),"")</f>
        <v/>
      </c>
      <c r="D5" s="12" t="str" cm="1">
        <f t="array" ref="D5">IFERROR(INDEX(Tb_KostenOpties[],MATCH(B5,Tb_KostenOpties[KostenOptie],0),IFERROR(MATCH(Methode_Keuze,Tb_KostenOpties[#Headers],0),2)),"")</f>
        <v/>
      </c>
      <c r="E5" s="284">
        <f>IFERROR(VLOOKUP(B5,Tb_ProjectKosten[[#All],[KostenOmschrijving]:[Forfait_Percentage]],6,0),0)</f>
        <v>0</v>
      </c>
      <c r="F5" s="285">
        <f>SUMIFS('5. Kosten uitvoering project'!P:P,'5. Kosten uitvoering project'!E:E,SubsidieTabel!A5,'5. Kosten uitvoering project'!F:F,SubsidieTabel!B5)</f>
        <v>0</v>
      </c>
      <c r="G5" s="285">
        <f>SUMIFS('5. Kosten uitvoering project'!Q:Q,'5. Kosten uitvoering project'!E:E,SubsidieTabel!A5,'5. Kosten uitvoering project'!F:F,SubsidieTabel!B5)</f>
        <v>0</v>
      </c>
      <c r="H5" s="285">
        <f>SUMIFS('5. Kosten uitvoering project'!R:R,'5. Kosten uitvoering project'!E:E,SubsidieTabel!A5,'5. Kosten uitvoering project'!F:F,SubsidieTabel!B5)</f>
        <v>0</v>
      </c>
      <c r="I5" s="285">
        <f>SUMIFS('5. Kosten uitvoering project'!S:S,'5. Kosten uitvoering project'!E:E,SubsidieTabel!A5,'5. Kosten uitvoering project'!F:F,SubsidieTabel!B5)</f>
        <v>0</v>
      </c>
      <c r="J5" s="285">
        <f t="shared" si="0"/>
        <v>0</v>
      </c>
      <c r="K5" s="285">
        <f t="shared" si="1"/>
        <v>0</v>
      </c>
      <c r="L5" s="284" t="str">
        <f>IFERROR(VLOOKUP(A5,Lijsten!$AK:$AL,2,0),"")</f>
        <v/>
      </c>
      <c r="M5" s="285">
        <f t="shared" si="2"/>
        <v>0</v>
      </c>
      <c r="N5" s="285">
        <f t="shared" si="3"/>
        <v>0</v>
      </c>
      <c r="O5" s="285">
        <f>IFERROR(IF(INDEX(Tb_Activiteiten[#All],MATCH(SubsidieTabel!$A5,Tb_Activiteiten[[#All],[Subsidiabele_Activiteit]],0),MATCH(SubsidieTabel!O$1,Tb_Activiteiten[#Headers],0))=1,SubsidieTabel!$J5,0),0)</f>
        <v>0</v>
      </c>
      <c r="P5" s="285">
        <f>IFERROR(IF(INDEX(Tb_Activiteiten[#All],MATCH(SubsidieTabel!$A5,Tb_Activiteiten[[#All],[Subsidiabele_Activiteit]],0),MATCH(SubsidieTabel!P$1,Tb_Activiteiten[#Headers],0))=1,SubsidieTabel!$K5,0),0)</f>
        <v>0</v>
      </c>
      <c r="Q5" s="285">
        <f>IFERROR(IF(INDEX(Tb_Activiteiten[#All],MATCH(SubsidieTabel!$A5,Tb_Activiteiten[[#All],[Subsidiabele_Activiteit]],0),MATCH(SubsidieTabel!Q$1,Tb_Activiteiten[#Headers],0))=1,SubsidieTabel!$J5,0),0)</f>
        <v>0</v>
      </c>
      <c r="R5" s="285">
        <f>IFERROR(IF(INDEX(Tb_Activiteiten[#All],MATCH(SubsidieTabel!$A5,Tb_Activiteiten[[#All],[Subsidiabele_Activiteit]],0),MATCH(SubsidieTabel!R$1,Tb_Activiteiten[#Headers],0))=1,SubsidieTabel!$K5,0),0)</f>
        <v>0</v>
      </c>
      <c r="S5" s="285">
        <f>IFERROR(IF(INDEX(Tb_Activiteiten[#All],MATCH(SubsidieTabel!$A5,Tb_Activiteiten[[#All],[Subsidiabele_Activiteit]],0),MATCH(SubsidieTabel!S$1,Tb_Activiteiten[#Headers],0))=1,SubsidieTabel!$J5,0),0)</f>
        <v>0</v>
      </c>
      <c r="T5" s="285">
        <f>IFERROR(IF(INDEX(Tb_Activiteiten[#All],MATCH(SubsidieTabel!$A5,Tb_Activiteiten[[#All],[Subsidiabele_Activiteit]],0),MATCH(SubsidieTabel!T$1,Tb_Activiteiten[#Headers],0))=1,SubsidieTabel!$K5,0),0)</f>
        <v>0</v>
      </c>
      <c r="U5" s="285">
        <f>IFERROR(IF(INDEX(Tb_Activiteiten[#All],MATCH(SubsidieTabel!$A5,Tb_Activiteiten[[#All],[Subsidiabele_Activiteit]],0),MATCH(SubsidieTabel!U$1,Tb_Activiteiten[#Headers],0))=1,SubsidieTabel!$J5,0),0)</f>
        <v>0</v>
      </c>
      <c r="V5" s="285">
        <f>IFERROR(IF(INDEX(Tb_Activiteiten[#All],MATCH(SubsidieTabel!$A5,Tb_Activiteiten[[#All],[Subsidiabele_Activiteit]],0),MATCH(SubsidieTabel!V$1,Tb_Activiteiten[#Headers],0))=1,SubsidieTabel!$K5,0),0)</f>
        <v>0</v>
      </c>
      <c r="W5" s="64">
        <f>IFERROR(IF(INDEX(Tb_Activiteiten[#All],MATCH(SubsidieTabel!$A5,Tb_Activiteiten[[#All],[Subsidiabele_Activiteit]],0),MATCH(SubsidieTabel!Q$1,Tb_Activiteiten[#Headers],0))=1,H5,0),0)</f>
        <v>0</v>
      </c>
      <c r="X5" s="64">
        <f>IFERROR(IF(INDEX(Tb_Activiteiten[#All],MATCH(SubsidieTabel!$A5,Tb_Activiteiten[[#All],[Subsidiabele_Activiteit]],0),MATCH(SubsidieTabel!Q$1,Tb_Activiteiten[#Headers],0))=1,I5,0),0)</f>
        <v>0</v>
      </c>
      <c r="Y5" s="64">
        <f>IFERROR(IF(INDEX(Tb_Activiteiten[#All],MATCH(SubsidieTabel!$A5,Tb_Activiteiten[[#All],[Subsidiabele_Activiteit]],0),MATCH(SubsidieTabel!S$1,Tb_Activiteiten[#Headers],0))=1,H5,0),0)</f>
        <v>0</v>
      </c>
      <c r="Z5" s="64">
        <f>IFERROR(IF(INDEX(Tb_Activiteiten[#All],MATCH(SubsidieTabel!$A5,Tb_Activiteiten[[#All],[Subsidiabele_Activiteit]],0),MATCH(SubsidieTabel!S$1,Tb_Activiteiten[#Headers],0))=1,I5,0),0)</f>
        <v>0</v>
      </c>
      <c r="AA5" s="64">
        <f>IFERROR(IF(INDEX(Tb_Activiteiten[#All],MATCH(SubsidieTabel!$A5,Tb_Activiteiten[[#All],[Subsidiabele_Activiteit]],0),MATCH(SubsidieTabel!O$1,Tb_Activiteiten[#Headers],0))=1,$F5,0),0)</f>
        <v>0</v>
      </c>
      <c r="AB5" s="64">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25">
      <c r="A6" s="63"/>
      <c r="B6" s="63"/>
      <c r="C6" s="63" t="str">
        <f>IFERROR(VLOOKUP($B6,Tb_ProjectKosten[],4,0),"")</f>
        <v/>
      </c>
      <c r="D6" s="63" t="str" cm="1">
        <f t="array" ref="D6">IFERROR(INDEX(Tb_KostenOpties[],MATCH(B6,Tb_KostenOpties[KostenOptie],0),IFERROR(MATCH(Methode_Keuze,Tb_KostenOpties[#Headers],0),2)),"")</f>
        <v/>
      </c>
      <c r="E6" s="286">
        <f>IFERROR(VLOOKUP(B6,Tb_ProjectKosten[[#All],[KostenOmschrijving]:[Forfait_Percentage]],6,0),0)</f>
        <v>0</v>
      </c>
      <c r="F6" s="287">
        <f>SUMIFS('5. Kosten uitvoering project'!P:P,'5. Kosten uitvoering project'!E:E,SubsidieTabel!A6,'5. Kosten uitvoering project'!F:F,SubsidieTabel!B6)</f>
        <v>0</v>
      </c>
      <c r="G6" s="287">
        <f>SUMIFS('5. Kosten uitvoering project'!Q:Q,'5. Kosten uitvoering project'!E:E,SubsidieTabel!A6,'5. Kosten uitvoering project'!F:F,SubsidieTabel!B6)</f>
        <v>0</v>
      </c>
      <c r="H6" s="287">
        <f>SUMIFS('5. Kosten uitvoering project'!R:R,'5. Kosten uitvoering project'!E:E,SubsidieTabel!A6,'5. Kosten uitvoering project'!F:F,SubsidieTabel!B6)</f>
        <v>0</v>
      </c>
      <c r="I6" s="287">
        <f>SUMIFS('5. Kosten uitvoering project'!S:S,'5. Kosten uitvoering project'!E:E,SubsidieTabel!A6,'5. Kosten uitvoering project'!F:F,SubsidieTabel!B6)</f>
        <v>0</v>
      </c>
      <c r="J6" s="287">
        <f t="shared" si="0"/>
        <v>0</v>
      </c>
      <c r="K6" s="287">
        <f t="shared" si="1"/>
        <v>0</v>
      </c>
      <c r="L6" s="286" t="str">
        <f>IFERROR(VLOOKUP(A6,Lijsten!$AK:$AL,2,0),"")</f>
        <v/>
      </c>
      <c r="M6" s="287">
        <f t="shared" si="2"/>
        <v>0</v>
      </c>
      <c r="N6" s="287">
        <f t="shared" si="3"/>
        <v>0</v>
      </c>
      <c r="O6" s="287">
        <f>IFERROR(IF(INDEX(Tb_Activiteiten[#All],MATCH(SubsidieTabel!$A6,Tb_Activiteiten[[#All],[Subsidiabele_Activiteit]],0),MATCH(SubsidieTabel!O$1,Tb_Activiteiten[#Headers],0))=1,SubsidieTabel!$J6,0),0)</f>
        <v>0</v>
      </c>
      <c r="P6" s="287">
        <f>IFERROR(IF(INDEX(Tb_Activiteiten[#All],MATCH(SubsidieTabel!$A6,Tb_Activiteiten[[#All],[Subsidiabele_Activiteit]],0),MATCH(SubsidieTabel!P$1,Tb_Activiteiten[#Headers],0))=1,SubsidieTabel!$K6,0),0)</f>
        <v>0</v>
      </c>
      <c r="Q6" s="287">
        <f>IFERROR(IF(INDEX(Tb_Activiteiten[#All],MATCH(SubsidieTabel!$A6,Tb_Activiteiten[[#All],[Subsidiabele_Activiteit]],0),MATCH(SubsidieTabel!Q$1,Tb_Activiteiten[#Headers],0))=1,SubsidieTabel!$J6,0),0)</f>
        <v>0</v>
      </c>
      <c r="R6" s="287">
        <f>IFERROR(IF(INDEX(Tb_Activiteiten[#All],MATCH(SubsidieTabel!$A6,Tb_Activiteiten[[#All],[Subsidiabele_Activiteit]],0),MATCH(SubsidieTabel!R$1,Tb_Activiteiten[#Headers],0))=1,SubsidieTabel!$K6,0),0)</f>
        <v>0</v>
      </c>
      <c r="S6" s="287">
        <f>IFERROR(IF(INDEX(Tb_Activiteiten[#All],MATCH(SubsidieTabel!$A6,Tb_Activiteiten[[#All],[Subsidiabele_Activiteit]],0),MATCH(SubsidieTabel!S$1,Tb_Activiteiten[#Headers],0))=1,SubsidieTabel!$J6,0),0)</f>
        <v>0</v>
      </c>
      <c r="T6" s="287">
        <f>IFERROR(IF(INDEX(Tb_Activiteiten[#All],MATCH(SubsidieTabel!$A6,Tb_Activiteiten[[#All],[Subsidiabele_Activiteit]],0),MATCH(SubsidieTabel!T$1,Tb_Activiteiten[#Headers],0))=1,SubsidieTabel!$K6,0),0)</f>
        <v>0</v>
      </c>
      <c r="U6" s="287">
        <f>IFERROR(IF(INDEX(Tb_Activiteiten[#All],MATCH(SubsidieTabel!$A6,Tb_Activiteiten[[#All],[Subsidiabele_Activiteit]],0),MATCH(SubsidieTabel!U$1,Tb_Activiteiten[#Headers],0))=1,SubsidieTabel!$J6,0),0)</f>
        <v>0</v>
      </c>
      <c r="V6" s="287">
        <f>IFERROR(IF(INDEX(Tb_Activiteiten[#All],MATCH(SubsidieTabel!$A6,Tb_Activiteiten[[#All],[Subsidiabele_Activiteit]],0),MATCH(SubsidieTabel!V$1,Tb_Activiteiten[#Headers],0))=1,SubsidieTabel!$K6,0),0)</f>
        <v>0</v>
      </c>
      <c r="W6" s="374">
        <f>IFERROR(IF(INDEX(Tb_Activiteiten[#All],MATCH(SubsidieTabel!$A6,Tb_Activiteiten[[#All],[Subsidiabele_Activiteit]],0),MATCH(SubsidieTabel!Q$1,Tb_Activiteiten[#Headers],0))=1,H6,0),0)</f>
        <v>0</v>
      </c>
      <c r="X6" s="374">
        <f>IFERROR(IF(INDEX(Tb_Activiteiten[#All],MATCH(SubsidieTabel!$A6,Tb_Activiteiten[[#All],[Subsidiabele_Activiteit]],0),MATCH(SubsidieTabel!Q$1,Tb_Activiteiten[#Headers],0))=1,I6,0),0)</f>
        <v>0</v>
      </c>
      <c r="Y6" s="374">
        <f>IFERROR(IF(INDEX(Tb_Activiteiten[#All],MATCH(SubsidieTabel!$A6,Tb_Activiteiten[[#All],[Subsidiabele_Activiteit]],0),MATCH(SubsidieTabel!S$1,Tb_Activiteiten[#Headers],0))=1,H6,0),0)</f>
        <v>0</v>
      </c>
      <c r="Z6" s="374">
        <f>IFERROR(IF(INDEX(Tb_Activiteiten[#All],MATCH(SubsidieTabel!$A6,Tb_Activiteiten[[#All],[Subsidiabele_Activiteit]],0),MATCH(SubsidieTabel!S$1,Tb_Activiteiten[#Headers],0))=1,I6,0),0)</f>
        <v>0</v>
      </c>
      <c r="AA6" s="374">
        <f>IFERROR(IF(INDEX(Tb_Activiteiten[#All],MATCH(SubsidieTabel!$A6,Tb_Activiteiten[[#All],[Subsidiabele_Activiteit]],0),MATCH(SubsidieTabel!O$1,Tb_Activiteiten[#Headers],0))=1,$F6,0),0)</f>
        <v>0</v>
      </c>
      <c r="AB6" s="374">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25">
      <c r="A7" s="12"/>
      <c r="B7" s="12"/>
      <c r="C7" s="12" t="str">
        <f>IFERROR(VLOOKUP($B7,Tb_ProjectKosten[],4,0),"")</f>
        <v/>
      </c>
      <c r="D7" s="12" t="str" cm="1">
        <f t="array" ref="D7">IFERROR(INDEX(Tb_KostenOpties[],MATCH(B7,Tb_KostenOpties[KostenOptie],0),IFERROR(MATCH(Methode_Keuze,Tb_KostenOpties[#Headers],0),2)),"")</f>
        <v/>
      </c>
      <c r="E7" s="284">
        <f>IFERROR(VLOOKUP(B7,Tb_ProjectKosten[[#All],[KostenOmschrijving]:[Forfait_Percentage]],6,0),0)</f>
        <v>0</v>
      </c>
      <c r="F7" s="285">
        <f>SUMIFS('5. Kosten uitvoering project'!P:P,'5. Kosten uitvoering project'!E:E,SubsidieTabel!A7,'5. Kosten uitvoering project'!F:F,SubsidieTabel!B7)</f>
        <v>0</v>
      </c>
      <c r="G7" s="285">
        <f>SUMIFS('5. Kosten uitvoering project'!Q:Q,'5. Kosten uitvoering project'!E:E,SubsidieTabel!A7,'5. Kosten uitvoering project'!F:F,SubsidieTabel!B7)</f>
        <v>0</v>
      </c>
      <c r="H7" s="285">
        <f>SUMIFS('5. Kosten uitvoering project'!R:R,'5. Kosten uitvoering project'!E:E,SubsidieTabel!A7,'5. Kosten uitvoering project'!F:F,SubsidieTabel!B7)</f>
        <v>0</v>
      </c>
      <c r="I7" s="285">
        <f>SUMIFS('5. Kosten uitvoering project'!S:S,'5. Kosten uitvoering project'!E:E,SubsidieTabel!A7,'5. Kosten uitvoering project'!F:F,SubsidieTabel!B7)</f>
        <v>0</v>
      </c>
      <c r="J7" s="285">
        <f t="shared" si="0"/>
        <v>0</v>
      </c>
      <c r="K7" s="285">
        <f t="shared" si="1"/>
        <v>0</v>
      </c>
      <c r="L7" s="284" t="str">
        <f>IFERROR(VLOOKUP(A7,Lijsten!$AK:$AL,2,0),"")</f>
        <v/>
      </c>
      <c r="M7" s="285">
        <f t="shared" si="2"/>
        <v>0</v>
      </c>
      <c r="N7" s="285">
        <f t="shared" si="3"/>
        <v>0</v>
      </c>
      <c r="O7" s="285">
        <f>IFERROR(IF(INDEX(Tb_Activiteiten[#All],MATCH(SubsidieTabel!$A7,Tb_Activiteiten[[#All],[Subsidiabele_Activiteit]],0),MATCH(SubsidieTabel!O$1,Tb_Activiteiten[#Headers],0))=1,SubsidieTabel!$J7,0),0)</f>
        <v>0</v>
      </c>
      <c r="P7" s="285">
        <f>IFERROR(IF(INDEX(Tb_Activiteiten[#All],MATCH(SubsidieTabel!$A7,Tb_Activiteiten[[#All],[Subsidiabele_Activiteit]],0),MATCH(SubsidieTabel!P$1,Tb_Activiteiten[#Headers],0))=1,SubsidieTabel!$K7,0),0)</f>
        <v>0</v>
      </c>
      <c r="Q7" s="285">
        <f>IFERROR(IF(INDEX(Tb_Activiteiten[#All],MATCH(SubsidieTabel!$A7,Tb_Activiteiten[[#All],[Subsidiabele_Activiteit]],0),MATCH(SubsidieTabel!Q$1,Tb_Activiteiten[#Headers],0))=1,SubsidieTabel!$J7,0),0)</f>
        <v>0</v>
      </c>
      <c r="R7" s="285">
        <f>IFERROR(IF(INDEX(Tb_Activiteiten[#All],MATCH(SubsidieTabel!$A7,Tb_Activiteiten[[#All],[Subsidiabele_Activiteit]],0),MATCH(SubsidieTabel!R$1,Tb_Activiteiten[#Headers],0))=1,SubsidieTabel!$K7,0),0)</f>
        <v>0</v>
      </c>
      <c r="S7" s="285">
        <f>IFERROR(IF(INDEX(Tb_Activiteiten[#All],MATCH(SubsidieTabel!$A7,Tb_Activiteiten[[#All],[Subsidiabele_Activiteit]],0),MATCH(SubsidieTabel!S$1,Tb_Activiteiten[#Headers],0))=1,SubsidieTabel!$J7,0),0)</f>
        <v>0</v>
      </c>
      <c r="T7" s="285">
        <f>IFERROR(IF(INDEX(Tb_Activiteiten[#All],MATCH(SubsidieTabel!$A7,Tb_Activiteiten[[#All],[Subsidiabele_Activiteit]],0),MATCH(SubsidieTabel!T$1,Tb_Activiteiten[#Headers],0))=1,SubsidieTabel!$K7,0),0)</f>
        <v>0</v>
      </c>
      <c r="U7" s="285">
        <f>IFERROR(IF(INDEX(Tb_Activiteiten[#All],MATCH(SubsidieTabel!$A7,Tb_Activiteiten[[#All],[Subsidiabele_Activiteit]],0),MATCH(SubsidieTabel!U$1,Tb_Activiteiten[#Headers],0))=1,SubsidieTabel!$J7,0),0)</f>
        <v>0</v>
      </c>
      <c r="V7" s="285">
        <f>IFERROR(IF(INDEX(Tb_Activiteiten[#All],MATCH(SubsidieTabel!$A7,Tb_Activiteiten[[#All],[Subsidiabele_Activiteit]],0),MATCH(SubsidieTabel!V$1,Tb_Activiteiten[#Headers],0))=1,SubsidieTabel!$K7,0),0)</f>
        <v>0</v>
      </c>
      <c r="W7" s="64">
        <f>IFERROR(IF(INDEX(Tb_Activiteiten[#All],MATCH(SubsidieTabel!$A7,Tb_Activiteiten[[#All],[Subsidiabele_Activiteit]],0),MATCH(SubsidieTabel!Q$1,Tb_Activiteiten[#Headers],0))=1,H7,0),0)</f>
        <v>0</v>
      </c>
      <c r="X7" s="64">
        <f>IFERROR(IF(INDEX(Tb_Activiteiten[#All],MATCH(SubsidieTabel!$A7,Tb_Activiteiten[[#All],[Subsidiabele_Activiteit]],0),MATCH(SubsidieTabel!Q$1,Tb_Activiteiten[#Headers],0))=1,I7,0),0)</f>
        <v>0</v>
      </c>
      <c r="Y7" s="64">
        <f>IFERROR(IF(INDEX(Tb_Activiteiten[#All],MATCH(SubsidieTabel!$A7,Tb_Activiteiten[[#All],[Subsidiabele_Activiteit]],0),MATCH(SubsidieTabel!S$1,Tb_Activiteiten[#Headers],0))=1,H7,0),0)</f>
        <v>0</v>
      </c>
      <c r="Z7" s="64">
        <f>IFERROR(IF(INDEX(Tb_Activiteiten[#All],MATCH(SubsidieTabel!$A7,Tb_Activiteiten[[#All],[Subsidiabele_Activiteit]],0),MATCH(SubsidieTabel!S$1,Tb_Activiteiten[#Headers],0))=1,I7,0),0)</f>
        <v>0</v>
      </c>
      <c r="AA7" s="64">
        <f>IFERROR(IF(INDEX(Tb_Activiteiten[#All],MATCH(SubsidieTabel!$A7,Tb_Activiteiten[[#All],[Subsidiabele_Activiteit]],0),MATCH(SubsidieTabel!O$1,Tb_Activiteiten[#Headers],0))=1,$F7,0),0)</f>
        <v>0</v>
      </c>
      <c r="AB7" s="64">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25">
      <c r="A8" s="63"/>
      <c r="B8" s="63"/>
      <c r="C8" s="63" t="str">
        <f>IFERROR(VLOOKUP($B8,Tb_ProjectKosten[],4,0),"")</f>
        <v/>
      </c>
      <c r="D8" s="63" t="str" cm="1">
        <f t="array" ref="D8">IFERROR(INDEX(Tb_KostenOpties[],MATCH(B8,Tb_KostenOpties[KostenOptie],0),IFERROR(MATCH(Methode_Keuze,Tb_KostenOpties[#Headers],0),2)),"")</f>
        <v/>
      </c>
      <c r="E8" s="286">
        <f>IFERROR(VLOOKUP(B8,Tb_ProjectKosten[[#All],[KostenOmschrijving]:[Forfait_Percentage]],6,0),0)</f>
        <v>0</v>
      </c>
      <c r="F8" s="287">
        <f>SUMIFS('5. Kosten uitvoering project'!P:P,'5. Kosten uitvoering project'!E:E,SubsidieTabel!A8,'5. Kosten uitvoering project'!F:F,SubsidieTabel!B8)</f>
        <v>0</v>
      </c>
      <c r="G8" s="287">
        <f>SUMIFS('5. Kosten uitvoering project'!Q:Q,'5. Kosten uitvoering project'!E:E,SubsidieTabel!A8,'5. Kosten uitvoering project'!F:F,SubsidieTabel!B8)</f>
        <v>0</v>
      </c>
      <c r="H8" s="287">
        <f>SUMIFS('5. Kosten uitvoering project'!R:R,'5. Kosten uitvoering project'!E:E,SubsidieTabel!A8,'5. Kosten uitvoering project'!F:F,SubsidieTabel!B8)</f>
        <v>0</v>
      </c>
      <c r="I8" s="287">
        <f>SUMIFS('5. Kosten uitvoering project'!S:S,'5. Kosten uitvoering project'!E:E,SubsidieTabel!A8,'5. Kosten uitvoering project'!F:F,SubsidieTabel!B8)</f>
        <v>0</v>
      </c>
      <c r="J8" s="287">
        <f t="shared" si="0"/>
        <v>0</v>
      </c>
      <c r="K8" s="287">
        <f t="shared" si="1"/>
        <v>0</v>
      </c>
      <c r="L8" s="286" t="str">
        <f>IFERROR(VLOOKUP(A8,Lijsten!$AK:$AL,2,0),"")</f>
        <v/>
      </c>
      <c r="M8" s="287">
        <f t="shared" si="2"/>
        <v>0</v>
      </c>
      <c r="N8" s="287">
        <f t="shared" si="3"/>
        <v>0</v>
      </c>
      <c r="O8" s="287">
        <f>IFERROR(IF(INDEX(Tb_Activiteiten[#All],MATCH(SubsidieTabel!$A8,Tb_Activiteiten[[#All],[Subsidiabele_Activiteit]],0),MATCH(SubsidieTabel!O$1,Tb_Activiteiten[#Headers],0))=1,SubsidieTabel!$J8,0),0)</f>
        <v>0</v>
      </c>
      <c r="P8" s="287">
        <f>IFERROR(IF(INDEX(Tb_Activiteiten[#All],MATCH(SubsidieTabel!$A8,Tb_Activiteiten[[#All],[Subsidiabele_Activiteit]],0),MATCH(SubsidieTabel!P$1,Tb_Activiteiten[#Headers],0))=1,SubsidieTabel!$K8,0),0)</f>
        <v>0</v>
      </c>
      <c r="Q8" s="287">
        <f>IFERROR(IF(INDEX(Tb_Activiteiten[#All],MATCH(SubsidieTabel!$A8,Tb_Activiteiten[[#All],[Subsidiabele_Activiteit]],0),MATCH(SubsidieTabel!Q$1,Tb_Activiteiten[#Headers],0))=1,SubsidieTabel!$J8,0),0)</f>
        <v>0</v>
      </c>
      <c r="R8" s="287">
        <f>IFERROR(IF(INDEX(Tb_Activiteiten[#All],MATCH(SubsidieTabel!$A8,Tb_Activiteiten[[#All],[Subsidiabele_Activiteit]],0),MATCH(SubsidieTabel!R$1,Tb_Activiteiten[#Headers],0))=1,SubsidieTabel!$K8,0),0)</f>
        <v>0</v>
      </c>
      <c r="S8" s="287">
        <f>IFERROR(IF(INDEX(Tb_Activiteiten[#All],MATCH(SubsidieTabel!$A8,Tb_Activiteiten[[#All],[Subsidiabele_Activiteit]],0),MATCH(SubsidieTabel!S$1,Tb_Activiteiten[#Headers],0))=1,SubsidieTabel!$J8,0),0)</f>
        <v>0</v>
      </c>
      <c r="T8" s="287">
        <f>IFERROR(IF(INDEX(Tb_Activiteiten[#All],MATCH(SubsidieTabel!$A8,Tb_Activiteiten[[#All],[Subsidiabele_Activiteit]],0),MATCH(SubsidieTabel!T$1,Tb_Activiteiten[#Headers],0))=1,SubsidieTabel!$K8,0),0)</f>
        <v>0</v>
      </c>
      <c r="U8" s="287">
        <f>IFERROR(IF(INDEX(Tb_Activiteiten[#All],MATCH(SubsidieTabel!$A8,Tb_Activiteiten[[#All],[Subsidiabele_Activiteit]],0),MATCH(SubsidieTabel!U$1,Tb_Activiteiten[#Headers],0))=1,SubsidieTabel!$J8,0),0)</f>
        <v>0</v>
      </c>
      <c r="V8" s="287">
        <f>IFERROR(IF(INDEX(Tb_Activiteiten[#All],MATCH(SubsidieTabel!$A8,Tb_Activiteiten[[#All],[Subsidiabele_Activiteit]],0),MATCH(SubsidieTabel!V$1,Tb_Activiteiten[#Headers],0))=1,SubsidieTabel!$K8,0),0)</f>
        <v>0</v>
      </c>
      <c r="W8" s="374">
        <f>IFERROR(IF(INDEX(Tb_Activiteiten[#All],MATCH(SubsidieTabel!$A8,Tb_Activiteiten[[#All],[Subsidiabele_Activiteit]],0),MATCH(SubsidieTabel!Q$1,Tb_Activiteiten[#Headers],0))=1,H8,0),0)</f>
        <v>0</v>
      </c>
      <c r="X8" s="374">
        <f>IFERROR(IF(INDEX(Tb_Activiteiten[#All],MATCH(SubsidieTabel!$A8,Tb_Activiteiten[[#All],[Subsidiabele_Activiteit]],0),MATCH(SubsidieTabel!Q$1,Tb_Activiteiten[#Headers],0))=1,I8,0),0)</f>
        <v>0</v>
      </c>
      <c r="Y8" s="374">
        <f>IFERROR(IF(INDEX(Tb_Activiteiten[#All],MATCH(SubsidieTabel!$A8,Tb_Activiteiten[[#All],[Subsidiabele_Activiteit]],0),MATCH(SubsidieTabel!S$1,Tb_Activiteiten[#Headers],0))=1,H8,0),0)</f>
        <v>0</v>
      </c>
      <c r="Z8" s="374">
        <f>IFERROR(IF(INDEX(Tb_Activiteiten[#All],MATCH(SubsidieTabel!$A8,Tb_Activiteiten[[#All],[Subsidiabele_Activiteit]],0),MATCH(SubsidieTabel!S$1,Tb_Activiteiten[#Headers],0))=1,I8,0),0)</f>
        <v>0</v>
      </c>
      <c r="AA8" s="374">
        <f>IFERROR(IF(INDEX(Tb_Activiteiten[#All],MATCH(SubsidieTabel!$A8,Tb_Activiteiten[[#All],[Subsidiabele_Activiteit]],0),MATCH(SubsidieTabel!O$1,Tb_Activiteiten[#Headers],0))=1,$F8,0),0)</f>
        <v>0</v>
      </c>
      <c r="AB8" s="374">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25">
      <c r="A9" s="12"/>
      <c r="B9" s="12"/>
      <c r="C9" s="12" t="str">
        <f>IFERROR(VLOOKUP($B9,Tb_ProjectKosten[],4,0),"")</f>
        <v/>
      </c>
      <c r="D9" s="12" t="str" cm="1">
        <f t="array" ref="D9">IFERROR(INDEX(Tb_KostenOpties[],MATCH(B9,Tb_KostenOpties[KostenOptie],0),IFERROR(MATCH(Methode_Keuze,Tb_KostenOpties[#Headers],0),2)),"")</f>
        <v/>
      </c>
      <c r="E9" s="284">
        <f>IFERROR(VLOOKUP(B9,Tb_ProjectKosten[[#All],[KostenOmschrijving]:[Forfait_Percentage]],6,0),0)</f>
        <v>0</v>
      </c>
      <c r="F9" s="285">
        <f>SUMIFS('5. Kosten uitvoering project'!P:P,'5. Kosten uitvoering project'!E:E,SubsidieTabel!A9,'5. Kosten uitvoering project'!F:F,SubsidieTabel!B9)</f>
        <v>0</v>
      </c>
      <c r="G9" s="285">
        <f>SUMIFS('5. Kosten uitvoering project'!Q:Q,'5. Kosten uitvoering project'!E:E,SubsidieTabel!A9,'5. Kosten uitvoering project'!F:F,SubsidieTabel!B9)</f>
        <v>0</v>
      </c>
      <c r="H9" s="285">
        <f>SUMIFS('5. Kosten uitvoering project'!R:R,'5. Kosten uitvoering project'!E:E,SubsidieTabel!A9,'5. Kosten uitvoering project'!F:F,SubsidieTabel!B9)</f>
        <v>0</v>
      </c>
      <c r="I9" s="285">
        <f>SUMIFS('5. Kosten uitvoering project'!S:S,'5. Kosten uitvoering project'!E:E,SubsidieTabel!A9,'5. Kosten uitvoering project'!F:F,SubsidieTabel!B9)</f>
        <v>0</v>
      </c>
      <c r="J9" s="285">
        <f t="shared" si="0"/>
        <v>0</v>
      </c>
      <c r="K9" s="285">
        <f t="shared" si="1"/>
        <v>0</v>
      </c>
      <c r="L9" s="284" t="str">
        <f>IFERROR(VLOOKUP(A9,Lijsten!$AK:$AL,2,0),"")</f>
        <v/>
      </c>
      <c r="M9" s="285">
        <f t="shared" si="2"/>
        <v>0</v>
      </c>
      <c r="N9" s="285">
        <f t="shared" si="3"/>
        <v>0</v>
      </c>
      <c r="O9" s="285">
        <f>IFERROR(IF(INDEX(Tb_Activiteiten[#All],MATCH(SubsidieTabel!$A9,Tb_Activiteiten[[#All],[Subsidiabele_Activiteit]],0),MATCH(SubsidieTabel!O$1,Tb_Activiteiten[#Headers],0))=1,SubsidieTabel!$J9,0),0)</f>
        <v>0</v>
      </c>
      <c r="P9" s="285">
        <f>IFERROR(IF(INDEX(Tb_Activiteiten[#All],MATCH(SubsidieTabel!$A9,Tb_Activiteiten[[#All],[Subsidiabele_Activiteit]],0),MATCH(SubsidieTabel!P$1,Tb_Activiteiten[#Headers],0))=1,SubsidieTabel!$K9,0),0)</f>
        <v>0</v>
      </c>
      <c r="Q9" s="285">
        <f>IFERROR(IF(INDEX(Tb_Activiteiten[#All],MATCH(SubsidieTabel!$A9,Tb_Activiteiten[[#All],[Subsidiabele_Activiteit]],0),MATCH(SubsidieTabel!Q$1,Tb_Activiteiten[#Headers],0))=1,SubsidieTabel!$J9,0),0)</f>
        <v>0</v>
      </c>
      <c r="R9" s="285">
        <f>IFERROR(IF(INDEX(Tb_Activiteiten[#All],MATCH(SubsidieTabel!$A9,Tb_Activiteiten[[#All],[Subsidiabele_Activiteit]],0),MATCH(SubsidieTabel!R$1,Tb_Activiteiten[#Headers],0))=1,SubsidieTabel!$K9,0),0)</f>
        <v>0</v>
      </c>
      <c r="S9" s="285">
        <f>IFERROR(IF(INDEX(Tb_Activiteiten[#All],MATCH(SubsidieTabel!$A9,Tb_Activiteiten[[#All],[Subsidiabele_Activiteit]],0),MATCH(SubsidieTabel!S$1,Tb_Activiteiten[#Headers],0))=1,SubsidieTabel!$J9,0),0)</f>
        <v>0</v>
      </c>
      <c r="T9" s="285">
        <f>IFERROR(IF(INDEX(Tb_Activiteiten[#All],MATCH(SubsidieTabel!$A9,Tb_Activiteiten[[#All],[Subsidiabele_Activiteit]],0),MATCH(SubsidieTabel!T$1,Tb_Activiteiten[#Headers],0))=1,SubsidieTabel!$K9,0),0)</f>
        <v>0</v>
      </c>
      <c r="U9" s="285">
        <f>IFERROR(IF(INDEX(Tb_Activiteiten[#All],MATCH(SubsidieTabel!$A9,Tb_Activiteiten[[#All],[Subsidiabele_Activiteit]],0),MATCH(SubsidieTabel!U$1,Tb_Activiteiten[#Headers],0))=1,SubsidieTabel!$J9,0),0)</f>
        <v>0</v>
      </c>
      <c r="V9" s="285">
        <f>IFERROR(IF(INDEX(Tb_Activiteiten[#All],MATCH(SubsidieTabel!$A9,Tb_Activiteiten[[#All],[Subsidiabele_Activiteit]],0),MATCH(SubsidieTabel!V$1,Tb_Activiteiten[#Headers],0))=1,SubsidieTabel!$K9,0),0)</f>
        <v>0</v>
      </c>
      <c r="W9" s="64">
        <f>IFERROR(IF(INDEX(Tb_Activiteiten[#All],MATCH(SubsidieTabel!$A9,Tb_Activiteiten[[#All],[Subsidiabele_Activiteit]],0),MATCH(SubsidieTabel!Q$1,Tb_Activiteiten[#Headers],0))=1,H9,0),0)</f>
        <v>0</v>
      </c>
      <c r="X9" s="64">
        <f>IFERROR(IF(INDEX(Tb_Activiteiten[#All],MATCH(SubsidieTabel!$A9,Tb_Activiteiten[[#All],[Subsidiabele_Activiteit]],0),MATCH(SubsidieTabel!Q$1,Tb_Activiteiten[#Headers],0))=1,I9,0),0)</f>
        <v>0</v>
      </c>
      <c r="Y9" s="64">
        <f>IFERROR(IF(INDEX(Tb_Activiteiten[#All],MATCH(SubsidieTabel!$A9,Tb_Activiteiten[[#All],[Subsidiabele_Activiteit]],0),MATCH(SubsidieTabel!S$1,Tb_Activiteiten[#Headers],0))=1,H9,0),0)</f>
        <v>0</v>
      </c>
      <c r="Z9" s="64">
        <f>IFERROR(IF(INDEX(Tb_Activiteiten[#All],MATCH(SubsidieTabel!$A9,Tb_Activiteiten[[#All],[Subsidiabele_Activiteit]],0),MATCH(SubsidieTabel!S$1,Tb_Activiteiten[#Headers],0))=1,I9,0),0)</f>
        <v>0</v>
      </c>
      <c r="AA9" s="64">
        <f>IFERROR(IF(INDEX(Tb_Activiteiten[#All],MATCH(SubsidieTabel!$A9,Tb_Activiteiten[[#All],[Subsidiabele_Activiteit]],0),MATCH(SubsidieTabel!O$1,Tb_Activiteiten[#Headers],0))=1,$F9,0),0)</f>
        <v>0</v>
      </c>
      <c r="AB9" s="64">
        <f>IFERROR(IF(INDEX(Tb_Activiteiten[#All],MATCH(SubsidieTabel!$A9,Tb_Activiteiten[[#All],[Subsidiabele_Activiteit]],0),MATCH(SubsidieTabel!O$1,Tb_Activiteiten[#Headers],0))=1,$G9,0),0)</f>
        <v>0</v>
      </c>
      <c r="AD9" s="62" t="str">
        <f>Openstelling_Activiteit!W3</f>
        <v>Afschrijvingskosten</v>
      </c>
      <c r="AE9">
        <v>1</v>
      </c>
      <c r="AF9">
        <v>1</v>
      </c>
      <c r="AG9">
        <v>0</v>
      </c>
      <c r="AI9" t="str">
        <f>Tb_KostenOpties[[#This Row],[KostenOptie]]</f>
        <v>Afschrijvingskosten</v>
      </c>
      <c r="AJ9">
        <v>1</v>
      </c>
      <c r="AK9">
        <v>1</v>
      </c>
      <c r="AL9">
        <v>0</v>
      </c>
    </row>
    <row r="10" spans="1:40" x14ac:dyDescent="0.25">
      <c r="A10" s="63"/>
      <c r="B10" s="63"/>
      <c r="C10" s="63" t="str">
        <f>IFERROR(VLOOKUP($B10,Tb_ProjectKosten[],4,0),"")</f>
        <v/>
      </c>
      <c r="D10" s="63" t="str" cm="1">
        <f t="array" ref="D10">IFERROR(INDEX(Tb_KostenOpties[],MATCH(B10,Tb_KostenOpties[KostenOptie],0),IFERROR(MATCH(Methode_Keuze,Tb_KostenOpties[#Headers],0),2)),"")</f>
        <v/>
      </c>
      <c r="E10" s="286">
        <f>IFERROR(VLOOKUP(B10,Tb_ProjectKosten[[#All],[KostenOmschrijving]:[Forfait_Percentage]],6,0),0)</f>
        <v>0</v>
      </c>
      <c r="F10" s="287">
        <f>SUMIFS('5. Kosten uitvoering project'!P:P,'5. Kosten uitvoering project'!E:E,SubsidieTabel!A10,'5. Kosten uitvoering project'!F:F,SubsidieTabel!B10)</f>
        <v>0</v>
      </c>
      <c r="G10" s="287">
        <f>SUMIFS('5. Kosten uitvoering project'!Q:Q,'5. Kosten uitvoering project'!E:E,SubsidieTabel!A10,'5. Kosten uitvoering project'!F:F,SubsidieTabel!B10)</f>
        <v>0</v>
      </c>
      <c r="H10" s="287">
        <f>SUMIFS('5. Kosten uitvoering project'!R:R,'5. Kosten uitvoering project'!E:E,SubsidieTabel!A10,'5. Kosten uitvoering project'!F:F,SubsidieTabel!B10)</f>
        <v>0</v>
      </c>
      <c r="I10" s="287">
        <f>SUMIFS('5. Kosten uitvoering project'!S:S,'5. Kosten uitvoering project'!E:E,SubsidieTabel!A10,'5. Kosten uitvoering project'!F:F,SubsidieTabel!B10)</f>
        <v>0</v>
      </c>
      <c r="J10" s="287">
        <f t="shared" si="0"/>
        <v>0</v>
      </c>
      <c r="K10" s="287">
        <f t="shared" si="1"/>
        <v>0</v>
      </c>
      <c r="L10" s="286" t="str">
        <f>IFERROR(VLOOKUP(A10,Lijsten!$AK:$AL,2,0),"")</f>
        <v/>
      </c>
      <c r="M10" s="287">
        <f t="shared" si="2"/>
        <v>0</v>
      </c>
      <c r="N10" s="287">
        <f t="shared" si="3"/>
        <v>0</v>
      </c>
      <c r="O10" s="287">
        <f>IFERROR(IF(INDEX(Tb_Activiteiten[#All],MATCH(SubsidieTabel!$A10,Tb_Activiteiten[[#All],[Subsidiabele_Activiteit]],0),MATCH(SubsidieTabel!O$1,Tb_Activiteiten[#Headers],0))=1,SubsidieTabel!$J10,0),0)</f>
        <v>0</v>
      </c>
      <c r="P10" s="287">
        <f>IFERROR(IF(INDEX(Tb_Activiteiten[#All],MATCH(SubsidieTabel!$A10,Tb_Activiteiten[[#All],[Subsidiabele_Activiteit]],0),MATCH(SubsidieTabel!P$1,Tb_Activiteiten[#Headers],0))=1,SubsidieTabel!$K10,0),0)</f>
        <v>0</v>
      </c>
      <c r="Q10" s="287">
        <f>IFERROR(IF(INDEX(Tb_Activiteiten[#All],MATCH(SubsidieTabel!$A10,Tb_Activiteiten[[#All],[Subsidiabele_Activiteit]],0),MATCH(SubsidieTabel!Q$1,Tb_Activiteiten[#Headers],0))=1,SubsidieTabel!$J10,0),0)</f>
        <v>0</v>
      </c>
      <c r="R10" s="287">
        <f>IFERROR(IF(INDEX(Tb_Activiteiten[#All],MATCH(SubsidieTabel!$A10,Tb_Activiteiten[[#All],[Subsidiabele_Activiteit]],0),MATCH(SubsidieTabel!R$1,Tb_Activiteiten[#Headers],0))=1,SubsidieTabel!$K10,0),0)</f>
        <v>0</v>
      </c>
      <c r="S10" s="287">
        <f>IFERROR(IF(INDEX(Tb_Activiteiten[#All],MATCH(SubsidieTabel!$A10,Tb_Activiteiten[[#All],[Subsidiabele_Activiteit]],0),MATCH(SubsidieTabel!S$1,Tb_Activiteiten[#Headers],0))=1,SubsidieTabel!$J10,0),0)</f>
        <v>0</v>
      </c>
      <c r="T10" s="287">
        <f>IFERROR(IF(INDEX(Tb_Activiteiten[#All],MATCH(SubsidieTabel!$A10,Tb_Activiteiten[[#All],[Subsidiabele_Activiteit]],0),MATCH(SubsidieTabel!T$1,Tb_Activiteiten[#Headers],0))=1,SubsidieTabel!$K10,0),0)</f>
        <v>0</v>
      </c>
      <c r="U10" s="287">
        <f>IFERROR(IF(INDEX(Tb_Activiteiten[#All],MATCH(SubsidieTabel!$A10,Tb_Activiteiten[[#All],[Subsidiabele_Activiteit]],0),MATCH(SubsidieTabel!U$1,Tb_Activiteiten[#Headers],0))=1,SubsidieTabel!$J10,0),0)</f>
        <v>0</v>
      </c>
      <c r="V10" s="287">
        <f>IFERROR(IF(INDEX(Tb_Activiteiten[#All],MATCH(SubsidieTabel!$A10,Tb_Activiteiten[[#All],[Subsidiabele_Activiteit]],0),MATCH(SubsidieTabel!V$1,Tb_Activiteiten[#Headers],0))=1,SubsidieTabel!$K10,0),0)</f>
        <v>0</v>
      </c>
      <c r="W10" s="374">
        <f>IFERROR(IF(INDEX(Tb_Activiteiten[#All],MATCH(SubsidieTabel!$A10,Tb_Activiteiten[[#All],[Subsidiabele_Activiteit]],0),MATCH(SubsidieTabel!Q$1,Tb_Activiteiten[#Headers],0))=1,H10,0),0)</f>
        <v>0</v>
      </c>
      <c r="X10" s="374">
        <f>IFERROR(IF(INDEX(Tb_Activiteiten[#All],MATCH(SubsidieTabel!$A10,Tb_Activiteiten[[#All],[Subsidiabele_Activiteit]],0),MATCH(SubsidieTabel!Q$1,Tb_Activiteiten[#Headers],0))=1,I10,0),0)</f>
        <v>0</v>
      </c>
      <c r="Y10" s="374">
        <f>IFERROR(IF(INDEX(Tb_Activiteiten[#All],MATCH(SubsidieTabel!$A10,Tb_Activiteiten[[#All],[Subsidiabele_Activiteit]],0),MATCH(SubsidieTabel!S$1,Tb_Activiteiten[#Headers],0))=1,H10,0),0)</f>
        <v>0</v>
      </c>
      <c r="Z10" s="374">
        <f>IFERROR(IF(INDEX(Tb_Activiteiten[#All],MATCH(SubsidieTabel!$A10,Tb_Activiteiten[[#All],[Subsidiabele_Activiteit]],0),MATCH(SubsidieTabel!S$1,Tb_Activiteiten[#Headers],0))=1,I10,0),0)</f>
        <v>0</v>
      </c>
      <c r="AA10" s="374">
        <f>IFERROR(IF(INDEX(Tb_Activiteiten[#All],MATCH(SubsidieTabel!$A10,Tb_Activiteiten[[#All],[Subsidiabele_Activiteit]],0),MATCH(SubsidieTabel!O$1,Tb_Activiteiten[#Headers],0))=1,$F10,0),0)</f>
        <v>0</v>
      </c>
      <c r="AB10" s="374">
        <f>IFERROR(IF(INDEX(Tb_Activiteiten[#All],MATCH(SubsidieTabel!$A10,Tb_Activiteiten[[#All],[Subsidiabele_Activiteit]],0),MATCH(SubsidieTabel!O$1,Tb_Activiteiten[#Headers],0))=1,$G10,0),0)</f>
        <v>0</v>
      </c>
      <c r="AD10" s="62" t="str">
        <f>Openstelling_Activiteit!X3</f>
        <v>Vergoeding</v>
      </c>
      <c r="AE10">
        <v>1</v>
      </c>
      <c r="AF10">
        <v>1</v>
      </c>
      <c r="AG10">
        <v>0</v>
      </c>
      <c r="AI10" t="str">
        <f>Tb_KostenOpties[[#This Row],[KostenOptie]]</f>
        <v>Vergoeding</v>
      </c>
      <c r="AJ10">
        <v>1</v>
      </c>
      <c r="AK10">
        <v>1</v>
      </c>
      <c r="AL10">
        <v>0</v>
      </c>
    </row>
    <row r="11" spans="1:40" x14ac:dyDescent="0.25">
      <c r="A11" s="12"/>
      <c r="B11" s="12"/>
      <c r="C11" s="12" t="str">
        <f>IFERROR(VLOOKUP($B11,Tb_ProjectKosten[],4,0),"")</f>
        <v/>
      </c>
      <c r="D11" s="12" t="str" cm="1">
        <f t="array" ref="D11">IFERROR(INDEX(Tb_KostenOpties[],MATCH(B11,Tb_KostenOpties[KostenOptie],0),IFERROR(MATCH(Methode_Keuze,Tb_KostenOpties[#Headers],0),2)),"")</f>
        <v/>
      </c>
      <c r="E11" s="284">
        <f>IFERROR(VLOOKUP(B11,Tb_ProjectKosten[[#All],[KostenOmschrijving]:[Forfait_Percentage]],6,0),0)</f>
        <v>0</v>
      </c>
      <c r="F11" s="285">
        <f>SUMIFS('5. Kosten uitvoering project'!P:P,'5. Kosten uitvoering project'!E:E,SubsidieTabel!A11,'5. Kosten uitvoering project'!F:F,SubsidieTabel!B11)</f>
        <v>0</v>
      </c>
      <c r="G11" s="285">
        <f>SUMIFS('5. Kosten uitvoering project'!Q:Q,'5. Kosten uitvoering project'!E:E,SubsidieTabel!A11,'5. Kosten uitvoering project'!F:F,SubsidieTabel!B11)</f>
        <v>0</v>
      </c>
      <c r="H11" s="285">
        <f>SUMIFS('5. Kosten uitvoering project'!R:R,'5. Kosten uitvoering project'!E:E,SubsidieTabel!A11,'5. Kosten uitvoering project'!F:F,SubsidieTabel!B11)</f>
        <v>0</v>
      </c>
      <c r="I11" s="285">
        <f>SUMIFS('5. Kosten uitvoering project'!S:S,'5. Kosten uitvoering project'!E:E,SubsidieTabel!A11,'5. Kosten uitvoering project'!F:F,SubsidieTabel!B11)</f>
        <v>0</v>
      </c>
      <c r="J11" s="285">
        <f t="shared" si="0"/>
        <v>0</v>
      </c>
      <c r="K11" s="285">
        <f t="shared" si="1"/>
        <v>0</v>
      </c>
      <c r="L11" s="284" t="str">
        <f>IFERROR(VLOOKUP(A11,Lijsten!$AK:$AL,2,0),"")</f>
        <v/>
      </c>
      <c r="M11" s="285">
        <f t="shared" si="2"/>
        <v>0</v>
      </c>
      <c r="N11" s="285">
        <f t="shared" si="3"/>
        <v>0</v>
      </c>
      <c r="O11" s="285">
        <f>IFERROR(IF(INDEX(Tb_Activiteiten[#All],MATCH(SubsidieTabel!$A11,Tb_Activiteiten[[#All],[Subsidiabele_Activiteit]],0),MATCH(SubsidieTabel!O$1,Tb_Activiteiten[#Headers],0))=1,SubsidieTabel!$J11,0),0)</f>
        <v>0</v>
      </c>
      <c r="P11" s="285">
        <f>IFERROR(IF(INDEX(Tb_Activiteiten[#All],MATCH(SubsidieTabel!$A11,Tb_Activiteiten[[#All],[Subsidiabele_Activiteit]],0),MATCH(SubsidieTabel!P$1,Tb_Activiteiten[#Headers],0))=1,SubsidieTabel!$K11,0),0)</f>
        <v>0</v>
      </c>
      <c r="Q11" s="285">
        <f>IFERROR(IF(INDEX(Tb_Activiteiten[#All],MATCH(SubsidieTabel!$A11,Tb_Activiteiten[[#All],[Subsidiabele_Activiteit]],0),MATCH(SubsidieTabel!Q$1,Tb_Activiteiten[#Headers],0))=1,SubsidieTabel!$J11,0),0)</f>
        <v>0</v>
      </c>
      <c r="R11" s="285">
        <f>IFERROR(IF(INDEX(Tb_Activiteiten[#All],MATCH(SubsidieTabel!$A11,Tb_Activiteiten[[#All],[Subsidiabele_Activiteit]],0),MATCH(SubsidieTabel!R$1,Tb_Activiteiten[#Headers],0))=1,SubsidieTabel!$K11,0),0)</f>
        <v>0</v>
      </c>
      <c r="S11" s="285">
        <f>IFERROR(IF(INDEX(Tb_Activiteiten[#All],MATCH(SubsidieTabel!$A11,Tb_Activiteiten[[#All],[Subsidiabele_Activiteit]],0),MATCH(SubsidieTabel!S$1,Tb_Activiteiten[#Headers],0))=1,SubsidieTabel!$J11,0),0)</f>
        <v>0</v>
      </c>
      <c r="T11" s="285">
        <f>IFERROR(IF(INDEX(Tb_Activiteiten[#All],MATCH(SubsidieTabel!$A11,Tb_Activiteiten[[#All],[Subsidiabele_Activiteit]],0),MATCH(SubsidieTabel!T$1,Tb_Activiteiten[#Headers],0))=1,SubsidieTabel!$K11,0),0)</f>
        <v>0</v>
      </c>
      <c r="U11" s="285">
        <f>IFERROR(IF(INDEX(Tb_Activiteiten[#All],MATCH(SubsidieTabel!$A11,Tb_Activiteiten[[#All],[Subsidiabele_Activiteit]],0),MATCH(SubsidieTabel!U$1,Tb_Activiteiten[#Headers],0))=1,SubsidieTabel!$J11,0),0)</f>
        <v>0</v>
      </c>
      <c r="V11" s="285">
        <f>IFERROR(IF(INDEX(Tb_Activiteiten[#All],MATCH(SubsidieTabel!$A11,Tb_Activiteiten[[#All],[Subsidiabele_Activiteit]],0),MATCH(SubsidieTabel!V$1,Tb_Activiteiten[#Headers],0))=1,SubsidieTabel!$K11,0),0)</f>
        <v>0</v>
      </c>
      <c r="W11" s="64">
        <f>IFERROR(IF(INDEX(Tb_Activiteiten[#All],MATCH(SubsidieTabel!$A11,Tb_Activiteiten[[#All],[Subsidiabele_Activiteit]],0),MATCH(SubsidieTabel!Q$1,Tb_Activiteiten[#Headers],0))=1,H11,0),0)</f>
        <v>0</v>
      </c>
      <c r="X11" s="64">
        <f>IFERROR(IF(INDEX(Tb_Activiteiten[#All],MATCH(SubsidieTabel!$A11,Tb_Activiteiten[[#All],[Subsidiabele_Activiteit]],0),MATCH(SubsidieTabel!Q$1,Tb_Activiteiten[#Headers],0))=1,I11,0),0)</f>
        <v>0</v>
      </c>
      <c r="Y11" s="64">
        <f>IFERROR(IF(INDEX(Tb_Activiteiten[#All],MATCH(SubsidieTabel!$A11,Tb_Activiteiten[[#All],[Subsidiabele_Activiteit]],0),MATCH(SubsidieTabel!S$1,Tb_Activiteiten[#Headers],0))=1,H11,0),0)</f>
        <v>0</v>
      </c>
      <c r="Z11" s="64">
        <f>IFERROR(IF(INDEX(Tb_Activiteiten[#All],MATCH(SubsidieTabel!$A11,Tb_Activiteiten[[#All],[Subsidiabele_Activiteit]],0),MATCH(SubsidieTabel!S$1,Tb_Activiteiten[#Headers],0))=1,I11,0),0)</f>
        <v>0</v>
      </c>
      <c r="AA11" s="64">
        <f>IFERROR(IF(INDEX(Tb_Activiteiten[#All],MATCH(SubsidieTabel!$A11,Tb_Activiteiten[[#All],[Subsidiabele_Activiteit]],0),MATCH(SubsidieTabel!O$1,Tb_Activiteiten[#Headers],0))=1,$F11,0),0)</f>
        <v>0</v>
      </c>
      <c r="AB11" s="64">
        <f>IFERROR(IF(INDEX(Tb_Activiteiten[#All],MATCH(SubsidieTabel!$A11,Tb_Activiteiten[[#All],[Subsidiabele_Activiteit]],0),MATCH(SubsidieTabel!O$1,Tb_Activiteiten[#Headers],0))=1,$G11,0),0)</f>
        <v>0</v>
      </c>
      <c r="AD11" s="62"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25">
      <c r="A12" s="63"/>
      <c r="B12" s="63"/>
      <c r="C12" s="63" t="str">
        <f>IFERROR(VLOOKUP($B12,Tb_ProjectKosten[],4,0),"")</f>
        <v/>
      </c>
      <c r="D12" s="63" t="str" cm="1">
        <f t="array" ref="D12">IFERROR(INDEX(Tb_KostenOpties[],MATCH(B12,Tb_KostenOpties[KostenOptie],0),IFERROR(MATCH(Methode_Keuze,Tb_KostenOpties[#Headers],0),2)),"")</f>
        <v/>
      </c>
      <c r="E12" s="286">
        <f>IFERROR(VLOOKUP(B12,Tb_ProjectKosten[[#All],[KostenOmschrijving]:[Forfait_Percentage]],6,0),0)</f>
        <v>0</v>
      </c>
      <c r="F12" s="287">
        <f>SUMIFS('5. Kosten uitvoering project'!P:P,'5. Kosten uitvoering project'!E:E,SubsidieTabel!A12,'5. Kosten uitvoering project'!F:F,SubsidieTabel!B12)</f>
        <v>0</v>
      </c>
      <c r="G12" s="287">
        <f>SUMIFS('5. Kosten uitvoering project'!Q:Q,'5. Kosten uitvoering project'!E:E,SubsidieTabel!A12,'5. Kosten uitvoering project'!F:F,SubsidieTabel!B12)</f>
        <v>0</v>
      </c>
      <c r="H12" s="287">
        <f>SUMIFS('5. Kosten uitvoering project'!R:R,'5. Kosten uitvoering project'!E:E,SubsidieTabel!A12,'5. Kosten uitvoering project'!F:F,SubsidieTabel!B12)</f>
        <v>0</v>
      </c>
      <c r="I12" s="287">
        <f>SUMIFS('5. Kosten uitvoering project'!S:S,'5. Kosten uitvoering project'!E:E,SubsidieTabel!A12,'5. Kosten uitvoering project'!F:F,SubsidieTabel!B12)</f>
        <v>0</v>
      </c>
      <c r="J12" s="287">
        <f t="shared" si="0"/>
        <v>0</v>
      </c>
      <c r="K12" s="287">
        <f t="shared" si="1"/>
        <v>0</v>
      </c>
      <c r="L12" s="286" t="str">
        <f>IFERROR(VLOOKUP(A12,Lijsten!$AK:$AL,2,0),"")</f>
        <v/>
      </c>
      <c r="M12" s="287">
        <f t="shared" si="2"/>
        <v>0</v>
      </c>
      <c r="N12" s="287">
        <f t="shared" si="3"/>
        <v>0</v>
      </c>
      <c r="O12" s="287">
        <f>IFERROR(IF(INDEX(Tb_Activiteiten[#All],MATCH(SubsidieTabel!$A12,Tb_Activiteiten[[#All],[Subsidiabele_Activiteit]],0),MATCH(SubsidieTabel!O$1,Tb_Activiteiten[#Headers],0))=1,SubsidieTabel!$J12,0),0)</f>
        <v>0</v>
      </c>
      <c r="P12" s="287">
        <f>IFERROR(IF(INDEX(Tb_Activiteiten[#All],MATCH(SubsidieTabel!$A12,Tb_Activiteiten[[#All],[Subsidiabele_Activiteit]],0),MATCH(SubsidieTabel!P$1,Tb_Activiteiten[#Headers],0))=1,SubsidieTabel!$K12,0),0)</f>
        <v>0</v>
      </c>
      <c r="Q12" s="287">
        <f>IFERROR(IF(INDEX(Tb_Activiteiten[#All],MATCH(SubsidieTabel!$A12,Tb_Activiteiten[[#All],[Subsidiabele_Activiteit]],0),MATCH(SubsidieTabel!Q$1,Tb_Activiteiten[#Headers],0))=1,SubsidieTabel!$J12,0),0)</f>
        <v>0</v>
      </c>
      <c r="R12" s="287">
        <f>IFERROR(IF(INDEX(Tb_Activiteiten[#All],MATCH(SubsidieTabel!$A12,Tb_Activiteiten[[#All],[Subsidiabele_Activiteit]],0),MATCH(SubsidieTabel!R$1,Tb_Activiteiten[#Headers],0))=1,SubsidieTabel!$K12,0),0)</f>
        <v>0</v>
      </c>
      <c r="S12" s="287">
        <f>IFERROR(IF(INDEX(Tb_Activiteiten[#All],MATCH(SubsidieTabel!$A12,Tb_Activiteiten[[#All],[Subsidiabele_Activiteit]],0),MATCH(SubsidieTabel!S$1,Tb_Activiteiten[#Headers],0))=1,SubsidieTabel!$J12,0),0)</f>
        <v>0</v>
      </c>
      <c r="T12" s="287">
        <f>IFERROR(IF(INDEX(Tb_Activiteiten[#All],MATCH(SubsidieTabel!$A12,Tb_Activiteiten[[#All],[Subsidiabele_Activiteit]],0),MATCH(SubsidieTabel!T$1,Tb_Activiteiten[#Headers],0))=1,SubsidieTabel!$K12,0),0)</f>
        <v>0</v>
      </c>
      <c r="U12" s="287">
        <f>IFERROR(IF(INDEX(Tb_Activiteiten[#All],MATCH(SubsidieTabel!$A12,Tb_Activiteiten[[#All],[Subsidiabele_Activiteit]],0),MATCH(SubsidieTabel!U$1,Tb_Activiteiten[#Headers],0))=1,SubsidieTabel!$J12,0),0)</f>
        <v>0</v>
      </c>
      <c r="V12" s="287">
        <f>IFERROR(IF(INDEX(Tb_Activiteiten[#All],MATCH(SubsidieTabel!$A12,Tb_Activiteiten[[#All],[Subsidiabele_Activiteit]],0),MATCH(SubsidieTabel!V$1,Tb_Activiteiten[#Headers],0))=1,SubsidieTabel!$K12,0),0)</f>
        <v>0</v>
      </c>
      <c r="W12" s="374">
        <f>IFERROR(IF(INDEX(Tb_Activiteiten[#All],MATCH(SubsidieTabel!$A12,Tb_Activiteiten[[#All],[Subsidiabele_Activiteit]],0),MATCH(SubsidieTabel!Q$1,Tb_Activiteiten[#Headers],0))=1,H12,0),0)</f>
        <v>0</v>
      </c>
      <c r="X12" s="374">
        <f>IFERROR(IF(INDEX(Tb_Activiteiten[#All],MATCH(SubsidieTabel!$A12,Tb_Activiteiten[[#All],[Subsidiabele_Activiteit]],0),MATCH(SubsidieTabel!Q$1,Tb_Activiteiten[#Headers],0))=1,I12,0),0)</f>
        <v>0</v>
      </c>
      <c r="Y12" s="374">
        <f>IFERROR(IF(INDEX(Tb_Activiteiten[#All],MATCH(SubsidieTabel!$A12,Tb_Activiteiten[[#All],[Subsidiabele_Activiteit]],0),MATCH(SubsidieTabel!S$1,Tb_Activiteiten[#Headers],0))=1,H12,0),0)</f>
        <v>0</v>
      </c>
      <c r="Z12" s="374">
        <f>IFERROR(IF(INDEX(Tb_Activiteiten[#All],MATCH(SubsidieTabel!$A12,Tb_Activiteiten[[#All],[Subsidiabele_Activiteit]],0),MATCH(SubsidieTabel!S$1,Tb_Activiteiten[#Headers],0))=1,I12,0),0)</f>
        <v>0</v>
      </c>
      <c r="AA12" s="374">
        <f>IFERROR(IF(INDEX(Tb_Activiteiten[#All],MATCH(SubsidieTabel!$A12,Tb_Activiteiten[[#All],[Subsidiabele_Activiteit]],0),MATCH(SubsidieTabel!O$1,Tb_Activiteiten[#Headers],0))=1,$F12,0),0)</f>
        <v>0</v>
      </c>
      <c r="AB12" s="374">
        <f>IFERROR(IF(INDEX(Tb_Activiteiten[#All],MATCH(SubsidieTabel!$A12,Tb_Activiteiten[[#All],[Subsidiabele_Activiteit]],0),MATCH(SubsidieTabel!O$1,Tb_Activiteiten[#Headers],0))=1,$G12,0),0)</f>
        <v>0</v>
      </c>
      <c r="AD12" s="62" t="str">
        <f>Openstelling_Activiteit!Z3</f>
        <v>Overige kosten</v>
      </c>
      <c r="AE12">
        <v>1</v>
      </c>
      <c r="AF12">
        <v>1</v>
      </c>
      <c r="AG12">
        <v>0</v>
      </c>
      <c r="AI12" t="str">
        <f>Tb_KostenOpties[[#This Row],[KostenOptie]]</f>
        <v>Overige kosten</v>
      </c>
      <c r="AJ12">
        <v>1</v>
      </c>
      <c r="AK12">
        <v>1</v>
      </c>
      <c r="AL12">
        <v>0</v>
      </c>
    </row>
    <row r="13" spans="1:40" x14ac:dyDescent="0.25">
      <c r="A13" s="12"/>
      <c r="B13" s="12"/>
      <c r="C13" s="12" t="str">
        <f>IFERROR(VLOOKUP($B13,Tb_ProjectKosten[],4,0),"")</f>
        <v/>
      </c>
      <c r="D13" s="12" t="str" cm="1">
        <f t="array" ref="D13">IFERROR(INDEX(Tb_KostenOpties[],MATCH(B13,Tb_KostenOpties[KostenOptie],0),IFERROR(MATCH(Methode_Keuze,Tb_KostenOpties[#Headers],0),2)),"")</f>
        <v/>
      </c>
      <c r="E13" s="284">
        <f>IFERROR(VLOOKUP(B13,Tb_ProjectKosten[[#All],[KostenOmschrijving]:[Forfait_Percentage]],6,0),0)</f>
        <v>0</v>
      </c>
      <c r="F13" s="285">
        <f>SUMIFS('5. Kosten uitvoering project'!P:P,'5. Kosten uitvoering project'!E:E,SubsidieTabel!A13,'5. Kosten uitvoering project'!F:F,SubsidieTabel!B13)</f>
        <v>0</v>
      </c>
      <c r="G13" s="285">
        <f>SUMIFS('5. Kosten uitvoering project'!Q:Q,'5. Kosten uitvoering project'!E:E,SubsidieTabel!A13,'5. Kosten uitvoering project'!F:F,SubsidieTabel!B13)</f>
        <v>0</v>
      </c>
      <c r="H13" s="285">
        <f>SUMIFS('5. Kosten uitvoering project'!R:R,'5. Kosten uitvoering project'!E:E,SubsidieTabel!A13,'5. Kosten uitvoering project'!F:F,SubsidieTabel!B13)</f>
        <v>0</v>
      </c>
      <c r="I13" s="285">
        <f>SUMIFS('5. Kosten uitvoering project'!S:S,'5. Kosten uitvoering project'!E:E,SubsidieTabel!A13,'5. Kosten uitvoering project'!F:F,SubsidieTabel!B13)</f>
        <v>0</v>
      </c>
      <c r="J13" s="285">
        <f t="shared" si="0"/>
        <v>0</v>
      </c>
      <c r="K13" s="285">
        <f t="shared" si="1"/>
        <v>0</v>
      </c>
      <c r="L13" s="284" t="str">
        <f>IFERROR(VLOOKUP(A13,Lijsten!$AK:$AL,2,0),"")</f>
        <v/>
      </c>
      <c r="M13" s="285">
        <f t="shared" si="2"/>
        <v>0</v>
      </c>
      <c r="N13" s="285">
        <f t="shared" si="3"/>
        <v>0</v>
      </c>
      <c r="O13" s="285">
        <f>IFERROR(IF(INDEX(Tb_Activiteiten[#All],MATCH(SubsidieTabel!$A13,Tb_Activiteiten[[#All],[Subsidiabele_Activiteit]],0),MATCH(SubsidieTabel!O$1,Tb_Activiteiten[#Headers],0))=1,SubsidieTabel!$J13,0),0)</f>
        <v>0</v>
      </c>
      <c r="P13" s="285">
        <f>IFERROR(IF(INDEX(Tb_Activiteiten[#All],MATCH(SubsidieTabel!$A13,Tb_Activiteiten[[#All],[Subsidiabele_Activiteit]],0),MATCH(SubsidieTabel!P$1,Tb_Activiteiten[#Headers],0))=1,SubsidieTabel!$K13,0),0)</f>
        <v>0</v>
      </c>
      <c r="Q13" s="285">
        <f>IFERROR(IF(INDEX(Tb_Activiteiten[#All],MATCH(SubsidieTabel!$A13,Tb_Activiteiten[[#All],[Subsidiabele_Activiteit]],0),MATCH(SubsidieTabel!Q$1,Tb_Activiteiten[#Headers],0))=1,SubsidieTabel!$J13,0),0)</f>
        <v>0</v>
      </c>
      <c r="R13" s="285">
        <f>IFERROR(IF(INDEX(Tb_Activiteiten[#All],MATCH(SubsidieTabel!$A13,Tb_Activiteiten[[#All],[Subsidiabele_Activiteit]],0),MATCH(SubsidieTabel!R$1,Tb_Activiteiten[#Headers],0))=1,SubsidieTabel!$K13,0),0)</f>
        <v>0</v>
      </c>
      <c r="S13" s="285">
        <f>IFERROR(IF(INDEX(Tb_Activiteiten[#All],MATCH(SubsidieTabel!$A13,Tb_Activiteiten[[#All],[Subsidiabele_Activiteit]],0),MATCH(SubsidieTabel!S$1,Tb_Activiteiten[#Headers],0))=1,SubsidieTabel!$J13,0),0)</f>
        <v>0</v>
      </c>
      <c r="T13" s="285">
        <f>IFERROR(IF(INDEX(Tb_Activiteiten[#All],MATCH(SubsidieTabel!$A13,Tb_Activiteiten[[#All],[Subsidiabele_Activiteit]],0),MATCH(SubsidieTabel!T$1,Tb_Activiteiten[#Headers],0))=1,SubsidieTabel!$K13,0),0)</f>
        <v>0</v>
      </c>
      <c r="U13" s="285">
        <f>IFERROR(IF(INDEX(Tb_Activiteiten[#All],MATCH(SubsidieTabel!$A13,Tb_Activiteiten[[#All],[Subsidiabele_Activiteit]],0),MATCH(SubsidieTabel!U$1,Tb_Activiteiten[#Headers],0))=1,SubsidieTabel!$J13,0),0)</f>
        <v>0</v>
      </c>
      <c r="V13" s="285">
        <f>IFERROR(IF(INDEX(Tb_Activiteiten[#All],MATCH(SubsidieTabel!$A13,Tb_Activiteiten[[#All],[Subsidiabele_Activiteit]],0),MATCH(SubsidieTabel!V$1,Tb_Activiteiten[#Headers],0))=1,SubsidieTabel!$K13,0),0)</f>
        <v>0</v>
      </c>
      <c r="W13" s="64">
        <f>IFERROR(IF(INDEX(Tb_Activiteiten[#All],MATCH(SubsidieTabel!$A13,Tb_Activiteiten[[#All],[Subsidiabele_Activiteit]],0),MATCH(SubsidieTabel!Q$1,Tb_Activiteiten[#Headers],0))=1,H13,0),0)</f>
        <v>0</v>
      </c>
      <c r="X13" s="64">
        <f>IFERROR(IF(INDEX(Tb_Activiteiten[#All],MATCH(SubsidieTabel!$A13,Tb_Activiteiten[[#All],[Subsidiabele_Activiteit]],0),MATCH(SubsidieTabel!Q$1,Tb_Activiteiten[#Headers],0))=1,I13,0),0)</f>
        <v>0</v>
      </c>
      <c r="Y13" s="64">
        <f>IFERROR(IF(INDEX(Tb_Activiteiten[#All],MATCH(SubsidieTabel!$A13,Tb_Activiteiten[[#All],[Subsidiabele_Activiteit]],0),MATCH(SubsidieTabel!S$1,Tb_Activiteiten[#Headers],0))=1,H13,0),0)</f>
        <v>0</v>
      </c>
      <c r="Z13" s="64">
        <f>IFERROR(IF(INDEX(Tb_Activiteiten[#All],MATCH(SubsidieTabel!$A13,Tb_Activiteiten[[#All],[Subsidiabele_Activiteit]],0),MATCH(SubsidieTabel!S$1,Tb_Activiteiten[#Headers],0))=1,I13,0),0)</f>
        <v>0</v>
      </c>
      <c r="AA13" s="64">
        <f>IFERROR(IF(INDEX(Tb_Activiteiten[#All],MATCH(SubsidieTabel!$A13,Tb_Activiteiten[[#All],[Subsidiabele_Activiteit]],0),MATCH(SubsidieTabel!O$1,Tb_Activiteiten[#Headers],0))=1,$F13,0),0)</f>
        <v>0</v>
      </c>
      <c r="AB13" s="64">
        <f>IFERROR(IF(INDEX(Tb_Activiteiten[#All],MATCH(SubsidieTabel!$A13,Tb_Activiteiten[[#All],[Subsidiabele_Activiteit]],0),MATCH(SubsidieTabel!O$1,Tb_Activiteiten[#Headers],0))=1,$G13,0),0)</f>
        <v>0</v>
      </c>
    </row>
    <row r="14" spans="1:40" x14ac:dyDescent="0.25">
      <c r="A14" s="63"/>
      <c r="B14" s="63"/>
      <c r="C14" s="63" t="str">
        <f>IFERROR(VLOOKUP($B14,Tb_ProjectKosten[],4,0),"")</f>
        <v/>
      </c>
      <c r="D14" s="63" t="str" cm="1">
        <f t="array" ref="D14">IFERROR(INDEX(Tb_KostenOpties[],MATCH(B14,Tb_KostenOpties[KostenOptie],0),IFERROR(MATCH(Methode_Keuze,Tb_KostenOpties[#Headers],0),2)),"")</f>
        <v/>
      </c>
      <c r="E14" s="286">
        <f>IFERROR(VLOOKUP(B14,Tb_ProjectKosten[[#All],[KostenOmschrijving]:[Forfait_Percentage]],6,0),0)</f>
        <v>0</v>
      </c>
      <c r="F14" s="287">
        <f>SUMIFS('5. Kosten uitvoering project'!P:P,'5. Kosten uitvoering project'!E:E,SubsidieTabel!A14,'5. Kosten uitvoering project'!F:F,SubsidieTabel!B14)</f>
        <v>0</v>
      </c>
      <c r="G14" s="287">
        <f>SUMIFS('5. Kosten uitvoering project'!Q:Q,'5. Kosten uitvoering project'!E:E,SubsidieTabel!A14,'5. Kosten uitvoering project'!F:F,SubsidieTabel!B14)</f>
        <v>0</v>
      </c>
      <c r="H14" s="287">
        <f>SUMIFS('5. Kosten uitvoering project'!R:R,'5. Kosten uitvoering project'!E:E,SubsidieTabel!A14,'5. Kosten uitvoering project'!F:F,SubsidieTabel!B14)</f>
        <v>0</v>
      </c>
      <c r="I14" s="287">
        <f>SUMIFS('5. Kosten uitvoering project'!S:S,'5. Kosten uitvoering project'!E:E,SubsidieTabel!A14,'5. Kosten uitvoering project'!F:F,SubsidieTabel!B14)</f>
        <v>0</v>
      </c>
      <c r="J14" s="287">
        <f t="shared" si="0"/>
        <v>0</v>
      </c>
      <c r="K14" s="287">
        <f t="shared" si="1"/>
        <v>0</v>
      </c>
      <c r="L14" s="286" t="str">
        <f>IFERROR(VLOOKUP(A14,Lijsten!$AK:$AL,2,0),"")</f>
        <v/>
      </c>
      <c r="M14" s="287">
        <f t="shared" si="2"/>
        <v>0</v>
      </c>
      <c r="N14" s="287">
        <f t="shared" si="3"/>
        <v>0</v>
      </c>
      <c r="O14" s="287">
        <f>IFERROR(IF(INDEX(Tb_Activiteiten[#All],MATCH(SubsidieTabel!$A14,Tb_Activiteiten[[#All],[Subsidiabele_Activiteit]],0),MATCH(SubsidieTabel!O$1,Tb_Activiteiten[#Headers],0))=1,SubsidieTabel!$J14,0),0)</f>
        <v>0</v>
      </c>
      <c r="P14" s="287">
        <f>IFERROR(IF(INDEX(Tb_Activiteiten[#All],MATCH(SubsidieTabel!$A14,Tb_Activiteiten[[#All],[Subsidiabele_Activiteit]],0),MATCH(SubsidieTabel!P$1,Tb_Activiteiten[#Headers],0))=1,SubsidieTabel!$K14,0),0)</f>
        <v>0</v>
      </c>
      <c r="Q14" s="287">
        <f>IFERROR(IF(INDEX(Tb_Activiteiten[#All],MATCH(SubsidieTabel!$A14,Tb_Activiteiten[[#All],[Subsidiabele_Activiteit]],0),MATCH(SubsidieTabel!Q$1,Tb_Activiteiten[#Headers],0))=1,SubsidieTabel!$J14,0),0)</f>
        <v>0</v>
      </c>
      <c r="R14" s="287">
        <f>IFERROR(IF(INDEX(Tb_Activiteiten[#All],MATCH(SubsidieTabel!$A14,Tb_Activiteiten[[#All],[Subsidiabele_Activiteit]],0),MATCH(SubsidieTabel!R$1,Tb_Activiteiten[#Headers],0))=1,SubsidieTabel!$K14,0),0)</f>
        <v>0</v>
      </c>
      <c r="S14" s="287">
        <f>IFERROR(IF(INDEX(Tb_Activiteiten[#All],MATCH(SubsidieTabel!$A14,Tb_Activiteiten[[#All],[Subsidiabele_Activiteit]],0),MATCH(SubsidieTabel!S$1,Tb_Activiteiten[#Headers],0))=1,SubsidieTabel!$J14,0),0)</f>
        <v>0</v>
      </c>
      <c r="T14" s="287">
        <f>IFERROR(IF(INDEX(Tb_Activiteiten[#All],MATCH(SubsidieTabel!$A14,Tb_Activiteiten[[#All],[Subsidiabele_Activiteit]],0),MATCH(SubsidieTabel!T$1,Tb_Activiteiten[#Headers],0))=1,SubsidieTabel!$K14,0),0)</f>
        <v>0</v>
      </c>
      <c r="U14" s="287">
        <f>IFERROR(IF(INDEX(Tb_Activiteiten[#All],MATCH(SubsidieTabel!$A14,Tb_Activiteiten[[#All],[Subsidiabele_Activiteit]],0),MATCH(SubsidieTabel!U$1,Tb_Activiteiten[#Headers],0))=1,SubsidieTabel!$J14,0),0)</f>
        <v>0</v>
      </c>
      <c r="V14" s="287">
        <f>IFERROR(IF(INDEX(Tb_Activiteiten[#All],MATCH(SubsidieTabel!$A14,Tb_Activiteiten[[#All],[Subsidiabele_Activiteit]],0),MATCH(SubsidieTabel!V$1,Tb_Activiteiten[#Headers],0))=1,SubsidieTabel!$K14,0),0)</f>
        <v>0</v>
      </c>
      <c r="W14" s="374">
        <f>IFERROR(IF(INDEX(Tb_Activiteiten[#All],MATCH(SubsidieTabel!$A14,Tb_Activiteiten[[#All],[Subsidiabele_Activiteit]],0),MATCH(SubsidieTabel!Q$1,Tb_Activiteiten[#Headers],0))=1,H14,0),0)</f>
        <v>0</v>
      </c>
      <c r="X14" s="374">
        <f>IFERROR(IF(INDEX(Tb_Activiteiten[#All],MATCH(SubsidieTabel!$A14,Tb_Activiteiten[[#All],[Subsidiabele_Activiteit]],0),MATCH(SubsidieTabel!Q$1,Tb_Activiteiten[#Headers],0))=1,I14,0),0)</f>
        <v>0</v>
      </c>
      <c r="Y14" s="374">
        <f>IFERROR(IF(INDEX(Tb_Activiteiten[#All],MATCH(SubsidieTabel!$A14,Tb_Activiteiten[[#All],[Subsidiabele_Activiteit]],0),MATCH(SubsidieTabel!S$1,Tb_Activiteiten[#Headers],0))=1,H14,0),0)</f>
        <v>0</v>
      </c>
      <c r="Z14" s="374">
        <f>IFERROR(IF(INDEX(Tb_Activiteiten[#All],MATCH(SubsidieTabel!$A14,Tb_Activiteiten[[#All],[Subsidiabele_Activiteit]],0),MATCH(SubsidieTabel!S$1,Tb_Activiteiten[#Headers],0))=1,I14,0),0)</f>
        <v>0</v>
      </c>
      <c r="AA14" s="374">
        <f>IFERROR(IF(INDEX(Tb_Activiteiten[#All],MATCH(SubsidieTabel!$A14,Tb_Activiteiten[[#All],[Subsidiabele_Activiteit]],0),MATCH(SubsidieTabel!O$1,Tb_Activiteiten[#Headers],0))=1,$F14,0),0)</f>
        <v>0</v>
      </c>
      <c r="AB14" s="374">
        <f>IFERROR(IF(INDEX(Tb_Activiteiten[#All],MATCH(SubsidieTabel!$A14,Tb_Activiteiten[[#All],[Subsidiabele_Activiteit]],0),MATCH(SubsidieTabel!O$1,Tb_Activiteiten[#Headers],0))=1,$G14,0),0)</f>
        <v>0</v>
      </c>
      <c r="AD14" t="s">
        <v>83</v>
      </c>
      <c r="AE14" t="s">
        <v>84</v>
      </c>
      <c r="AF14" t="s">
        <v>85</v>
      </c>
      <c r="AG14" t="s">
        <v>86</v>
      </c>
      <c r="AH14" t="s">
        <v>40</v>
      </c>
      <c r="AI14" t="s">
        <v>336</v>
      </c>
      <c r="AJ14" t="s">
        <v>87</v>
      </c>
      <c r="AK14" t="s">
        <v>88</v>
      </c>
      <c r="AL14" t="s">
        <v>179</v>
      </c>
      <c r="AM14" t="s">
        <v>180</v>
      </c>
      <c r="AN14" t="s">
        <v>56</v>
      </c>
    </row>
    <row r="15" spans="1:40" x14ac:dyDescent="0.25">
      <c r="A15" s="12"/>
      <c r="B15" s="12"/>
      <c r="C15" s="12" t="str">
        <f>IFERROR(VLOOKUP($B15,Tb_ProjectKosten[],4,0),"")</f>
        <v/>
      </c>
      <c r="D15" s="12" t="str" cm="1">
        <f t="array" ref="D15">IFERROR(INDEX(Tb_KostenOpties[],MATCH(B15,Tb_KostenOpties[KostenOptie],0),IFERROR(MATCH(Methode_Keuze,Tb_KostenOpties[#Headers],0),2)),"")</f>
        <v/>
      </c>
      <c r="E15" s="284">
        <f>IFERROR(VLOOKUP(B15,Tb_ProjectKosten[[#All],[KostenOmschrijving]:[Forfait_Percentage]],6,0),0)</f>
        <v>0</v>
      </c>
      <c r="F15" s="285">
        <f>SUMIFS('5. Kosten uitvoering project'!P:P,'5. Kosten uitvoering project'!E:E,SubsidieTabel!A15,'5. Kosten uitvoering project'!F:F,SubsidieTabel!B15)</f>
        <v>0</v>
      </c>
      <c r="G15" s="285">
        <f>SUMIFS('5. Kosten uitvoering project'!Q:Q,'5. Kosten uitvoering project'!E:E,SubsidieTabel!A15,'5. Kosten uitvoering project'!F:F,SubsidieTabel!B15)</f>
        <v>0</v>
      </c>
      <c r="H15" s="285">
        <f>SUMIFS('5. Kosten uitvoering project'!R:R,'5. Kosten uitvoering project'!E:E,SubsidieTabel!A15,'5. Kosten uitvoering project'!F:F,SubsidieTabel!B15)</f>
        <v>0</v>
      </c>
      <c r="I15" s="285">
        <f>SUMIFS('5. Kosten uitvoering project'!S:S,'5. Kosten uitvoering project'!E:E,SubsidieTabel!A15,'5. Kosten uitvoering project'!F:F,SubsidieTabel!B15)</f>
        <v>0</v>
      </c>
      <c r="J15" s="285">
        <f t="shared" si="0"/>
        <v>0</v>
      </c>
      <c r="K15" s="285">
        <f t="shared" si="1"/>
        <v>0</v>
      </c>
      <c r="L15" s="284" t="str">
        <f>IFERROR(VLOOKUP(A15,Lijsten!$AK:$AL,2,0),"")</f>
        <v/>
      </c>
      <c r="M15" s="285">
        <f t="shared" si="2"/>
        <v>0</v>
      </c>
      <c r="N15" s="285">
        <f t="shared" si="3"/>
        <v>0</v>
      </c>
      <c r="O15" s="285">
        <f>IFERROR(IF(INDEX(Tb_Activiteiten[#All],MATCH(SubsidieTabel!$A15,Tb_Activiteiten[[#All],[Subsidiabele_Activiteit]],0),MATCH(SubsidieTabel!O$1,Tb_Activiteiten[#Headers],0))=1,SubsidieTabel!$J15,0),0)</f>
        <v>0</v>
      </c>
      <c r="P15" s="285">
        <f>IFERROR(IF(INDEX(Tb_Activiteiten[#All],MATCH(SubsidieTabel!$A15,Tb_Activiteiten[[#All],[Subsidiabele_Activiteit]],0),MATCH(SubsidieTabel!P$1,Tb_Activiteiten[#Headers],0))=1,SubsidieTabel!$K15,0),0)</f>
        <v>0</v>
      </c>
      <c r="Q15" s="285">
        <f>IFERROR(IF(INDEX(Tb_Activiteiten[#All],MATCH(SubsidieTabel!$A15,Tb_Activiteiten[[#All],[Subsidiabele_Activiteit]],0),MATCH(SubsidieTabel!Q$1,Tb_Activiteiten[#Headers],0))=1,SubsidieTabel!$J15,0),0)</f>
        <v>0</v>
      </c>
      <c r="R15" s="285">
        <f>IFERROR(IF(INDEX(Tb_Activiteiten[#All],MATCH(SubsidieTabel!$A15,Tb_Activiteiten[[#All],[Subsidiabele_Activiteit]],0),MATCH(SubsidieTabel!R$1,Tb_Activiteiten[#Headers],0))=1,SubsidieTabel!$K15,0),0)</f>
        <v>0</v>
      </c>
      <c r="S15" s="285">
        <f>IFERROR(IF(INDEX(Tb_Activiteiten[#All],MATCH(SubsidieTabel!$A15,Tb_Activiteiten[[#All],[Subsidiabele_Activiteit]],0),MATCH(SubsidieTabel!S$1,Tb_Activiteiten[#Headers],0))=1,SubsidieTabel!$J15,0),0)</f>
        <v>0</v>
      </c>
      <c r="T15" s="285">
        <f>IFERROR(IF(INDEX(Tb_Activiteiten[#All],MATCH(SubsidieTabel!$A15,Tb_Activiteiten[[#All],[Subsidiabele_Activiteit]],0),MATCH(SubsidieTabel!T$1,Tb_Activiteiten[#Headers],0))=1,SubsidieTabel!$K15,0),0)</f>
        <v>0</v>
      </c>
      <c r="U15" s="285">
        <f>IFERROR(IF(INDEX(Tb_Activiteiten[#All],MATCH(SubsidieTabel!$A15,Tb_Activiteiten[[#All],[Subsidiabele_Activiteit]],0),MATCH(SubsidieTabel!U$1,Tb_Activiteiten[#Headers],0))=1,SubsidieTabel!$J15,0),0)</f>
        <v>0</v>
      </c>
      <c r="V15" s="285">
        <f>IFERROR(IF(INDEX(Tb_Activiteiten[#All],MATCH(SubsidieTabel!$A15,Tb_Activiteiten[[#All],[Subsidiabele_Activiteit]],0),MATCH(SubsidieTabel!V$1,Tb_Activiteiten[#Headers],0))=1,SubsidieTabel!$K15,0),0)</f>
        <v>0</v>
      </c>
      <c r="W15" s="64">
        <f>IFERROR(IF(INDEX(Tb_Activiteiten[#All],MATCH(SubsidieTabel!$A15,Tb_Activiteiten[[#All],[Subsidiabele_Activiteit]],0),MATCH(SubsidieTabel!Q$1,Tb_Activiteiten[#Headers],0))=1,H15,0),0)</f>
        <v>0</v>
      </c>
      <c r="X15" s="64">
        <f>IFERROR(IF(INDEX(Tb_Activiteiten[#All],MATCH(SubsidieTabel!$A15,Tb_Activiteiten[[#All],[Subsidiabele_Activiteit]],0),MATCH(SubsidieTabel!Q$1,Tb_Activiteiten[#Headers],0))=1,I15,0),0)</f>
        <v>0</v>
      </c>
      <c r="Y15" s="64">
        <f>IFERROR(IF(INDEX(Tb_Activiteiten[#All],MATCH(SubsidieTabel!$A15,Tb_Activiteiten[[#All],[Subsidiabele_Activiteit]],0),MATCH(SubsidieTabel!S$1,Tb_Activiteiten[#Headers],0))=1,H15,0),0)</f>
        <v>0</v>
      </c>
      <c r="Z15" s="64">
        <f>IFERROR(IF(INDEX(Tb_Activiteiten[#All],MATCH(SubsidieTabel!$A15,Tb_Activiteiten[[#All],[Subsidiabele_Activiteit]],0),MATCH(SubsidieTabel!S$1,Tb_Activiteiten[#Headers],0))=1,I15,0),0)</f>
        <v>0</v>
      </c>
      <c r="AA15" s="64">
        <f>IFERROR(IF(INDEX(Tb_Activiteiten[#All],MATCH(SubsidieTabel!$A15,Tb_Activiteiten[[#All],[Subsidiabele_Activiteit]],0),MATCH(SubsidieTabel!O$1,Tb_Activiteiten[#Headers],0))=1,$F15,0),0)</f>
        <v>0</v>
      </c>
      <c r="AB15" s="64">
        <f>IFERROR(IF(INDEX(Tb_Activiteiten[#All],MATCH(SubsidieTabel!$A15,Tb_Activiteiten[[#All],[Subsidiabele_Activiteit]],0),MATCH(SubsidieTabel!O$1,Tb_Activiteiten[#Headers],0))=1,$G15,0),0)</f>
        <v>0</v>
      </c>
      <c r="AD15" s="12" t="str">
        <f t="shared" ref="AD15:AD25" si="4">$AD2</f>
        <v>Arbeidskosten</v>
      </c>
      <c r="AE15" s="64">
        <f>IF(Tb_ProjectKosten[[#This Row],[Forfait]]=1,SUMIF('5. Kosten uitvoering project'!$F$6:$F$250,Tb_ProjectKosten[[#This Row],[KostenOmschrijving]],'5. Kosten uitvoering project'!$P$6:$P$250),0)</f>
        <v>0</v>
      </c>
      <c r="AF15" s="64">
        <f>IF(Tb_ProjectKosten[[#This Row],[Forfait]]=1,SUMIF('5. Kosten uitvoering project'!$F$6:$F$250,Tb_ProjectKosten[[#This Row],[KostenOmschrijving]],'5. Kosten uitvoering project'!$Q$6:$Q$250),0)</f>
        <v>0</v>
      </c>
      <c r="AG15" t="str">
        <f>Tb_ProjectKosten[[#This Row],[KostenOmschrijving]]</f>
        <v>Arbeidskosten</v>
      </c>
      <c r="AH15" cm="1">
        <f t="array" ref="AH15">INDEX(Tb_KostenOpties[],MATCH(Tb_ProjectKosten[[#This Row],[KostenOmschrijving]],Tb_KostenOpties[KostenOptie],0),IFERROR(MATCH(Methode_Keuze,Tb_KostenOpties[#Headers],0),2))</f>
        <v>1</v>
      </c>
      <c r="AI15" s="65">
        <v>0.4</v>
      </c>
      <c r="AJ15" s="64">
        <f>SUMIF('5. Kosten uitvoering project'!$F:$F,Tb_ProjectKosten[[#This Row],[Begroting]],'5. Kosten uitvoering project'!R:R)</f>
        <v>0</v>
      </c>
      <c r="AK15" s="64">
        <f>SUMIF('5. Kosten uitvoering project'!$F:$F,Tb_ProjectKosten[[#This Row],[Begroting]],'5. Kosten uitvoering project'!S:S)</f>
        <v>0</v>
      </c>
      <c r="AL15" s="64">
        <f>Tb_ProjectKosten[[#This Row],[Kosten_Aanvraag]]+Tb_ProjectKosten[[#This Row],[Forfait_Bedrag]]</f>
        <v>0</v>
      </c>
      <c r="AM15" s="64">
        <f>Tb_ProjectKosten[[#This Row],[Kosten_Beoordeeld]]+Tb_ProjectKosten[[#This Row],[Forfait_Bedrag_Beoordeeld]]</f>
        <v>0</v>
      </c>
      <c r="AN15" t="str">
        <f>IF(Tb_ProjectKosten[[#This Row],[Forfait]]=0,"Dit kostentype hoeft u niet op te geven. Hiervoor wordt een forfait berekend.","")</f>
        <v/>
      </c>
    </row>
    <row r="16" spans="1:40" x14ac:dyDescent="0.25">
      <c r="A16" s="63"/>
      <c r="B16" s="63"/>
      <c r="C16" s="63" t="str">
        <f>IFERROR(VLOOKUP($B16,Tb_ProjectKosten[],4,0),"")</f>
        <v/>
      </c>
      <c r="D16" s="63" t="str" cm="1">
        <f t="array" ref="D16">IFERROR(INDEX(Tb_KostenOpties[],MATCH(B16,Tb_KostenOpties[KostenOptie],0),IFERROR(MATCH(Methode_Keuze,Tb_KostenOpties[#Headers],0),2)),"")</f>
        <v/>
      </c>
      <c r="E16" s="286">
        <f>IFERROR(VLOOKUP(B16,Tb_ProjectKosten[[#All],[KostenOmschrijving]:[Forfait_Percentage]],6,0),0)</f>
        <v>0</v>
      </c>
      <c r="F16" s="287">
        <f>SUMIFS('5. Kosten uitvoering project'!P:P,'5. Kosten uitvoering project'!E:E,SubsidieTabel!A16,'5. Kosten uitvoering project'!F:F,SubsidieTabel!B16)</f>
        <v>0</v>
      </c>
      <c r="G16" s="287">
        <f>SUMIFS('5. Kosten uitvoering project'!Q:Q,'5. Kosten uitvoering project'!E:E,SubsidieTabel!A16,'5. Kosten uitvoering project'!F:F,SubsidieTabel!B16)</f>
        <v>0</v>
      </c>
      <c r="H16" s="287">
        <f>SUMIFS('5. Kosten uitvoering project'!R:R,'5. Kosten uitvoering project'!E:E,SubsidieTabel!A16,'5. Kosten uitvoering project'!F:F,SubsidieTabel!B16)</f>
        <v>0</v>
      </c>
      <c r="I16" s="287">
        <f>SUMIFS('5. Kosten uitvoering project'!S:S,'5. Kosten uitvoering project'!E:E,SubsidieTabel!A16,'5. Kosten uitvoering project'!F:F,SubsidieTabel!B16)</f>
        <v>0</v>
      </c>
      <c r="J16" s="287">
        <f t="shared" si="0"/>
        <v>0</v>
      </c>
      <c r="K16" s="287">
        <f t="shared" si="1"/>
        <v>0</v>
      </c>
      <c r="L16" s="286" t="str">
        <f>IFERROR(VLOOKUP(A16,Lijsten!$AK:$AL,2,0),"")</f>
        <v/>
      </c>
      <c r="M16" s="287">
        <f t="shared" si="2"/>
        <v>0</v>
      </c>
      <c r="N16" s="287">
        <f t="shared" si="3"/>
        <v>0</v>
      </c>
      <c r="O16" s="287">
        <f>IFERROR(IF(INDEX(Tb_Activiteiten[#All],MATCH(SubsidieTabel!$A16,Tb_Activiteiten[[#All],[Subsidiabele_Activiteit]],0),MATCH(SubsidieTabel!O$1,Tb_Activiteiten[#Headers],0))=1,SubsidieTabel!$J16,0),0)</f>
        <v>0</v>
      </c>
      <c r="P16" s="287">
        <f>IFERROR(IF(INDEX(Tb_Activiteiten[#All],MATCH(SubsidieTabel!$A16,Tb_Activiteiten[[#All],[Subsidiabele_Activiteit]],0),MATCH(SubsidieTabel!P$1,Tb_Activiteiten[#Headers],0))=1,SubsidieTabel!$K16,0),0)</f>
        <v>0</v>
      </c>
      <c r="Q16" s="287">
        <f>IFERROR(IF(INDEX(Tb_Activiteiten[#All],MATCH(SubsidieTabel!$A16,Tb_Activiteiten[[#All],[Subsidiabele_Activiteit]],0),MATCH(SubsidieTabel!Q$1,Tb_Activiteiten[#Headers],0))=1,SubsidieTabel!$J16,0),0)</f>
        <v>0</v>
      </c>
      <c r="R16" s="287">
        <f>IFERROR(IF(INDEX(Tb_Activiteiten[#All],MATCH(SubsidieTabel!$A16,Tb_Activiteiten[[#All],[Subsidiabele_Activiteit]],0),MATCH(SubsidieTabel!R$1,Tb_Activiteiten[#Headers],0))=1,SubsidieTabel!$K16,0),0)</f>
        <v>0</v>
      </c>
      <c r="S16" s="287">
        <f>IFERROR(IF(INDEX(Tb_Activiteiten[#All],MATCH(SubsidieTabel!$A16,Tb_Activiteiten[[#All],[Subsidiabele_Activiteit]],0),MATCH(SubsidieTabel!S$1,Tb_Activiteiten[#Headers],0))=1,SubsidieTabel!$J16,0),0)</f>
        <v>0</v>
      </c>
      <c r="T16" s="287">
        <f>IFERROR(IF(INDEX(Tb_Activiteiten[#All],MATCH(SubsidieTabel!$A16,Tb_Activiteiten[[#All],[Subsidiabele_Activiteit]],0),MATCH(SubsidieTabel!T$1,Tb_Activiteiten[#Headers],0))=1,SubsidieTabel!$K16,0),0)</f>
        <v>0</v>
      </c>
      <c r="U16" s="287">
        <f>IFERROR(IF(INDEX(Tb_Activiteiten[#All],MATCH(SubsidieTabel!$A16,Tb_Activiteiten[[#All],[Subsidiabele_Activiteit]],0),MATCH(SubsidieTabel!U$1,Tb_Activiteiten[#Headers],0))=1,SubsidieTabel!$J16,0),0)</f>
        <v>0</v>
      </c>
      <c r="V16" s="287">
        <f>IFERROR(IF(INDEX(Tb_Activiteiten[#All],MATCH(SubsidieTabel!$A16,Tb_Activiteiten[[#All],[Subsidiabele_Activiteit]],0),MATCH(SubsidieTabel!V$1,Tb_Activiteiten[#Headers],0))=1,SubsidieTabel!$K16,0),0)</f>
        <v>0</v>
      </c>
      <c r="W16" s="374">
        <f>IFERROR(IF(INDEX(Tb_Activiteiten[#All],MATCH(SubsidieTabel!$A16,Tb_Activiteiten[[#All],[Subsidiabele_Activiteit]],0),MATCH(SubsidieTabel!Q$1,Tb_Activiteiten[#Headers],0))=1,H16,0),0)</f>
        <v>0</v>
      </c>
      <c r="X16" s="374">
        <f>IFERROR(IF(INDEX(Tb_Activiteiten[#All],MATCH(SubsidieTabel!$A16,Tb_Activiteiten[[#All],[Subsidiabele_Activiteit]],0),MATCH(SubsidieTabel!Q$1,Tb_Activiteiten[#Headers],0))=1,I16,0),0)</f>
        <v>0</v>
      </c>
      <c r="Y16" s="374">
        <f>IFERROR(IF(INDEX(Tb_Activiteiten[#All],MATCH(SubsidieTabel!$A16,Tb_Activiteiten[[#All],[Subsidiabele_Activiteit]],0),MATCH(SubsidieTabel!S$1,Tb_Activiteiten[#Headers],0))=1,H16,0),0)</f>
        <v>0</v>
      </c>
      <c r="Z16" s="374">
        <f>IFERROR(IF(INDEX(Tb_Activiteiten[#All],MATCH(SubsidieTabel!$A16,Tb_Activiteiten[[#All],[Subsidiabele_Activiteit]],0),MATCH(SubsidieTabel!S$1,Tb_Activiteiten[#Headers],0))=1,I16,0),0)</f>
        <v>0</v>
      </c>
      <c r="AA16" s="374">
        <f>IFERROR(IF(INDEX(Tb_Activiteiten[#All],MATCH(SubsidieTabel!$A16,Tb_Activiteiten[[#All],[Subsidiabele_Activiteit]],0),MATCH(SubsidieTabel!O$1,Tb_Activiteiten[#Headers],0))=1,$F16,0),0)</f>
        <v>0</v>
      </c>
      <c r="AB16" s="374">
        <f>IFERROR(IF(INDEX(Tb_Activiteiten[#All],MATCH(SubsidieTabel!$A16,Tb_Activiteiten[[#All],[Subsidiabele_Activiteit]],0),MATCH(SubsidieTabel!O$1,Tb_Activiteiten[#Headers],0))=1,$G16,0),0)</f>
        <v>0</v>
      </c>
      <c r="AD16" s="12" t="str">
        <f t="shared" si="4"/>
        <v>Arbeidskosten op basis van IKS</v>
      </c>
      <c r="AE16" s="64">
        <f>IF(Tb_ProjectKosten[[#This Row],[Forfait]]=1,SUMIF('5. Kosten uitvoering project'!$F$6:$F$250,Tb_ProjectKosten[[#This Row],[KostenOmschrijving]],'5. Kosten uitvoering project'!$P$6:$P$250),0)</f>
        <v>0</v>
      </c>
      <c r="AF16" s="64">
        <f>IF(Tb_ProjectKosten[[#This Row],[Forfait]]=1,SUMIF('5. Kosten uitvoering project'!$F$6:$F$250,Tb_ProjectKosten[[#This Row],[KostenOmschrijving]],'5. Kosten uitvoering project'!$Q$6:$Q$250),0)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5">
        <v>0</v>
      </c>
      <c r="AJ16" s="64">
        <f>SUMIF('5. Kosten uitvoering project'!$F:$F,Tb_ProjectKosten[[#This Row],[Begroting]],'5. Kosten uitvoering project'!R:R)</f>
        <v>0</v>
      </c>
      <c r="AK16" s="64">
        <f>SUMIF('5. Kosten uitvoering project'!$F:$F,Tb_ProjectKosten[[#This Row],[Begroting]],'5. Kosten uitvoering project'!S:S)</f>
        <v>0</v>
      </c>
      <c r="AL16" s="64">
        <f>Tb_ProjectKosten[[#This Row],[Kosten_Aanvraag]]+Tb_ProjectKosten[[#This Row],[Forfait_Bedrag]]</f>
        <v>0</v>
      </c>
      <c r="AM16" s="64">
        <f>Tb_ProjectKosten[[#This Row],[Kosten_Beoordeeld]]+Tb_ProjectKosten[[#This Row],[Forfait_Bedrag_Beoordeeld]]</f>
        <v>0</v>
      </c>
      <c r="AN16" t="str">
        <f>IF(Tb_ProjectKosten[[#This Row],[Forfait]]=0,"Dit kostentype hoeft u niet op te geven. Hiervoor wordt een forfait berekend.","")</f>
        <v/>
      </c>
    </row>
    <row r="17" spans="1:40" x14ac:dyDescent="0.25">
      <c r="A17" s="12"/>
      <c r="B17" s="12"/>
      <c r="C17" s="12" t="str">
        <f>IFERROR(VLOOKUP($B17,Tb_ProjectKosten[],4,0),"")</f>
        <v/>
      </c>
      <c r="D17" s="12" t="str" cm="1">
        <f t="array" ref="D17">IFERROR(INDEX(Tb_KostenOpties[],MATCH(B17,Tb_KostenOpties[KostenOptie],0),IFERROR(MATCH(Methode_Keuze,Tb_KostenOpties[#Headers],0),2)),"")</f>
        <v/>
      </c>
      <c r="E17" s="284">
        <f>IFERROR(VLOOKUP(B17,Tb_ProjectKosten[[#All],[KostenOmschrijving]:[Forfait_Percentage]],6,0),0)</f>
        <v>0</v>
      </c>
      <c r="F17" s="285">
        <f>SUMIFS('5. Kosten uitvoering project'!P:P,'5. Kosten uitvoering project'!E:E,SubsidieTabel!A17,'5. Kosten uitvoering project'!F:F,SubsidieTabel!B17)</f>
        <v>0</v>
      </c>
      <c r="G17" s="285">
        <f>SUMIFS('5. Kosten uitvoering project'!Q:Q,'5. Kosten uitvoering project'!E:E,SubsidieTabel!A17,'5. Kosten uitvoering project'!F:F,SubsidieTabel!B17)</f>
        <v>0</v>
      </c>
      <c r="H17" s="285">
        <f>SUMIFS('5. Kosten uitvoering project'!R:R,'5. Kosten uitvoering project'!E:E,SubsidieTabel!A17,'5. Kosten uitvoering project'!F:F,SubsidieTabel!B17)</f>
        <v>0</v>
      </c>
      <c r="I17" s="285">
        <f>SUMIFS('5. Kosten uitvoering project'!S:S,'5. Kosten uitvoering project'!E:E,SubsidieTabel!A17,'5. Kosten uitvoering project'!F:F,SubsidieTabel!B17)</f>
        <v>0</v>
      </c>
      <c r="J17" s="285">
        <f t="shared" si="0"/>
        <v>0</v>
      </c>
      <c r="K17" s="285">
        <f t="shared" si="1"/>
        <v>0</v>
      </c>
      <c r="L17" s="284" t="str">
        <f>IFERROR(VLOOKUP(A17,Lijsten!$AK:$AL,2,0),"")</f>
        <v/>
      </c>
      <c r="M17" s="285">
        <f t="shared" si="2"/>
        <v>0</v>
      </c>
      <c r="N17" s="285">
        <f t="shared" si="3"/>
        <v>0</v>
      </c>
      <c r="O17" s="285">
        <f>IFERROR(IF(INDEX(Tb_Activiteiten[#All],MATCH(SubsidieTabel!$A17,Tb_Activiteiten[[#All],[Subsidiabele_Activiteit]],0),MATCH(SubsidieTabel!O$1,Tb_Activiteiten[#Headers],0))=1,SubsidieTabel!$J17,0),0)</f>
        <v>0</v>
      </c>
      <c r="P17" s="285">
        <f>IFERROR(IF(INDEX(Tb_Activiteiten[#All],MATCH(SubsidieTabel!$A17,Tb_Activiteiten[[#All],[Subsidiabele_Activiteit]],0),MATCH(SubsidieTabel!P$1,Tb_Activiteiten[#Headers],0))=1,SubsidieTabel!$K17,0),0)</f>
        <v>0</v>
      </c>
      <c r="Q17" s="285">
        <f>IFERROR(IF(INDEX(Tb_Activiteiten[#All],MATCH(SubsidieTabel!$A17,Tb_Activiteiten[[#All],[Subsidiabele_Activiteit]],0),MATCH(SubsidieTabel!Q$1,Tb_Activiteiten[#Headers],0))=1,SubsidieTabel!$J17,0),0)</f>
        <v>0</v>
      </c>
      <c r="R17" s="285">
        <f>IFERROR(IF(INDEX(Tb_Activiteiten[#All],MATCH(SubsidieTabel!$A17,Tb_Activiteiten[[#All],[Subsidiabele_Activiteit]],0),MATCH(SubsidieTabel!R$1,Tb_Activiteiten[#Headers],0))=1,SubsidieTabel!$K17,0),0)</f>
        <v>0</v>
      </c>
      <c r="S17" s="285">
        <f>IFERROR(IF(INDEX(Tb_Activiteiten[#All],MATCH(SubsidieTabel!$A17,Tb_Activiteiten[[#All],[Subsidiabele_Activiteit]],0),MATCH(SubsidieTabel!S$1,Tb_Activiteiten[#Headers],0))=1,SubsidieTabel!$J17,0),0)</f>
        <v>0</v>
      </c>
      <c r="T17" s="285">
        <f>IFERROR(IF(INDEX(Tb_Activiteiten[#All],MATCH(SubsidieTabel!$A17,Tb_Activiteiten[[#All],[Subsidiabele_Activiteit]],0),MATCH(SubsidieTabel!T$1,Tb_Activiteiten[#Headers],0))=1,SubsidieTabel!$K17,0),0)</f>
        <v>0</v>
      </c>
      <c r="U17" s="285">
        <f>IFERROR(IF(INDEX(Tb_Activiteiten[#All],MATCH(SubsidieTabel!$A17,Tb_Activiteiten[[#All],[Subsidiabele_Activiteit]],0),MATCH(SubsidieTabel!U$1,Tb_Activiteiten[#Headers],0))=1,SubsidieTabel!$J17,0),0)</f>
        <v>0</v>
      </c>
      <c r="V17" s="285">
        <f>IFERROR(IF(INDEX(Tb_Activiteiten[#All],MATCH(SubsidieTabel!$A17,Tb_Activiteiten[[#All],[Subsidiabele_Activiteit]],0),MATCH(SubsidieTabel!V$1,Tb_Activiteiten[#Headers],0))=1,SubsidieTabel!$K17,0),0)</f>
        <v>0</v>
      </c>
      <c r="W17" s="64">
        <f>IFERROR(IF(INDEX(Tb_Activiteiten[#All],MATCH(SubsidieTabel!$A17,Tb_Activiteiten[[#All],[Subsidiabele_Activiteit]],0),MATCH(SubsidieTabel!Q$1,Tb_Activiteiten[#Headers],0))=1,H17,0),0)</f>
        <v>0</v>
      </c>
      <c r="X17" s="64">
        <f>IFERROR(IF(INDEX(Tb_Activiteiten[#All],MATCH(SubsidieTabel!$A17,Tb_Activiteiten[[#All],[Subsidiabele_Activiteit]],0),MATCH(SubsidieTabel!Q$1,Tb_Activiteiten[#Headers],0))=1,I17,0),0)</f>
        <v>0</v>
      </c>
      <c r="Y17" s="64">
        <f>IFERROR(IF(INDEX(Tb_Activiteiten[#All],MATCH(SubsidieTabel!$A17,Tb_Activiteiten[[#All],[Subsidiabele_Activiteit]],0),MATCH(SubsidieTabel!S$1,Tb_Activiteiten[#Headers],0))=1,H17,0),0)</f>
        <v>0</v>
      </c>
      <c r="Z17" s="64">
        <f>IFERROR(IF(INDEX(Tb_Activiteiten[#All],MATCH(SubsidieTabel!$A17,Tb_Activiteiten[[#All],[Subsidiabele_Activiteit]],0),MATCH(SubsidieTabel!S$1,Tb_Activiteiten[#Headers],0))=1,I17,0),0)</f>
        <v>0</v>
      </c>
      <c r="AA17" s="64">
        <f>IFERROR(IF(INDEX(Tb_Activiteiten[#All],MATCH(SubsidieTabel!$A17,Tb_Activiteiten[[#All],[Subsidiabele_Activiteit]],0),MATCH(SubsidieTabel!O$1,Tb_Activiteiten[#Headers],0))=1,$F17,0),0)</f>
        <v>0</v>
      </c>
      <c r="AB17" s="64">
        <f>IFERROR(IF(INDEX(Tb_Activiteiten[#All],MATCH(SubsidieTabel!$A17,Tb_Activiteiten[[#All],[Subsidiabele_Activiteit]],0),MATCH(SubsidieTabel!O$1,Tb_Activiteiten[#Headers],0))=1,$G17,0),0)</f>
        <v>0</v>
      </c>
      <c r="AD17" s="12" t="str">
        <f t="shared" si="4"/>
        <v>Kosten derden exclusief btw</v>
      </c>
      <c r="AE17" s="64">
        <f>IF(Tb_ProjectKosten[[#This Row],[Forfait]]=1,SUMIF('5. Kosten uitvoering project'!$F$6:$F$250,Tb_ProjectKosten[[#This Row],[KostenOmschrijving]],'5. Kosten uitvoering project'!$P$6:$P$250),0)</f>
        <v>0</v>
      </c>
      <c r="AF17" s="64">
        <f>IF(Tb_ProjectKosten[[#This Row],[Forfait]]=1,SUMIF('5. Kosten uitvoering project'!$F$6:$F$250,Tb_ProjectKosten[[#This Row],[KostenOmschrijving]],'5. Kosten uitvoering project'!$Q$6:$Q$250),0)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5">
        <v>0.23</v>
      </c>
      <c r="AJ17" s="64">
        <f>SUMIF('5. Kosten uitvoering project'!$F:$F,Tb_ProjectKosten[[#This Row],[Begroting]],'5. Kosten uitvoering project'!R:R)</f>
        <v>0</v>
      </c>
      <c r="AK17" s="64">
        <f>SUMIF('5. Kosten uitvoering project'!$F:$F,Tb_ProjectKosten[[#This Row],[Begroting]],'5. Kosten uitvoering project'!S:S)</f>
        <v>0</v>
      </c>
      <c r="AL17" s="64">
        <f>Tb_ProjectKosten[[#This Row],[Kosten_Aanvraag]]+Tb_ProjectKosten[[#This Row],[Forfait_Bedrag]]</f>
        <v>0</v>
      </c>
      <c r="AM17" s="64">
        <f>Tb_ProjectKosten[[#This Row],[Kosten_Beoordeeld]]+Tb_ProjectKosten[[#This Row],[Forfait_Bedrag_Beoordeeld]]</f>
        <v>0</v>
      </c>
      <c r="AN17" t="str">
        <f>IF(Tb_ProjectKosten[[#This Row],[Forfait]]=0,"Dit kostentype hoeft u niet op te geven. Hiervoor wordt een forfait berekend.","")</f>
        <v/>
      </c>
    </row>
    <row r="18" spans="1:40" x14ac:dyDescent="0.25">
      <c r="A18" s="63"/>
      <c r="B18" s="63"/>
      <c r="C18" s="63" t="str">
        <f>IFERROR(VLOOKUP($B18,Tb_ProjectKosten[],4,0),"")</f>
        <v/>
      </c>
      <c r="D18" s="63" t="str" cm="1">
        <f t="array" ref="D18">IFERROR(INDEX(Tb_KostenOpties[],MATCH(B18,Tb_KostenOpties[KostenOptie],0),IFERROR(MATCH(Methode_Keuze,Tb_KostenOpties[#Headers],0),2)),"")</f>
        <v/>
      </c>
      <c r="E18" s="286">
        <f>IFERROR(VLOOKUP(B18,Tb_ProjectKosten[[#All],[KostenOmschrijving]:[Forfait_Percentage]],6,0),0)</f>
        <v>0</v>
      </c>
      <c r="F18" s="287">
        <f>SUMIFS('5. Kosten uitvoering project'!P:P,'5. Kosten uitvoering project'!E:E,SubsidieTabel!A18,'5. Kosten uitvoering project'!F:F,SubsidieTabel!B18)</f>
        <v>0</v>
      </c>
      <c r="G18" s="287">
        <f>SUMIFS('5. Kosten uitvoering project'!Q:Q,'5. Kosten uitvoering project'!E:E,SubsidieTabel!A18,'5. Kosten uitvoering project'!F:F,SubsidieTabel!B18)</f>
        <v>0</v>
      </c>
      <c r="H18" s="287">
        <f>SUMIFS('5. Kosten uitvoering project'!R:R,'5. Kosten uitvoering project'!E:E,SubsidieTabel!A18,'5. Kosten uitvoering project'!F:F,SubsidieTabel!B18)</f>
        <v>0</v>
      </c>
      <c r="I18" s="287">
        <f>SUMIFS('5. Kosten uitvoering project'!S:S,'5. Kosten uitvoering project'!E:E,SubsidieTabel!A18,'5. Kosten uitvoering project'!F:F,SubsidieTabel!B18)</f>
        <v>0</v>
      </c>
      <c r="J18" s="287">
        <f t="shared" si="0"/>
        <v>0</v>
      </c>
      <c r="K18" s="287">
        <f t="shared" si="1"/>
        <v>0</v>
      </c>
      <c r="L18" s="286" t="str">
        <f>IFERROR(VLOOKUP(A18,Lijsten!$AK:$AL,2,0),"")</f>
        <v/>
      </c>
      <c r="M18" s="287">
        <f t="shared" si="2"/>
        <v>0</v>
      </c>
      <c r="N18" s="287">
        <f t="shared" si="3"/>
        <v>0</v>
      </c>
      <c r="O18" s="287">
        <f>IFERROR(IF(INDEX(Tb_Activiteiten[#All],MATCH(SubsidieTabel!$A18,Tb_Activiteiten[[#All],[Subsidiabele_Activiteit]],0),MATCH(SubsidieTabel!O$1,Tb_Activiteiten[#Headers],0))=1,SubsidieTabel!$J18,0),0)</f>
        <v>0</v>
      </c>
      <c r="P18" s="287">
        <f>IFERROR(IF(INDEX(Tb_Activiteiten[#All],MATCH(SubsidieTabel!$A18,Tb_Activiteiten[[#All],[Subsidiabele_Activiteit]],0),MATCH(SubsidieTabel!P$1,Tb_Activiteiten[#Headers],0))=1,SubsidieTabel!$K18,0),0)</f>
        <v>0</v>
      </c>
      <c r="Q18" s="287">
        <f>IFERROR(IF(INDEX(Tb_Activiteiten[#All],MATCH(SubsidieTabel!$A18,Tb_Activiteiten[[#All],[Subsidiabele_Activiteit]],0),MATCH(SubsidieTabel!Q$1,Tb_Activiteiten[#Headers],0))=1,SubsidieTabel!$J18,0),0)</f>
        <v>0</v>
      </c>
      <c r="R18" s="287">
        <f>IFERROR(IF(INDEX(Tb_Activiteiten[#All],MATCH(SubsidieTabel!$A18,Tb_Activiteiten[[#All],[Subsidiabele_Activiteit]],0),MATCH(SubsidieTabel!R$1,Tb_Activiteiten[#Headers],0))=1,SubsidieTabel!$K18,0),0)</f>
        <v>0</v>
      </c>
      <c r="S18" s="287">
        <f>IFERROR(IF(INDEX(Tb_Activiteiten[#All],MATCH(SubsidieTabel!$A18,Tb_Activiteiten[[#All],[Subsidiabele_Activiteit]],0),MATCH(SubsidieTabel!S$1,Tb_Activiteiten[#Headers],0))=1,SubsidieTabel!$J18,0),0)</f>
        <v>0</v>
      </c>
      <c r="T18" s="287">
        <f>IFERROR(IF(INDEX(Tb_Activiteiten[#All],MATCH(SubsidieTabel!$A18,Tb_Activiteiten[[#All],[Subsidiabele_Activiteit]],0),MATCH(SubsidieTabel!T$1,Tb_Activiteiten[#Headers],0))=1,SubsidieTabel!$K18,0),0)</f>
        <v>0</v>
      </c>
      <c r="U18" s="287">
        <f>IFERROR(IF(INDEX(Tb_Activiteiten[#All],MATCH(SubsidieTabel!$A18,Tb_Activiteiten[[#All],[Subsidiabele_Activiteit]],0),MATCH(SubsidieTabel!U$1,Tb_Activiteiten[#Headers],0))=1,SubsidieTabel!$J18,0),0)</f>
        <v>0</v>
      </c>
      <c r="V18" s="287">
        <f>IFERROR(IF(INDEX(Tb_Activiteiten[#All],MATCH(SubsidieTabel!$A18,Tb_Activiteiten[[#All],[Subsidiabele_Activiteit]],0),MATCH(SubsidieTabel!V$1,Tb_Activiteiten[#Headers],0))=1,SubsidieTabel!$K18,0),0)</f>
        <v>0</v>
      </c>
      <c r="W18" s="374">
        <f>IFERROR(IF(INDEX(Tb_Activiteiten[#All],MATCH(SubsidieTabel!$A18,Tb_Activiteiten[[#All],[Subsidiabele_Activiteit]],0),MATCH(SubsidieTabel!Q$1,Tb_Activiteiten[#Headers],0))=1,H18,0),0)</f>
        <v>0</v>
      </c>
      <c r="X18" s="374">
        <f>IFERROR(IF(INDEX(Tb_Activiteiten[#All],MATCH(SubsidieTabel!$A18,Tb_Activiteiten[[#All],[Subsidiabele_Activiteit]],0),MATCH(SubsidieTabel!Q$1,Tb_Activiteiten[#Headers],0))=1,I18,0),0)</f>
        <v>0</v>
      </c>
      <c r="Y18" s="374">
        <f>IFERROR(IF(INDEX(Tb_Activiteiten[#All],MATCH(SubsidieTabel!$A18,Tb_Activiteiten[[#All],[Subsidiabele_Activiteit]],0),MATCH(SubsidieTabel!S$1,Tb_Activiteiten[#Headers],0))=1,H18,0),0)</f>
        <v>0</v>
      </c>
      <c r="Z18" s="374">
        <f>IFERROR(IF(INDEX(Tb_Activiteiten[#All],MATCH(SubsidieTabel!$A18,Tb_Activiteiten[[#All],[Subsidiabele_Activiteit]],0),MATCH(SubsidieTabel!S$1,Tb_Activiteiten[#Headers],0))=1,I18,0),0)</f>
        <v>0</v>
      </c>
      <c r="AA18" s="374">
        <f>IFERROR(IF(INDEX(Tb_Activiteiten[#All],MATCH(SubsidieTabel!$A18,Tb_Activiteiten[[#All],[Subsidiabele_Activiteit]],0),MATCH(SubsidieTabel!O$1,Tb_Activiteiten[#Headers],0))=1,$F18,0),0)</f>
        <v>0</v>
      </c>
      <c r="AB18" s="374">
        <f>IFERROR(IF(INDEX(Tb_Activiteiten[#All],MATCH(SubsidieTabel!$A18,Tb_Activiteiten[[#All],[Subsidiabele_Activiteit]],0),MATCH(SubsidieTabel!O$1,Tb_Activiteiten[#Headers],0))=1,$G18,0),0)</f>
        <v>0</v>
      </c>
      <c r="AD18" s="12" t="str">
        <f t="shared" si="4"/>
        <v>Niet verrekenbare btw</v>
      </c>
      <c r="AE18" s="64">
        <f>IF(Tb_ProjectKosten[[#This Row],[Forfait]]=1,SUMIF('5. Kosten uitvoering project'!$F$6:$F$250,Tb_ProjectKosten[[#This Row],[KostenOmschrijving]],'5. Kosten uitvoering project'!$P$6:$P$250),0)</f>
        <v>0</v>
      </c>
      <c r="AF18" s="64">
        <f>IF(Tb_ProjectKosten[[#This Row],[Forfait]]=1,SUMIF('5. Kosten uitvoering project'!$F$6:$F$250,Tb_ProjectKosten[[#This Row],[KostenOmschrijving]],'5. Kosten uitvoering project'!$Q$6:$Q$250),0)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5">
        <v>0.23</v>
      </c>
      <c r="AJ18" s="64">
        <f>SUMIF('5. Kosten uitvoering project'!$F:$F,Tb_ProjectKosten[[#This Row],[Begroting]],'5. Kosten uitvoering project'!R:R)</f>
        <v>0</v>
      </c>
      <c r="AK18" s="64">
        <f>SUMIF('5. Kosten uitvoering project'!$F:$F,Tb_ProjectKosten[[#This Row],[Begroting]],'5. Kosten uitvoering project'!S:S)</f>
        <v>0</v>
      </c>
      <c r="AL18" s="64">
        <f>Tb_ProjectKosten[[#This Row],[Kosten_Aanvraag]]+Tb_ProjectKosten[[#This Row],[Forfait_Bedrag]]</f>
        <v>0</v>
      </c>
      <c r="AM18" s="64">
        <f>Tb_ProjectKosten[[#This Row],[Kosten_Beoordeeld]]+Tb_ProjectKosten[[#This Row],[Forfait_Bedrag_Beoordeeld]]</f>
        <v>0</v>
      </c>
      <c r="AN18" t="str">
        <f>IF(Tb_ProjectKosten[[#This Row],[Forfait]]=0,"Dit kostentype hoeft u niet op te geven. Hiervoor wordt een forfait berekend.","")</f>
        <v/>
      </c>
    </row>
    <row r="19" spans="1:40" x14ac:dyDescent="0.25">
      <c r="A19" s="12"/>
      <c r="B19" s="12"/>
      <c r="C19" s="12" t="str">
        <f>IFERROR(VLOOKUP($B19,Tb_ProjectKosten[],4,0),"")</f>
        <v/>
      </c>
      <c r="D19" s="12" t="str" cm="1">
        <f t="array" ref="D19">IFERROR(INDEX(Tb_KostenOpties[],MATCH(B19,Tb_KostenOpties[KostenOptie],0),IFERROR(MATCH(Methode_Keuze,Tb_KostenOpties[#Headers],0),2)),"")</f>
        <v/>
      </c>
      <c r="E19" s="284">
        <f>IFERROR(VLOOKUP(B19,Tb_ProjectKosten[[#All],[KostenOmschrijving]:[Forfait_Percentage]],6,0),0)</f>
        <v>0</v>
      </c>
      <c r="F19" s="285">
        <f>SUMIFS('5. Kosten uitvoering project'!P:P,'5. Kosten uitvoering project'!E:E,SubsidieTabel!A19,'5. Kosten uitvoering project'!F:F,SubsidieTabel!B19)</f>
        <v>0</v>
      </c>
      <c r="G19" s="285">
        <f>SUMIFS('5. Kosten uitvoering project'!Q:Q,'5. Kosten uitvoering project'!E:E,SubsidieTabel!A19,'5. Kosten uitvoering project'!F:F,SubsidieTabel!B19)</f>
        <v>0</v>
      </c>
      <c r="H19" s="285">
        <f>SUMIFS('5. Kosten uitvoering project'!R:R,'5. Kosten uitvoering project'!E:E,SubsidieTabel!A19,'5. Kosten uitvoering project'!F:F,SubsidieTabel!B19)</f>
        <v>0</v>
      </c>
      <c r="I19" s="285">
        <f>SUMIFS('5. Kosten uitvoering project'!S:S,'5. Kosten uitvoering project'!E:E,SubsidieTabel!A19,'5. Kosten uitvoering project'!F:F,SubsidieTabel!B19)</f>
        <v>0</v>
      </c>
      <c r="J19" s="285">
        <f t="shared" si="0"/>
        <v>0</v>
      </c>
      <c r="K19" s="285">
        <f t="shared" si="1"/>
        <v>0</v>
      </c>
      <c r="L19" s="284" t="str">
        <f>IFERROR(VLOOKUP(A19,Lijsten!$AK:$AL,2,0),"")</f>
        <v/>
      </c>
      <c r="M19" s="285">
        <f t="shared" si="2"/>
        <v>0</v>
      </c>
      <c r="N19" s="285">
        <f t="shared" si="3"/>
        <v>0</v>
      </c>
      <c r="O19" s="285">
        <f>IFERROR(IF(INDEX(Tb_Activiteiten[#All],MATCH(SubsidieTabel!$A19,Tb_Activiteiten[[#All],[Subsidiabele_Activiteit]],0),MATCH(SubsidieTabel!O$1,Tb_Activiteiten[#Headers],0))=1,SubsidieTabel!$J19,0),0)</f>
        <v>0</v>
      </c>
      <c r="P19" s="285">
        <f>IFERROR(IF(INDEX(Tb_Activiteiten[#All],MATCH(SubsidieTabel!$A19,Tb_Activiteiten[[#All],[Subsidiabele_Activiteit]],0),MATCH(SubsidieTabel!P$1,Tb_Activiteiten[#Headers],0))=1,SubsidieTabel!$K19,0),0)</f>
        <v>0</v>
      </c>
      <c r="Q19" s="285">
        <f>IFERROR(IF(INDEX(Tb_Activiteiten[#All],MATCH(SubsidieTabel!$A19,Tb_Activiteiten[[#All],[Subsidiabele_Activiteit]],0),MATCH(SubsidieTabel!Q$1,Tb_Activiteiten[#Headers],0))=1,SubsidieTabel!$J19,0),0)</f>
        <v>0</v>
      </c>
      <c r="R19" s="285">
        <f>IFERROR(IF(INDEX(Tb_Activiteiten[#All],MATCH(SubsidieTabel!$A19,Tb_Activiteiten[[#All],[Subsidiabele_Activiteit]],0),MATCH(SubsidieTabel!R$1,Tb_Activiteiten[#Headers],0))=1,SubsidieTabel!$K19,0),0)</f>
        <v>0</v>
      </c>
      <c r="S19" s="285">
        <f>IFERROR(IF(INDEX(Tb_Activiteiten[#All],MATCH(SubsidieTabel!$A19,Tb_Activiteiten[[#All],[Subsidiabele_Activiteit]],0),MATCH(SubsidieTabel!S$1,Tb_Activiteiten[#Headers],0))=1,SubsidieTabel!$J19,0),0)</f>
        <v>0</v>
      </c>
      <c r="T19" s="285">
        <f>IFERROR(IF(INDEX(Tb_Activiteiten[#All],MATCH(SubsidieTabel!$A19,Tb_Activiteiten[[#All],[Subsidiabele_Activiteit]],0),MATCH(SubsidieTabel!T$1,Tb_Activiteiten[#Headers],0))=1,SubsidieTabel!$K19,0),0)</f>
        <v>0</v>
      </c>
      <c r="U19" s="285">
        <f>IFERROR(IF(INDEX(Tb_Activiteiten[#All],MATCH(SubsidieTabel!$A19,Tb_Activiteiten[[#All],[Subsidiabele_Activiteit]],0),MATCH(SubsidieTabel!U$1,Tb_Activiteiten[#Headers],0))=1,SubsidieTabel!$J19,0),0)</f>
        <v>0</v>
      </c>
      <c r="V19" s="285">
        <f>IFERROR(IF(INDEX(Tb_Activiteiten[#All],MATCH(SubsidieTabel!$A19,Tb_Activiteiten[[#All],[Subsidiabele_Activiteit]],0),MATCH(SubsidieTabel!V$1,Tb_Activiteiten[#Headers],0))=1,SubsidieTabel!$K19,0),0)</f>
        <v>0</v>
      </c>
      <c r="W19" s="64">
        <f>IFERROR(IF(INDEX(Tb_Activiteiten[#All],MATCH(SubsidieTabel!$A19,Tb_Activiteiten[[#All],[Subsidiabele_Activiteit]],0),MATCH(SubsidieTabel!Q$1,Tb_Activiteiten[#Headers],0))=1,H19,0),0)</f>
        <v>0</v>
      </c>
      <c r="X19" s="64">
        <f>IFERROR(IF(INDEX(Tb_Activiteiten[#All],MATCH(SubsidieTabel!$A19,Tb_Activiteiten[[#All],[Subsidiabele_Activiteit]],0),MATCH(SubsidieTabel!Q$1,Tb_Activiteiten[#Headers],0))=1,I19,0),0)</f>
        <v>0</v>
      </c>
      <c r="Y19" s="64">
        <f>IFERROR(IF(INDEX(Tb_Activiteiten[#All],MATCH(SubsidieTabel!$A19,Tb_Activiteiten[[#All],[Subsidiabele_Activiteit]],0),MATCH(SubsidieTabel!S$1,Tb_Activiteiten[#Headers],0))=1,H19,0),0)</f>
        <v>0</v>
      </c>
      <c r="Z19" s="64">
        <f>IFERROR(IF(INDEX(Tb_Activiteiten[#All],MATCH(SubsidieTabel!$A19,Tb_Activiteiten[[#All],[Subsidiabele_Activiteit]],0),MATCH(SubsidieTabel!S$1,Tb_Activiteiten[#Headers],0))=1,I19,0),0)</f>
        <v>0</v>
      </c>
      <c r="AA19" s="64">
        <f>IFERROR(IF(INDEX(Tb_Activiteiten[#All],MATCH(SubsidieTabel!$A19,Tb_Activiteiten[[#All],[Subsidiabele_Activiteit]],0),MATCH(SubsidieTabel!O$1,Tb_Activiteiten[#Headers],0))=1,$F19,0),0)</f>
        <v>0</v>
      </c>
      <c r="AB19" s="64">
        <f>IFERROR(IF(INDEX(Tb_Activiteiten[#All],MATCH(SubsidieTabel!$A19,Tb_Activiteiten[[#All],[Subsidiabele_Activiteit]],0),MATCH(SubsidieTabel!O$1,Tb_Activiteiten[#Headers],0))=1,$G19,0),0)</f>
        <v>0</v>
      </c>
      <c r="AD19" s="12" t="str">
        <f t="shared" si="4"/>
        <v>Grondkosten</v>
      </c>
      <c r="AE19" s="64">
        <f>IF(Tb_ProjectKosten[[#This Row],[Forfait]]=1,SUMIF('5. Kosten uitvoering project'!$F$6:$F$250,Tb_ProjectKosten[[#This Row],[KostenOmschrijving]],'5. Kosten uitvoering project'!$P$6:$P$250),0)</f>
        <v>0</v>
      </c>
      <c r="AF19" s="64">
        <f>IF(Tb_ProjectKosten[[#This Row],[Forfait]]=1,SUMIF('5. Kosten uitvoering project'!$F$6:$F$250,Tb_ProjectKosten[[#This Row],[KostenOmschrijving]],'5. Kosten uitvoering project'!$Q$6:$Q$250),0)</f>
        <v>0</v>
      </c>
      <c r="AG19" t="str">
        <f>Tb_ProjectKosten[[#This Row],[KostenOmschrijving]]</f>
        <v>Grondkosten</v>
      </c>
      <c r="AH19" cm="1">
        <f t="array" ref="AH19">INDEX(Tb_KostenOpties[],MATCH(Tb_ProjectKosten[[#This Row],[KostenOmschrijving]],Tb_KostenOpties[KostenOptie],0),IFERROR(MATCH(Methode_Keuze,Tb_KostenOpties[#Headers],0),2))</f>
        <v>1</v>
      </c>
      <c r="AI19" s="65">
        <v>0.23</v>
      </c>
      <c r="AJ19" s="64">
        <f>SUMIF('5. Kosten uitvoering project'!$F:$F,Tb_ProjectKosten[[#This Row],[Begroting]],'5. Kosten uitvoering project'!R:R)</f>
        <v>0</v>
      </c>
      <c r="AK19" s="64">
        <f>SUMIF('5. Kosten uitvoering project'!$F:$F,Tb_ProjectKosten[[#This Row],[Begroting]],'5. Kosten uitvoering project'!S:S)</f>
        <v>0</v>
      </c>
      <c r="AL19" s="64">
        <f>Tb_ProjectKosten[[#This Row],[Kosten_Aanvraag]]+Tb_ProjectKosten[[#This Row],[Forfait_Bedrag]]</f>
        <v>0</v>
      </c>
      <c r="AM19" s="64">
        <f>Tb_ProjectKosten[[#This Row],[Kosten_Beoordeeld]]+Tb_ProjectKosten[[#This Row],[Forfait_Bedrag_Beoordeeld]]</f>
        <v>0</v>
      </c>
      <c r="AN19" t="str">
        <f>IF(Tb_ProjectKosten[[#This Row],[Forfait]]=0,"Dit kostentype hoeft u niet op te geven. Hiervoor wordt een forfait berekend.","")</f>
        <v/>
      </c>
    </row>
    <row r="20" spans="1:40" x14ac:dyDescent="0.25">
      <c r="A20" s="63"/>
      <c r="B20" s="63"/>
      <c r="C20" s="63" t="str">
        <f>IFERROR(VLOOKUP($B20,Tb_ProjectKosten[],4,0),"")</f>
        <v/>
      </c>
      <c r="D20" s="63" t="str" cm="1">
        <f t="array" ref="D20">IFERROR(INDEX(Tb_KostenOpties[],MATCH(B20,Tb_KostenOpties[KostenOptie],0),IFERROR(MATCH(Methode_Keuze,Tb_KostenOpties[#Headers],0),2)),"")</f>
        <v/>
      </c>
      <c r="E20" s="286">
        <f>IFERROR(VLOOKUP(B20,Tb_ProjectKosten[[#All],[KostenOmschrijving]:[Forfait_Percentage]],6,0),0)</f>
        <v>0</v>
      </c>
      <c r="F20" s="287">
        <f>SUMIFS('5. Kosten uitvoering project'!P:P,'5. Kosten uitvoering project'!E:E,SubsidieTabel!A20,'5. Kosten uitvoering project'!F:F,SubsidieTabel!B20)</f>
        <v>0</v>
      </c>
      <c r="G20" s="287">
        <f>SUMIFS('5. Kosten uitvoering project'!Q:Q,'5. Kosten uitvoering project'!E:E,SubsidieTabel!A20,'5. Kosten uitvoering project'!F:F,SubsidieTabel!B20)</f>
        <v>0</v>
      </c>
      <c r="H20" s="287">
        <f>SUMIFS('5. Kosten uitvoering project'!R:R,'5. Kosten uitvoering project'!E:E,SubsidieTabel!A20,'5. Kosten uitvoering project'!F:F,SubsidieTabel!B20)</f>
        <v>0</v>
      </c>
      <c r="I20" s="287">
        <f>SUMIFS('5. Kosten uitvoering project'!S:S,'5. Kosten uitvoering project'!E:E,SubsidieTabel!A20,'5. Kosten uitvoering project'!F:F,SubsidieTabel!B20)</f>
        <v>0</v>
      </c>
      <c r="J20" s="287">
        <f t="shared" si="0"/>
        <v>0</v>
      </c>
      <c r="K20" s="287">
        <f t="shared" si="1"/>
        <v>0</v>
      </c>
      <c r="L20" s="286" t="str">
        <f>IFERROR(VLOOKUP(A20,Lijsten!$AK:$AL,2,0),"")</f>
        <v/>
      </c>
      <c r="M20" s="287">
        <f t="shared" si="2"/>
        <v>0</v>
      </c>
      <c r="N20" s="287">
        <f t="shared" si="3"/>
        <v>0</v>
      </c>
      <c r="O20" s="287">
        <f>IFERROR(IF(INDEX(Tb_Activiteiten[#All],MATCH(SubsidieTabel!$A20,Tb_Activiteiten[[#All],[Subsidiabele_Activiteit]],0),MATCH(SubsidieTabel!O$1,Tb_Activiteiten[#Headers],0))=1,SubsidieTabel!$J20,0),0)</f>
        <v>0</v>
      </c>
      <c r="P20" s="287">
        <f>IFERROR(IF(INDEX(Tb_Activiteiten[#All],MATCH(SubsidieTabel!$A20,Tb_Activiteiten[[#All],[Subsidiabele_Activiteit]],0),MATCH(SubsidieTabel!P$1,Tb_Activiteiten[#Headers],0))=1,SubsidieTabel!$K20,0),0)</f>
        <v>0</v>
      </c>
      <c r="Q20" s="287">
        <f>IFERROR(IF(INDEX(Tb_Activiteiten[#All],MATCH(SubsidieTabel!$A20,Tb_Activiteiten[[#All],[Subsidiabele_Activiteit]],0),MATCH(SubsidieTabel!Q$1,Tb_Activiteiten[#Headers],0))=1,SubsidieTabel!$J20,0),0)</f>
        <v>0</v>
      </c>
      <c r="R20" s="287">
        <f>IFERROR(IF(INDEX(Tb_Activiteiten[#All],MATCH(SubsidieTabel!$A20,Tb_Activiteiten[[#All],[Subsidiabele_Activiteit]],0),MATCH(SubsidieTabel!R$1,Tb_Activiteiten[#Headers],0))=1,SubsidieTabel!$K20,0),0)</f>
        <v>0</v>
      </c>
      <c r="S20" s="287">
        <f>IFERROR(IF(INDEX(Tb_Activiteiten[#All],MATCH(SubsidieTabel!$A20,Tb_Activiteiten[[#All],[Subsidiabele_Activiteit]],0),MATCH(SubsidieTabel!S$1,Tb_Activiteiten[#Headers],0))=1,SubsidieTabel!$J20,0),0)</f>
        <v>0</v>
      </c>
      <c r="T20" s="287">
        <f>IFERROR(IF(INDEX(Tb_Activiteiten[#All],MATCH(SubsidieTabel!$A20,Tb_Activiteiten[[#All],[Subsidiabele_Activiteit]],0),MATCH(SubsidieTabel!T$1,Tb_Activiteiten[#Headers],0))=1,SubsidieTabel!$K20,0),0)</f>
        <v>0</v>
      </c>
      <c r="U20" s="287">
        <f>IFERROR(IF(INDEX(Tb_Activiteiten[#All],MATCH(SubsidieTabel!$A20,Tb_Activiteiten[[#All],[Subsidiabele_Activiteit]],0),MATCH(SubsidieTabel!U$1,Tb_Activiteiten[#Headers],0))=1,SubsidieTabel!$J20,0),0)</f>
        <v>0</v>
      </c>
      <c r="V20" s="287">
        <f>IFERROR(IF(INDEX(Tb_Activiteiten[#All],MATCH(SubsidieTabel!$A20,Tb_Activiteiten[[#All],[Subsidiabele_Activiteit]],0),MATCH(SubsidieTabel!V$1,Tb_Activiteiten[#Headers],0))=1,SubsidieTabel!$K20,0),0)</f>
        <v>0</v>
      </c>
      <c r="W20" s="374">
        <f>IFERROR(IF(INDEX(Tb_Activiteiten[#All],MATCH(SubsidieTabel!$A20,Tb_Activiteiten[[#All],[Subsidiabele_Activiteit]],0),MATCH(SubsidieTabel!Q$1,Tb_Activiteiten[#Headers],0))=1,H20,0),0)</f>
        <v>0</v>
      </c>
      <c r="X20" s="374">
        <f>IFERROR(IF(INDEX(Tb_Activiteiten[#All],MATCH(SubsidieTabel!$A20,Tb_Activiteiten[[#All],[Subsidiabele_Activiteit]],0),MATCH(SubsidieTabel!Q$1,Tb_Activiteiten[#Headers],0))=1,I20,0),0)</f>
        <v>0</v>
      </c>
      <c r="Y20" s="374">
        <f>IFERROR(IF(INDEX(Tb_Activiteiten[#All],MATCH(SubsidieTabel!$A20,Tb_Activiteiten[[#All],[Subsidiabele_Activiteit]],0),MATCH(SubsidieTabel!S$1,Tb_Activiteiten[#Headers],0))=1,H20,0),0)</f>
        <v>0</v>
      </c>
      <c r="Z20" s="374">
        <f>IFERROR(IF(INDEX(Tb_Activiteiten[#All],MATCH(SubsidieTabel!$A20,Tb_Activiteiten[[#All],[Subsidiabele_Activiteit]],0),MATCH(SubsidieTabel!S$1,Tb_Activiteiten[#Headers],0))=1,I20,0),0)</f>
        <v>0</v>
      </c>
      <c r="AA20" s="374">
        <f>IFERROR(IF(INDEX(Tb_Activiteiten[#All],MATCH(SubsidieTabel!$A20,Tb_Activiteiten[[#All],[Subsidiabele_Activiteit]],0),MATCH(SubsidieTabel!O$1,Tb_Activiteiten[#Headers],0))=1,$F20,0),0)</f>
        <v>0</v>
      </c>
      <c r="AB20" s="374">
        <f>IFERROR(IF(INDEX(Tb_Activiteiten[#All],MATCH(SubsidieTabel!$A20,Tb_Activiteiten[[#All],[Subsidiabele_Activiteit]],0),MATCH(SubsidieTabel!O$1,Tb_Activiteiten[#Headers],0))=1,$G20,0),0)</f>
        <v>0</v>
      </c>
      <c r="AD20" s="12" t="str">
        <f t="shared" si="4"/>
        <v>Bijdrage in natura (overige)</v>
      </c>
      <c r="AE20" s="64">
        <f>IF(Tb_ProjectKosten[[#This Row],[Forfait]]=1,SUMIF('5. Kosten uitvoering project'!$F$6:$F$250,Tb_ProjectKosten[[#This Row],[KostenOmschrijving]],'5. Kosten uitvoering project'!$P$6:$P$250),0)</f>
        <v>0</v>
      </c>
      <c r="AF20" s="64">
        <f>IF(Tb_ProjectKosten[[#This Row],[Forfait]]=1,SUMIF('5. Kosten uitvoering project'!$F$6:$F$250,Tb_ProjectKosten[[#This Row],[KostenOmschrijving]],'5. Kosten uitvoering project'!$Q$6:$Q$250),0)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5">
        <v>0.23</v>
      </c>
      <c r="AJ20" s="64">
        <f>SUMIF('5. Kosten uitvoering project'!$F:$F,Tb_ProjectKosten[[#This Row],[Begroting]],'5. Kosten uitvoering project'!R:R)</f>
        <v>0</v>
      </c>
      <c r="AK20" s="64">
        <f>SUMIF('5. Kosten uitvoering project'!$F:$F,Tb_ProjectKosten[[#This Row],[Begroting]],'5. Kosten uitvoering project'!S:S)</f>
        <v>0</v>
      </c>
      <c r="AL20" s="64">
        <f>Tb_ProjectKosten[[#This Row],[Kosten_Aanvraag]]+Tb_ProjectKosten[[#This Row],[Forfait_Bedrag]]</f>
        <v>0</v>
      </c>
      <c r="AM20" s="64">
        <f>Tb_ProjectKosten[[#This Row],[Kosten_Beoordeeld]]+Tb_ProjectKosten[[#This Row],[Forfait_Bedrag_Beoordeeld]]</f>
        <v>0</v>
      </c>
      <c r="AN20" t="str">
        <f>IF(Tb_ProjectKosten[[#This Row],[Forfait]]=0,"Dit kostentype hoeft u niet op te geven. Hiervoor wordt een forfait berekend.","")</f>
        <v/>
      </c>
    </row>
    <row r="21" spans="1:40" x14ac:dyDescent="0.25">
      <c r="A21" s="12"/>
      <c r="B21" s="12"/>
      <c r="C21" s="12" t="str">
        <f>IFERROR(VLOOKUP($B21,Tb_ProjectKosten[],4,0),"")</f>
        <v/>
      </c>
      <c r="D21" s="12" t="str" cm="1">
        <f t="array" ref="D21">IFERROR(INDEX(Tb_KostenOpties[],MATCH(B21,Tb_KostenOpties[KostenOptie],0),IFERROR(MATCH(Methode_Keuze,Tb_KostenOpties[#Headers],0),2)),"")</f>
        <v/>
      </c>
      <c r="E21" s="284">
        <f>IFERROR(VLOOKUP(B21,Tb_ProjectKosten[[#All],[KostenOmschrijving]:[Forfait_Percentage]],6,0),0)</f>
        <v>0</v>
      </c>
      <c r="F21" s="285">
        <f>SUMIFS('5. Kosten uitvoering project'!P:P,'5. Kosten uitvoering project'!E:E,SubsidieTabel!A21,'5. Kosten uitvoering project'!F:F,SubsidieTabel!B21)</f>
        <v>0</v>
      </c>
      <c r="G21" s="285">
        <f>SUMIFS('5. Kosten uitvoering project'!Q:Q,'5. Kosten uitvoering project'!E:E,SubsidieTabel!A21,'5. Kosten uitvoering project'!F:F,SubsidieTabel!B21)</f>
        <v>0</v>
      </c>
      <c r="H21" s="285">
        <f>SUMIFS('5. Kosten uitvoering project'!R:R,'5. Kosten uitvoering project'!E:E,SubsidieTabel!A21,'5. Kosten uitvoering project'!F:F,SubsidieTabel!B21)</f>
        <v>0</v>
      </c>
      <c r="I21" s="285">
        <f>SUMIFS('5. Kosten uitvoering project'!S:S,'5. Kosten uitvoering project'!E:E,SubsidieTabel!A21,'5. Kosten uitvoering project'!F:F,SubsidieTabel!B21)</f>
        <v>0</v>
      </c>
      <c r="J21" s="285">
        <f t="shared" si="0"/>
        <v>0</v>
      </c>
      <c r="K21" s="285">
        <f t="shared" si="1"/>
        <v>0</v>
      </c>
      <c r="L21" s="284" t="str">
        <f>IFERROR(VLOOKUP(A21,Lijsten!$AK:$AL,2,0),"")</f>
        <v/>
      </c>
      <c r="M21" s="285">
        <f t="shared" si="2"/>
        <v>0</v>
      </c>
      <c r="N21" s="285">
        <f t="shared" si="3"/>
        <v>0</v>
      </c>
      <c r="O21" s="285">
        <f>IFERROR(IF(INDEX(Tb_Activiteiten[#All],MATCH(SubsidieTabel!$A21,Tb_Activiteiten[[#All],[Subsidiabele_Activiteit]],0),MATCH(SubsidieTabel!O$1,Tb_Activiteiten[#Headers],0))=1,SubsidieTabel!$J21,0),0)</f>
        <v>0</v>
      </c>
      <c r="P21" s="285">
        <f>IFERROR(IF(INDEX(Tb_Activiteiten[#All],MATCH(SubsidieTabel!$A21,Tb_Activiteiten[[#All],[Subsidiabele_Activiteit]],0),MATCH(SubsidieTabel!P$1,Tb_Activiteiten[#Headers],0))=1,SubsidieTabel!$K21,0),0)</f>
        <v>0</v>
      </c>
      <c r="Q21" s="285">
        <f>IFERROR(IF(INDEX(Tb_Activiteiten[#All],MATCH(SubsidieTabel!$A21,Tb_Activiteiten[[#All],[Subsidiabele_Activiteit]],0),MATCH(SubsidieTabel!Q$1,Tb_Activiteiten[#Headers],0))=1,SubsidieTabel!$J21,0),0)</f>
        <v>0</v>
      </c>
      <c r="R21" s="285">
        <f>IFERROR(IF(INDEX(Tb_Activiteiten[#All],MATCH(SubsidieTabel!$A21,Tb_Activiteiten[[#All],[Subsidiabele_Activiteit]],0),MATCH(SubsidieTabel!R$1,Tb_Activiteiten[#Headers],0))=1,SubsidieTabel!$K21,0),0)</f>
        <v>0</v>
      </c>
      <c r="S21" s="285">
        <f>IFERROR(IF(INDEX(Tb_Activiteiten[#All],MATCH(SubsidieTabel!$A21,Tb_Activiteiten[[#All],[Subsidiabele_Activiteit]],0),MATCH(SubsidieTabel!S$1,Tb_Activiteiten[#Headers],0))=1,SubsidieTabel!$J21,0),0)</f>
        <v>0</v>
      </c>
      <c r="T21" s="285">
        <f>IFERROR(IF(INDEX(Tb_Activiteiten[#All],MATCH(SubsidieTabel!$A21,Tb_Activiteiten[[#All],[Subsidiabele_Activiteit]],0),MATCH(SubsidieTabel!T$1,Tb_Activiteiten[#Headers],0))=1,SubsidieTabel!$K21,0),0)</f>
        <v>0</v>
      </c>
      <c r="U21" s="285">
        <f>IFERROR(IF(INDEX(Tb_Activiteiten[#All],MATCH(SubsidieTabel!$A21,Tb_Activiteiten[[#All],[Subsidiabele_Activiteit]],0),MATCH(SubsidieTabel!U$1,Tb_Activiteiten[#Headers],0))=1,SubsidieTabel!$J21,0),0)</f>
        <v>0</v>
      </c>
      <c r="V21" s="285">
        <f>IFERROR(IF(INDEX(Tb_Activiteiten[#All],MATCH(SubsidieTabel!$A21,Tb_Activiteiten[[#All],[Subsidiabele_Activiteit]],0),MATCH(SubsidieTabel!V$1,Tb_Activiteiten[#Headers],0))=1,SubsidieTabel!$K21,0),0)</f>
        <v>0</v>
      </c>
      <c r="W21" s="64">
        <f>IFERROR(IF(INDEX(Tb_Activiteiten[#All],MATCH(SubsidieTabel!$A21,Tb_Activiteiten[[#All],[Subsidiabele_Activiteit]],0),MATCH(SubsidieTabel!Q$1,Tb_Activiteiten[#Headers],0))=1,H21,0),0)</f>
        <v>0</v>
      </c>
      <c r="X21" s="64">
        <f>IFERROR(IF(INDEX(Tb_Activiteiten[#All],MATCH(SubsidieTabel!$A21,Tb_Activiteiten[[#All],[Subsidiabele_Activiteit]],0),MATCH(SubsidieTabel!Q$1,Tb_Activiteiten[#Headers],0))=1,I21,0),0)</f>
        <v>0</v>
      </c>
      <c r="Y21" s="64">
        <f>IFERROR(IF(INDEX(Tb_Activiteiten[#All],MATCH(SubsidieTabel!$A21,Tb_Activiteiten[[#All],[Subsidiabele_Activiteit]],0),MATCH(SubsidieTabel!S$1,Tb_Activiteiten[#Headers],0))=1,H21,0),0)</f>
        <v>0</v>
      </c>
      <c r="Z21" s="64">
        <f>IFERROR(IF(INDEX(Tb_Activiteiten[#All],MATCH(SubsidieTabel!$A21,Tb_Activiteiten[[#All],[Subsidiabele_Activiteit]],0),MATCH(SubsidieTabel!S$1,Tb_Activiteiten[#Headers],0))=1,I21,0),0)</f>
        <v>0</v>
      </c>
      <c r="AA21" s="64">
        <f>IFERROR(IF(INDEX(Tb_Activiteiten[#All],MATCH(SubsidieTabel!$A21,Tb_Activiteiten[[#All],[Subsidiabele_Activiteit]],0),MATCH(SubsidieTabel!O$1,Tb_Activiteiten[#Headers],0))=1,$F21,0),0)</f>
        <v>0</v>
      </c>
      <c r="AB21" s="64">
        <f>IFERROR(IF(INDEX(Tb_Activiteiten[#All],MATCH(SubsidieTabel!$A21,Tb_Activiteiten[[#All],[Subsidiabele_Activiteit]],0),MATCH(SubsidieTabel!O$1,Tb_Activiteiten[#Headers],0))=1,$G21,0),0)</f>
        <v>0</v>
      </c>
      <c r="AD21" s="12" t="str">
        <f t="shared" si="4"/>
        <v>Bijdrage in natura (vrijwilligers)</v>
      </c>
      <c r="AE21" s="64">
        <f>IF(Tb_ProjectKosten[[#This Row],[Forfait]]=1,SUMIF('5. Kosten uitvoering project'!$F$6:$F$250,Tb_ProjectKosten[[#This Row],[KostenOmschrijving]],'5. Kosten uitvoering project'!$P$6:$P$250),0)</f>
        <v>0</v>
      </c>
      <c r="AF21" s="64">
        <f>IF(Tb_ProjectKosten[[#This Row],[Forfait]]=1,SUMIF('5. Kosten uitvoering project'!$F$6:$F$250,Tb_ProjectKosten[[#This Row],[KostenOmschrijving]],'5. Kosten uitvoering project'!$Q$6:$Q$250),0)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5">
        <v>0.23</v>
      </c>
      <c r="AJ21" s="64">
        <f>SUMIF('5. Kosten uitvoering project'!$F:$F,Tb_ProjectKosten[[#This Row],[Begroting]],'5. Kosten uitvoering project'!R:R)</f>
        <v>0</v>
      </c>
      <c r="AK21" s="64">
        <f>SUMIF('5. Kosten uitvoering project'!$F:$F,Tb_ProjectKosten[[#This Row],[Begroting]],'5. Kosten uitvoering project'!S:S)</f>
        <v>0</v>
      </c>
      <c r="AL21" s="64">
        <f>Tb_ProjectKosten[[#This Row],[Kosten_Aanvraag]]+Tb_ProjectKosten[[#This Row],[Forfait_Bedrag]]</f>
        <v>0</v>
      </c>
      <c r="AM21" s="64">
        <f>Tb_ProjectKosten[[#This Row],[Kosten_Beoordeeld]]+Tb_ProjectKosten[[#This Row],[Forfait_Bedrag_Beoordeeld]]</f>
        <v>0</v>
      </c>
      <c r="AN21" t="str">
        <f>IF(Tb_ProjectKosten[[#This Row],[Forfait]]=0,"Dit kostentype hoeft u niet op te geven. Hiervoor wordt een forfait berekend.","")</f>
        <v/>
      </c>
    </row>
    <row r="22" spans="1:40" x14ac:dyDescent="0.25">
      <c r="A22" s="63"/>
      <c r="B22" s="63"/>
      <c r="C22" s="63" t="str">
        <f>IFERROR(VLOOKUP($B22,Tb_ProjectKosten[],4,0),"")</f>
        <v/>
      </c>
      <c r="D22" s="63" t="str" cm="1">
        <f t="array" ref="D22">IFERROR(INDEX(Tb_KostenOpties[],MATCH(B22,Tb_KostenOpties[KostenOptie],0),IFERROR(MATCH(Methode_Keuze,Tb_KostenOpties[#Headers],0),2)),"")</f>
        <v/>
      </c>
      <c r="E22" s="286">
        <f>IFERROR(VLOOKUP(B22,Tb_ProjectKosten[[#All],[KostenOmschrijving]:[Forfait_Percentage]],6,0),0)</f>
        <v>0</v>
      </c>
      <c r="F22" s="287">
        <f>SUMIFS('5. Kosten uitvoering project'!P:P,'5. Kosten uitvoering project'!E:E,SubsidieTabel!A22,'5. Kosten uitvoering project'!F:F,SubsidieTabel!B22)</f>
        <v>0</v>
      </c>
      <c r="G22" s="287">
        <f>SUMIFS('5. Kosten uitvoering project'!Q:Q,'5. Kosten uitvoering project'!E:E,SubsidieTabel!A22,'5. Kosten uitvoering project'!F:F,SubsidieTabel!B22)</f>
        <v>0</v>
      </c>
      <c r="H22" s="287">
        <f>SUMIFS('5. Kosten uitvoering project'!R:R,'5. Kosten uitvoering project'!E:E,SubsidieTabel!A22,'5. Kosten uitvoering project'!F:F,SubsidieTabel!B22)</f>
        <v>0</v>
      </c>
      <c r="I22" s="287">
        <f>SUMIFS('5. Kosten uitvoering project'!S:S,'5. Kosten uitvoering project'!E:E,SubsidieTabel!A22,'5. Kosten uitvoering project'!F:F,SubsidieTabel!B22)</f>
        <v>0</v>
      </c>
      <c r="J22" s="287">
        <f t="shared" si="0"/>
        <v>0</v>
      </c>
      <c r="K22" s="287">
        <f t="shared" si="1"/>
        <v>0</v>
      </c>
      <c r="L22" s="286" t="str">
        <f>IFERROR(VLOOKUP(A22,Lijsten!$AK:$AL,2,0),"")</f>
        <v/>
      </c>
      <c r="M22" s="287">
        <f t="shared" si="2"/>
        <v>0</v>
      </c>
      <c r="N22" s="287">
        <f t="shared" si="3"/>
        <v>0</v>
      </c>
      <c r="O22" s="287">
        <f>IFERROR(IF(INDEX(Tb_Activiteiten[#All],MATCH(SubsidieTabel!$A22,Tb_Activiteiten[[#All],[Subsidiabele_Activiteit]],0),MATCH(SubsidieTabel!O$1,Tb_Activiteiten[#Headers],0))=1,SubsidieTabel!$J22,0),0)</f>
        <v>0</v>
      </c>
      <c r="P22" s="287">
        <f>IFERROR(IF(INDEX(Tb_Activiteiten[#All],MATCH(SubsidieTabel!$A22,Tb_Activiteiten[[#All],[Subsidiabele_Activiteit]],0),MATCH(SubsidieTabel!P$1,Tb_Activiteiten[#Headers],0))=1,SubsidieTabel!$K22,0),0)</f>
        <v>0</v>
      </c>
      <c r="Q22" s="287">
        <f>IFERROR(IF(INDEX(Tb_Activiteiten[#All],MATCH(SubsidieTabel!$A22,Tb_Activiteiten[[#All],[Subsidiabele_Activiteit]],0),MATCH(SubsidieTabel!Q$1,Tb_Activiteiten[#Headers],0))=1,SubsidieTabel!$J22,0),0)</f>
        <v>0</v>
      </c>
      <c r="R22" s="287">
        <f>IFERROR(IF(INDEX(Tb_Activiteiten[#All],MATCH(SubsidieTabel!$A22,Tb_Activiteiten[[#All],[Subsidiabele_Activiteit]],0),MATCH(SubsidieTabel!R$1,Tb_Activiteiten[#Headers],0))=1,SubsidieTabel!$K22,0),0)</f>
        <v>0</v>
      </c>
      <c r="S22" s="287">
        <f>IFERROR(IF(INDEX(Tb_Activiteiten[#All],MATCH(SubsidieTabel!$A22,Tb_Activiteiten[[#All],[Subsidiabele_Activiteit]],0),MATCH(SubsidieTabel!S$1,Tb_Activiteiten[#Headers],0))=1,SubsidieTabel!$J22,0),0)</f>
        <v>0</v>
      </c>
      <c r="T22" s="287">
        <f>IFERROR(IF(INDEX(Tb_Activiteiten[#All],MATCH(SubsidieTabel!$A22,Tb_Activiteiten[[#All],[Subsidiabele_Activiteit]],0),MATCH(SubsidieTabel!T$1,Tb_Activiteiten[#Headers],0))=1,SubsidieTabel!$K22,0),0)</f>
        <v>0</v>
      </c>
      <c r="U22" s="287">
        <f>IFERROR(IF(INDEX(Tb_Activiteiten[#All],MATCH(SubsidieTabel!$A22,Tb_Activiteiten[[#All],[Subsidiabele_Activiteit]],0),MATCH(SubsidieTabel!U$1,Tb_Activiteiten[#Headers],0))=1,SubsidieTabel!$J22,0),0)</f>
        <v>0</v>
      </c>
      <c r="V22" s="287">
        <f>IFERROR(IF(INDEX(Tb_Activiteiten[#All],MATCH(SubsidieTabel!$A22,Tb_Activiteiten[[#All],[Subsidiabele_Activiteit]],0),MATCH(SubsidieTabel!V$1,Tb_Activiteiten[#Headers],0))=1,SubsidieTabel!$K22,0),0)</f>
        <v>0</v>
      </c>
      <c r="W22" s="374">
        <f>IFERROR(IF(INDEX(Tb_Activiteiten[#All],MATCH(SubsidieTabel!$A22,Tb_Activiteiten[[#All],[Subsidiabele_Activiteit]],0),MATCH(SubsidieTabel!Q$1,Tb_Activiteiten[#Headers],0))=1,H22,0),0)</f>
        <v>0</v>
      </c>
      <c r="X22" s="374">
        <f>IFERROR(IF(INDEX(Tb_Activiteiten[#All],MATCH(SubsidieTabel!$A22,Tb_Activiteiten[[#All],[Subsidiabele_Activiteit]],0),MATCH(SubsidieTabel!Q$1,Tb_Activiteiten[#Headers],0))=1,I22,0),0)</f>
        <v>0</v>
      </c>
      <c r="Y22" s="374">
        <f>IFERROR(IF(INDEX(Tb_Activiteiten[#All],MATCH(SubsidieTabel!$A22,Tb_Activiteiten[[#All],[Subsidiabele_Activiteit]],0),MATCH(SubsidieTabel!S$1,Tb_Activiteiten[#Headers],0))=1,H22,0),0)</f>
        <v>0</v>
      </c>
      <c r="Z22" s="374">
        <f>IFERROR(IF(INDEX(Tb_Activiteiten[#All],MATCH(SubsidieTabel!$A22,Tb_Activiteiten[[#All],[Subsidiabele_Activiteit]],0),MATCH(SubsidieTabel!S$1,Tb_Activiteiten[#Headers],0))=1,I22,0),0)</f>
        <v>0</v>
      </c>
      <c r="AA22" s="374">
        <f>IFERROR(IF(INDEX(Tb_Activiteiten[#All],MATCH(SubsidieTabel!$A22,Tb_Activiteiten[[#All],[Subsidiabele_Activiteit]],0),MATCH(SubsidieTabel!O$1,Tb_Activiteiten[#Headers],0))=1,$F22,0),0)</f>
        <v>0</v>
      </c>
      <c r="AB22" s="374">
        <f>IFERROR(IF(INDEX(Tb_Activiteiten[#All],MATCH(SubsidieTabel!$A22,Tb_Activiteiten[[#All],[Subsidiabele_Activiteit]],0),MATCH(SubsidieTabel!O$1,Tb_Activiteiten[#Headers],0))=1,$G22,0),0)</f>
        <v>0</v>
      </c>
      <c r="AD22" s="167" t="str">
        <f t="shared" si="4"/>
        <v>Afschrijvingskosten</v>
      </c>
      <c r="AE22" s="64">
        <f>IF(Tb_ProjectKosten[[#This Row],[Forfait]]=1,SUMIF('5. Kosten uitvoering project'!$F$6:$F$250,Tb_ProjectKosten[[#This Row],[KostenOmschrijving]],'5. Kosten uitvoering project'!$P$6:$P$250),0)</f>
        <v>0</v>
      </c>
      <c r="AF22" s="64">
        <f>IF(Tb_ProjectKosten[[#This Row],[Forfait]]=1,SUMIF('5. Kosten uitvoering project'!$F$6:$F$250,Tb_ProjectKosten[[#This Row],[KostenOmschrijving]],'5. Kosten uitvoering project'!$Q$6:$Q$250),0)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5">
        <v>0.23</v>
      </c>
      <c r="AJ22" s="64">
        <f>SUMIF('5. Kosten uitvoering project'!$F:$F,Tb_ProjectKosten[[#This Row],[Begroting]],'5. Kosten uitvoering project'!R:R)</f>
        <v>0</v>
      </c>
      <c r="AK22" s="64">
        <f>SUMIF('5. Kosten uitvoering project'!$F:$F,Tb_ProjectKosten[[#This Row],[Begroting]],'5. Kosten uitvoering project'!S:S)</f>
        <v>0</v>
      </c>
      <c r="AL22" s="64">
        <f>Tb_ProjectKosten[[#This Row],[Kosten_Aanvraag]]+Tb_ProjectKosten[[#This Row],[Forfait_Bedrag]]</f>
        <v>0</v>
      </c>
      <c r="AM22" s="64">
        <f>Tb_ProjectKosten[[#This Row],[Kosten_Beoordeeld]]+Tb_ProjectKosten[[#This Row],[Forfait_Bedrag_Beoordeeld]]</f>
        <v>0</v>
      </c>
      <c r="AN22" t="str">
        <f>IF(Tb_ProjectKosten[[#This Row],[Forfait]]=0,"Dit kostentype hoeft u niet op te geven. Hiervoor wordt een forfait berekend.","")</f>
        <v/>
      </c>
    </row>
    <row r="23" spans="1:40" x14ac:dyDescent="0.25">
      <c r="A23" s="12"/>
      <c r="B23" s="12"/>
      <c r="C23" s="12" t="str">
        <f>IFERROR(VLOOKUP($B23,Tb_ProjectKosten[],4,0),"")</f>
        <v/>
      </c>
      <c r="D23" s="12" t="str" cm="1">
        <f t="array" ref="D23">IFERROR(INDEX(Tb_KostenOpties[],MATCH(B23,Tb_KostenOpties[KostenOptie],0),IFERROR(MATCH(Methode_Keuze,Tb_KostenOpties[#Headers],0),2)),"")</f>
        <v/>
      </c>
      <c r="E23" s="284">
        <f>IFERROR(VLOOKUP(B23,Tb_ProjectKosten[[#All],[KostenOmschrijving]:[Forfait_Percentage]],6,0),0)</f>
        <v>0</v>
      </c>
      <c r="F23" s="285">
        <f>SUMIFS('5. Kosten uitvoering project'!P:P,'5. Kosten uitvoering project'!E:E,SubsidieTabel!A23,'5. Kosten uitvoering project'!F:F,SubsidieTabel!B23)</f>
        <v>0</v>
      </c>
      <c r="G23" s="285">
        <f>SUMIFS('5. Kosten uitvoering project'!Q:Q,'5. Kosten uitvoering project'!E:E,SubsidieTabel!A23,'5. Kosten uitvoering project'!F:F,SubsidieTabel!B23)</f>
        <v>0</v>
      </c>
      <c r="H23" s="285">
        <f>SUMIFS('5. Kosten uitvoering project'!R:R,'5. Kosten uitvoering project'!E:E,SubsidieTabel!A23,'5. Kosten uitvoering project'!F:F,SubsidieTabel!B23)</f>
        <v>0</v>
      </c>
      <c r="I23" s="285">
        <f>SUMIFS('5. Kosten uitvoering project'!S:S,'5. Kosten uitvoering project'!E:E,SubsidieTabel!A23,'5. Kosten uitvoering project'!F:F,SubsidieTabel!B23)</f>
        <v>0</v>
      </c>
      <c r="J23" s="285">
        <f t="shared" si="0"/>
        <v>0</v>
      </c>
      <c r="K23" s="285">
        <f t="shared" si="1"/>
        <v>0</v>
      </c>
      <c r="L23" s="284" t="str">
        <f>IFERROR(VLOOKUP(A23,Lijsten!$AK:$AL,2,0),"")</f>
        <v/>
      </c>
      <c r="M23" s="285">
        <f t="shared" si="2"/>
        <v>0</v>
      </c>
      <c r="N23" s="285">
        <f t="shared" si="3"/>
        <v>0</v>
      </c>
      <c r="O23" s="285">
        <f>IFERROR(IF(INDEX(Tb_Activiteiten[#All],MATCH(SubsidieTabel!$A23,Tb_Activiteiten[[#All],[Subsidiabele_Activiteit]],0),MATCH(SubsidieTabel!O$1,Tb_Activiteiten[#Headers],0))=1,SubsidieTabel!$J23,0),0)</f>
        <v>0</v>
      </c>
      <c r="P23" s="285">
        <f>IFERROR(IF(INDEX(Tb_Activiteiten[#All],MATCH(SubsidieTabel!$A23,Tb_Activiteiten[[#All],[Subsidiabele_Activiteit]],0),MATCH(SubsidieTabel!P$1,Tb_Activiteiten[#Headers],0))=1,SubsidieTabel!$K23,0),0)</f>
        <v>0</v>
      </c>
      <c r="Q23" s="285">
        <f>IFERROR(IF(INDEX(Tb_Activiteiten[#All],MATCH(SubsidieTabel!$A23,Tb_Activiteiten[[#All],[Subsidiabele_Activiteit]],0),MATCH(SubsidieTabel!Q$1,Tb_Activiteiten[#Headers],0))=1,SubsidieTabel!$J23,0),0)</f>
        <v>0</v>
      </c>
      <c r="R23" s="285">
        <f>IFERROR(IF(INDEX(Tb_Activiteiten[#All],MATCH(SubsidieTabel!$A23,Tb_Activiteiten[[#All],[Subsidiabele_Activiteit]],0),MATCH(SubsidieTabel!R$1,Tb_Activiteiten[#Headers],0))=1,SubsidieTabel!$K23,0),0)</f>
        <v>0</v>
      </c>
      <c r="S23" s="285">
        <f>IFERROR(IF(INDEX(Tb_Activiteiten[#All],MATCH(SubsidieTabel!$A23,Tb_Activiteiten[[#All],[Subsidiabele_Activiteit]],0),MATCH(SubsidieTabel!S$1,Tb_Activiteiten[#Headers],0))=1,SubsidieTabel!$J23,0),0)</f>
        <v>0</v>
      </c>
      <c r="T23" s="285">
        <f>IFERROR(IF(INDEX(Tb_Activiteiten[#All],MATCH(SubsidieTabel!$A23,Tb_Activiteiten[[#All],[Subsidiabele_Activiteit]],0),MATCH(SubsidieTabel!T$1,Tb_Activiteiten[#Headers],0))=1,SubsidieTabel!$K23,0),0)</f>
        <v>0</v>
      </c>
      <c r="U23" s="285">
        <f>IFERROR(IF(INDEX(Tb_Activiteiten[#All],MATCH(SubsidieTabel!$A23,Tb_Activiteiten[[#All],[Subsidiabele_Activiteit]],0),MATCH(SubsidieTabel!U$1,Tb_Activiteiten[#Headers],0))=1,SubsidieTabel!$J23,0),0)</f>
        <v>0</v>
      </c>
      <c r="V23" s="285">
        <f>IFERROR(IF(INDEX(Tb_Activiteiten[#All],MATCH(SubsidieTabel!$A23,Tb_Activiteiten[[#All],[Subsidiabele_Activiteit]],0),MATCH(SubsidieTabel!V$1,Tb_Activiteiten[#Headers],0))=1,SubsidieTabel!$K23,0),0)</f>
        <v>0</v>
      </c>
      <c r="W23" s="64">
        <f>IFERROR(IF(INDEX(Tb_Activiteiten[#All],MATCH(SubsidieTabel!$A23,Tb_Activiteiten[[#All],[Subsidiabele_Activiteit]],0),MATCH(SubsidieTabel!Q$1,Tb_Activiteiten[#Headers],0))=1,H23,0),0)</f>
        <v>0</v>
      </c>
      <c r="X23" s="64">
        <f>IFERROR(IF(INDEX(Tb_Activiteiten[#All],MATCH(SubsidieTabel!$A23,Tb_Activiteiten[[#All],[Subsidiabele_Activiteit]],0),MATCH(SubsidieTabel!Q$1,Tb_Activiteiten[#Headers],0))=1,I23,0),0)</f>
        <v>0</v>
      </c>
      <c r="Y23" s="64">
        <f>IFERROR(IF(INDEX(Tb_Activiteiten[#All],MATCH(SubsidieTabel!$A23,Tb_Activiteiten[[#All],[Subsidiabele_Activiteit]],0),MATCH(SubsidieTabel!S$1,Tb_Activiteiten[#Headers],0))=1,H23,0),0)</f>
        <v>0</v>
      </c>
      <c r="Z23" s="64">
        <f>IFERROR(IF(INDEX(Tb_Activiteiten[#All],MATCH(SubsidieTabel!$A23,Tb_Activiteiten[[#All],[Subsidiabele_Activiteit]],0),MATCH(SubsidieTabel!S$1,Tb_Activiteiten[#Headers],0))=1,I23,0),0)</f>
        <v>0</v>
      </c>
      <c r="AA23" s="64">
        <f>IFERROR(IF(INDEX(Tb_Activiteiten[#All],MATCH(SubsidieTabel!$A23,Tb_Activiteiten[[#All],[Subsidiabele_Activiteit]],0),MATCH(SubsidieTabel!O$1,Tb_Activiteiten[#Headers],0))=1,$F23,0),0)</f>
        <v>0</v>
      </c>
      <c r="AB23" s="64">
        <f>IFERROR(IF(INDEX(Tb_Activiteiten[#All],MATCH(SubsidieTabel!$A23,Tb_Activiteiten[[#All],[Subsidiabele_Activiteit]],0),MATCH(SubsidieTabel!O$1,Tb_Activiteiten[#Headers],0))=1,$G23,0),0)</f>
        <v>0</v>
      </c>
      <c r="AD23" s="167" t="str">
        <f t="shared" si="4"/>
        <v>Vergoeding</v>
      </c>
      <c r="AE23" s="64">
        <f>IF(Tb_ProjectKosten[[#This Row],[Forfait]]=1,SUMIF('5. Kosten uitvoering project'!$F$6:$F$250,Tb_ProjectKosten[[#This Row],[KostenOmschrijving]],'5. Kosten uitvoering project'!$P$6:$P$250),0)</f>
        <v>0</v>
      </c>
      <c r="AF23" s="64">
        <f>IF(Tb_ProjectKosten[[#This Row],[Forfait]]=1,SUMIF('5. Kosten uitvoering project'!$F$6:$F$250,Tb_ProjectKosten[[#This Row],[KostenOmschrijving]],'5. Kosten uitvoering project'!$Q$6:$Q$250),0)</f>
        <v>0</v>
      </c>
      <c r="AG23" t="str">
        <f>Tb_ProjectKosten[[#This Row],[KostenOmschrijving]]</f>
        <v>Vergoeding</v>
      </c>
      <c r="AH23" cm="1">
        <f t="array" ref="AH23">INDEX(Tb_KostenOpties[],MATCH(Tb_ProjectKosten[[#This Row],[KostenOmschrijving]],Tb_KostenOpties[KostenOptie],0),IFERROR(MATCH(Methode_Keuze,Tb_KostenOpties[#Headers],0),2))</f>
        <v>1</v>
      </c>
      <c r="AI23" s="65">
        <v>0</v>
      </c>
      <c r="AJ23" s="64">
        <f>SUMIF('5. Kosten uitvoering project'!$F:$F,Tb_ProjectKosten[[#This Row],[Begroting]],'5. Kosten uitvoering project'!R:R)</f>
        <v>0</v>
      </c>
      <c r="AK23" s="64">
        <f>SUMIF('5. Kosten uitvoering project'!$F:$F,Tb_ProjectKosten[[#This Row],[Begroting]],'5. Kosten uitvoering project'!S:S)</f>
        <v>0</v>
      </c>
      <c r="AL23" s="64">
        <f>Tb_ProjectKosten[[#This Row],[Kosten_Aanvraag]]+Tb_ProjectKosten[[#This Row],[Forfait_Bedrag]]</f>
        <v>0</v>
      </c>
      <c r="AM23" s="64">
        <f>Tb_ProjectKosten[[#This Row],[Kosten_Beoordeeld]]+Tb_ProjectKosten[[#This Row],[Forfait_Bedrag_Beoordeeld]]</f>
        <v>0</v>
      </c>
      <c r="AN23" t="str">
        <f>IF(Tb_ProjectKosten[[#This Row],[Forfait]]=0,"Dit kostentype hoeft u niet op te geven. Hiervoor wordt een forfait berekend.","")</f>
        <v/>
      </c>
    </row>
    <row r="24" spans="1:40" x14ac:dyDescent="0.25">
      <c r="A24" s="63"/>
      <c r="B24" s="63"/>
      <c r="C24" s="63" t="str">
        <f>IFERROR(VLOOKUP($B24,Tb_ProjectKosten[],4,0),"")</f>
        <v/>
      </c>
      <c r="D24" s="63" t="str" cm="1">
        <f t="array" ref="D24">IFERROR(INDEX(Tb_KostenOpties[],MATCH(B24,Tb_KostenOpties[KostenOptie],0),IFERROR(MATCH(Methode_Keuze,Tb_KostenOpties[#Headers],0),2)),"")</f>
        <v/>
      </c>
      <c r="E24" s="286">
        <f>IFERROR(VLOOKUP(B24,Tb_ProjectKosten[[#All],[KostenOmschrijving]:[Forfait_Percentage]],6,0),0)</f>
        <v>0</v>
      </c>
      <c r="F24" s="287">
        <f>SUMIFS('5. Kosten uitvoering project'!P:P,'5. Kosten uitvoering project'!E:E,SubsidieTabel!A24,'5. Kosten uitvoering project'!F:F,SubsidieTabel!B24)</f>
        <v>0</v>
      </c>
      <c r="G24" s="287">
        <f>SUMIFS('5. Kosten uitvoering project'!Q:Q,'5. Kosten uitvoering project'!E:E,SubsidieTabel!A24,'5. Kosten uitvoering project'!F:F,SubsidieTabel!B24)</f>
        <v>0</v>
      </c>
      <c r="H24" s="287">
        <f>SUMIFS('5. Kosten uitvoering project'!R:R,'5. Kosten uitvoering project'!E:E,SubsidieTabel!A24,'5. Kosten uitvoering project'!F:F,SubsidieTabel!B24)</f>
        <v>0</v>
      </c>
      <c r="I24" s="287">
        <f>SUMIFS('5. Kosten uitvoering project'!S:S,'5. Kosten uitvoering project'!E:E,SubsidieTabel!A24,'5. Kosten uitvoering project'!F:F,SubsidieTabel!B24)</f>
        <v>0</v>
      </c>
      <c r="J24" s="287">
        <f t="shared" si="0"/>
        <v>0</v>
      </c>
      <c r="K24" s="287">
        <f t="shared" si="1"/>
        <v>0</v>
      </c>
      <c r="L24" s="286" t="str">
        <f>IFERROR(VLOOKUP(A24,Lijsten!$AK:$AL,2,0),"")</f>
        <v/>
      </c>
      <c r="M24" s="287">
        <f t="shared" si="2"/>
        <v>0</v>
      </c>
      <c r="N24" s="287">
        <f t="shared" si="3"/>
        <v>0</v>
      </c>
      <c r="O24" s="287">
        <f>IFERROR(IF(INDEX(Tb_Activiteiten[#All],MATCH(SubsidieTabel!$A24,Tb_Activiteiten[[#All],[Subsidiabele_Activiteit]],0),MATCH(SubsidieTabel!O$1,Tb_Activiteiten[#Headers],0))=1,SubsidieTabel!$J24,0),0)</f>
        <v>0</v>
      </c>
      <c r="P24" s="287">
        <f>IFERROR(IF(INDEX(Tb_Activiteiten[#All],MATCH(SubsidieTabel!$A24,Tb_Activiteiten[[#All],[Subsidiabele_Activiteit]],0),MATCH(SubsidieTabel!P$1,Tb_Activiteiten[#Headers],0))=1,SubsidieTabel!$K24,0),0)</f>
        <v>0</v>
      </c>
      <c r="Q24" s="287">
        <f>IFERROR(IF(INDEX(Tb_Activiteiten[#All],MATCH(SubsidieTabel!$A24,Tb_Activiteiten[[#All],[Subsidiabele_Activiteit]],0),MATCH(SubsidieTabel!Q$1,Tb_Activiteiten[#Headers],0))=1,SubsidieTabel!$J24,0),0)</f>
        <v>0</v>
      </c>
      <c r="R24" s="287">
        <f>IFERROR(IF(INDEX(Tb_Activiteiten[#All],MATCH(SubsidieTabel!$A24,Tb_Activiteiten[[#All],[Subsidiabele_Activiteit]],0),MATCH(SubsidieTabel!R$1,Tb_Activiteiten[#Headers],0))=1,SubsidieTabel!$K24,0),0)</f>
        <v>0</v>
      </c>
      <c r="S24" s="287">
        <f>IFERROR(IF(INDEX(Tb_Activiteiten[#All],MATCH(SubsidieTabel!$A24,Tb_Activiteiten[[#All],[Subsidiabele_Activiteit]],0),MATCH(SubsidieTabel!S$1,Tb_Activiteiten[#Headers],0))=1,SubsidieTabel!$J24,0),0)</f>
        <v>0</v>
      </c>
      <c r="T24" s="287">
        <f>IFERROR(IF(INDEX(Tb_Activiteiten[#All],MATCH(SubsidieTabel!$A24,Tb_Activiteiten[[#All],[Subsidiabele_Activiteit]],0),MATCH(SubsidieTabel!T$1,Tb_Activiteiten[#Headers],0))=1,SubsidieTabel!$K24,0),0)</f>
        <v>0</v>
      </c>
      <c r="U24" s="287">
        <f>IFERROR(IF(INDEX(Tb_Activiteiten[#All],MATCH(SubsidieTabel!$A24,Tb_Activiteiten[[#All],[Subsidiabele_Activiteit]],0),MATCH(SubsidieTabel!U$1,Tb_Activiteiten[#Headers],0))=1,SubsidieTabel!$J24,0),0)</f>
        <v>0</v>
      </c>
      <c r="V24" s="287">
        <f>IFERROR(IF(INDEX(Tb_Activiteiten[#All],MATCH(SubsidieTabel!$A24,Tb_Activiteiten[[#All],[Subsidiabele_Activiteit]],0),MATCH(SubsidieTabel!V$1,Tb_Activiteiten[#Headers],0))=1,SubsidieTabel!$K24,0),0)</f>
        <v>0</v>
      </c>
      <c r="W24" s="374">
        <f>IFERROR(IF(INDEX(Tb_Activiteiten[#All],MATCH(SubsidieTabel!$A24,Tb_Activiteiten[[#All],[Subsidiabele_Activiteit]],0),MATCH(SubsidieTabel!Q$1,Tb_Activiteiten[#Headers],0))=1,H24,0),0)</f>
        <v>0</v>
      </c>
      <c r="X24" s="374">
        <f>IFERROR(IF(INDEX(Tb_Activiteiten[#All],MATCH(SubsidieTabel!$A24,Tb_Activiteiten[[#All],[Subsidiabele_Activiteit]],0),MATCH(SubsidieTabel!Q$1,Tb_Activiteiten[#Headers],0))=1,I24,0),0)</f>
        <v>0</v>
      </c>
      <c r="Y24" s="374">
        <f>IFERROR(IF(INDEX(Tb_Activiteiten[#All],MATCH(SubsidieTabel!$A24,Tb_Activiteiten[[#All],[Subsidiabele_Activiteit]],0),MATCH(SubsidieTabel!S$1,Tb_Activiteiten[#Headers],0))=1,H24,0),0)</f>
        <v>0</v>
      </c>
      <c r="Z24" s="374">
        <f>IFERROR(IF(INDEX(Tb_Activiteiten[#All],MATCH(SubsidieTabel!$A24,Tb_Activiteiten[[#All],[Subsidiabele_Activiteit]],0),MATCH(SubsidieTabel!S$1,Tb_Activiteiten[#Headers],0))=1,I24,0),0)</f>
        <v>0</v>
      </c>
      <c r="AA24" s="374">
        <f>IFERROR(IF(INDEX(Tb_Activiteiten[#All],MATCH(SubsidieTabel!$A24,Tb_Activiteiten[[#All],[Subsidiabele_Activiteit]],0),MATCH(SubsidieTabel!O$1,Tb_Activiteiten[#Headers],0))=1,$F24,0),0)</f>
        <v>0</v>
      </c>
      <c r="AB24" s="374">
        <f>IFERROR(IF(INDEX(Tb_Activiteiten[#All],MATCH(SubsidieTabel!$A24,Tb_Activiteiten[[#All],[Subsidiabele_Activiteit]],0),MATCH(SubsidieTabel!O$1,Tb_Activiteiten[#Headers],0))=1,$G24,0),0)</f>
        <v>0</v>
      </c>
      <c r="AD24" s="167" t="str">
        <f t="shared" si="4"/>
        <v>Arbeidskosten - vast tarief (excl eigen arbeid)</v>
      </c>
      <c r="AE24" s="64">
        <f>IF(Tb_ProjectKosten[[#This Row],[Forfait]]=1,SUMIF('5. Kosten uitvoering project'!$F$6:$F$250,Tb_ProjectKosten[[#This Row],[KostenOmschrijving]],'5. Kosten uitvoering project'!$P$6:$P$250),0)</f>
        <v>0</v>
      </c>
      <c r="AF24" s="64">
        <f>IF(Tb_ProjectKosten[[#This Row],[Forfait]]=1,SUMIF('5. Kosten uitvoering project'!$F$6:$F$250,Tb_ProjectKosten[[#This Row],[KostenOmschrijving]],'5. Kosten uitvoering project'!$Q$6:$Q$250),0)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5">
        <v>0</v>
      </c>
      <c r="AJ24" s="64">
        <f>SUMIF('5. Kosten uitvoering project'!$F:$F,Tb_ProjectKosten[[#This Row],[Begroting]],'5. Kosten uitvoering project'!R:R)</f>
        <v>0</v>
      </c>
      <c r="AK24" s="64">
        <f>SUMIF('5. Kosten uitvoering project'!$F:$F,Tb_ProjectKosten[[#This Row],[Begroting]],'5. Kosten uitvoering project'!S:S)</f>
        <v>0</v>
      </c>
      <c r="AL24" s="64">
        <f>Tb_ProjectKosten[[#This Row],[Kosten_Aanvraag]]+Tb_ProjectKosten[[#This Row],[Forfait_Bedrag]]</f>
        <v>0</v>
      </c>
      <c r="AM24" s="64">
        <f>Tb_ProjectKosten[[#This Row],[Kosten_Beoordeeld]]+Tb_ProjectKosten[[#This Row],[Forfait_Bedrag_Beoordeeld]]</f>
        <v>0</v>
      </c>
      <c r="AN24" t="str">
        <f>IF(Tb_ProjectKosten[[#This Row],[Forfait]]=0,"Dit kostentype hoeft u niet op te geven. Hiervoor wordt een forfait berekend.","")</f>
        <v/>
      </c>
    </row>
    <row r="25" spans="1:40" x14ac:dyDescent="0.25">
      <c r="A25" s="12"/>
      <c r="B25" s="12"/>
      <c r="C25" s="12" t="str">
        <f>IFERROR(VLOOKUP($B25,Tb_ProjectKosten[],4,0),"")</f>
        <v/>
      </c>
      <c r="D25" s="12" t="str" cm="1">
        <f t="array" ref="D25">IFERROR(INDEX(Tb_KostenOpties[],MATCH(B25,Tb_KostenOpties[KostenOptie],0),IFERROR(MATCH(Methode_Keuze,Tb_KostenOpties[#Headers],0),2)),"")</f>
        <v/>
      </c>
      <c r="E25" s="284">
        <f>IFERROR(VLOOKUP(B25,Tb_ProjectKosten[[#All],[KostenOmschrijving]:[Forfait_Percentage]],6,0),0)</f>
        <v>0</v>
      </c>
      <c r="F25" s="285">
        <f>SUMIFS('5. Kosten uitvoering project'!P:P,'5. Kosten uitvoering project'!E:E,SubsidieTabel!A25,'5. Kosten uitvoering project'!F:F,SubsidieTabel!B25)</f>
        <v>0</v>
      </c>
      <c r="G25" s="285">
        <f>SUMIFS('5. Kosten uitvoering project'!Q:Q,'5. Kosten uitvoering project'!E:E,SubsidieTabel!A25,'5. Kosten uitvoering project'!F:F,SubsidieTabel!B25)</f>
        <v>0</v>
      </c>
      <c r="H25" s="285">
        <f>SUMIFS('5. Kosten uitvoering project'!R:R,'5. Kosten uitvoering project'!E:E,SubsidieTabel!A25,'5. Kosten uitvoering project'!F:F,SubsidieTabel!B25)</f>
        <v>0</v>
      </c>
      <c r="I25" s="285">
        <f>SUMIFS('5. Kosten uitvoering project'!S:S,'5. Kosten uitvoering project'!E:E,SubsidieTabel!A25,'5. Kosten uitvoering project'!F:F,SubsidieTabel!B25)</f>
        <v>0</v>
      </c>
      <c r="J25" s="285">
        <f t="shared" si="0"/>
        <v>0</v>
      </c>
      <c r="K25" s="285">
        <f t="shared" si="1"/>
        <v>0</v>
      </c>
      <c r="L25" s="284" t="str">
        <f>IFERROR(VLOOKUP(A25,Lijsten!$AK:$AL,2,0),"")</f>
        <v/>
      </c>
      <c r="M25" s="285">
        <f t="shared" si="2"/>
        <v>0</v>
      </c>
      <c r="N25" s="285">
        <f t="shared" si="3"/>
        <v>0</v>
      </c>
      <c r="O25" s="285">
        <f>IFERROR(IF(INDEX(Tb_Activiteiten[#All],MATCH(SubsidieTabel!$A25,Tb_Activiteiten[[#All],[Subsidiabele_Activiteit]],0),MATCH(SubsidieTabel!O$1,Tb_Activiteiten[#Headers],0))=1,SubsidieTabel!$J25,0),0)</f>
        <v>0</v>
      </c>
      <c r="P25" s="285">
        <f>IFERROR(IF(INDEX(Tb_Activiteiten[#All],MATCH(SubsidieTabel!$A25,Tb_Activiteiten[[#All],[Subsidiabele_Activiteit]],0),MATCH(SubsidieTabel!P$1,Tb_Activiteiten[#Headers],0))=1,SubsidieTabel!$K25,0),0)</f>
        <v>0</v>
      </c>
      <c r="Q25" s="285">
        <f>IFERROR(IF(INDEX(Tb_Activiteiten[#All],MATCH(SubsidieTabel!$A25,Tb_Activiteiten[[#All],[Subsidiabele_Activiteit]],0),MATCH(SubsidieTabel!Q$1,Tb_Activiteiten[#Headers],0))=1,SubsidieTabel!$J25,0),0)</f>
        <v>0</v>
      </c>
      <c r="R25" s="285">
        <f>IFERROR(IF(INDEX(Tb_Activiteiten[#All],MATCH(SubsidieTabel!$A25,Tb_Activiteiten[[#All],[Subsidiabele_Activiteit]],0),MATCH(SubsidieTabel!R$1,Tb_Activiteiten[#Headers],0))=1,SubsidieTabel!$K25,0),0)</f>
        <v>0</v>
      </c>
      <c r="S25" s="285">
        <f>IFERROR(IF(INDEX(Tb_Activiteiten[#All],MATCH(SubsidieTabel!$A25,Tb_Activiteiten[[#All],[Subsidiabele_Activiteit]],0),MATCH(SubsidieTabel!S$1,Tb_Activiteiten[#Headers],0))=1,SubsidieTabel!$J25,0),0)</f>
        <v>0</v>
      </c>
      <c r="T25" s="285">
        <f>IFERROR(IF(INDEX(Tb_Activiteiten[#All],MATCH(SubsidieTabel!$A25,Tb_Activiteiten[[#All],[Subsidiabele_Activiteit]],0),MATCH(SubsidieTabel!T$1,Tb_Activiteiten[#Headers],0))=1,SubsidieTabel!$K25,0),0)</f>
        <v>0</v>
      </c>
      <c r="U25" s="285">
        <f>IFERROR(IF(INDEX(Tb_Activiteiten[#All],MATCH(SubsidieTabel!$A25,Tb_Activiteiten[[#All],[Subsidiabele_Activiteit]],0),MATCH(SubsidieTabel!U$1,Tb_Activiteiten[#Headers],0))=1,SubsidieTabel!$J25,0),0)</f>
        <v>0</v>
      </c>
      <c r="V25" s="285">
        <f>IFERROR(IF(INDEX(Tb_Activiteiten[#All],MATCH(SubsidieTabel!$A25,Tb_Activiteiten[[#All],[Subsidiabele_Activiteit]],0),MATCH(SubsidieTabel!V$1,Tb_Activiteiten[#Headers],0))=1,SubsidieTabel!$K25,0),0)</f>
        <v>0</v>
      </c>
      <c r="W25" s="64">
        <f>IFERROR(IF(INDEX(Tb_Activiteiten[#All],MATCH(SubsidieTabel!$A25,Tb_Activiteiten[[#All],[Subsidiabele_Activiteit]],0),MATCH(SubsidieTabel!Q$1,Tb_Activiteiten[#Headers],0))=1,H25,0),0)</f>
        <v>0</v>
      </c>
      <c r="X25" s="64">
        <f>IFERROR(IF(INDEX(Tb_Activiteiten[#All],MATCH(SubsidieTabel!$A25,Tb_Activiteiten[[#All],[Subsidiabele_Activiteit]],0),MATCH(SubsidieTabel!Q$1,Tb_Activiteiten[#Headers],0))=1,I25,0),0)</f>
        <v>0</v>
      </c>
      <c r="Y25" s="64">
        <f>IFERROR(IF(INDEX(Tb_Activiteiten[#All],MATCH(SubsidieTabel!$A25,Tb_Activiteiten[[#All],[Subsidiabele_Activiteit]],0),MATCH(SubsidieTabel!S$1,Tb_Activiteiten[#Headers],0))=1,H25,0),0)</f>
        <v>0</v>
      </c>
      <c r="Z25" s="64">
        <f>IFERROR(IF(INDEX(Tb_Activiteiten[#All],MATCH(SubsidieTabel!$A25,Tb_Activiteiten[[#All],[Subsidiabele_Activiteit]],0),MATCH(SubsidieTabel!S$1,Tb_Activiteiten[#Headers],0))=1,I25,0),0)</f>
        <v>0</v>
      </c>
      <c r="AA25" s="64">
        <f>IFERROR(IF(INDEX(Tb_Activiteiten[#All],MATCH(SubsidieTabel!$A25,Tb_Activiteiten[[#All],[Subsidiabele_Activiteit]],0),MATCH(SubsidieTabel!O$1,Tb_Activiteiten[#Headers],0))=1,$F25,0),0)</f>
        <v>0</v>
      </c>
      <c r="AB25" s="64">
        <f>IFERROR(IF(INDEX(Tb_Activiteiten[#All],MATCH(SubsidieTabel!$A25,Tb_Activiteiten[[#All],[Subsidiabele_Activiteit]],0),MATCH(SubsidieTabel!O$1,Tb_Activiteiten[#Headers],0))=1,$G25,0),0)</f>
        <v>0</v>
      </c>
      <c r="AD25" s="167" t="str">
        <f t="shared" si="4"/>
        <v>Overige kosten</v>
      </c>
      <c r="AE25" s="64">
        <f>IF(Tb_ProjectKosten[[#This Row],[Forfait]]=1,SUMIF('5. Kosten uitvoering project'!$F$6:$F$250,Tb_ProjectKosten[[#This Row],[KostenOmschrijving]],'5. Kosten uitvoering project'!$P$6:$P$250),0)</f>
        <v>0</v>
      </c>
      <c r="AF25" s="64">
        <f>IF(Tb_ProjectKosten[[#This Row],[Forfait]]=1,SUMIF('5. Kosten uitvoering project'!$F$6:$F$250,Tb_ProjectKosten[[#This Row],[KostenOmschrijving]],'5. Kosten uitvoering project'!$Q$6:$Q$250),0)</f>
        <v>0</v>
      </c>
      <c r="AG25" t="str">
        <f>Tb_ProjectKosten[[#This Row],[KostenOmschrijving]]</f>
        <v>Overige kosten</v>
      </c>
      <c r="AH25" cm="1">
        <f t="array" ref="AH25">INDEX(Tb_KostenOpties[],MATCH(Tb_ProjectKosten[[#This Row],[KostenOmschrijving]],Tb_KostenOpties[KostenOptie],0),IFERROR(MATCH(Methode_Keuze,Tb_KostenOpties[#Headers],0),2))</f>
        <v>1</v>
      </c>
      <c r="AI25" s="65">
        <v>0.23</v>
      </c>
      <c r="AJ25" s="64">
        <f>SUMIF('5. Kosten uitvoering project'!$F:$F,Tb_ProjectKosten[[#This Row],[Begroting]],'5. Kosten uitvoering project'!R:R)</f>
        <v>0</v>
      </c>
      <c r="AK25" s="64">
        <f>SUMIF('5. Kosten uitvoering project'!$F:$F,Tb_ProjectKosten[[#This Row],[Begroting]],'5. Kosten uitvoering project'!S:S)</f>
        <v>0</v>
      </c>
      <c r="AL25" s="64">
        <f>Tb_ProjectKosten[[#This Row],[Kosten_Aanvraag]]+Tb_ProjectKosten[[#This Row],[Forfait_Bedrag]]</f>
        <v>0</v>
      </c>
      <c r="AM25" s="64">
        <f>Tb_ProjectKosten[[#This Row],[Kosten_Beoordeeld]]+Tb_ProjectKosten[[#This Row],[Forfait_Bedrag_Beoordeeld]]</f>
        <v>0</v>
      </c>
      <c r="AN25" t="str">
        <f>IF(Tb_ProjectKosten[[#This Row],[Forfait]]=0,"Dit kostentype hoeft u niet op te geven. Hiervoor wordt een forfait berekend.","")</f>
        <v/>
      </c>
    </row>
    <row r="26" spans="1:40" x14ac:dyDescent="0.25">
      <c r="A26" s="63"/>
      <c r="B26" s="63"/>
      <c r="C26" s="63" t="str">
        <f>IFERROR(VLOOKUP($B26,Tb_ProjectKosten[],4,0),"")</f>
        <v/>
      </c>
      <c r="D26" s="63" t="str" cm="1">
        <f t="array" ref="D26">IFERROR(INDEX(Tb_KostenOpties[],MATCH(B26,Tb_KostenOpties[KostenOptie],0),IFERROR(MATCH(Methode_Keuze,Tb_KostenOpties[#Headers],0),2)),"")</f>
        <v/>
      </c>
      <c r="E26" s="286">
        <f>IFERROR(VLOOKUP(B26,Tb_ProjectKosten[[#All],[KostenOmschrijving]:[Forfait_Percentage]],6,0),0)</f>
        <v>0</v>
      </c>
      <c r="F26" s="287">
        <f>SUMIFS('5. Kosten uitvoering project'!P:P,'5. Kosten uitvoering project'!E:E,SubsidieTabel!A26,'5. Kosten uitvoering project'!F:F,SubsidieTabel!B26)</f>
        <v>0</v>
      </c>
      <c r="G26" s="287">
        <f>SUMIFS('5. Kosten uitvoering project'!Q:Q,'5. Kosten uitvoering project'!E:E,SubsidieTabel!A26,'5. Kosten uitvoering project'!F:F,SubsidieTabel!B26)</f>
        <v>0</v>
      </c>
      <c r="H26" s="287">
        <f>SUMIFS('5. Kosten uitvoering project'!R:R,'5. Kosten uitvoering project'!E:E,SubsidieTabel!A26,'5. Kosten uitvoering project'!F:F,SubsidieTabel!B26)</f>
        <v>0</v>
      </c>
      <c r="I26" s="287">
        <f>SUMIFS('5. Kosten uitvoering project'!S:S,'5. Kosten uitvoering project'!E:E,SubsidieTabel!A26,'5. Kosten uitvoering project'!F:F,SubsidieTabel!B26)</f>
        <v>0</v>
      </c>
      <c r="J26" s="287">
        <f t="shared" si="0"/>
        <v>0</v>
      </c>
      <c r="K26" s="287">
        <f t="shared" si="1"/>
        <v>0</v>
      </c>
      <c r="L26" s="286" t="str">
        <f>IFERROR(VLOOKUP(A26,Lijsten!$AK:$AL,2,0),"")</f>
        <v/>
      </c>
      <c r="M26" s="287">
        <f t="shared" si="2"/>
        <v>0</v>
      </c>
      <c r="N26" s="287">
        <f t="shared" si="3"/>
        <v>0</v>
      </c>
      <c r="O26" s="287">
        <f>IFERROR(IF(INDEX(Tb_Activiteiten[#All],MATCH(SubsidieTabel!$A26,Tb_Activiteiten[[#All],[Subsidiabele_Activiteit]],0),MATCH(SubsidieTabel!O$1,Tb_Activiteiten[#Headers],0))=1,SubsidieTabel!$J26,0),0)</f>
        <v>0</v>
      </c>
      <c r="P26" s="287">
        <f>IFERROR(IF(INDEX(Tb_Activiteiten[#All],MATCH(SubsidieTabel!$A26,Tb_Activiteiten[[#All],[Subsidiabele_Activiteit]],0),MATCH(SubsidieTabel!P$1,Tb_Activiteiten[#Headers],0))=1,SubsidieTabel!$K26,0),0)</f>
        <v>0</v>
      </c>
      <c r="Q26" s="287">
        <f>IFERROR(IF(INDEX(Tb_Activiteiten[#All],MATCH(SubsidieTabel!$A26,Tb_Activiteiten[[#All],[Subsidiabele_Activiteit]],0),MATCH(SubsidieTabel!Q$1,Tb_Activiteiten[#Headers],0))=1,SubsidieTabel!$J26,0),0)</f>
        <v>0</v>
      </c>
      <c r="R26" s="287">
        <f>IFERROR(IF(INDEX(Tb_Activiteiten[#All],MATCH(SubsidieTabel!$A26,Tb_Activiteiten[[#All],[Subsidiabele_Activiteit]],0),MATCH(SubsidieTabel!R$1,Tb_Activiteiten[#Headers],0))=1,SubsidieTabel!$K26,0),0)</f>
        <v>0</v>
      </c>
      <c r="S26" s="287">
        <f>IFERROR(IF(INDEX(Tb_Activiteiten[#All],MATCH(SubsidieTabel!$A26,Tb_Activiteiten[[#All],[Subsidiabele_Activiteit]],0),MATCH(SubsidieTabel!S$1,Tb_Activiteiten[#Headers],0))=1,SubsidieTabel!$J26,0),0)</f>
        <v>0</v>
      </c>
      <c r="T26" s="287">
        <f>IFERROR(IF(INDEX(Tb_Activiteiten[#All],MATCH(SubsidieTabel!$A26,Tb_Activiteiten[[#All],[Subsidiabele_Activiteit]],0),MATCH(SubsidieTabel!T$1,Tb_Activiteiten[#Headers],0))=1,SubsidieTabel!$K26,0),0)</f>
        <v>0</v>
      </c>
      <c r="U26" s="287">
        <f>IFERROR(IF(INDEX(Tb_Activiteiten[#All],MATCH(SubsidieTabel!$A26,Tb_Activiteiten[[#All],[Subsidiabele_Activiteit]],0),MATCH(SubsidieTabel!U$1,Tb_Activiteiten[#Headers],0))=1,SubsidieTabel!$J26,0),0)</f>
        <v>0</v>
      </c>
      <c r="V26" s="287">
        <f>IFERROR(IF(INDEX(Tb_Activiteiten[#All],MATCH(SubsidieTabel!$A26,Tb_Activiteiten[[#All],[Subsidiabele_Activiteit]],0),MATCH(SubsidieTabel!V$1,Tb_Activiteiten[#Headers],0))=1,SubsidieTabel!$K26,0),0)</f>
        <v>0</v>
      </c>
      <c r="W26" s="374">
        <f>IFERROR(IF(INDEX(Tb_Activiteiten[#All],MATCH(SubsidieTabel!$A26,Tb_Activiteiten[[#All],[Subsidiabele_Activiteit]],0),MATCH(SubsidieTabel!Q$1,Tb_Activiteiten[#Headers],0))=1,H26,0),0)</f>
        <v>0</v>
      </c>
      <c r="X26" s="374">
        <f>IFERROR(IF(INDEX(Tb_Activiteiten[#All],MATCH(SubsidieTabel!$A26,Tb_Activiteiten[[#All],[Subsidiabele_Activiteit]],0),MATCH(SubsidieTabel!Q$1,Tb_Activiteiten[#Headers],0))=1,I26,0),0)</f>
        <v>0</v>
      </c>
      <c r="Y26" s="374">
        <f>IFERROR(IF(INDEX(Tb_Activiteiten[#All],MATCH(SubsidieTabel!$A26,Tb_Activiteiten[[#All],[Subsidiabele_Activiteit]],0),MATCH(SubsidieTabel!S$1,Tb_Activiteiten[#Headers],0))=1,H26,0),0)</f>
        <v>0</v>
      </c>
      <c r="Z26" s="374">
        <f>IFERROR(IF(INDEX(Tb_Activiteiten[#All],MATCH(SubsidieTabel!$A26,Tb_Activiteiten[[#All],[Subsidiabele_Activiteit]],0),MATCH(SubsidieTabel!S$1,Tb_Activiteiten[#Headers],0))=1,I26,0),0)</f>
        <v>0</v>
      </c>
      <c r="AA26" s="374">
        <f>IFERROR(IF(INDEX(Tb_Activiteiten[#All],MATCH(SubsidieTabel!$A26,Tb_Activiteiten[[#All],[Subsidiabele_Activiteit]],0),MATCH(SubsidieTabel!O$1,Tb_Activiteiten[#Headers],0))=1,$F26,0),0)</f>
        <v>0</v>
      </c>
      <c r="AB26" s="374">
        <f>IFERROR(IF(INDEX(Tb_Activiteiten[#All],MATCH(SubsidieTabel!$A26,Tb_Activiteiten[[#All],[Subsidiabele_Activiteit]],0),MATCH(SubsidieTabel!O$1,Tb_Activiteiten[#Headers],0))=1,$G26,0),0)</f>
        <v>0</v>
      </c>
    </row>
    <row r="27" spans="1:40" x14ac:dyDescent="0.25">
      <c r="A27" s="12"/>
      <c r="B27" s="12"/>
      <c r="C27" s="12" t="str">
        <f>IFERROR(VLOOKUP($B27,Tb_ProjectKosten[],4,0),"")</f>
        <v/>
      </c>
      <c r="D27" s="12" t="str" cm="1">
        <f t="array" ref="D27">IFERROR(INDEX(Tb_KostenOpties[],MATCH(B27,Tb_KostenOpties[KostenOptie],0),IFERROR(MATCH(Methode_Keuze,Tb_KostenOpties[#Headers],0),2)),"")</f>
        <v/>
      </c>
      <c r="E27" s="284">
        <f>IFERROR(VLOOKUP(B27,Tb_ProjectKosten[[#All],[KostenOmschrijving]:[Forfait_Percentage]],6,0),0)</f>
        <v>0</v>
      </c>
      <c r="F27" s="285">
        <f>SUMIFS('5. Kosten uitvoering project'!P:P,'5. Kosten uitvoering project'!E:E,SubsidieTabel!A27,'5. Kosten uitvoering project'!F:F,SubsidieTabel!B27)</f>
        <v>0</v>
      </c>
      <c r="G27" s="285">
        <f>SUMIFS('5. Kosten uitvoering project'!Q:Q,'5. Kosten uitvoering project'!E:E,SubsidieTabel!A27,'5. Kosten uitvoering project'!F:F,SubsidieTabel!B27)</f>
        <v>0</v>
      </c>
      <c r="H27" s="285">
        <f>SUMIFS('5. Kosten uitvoering project'!R:R,'5. Kosten uitvoering project'!E:E,SubsidieTabel!A27,'5. Kosten uitvoering project'!F:F,SubsidieTabel!B27)</f>
        <v>0</v>
      </c>
      <c r="I27" s="285">
        <f>SUMIFS('5. Kosten uitvoering project'!S:S,'5. Kosten uitvoering project'!E:E,SubsidieTabel!A27,'5. Kosten uitvoering project'!F:F,SubsidieTabel!B27)</f>
        <v>0</v>
      </c>
      <c r="J27" s="285">
        <f t="shared" si="0"/>
        <v>0</v>
      </c>
      <c r="K27" s="285">
        <f t="shared" si="1"/>
        <v>0</v>
      </c>
      <c r="L27" s="284" t="str">
        <f>IFERROR(VLOOKUP(A27,Lijsten!$AK:$AL,2,0),"")</f>
        <v/>
      </c>
      <c r="M27" s="285">
        <f t="shared" si="2"/>
        <v>0</v>
      </c>
      <c r="N27" s="285">
        <f t="shared" si="3"/>
        <v>0</v>
      </c>
      <c r="O27" s="285">
        <f>IFERROR(IF(INDEX(Tb_Activiteiten[#All],MATCH(SubsidieTabel!$A27,Tb_Activiteiten[[#All],[Subsidiabele_Activiteit]],0),MATCH(SubsidieTabel!O$1,Tb_Activiteiten[#Headers],0))=1,SubsidieTabel!$J27,0),0)</f>
        <v>0</v>
      </c>
      <c r="P27" s="285">
        <f>IFERROR(IF(INDEX(Tb_Activiteiten[#All],MATCH(SubsidieTabel!$A27,Tb_Activiteiten[[#All],[Subsidiabele_Activiteit]],0),MATCH(SubsidieTabel!P$1,Tb_Activiteiten[#Headers],0))=1,SubsidieTabel!$K27,0),0)</f>
        <v>0</v>
      </c>
      <c r="Q27" s="285">
        <f>IFERROR(IF(INDEX(Tb_Activiteiten[#All],MATCH(SubsidieTabel!$A27,Tb_Activiteiten[[#All],[Subsidiabele_Activiteit]],0),MATCH(SubsidieTabel!Q$1,Tb_Activiteiten[#Headers],0))=1,SubsidieTabel!$J27,0),0)</f>
        <v>0</v>
      </c>
      <c r="R27" s="285">
        <f>IFERROR(IF(INDEX(Tb_Activiteiten[#All],MATCH(SubsidieTabel!$A27,Tb_Activiteiten[[#All],[Subsidiabele_Activiteit]],0),MATCH(SubsidieTabel!R$1,Tb_Activiteiten[#Headers],0))=1,SubsidieTabel!$K27,0),0)</f>
        <v>0</v>
      </c>
      <c r="S27" s="285">
        <f>IFERROR(IF(INDEX(Tb_Activiteiten[#All],MATCH(SubsidieTabel!$A27,Tb_Activiteiten[[#All],[Subsidiabele_Activiteit]],0),MATCH(SubsidieTabel!S$1,Tb_Activiteiten[#Headers],0))=1,SubsidieTabel!$J27,0),0)</f>
        <v>0</v>
      </c>
      <c r="T27" s="285">
        <f>IFERROR(IF(INDEX(Tb_Activiteiten[#All],MATCH(SubsidieTabel!$A27,Tb_Activiteiten[[#All],[Subsidiabele_Activiteit]],0),MATCH(SubsidieTabel!T$1,Tb_Activiteiten[#Headers],0))=1,SubsidieTabel!$K27,0),0)</f>
        <v>0</v>
      </c>
      <c r="U27" s="285">
        <f>IFERROR(IF(INDEX(Tb_Activiteiten[#All],MATCH(SubsidieTabel!$A27,Tb_Activiteiten[[#All],[Subsidiabele_Activiteit]],0),MATCH(SubsidieTabel!U$1,Tb_Activiteiten[#Headers],0))=1,SubsidieTabel!$J27,0),0)</f>
        <v>0</v>
      </c>
      <c r="V27" s="285">
        <f>IFERROR(IF(INDEX(Tb_Activiteiten[#All],MATCH(SubsidieTabel!$A27,Tb_Activiteiten[[#All],[Subsidiabele_Activiteit]],0),MATCH(SubsidieTabel!V$1,Tb_Activiteiten[#Headers],0))=1,SubsidieTabel!$K27,0),0)</f>
        <v>0</v>
      </c>
      <c r="W27" s="64">
        <f>IFERROR(IF(INDEX(Tb_Activiteiten[#All],MATCH(SubsidieTabel!$A27,Tb_Activiteiten[[#All],[Subsidiabele_Activiteit]],0),MATCH(SubsidieTabel!Q$1,Tb_Activiteiten[#Headers],0))=1,H27,0),0)</f>
        <v>0</v>
      </c>
      <c r="X27" s="64">
        <f>IFERROR(IF(INDEX(Tb_Activiteiten[#All],MATCH(SubsidieTabel!$A27,Tb_Activiteiten[[#All],[Subsidiabele_Activiteit]],0),MATCH(SubsidieTabel!Q$1,Tb_Activiteiten[#Headers],0))=1,I27,0),0)</f>
        <v>0</v>
      </c>
      <c r="Y27" s="64">
        <f>IFERROR(IF(INDEX(Tb_Activiteiten[#All],MATCH(SubsidieTabel!$A27,Tb_Activiteiten[[#All],[Subsidiabele_Activiteit]],0),MATCH(SubsidieTabel!S$1,Tb_Activiteiten[#Headers],0))=1,H27,0),0)</f>
        <v>0</v>
      </c>
      <c r="Z27" s="64">
        <f>IFERROR(IF(INDEX(Tb_Activiteiten[#All],MATCH(SubsidieTabel!$A27,Tb_Activiteiten[[#All],[Subsidiabele_Activiteit]],0),MATCH(SubsidieTabel!S$1,Tb_Activiteiten[#Headers],0))=1,I27,0),0)</f>
        <v>0</v>
      </c>
      <c r="AA27" s="64">
        <f>IFERROR(IF(INDEX(Tb_Activiteiten[#All],MATCH(SubsidieTabel!$A27,Tb_Activiteiten[[#All],[Subsidiabele_Activiteit]],0),MATCH(SubsidieTabel!O$1,Tb_Activiteiten[#Headers],0))=1,$F27,0),0)</f>
        <v>0</v>
      </c>
      <c r="AB27" s="64">
        <f>IFERROR(IF(INDEX(Tb_Activiteiten[#All],MATCH(SubsidieTabel!$A27,Tb_Activiteiten[[#All],[Subsidiabele_Activiteit]],0),MATCH(SubsidieTabel!O$1,Tb_Activiteiten[#Headers],0))=1,$G27,0),0)</f>
        <v>0</v>
      </c>
      <c r="AD27" t="s">
        <v>83</v>
      </c>
      <c r="AE27" t="s">
        <v>99</v>
      </c>
      <c r="AF27" t="s">
        <v>101</v>
      </c>
      <c r="AG27" t="s">
        <v>102</v>
      </c>
      <c r="AH27" t="s">
        <v>40</v>
      </c>
      <c r="AI27" t="s">
        <v>336</v>
      </c>
      <c r="AJ27" t="s">
        <v>87</v>
      </c>
      <c r="AK27" t="s">
        <v>88</v>
      </c>
      <c r="AL27" t="s">
        <v>184</v>
      </c>
      <c r="AM27" t="s">
        <v>185</v>
      </c>
      <c r="AN27" t="s">
        <v>56</v>
      </c>
    </row>
    <row r="28" spans="1:40" x14ac:dyDescent="0.25">
      <c r="A28" s="63"/>
      <c r="B28" s="63"/>
      <c r="C28" s="63" t="str">
        <f>IFERROR(VLOOKUP($B28,Tb_ProjectKosten[],4,0),"")</f>
        <v/>
      </c>
      <c r="D28" s="63" t="str" cm="1">
        <f t="array" ref="D28">IFERROR(INDEX(Tb_KostenOpties[],MATCH(B28,Tb_KostenOpties[KostenOptie],0),IFERROR(MATCH(Methode_Keuze,Tb_KostenOpties[#Headers],0),2)),"")</f>
        <v/>
      </c>
      <c r="E28" s="286">
        <f>IFERROR(VLOOKUP(B28,Tb_ProjectKosten[[#All],[KostenOmschrijving]:[Forfait_Percentage]],6,0),0)</f>
        <v>0</v>
      </c>
      <c r="F28" s="287">
        <f>SUMIFS('5. Kosten uitvoering project'!P:P,'5. Kosten uitvoering project'!E:E,SubsidieTabel!A28,'5. Kosten uitvoering project'!F:F,SubsidieTabel!B28)</f>
        <v>0</v>
      </c>
      <c r="G28" s="287">
        <f>SUMIFS('5. Kosten uitvoering project'!Q:Q,'5. Kosten uitvoering project'!E:E,SubsidieTabel!A28,'5. Kosten uitvoering project'!F:F,SubsidieTabel!B28)</f>
        <v>0</v>
      </c>
      <c r="H28" s="287">
        <f>SUMIFS('5. Kosten uitvoering project'!R:R,'5. Kosten uitvoering project'!E:E,SubsidieTabel!A28,'5. Kosten uitvoering project'!F:F,SubsidieTabel!B28)</f>
        <v>0</v>
      </c>
      <c r="I28" s="287">
        <f>SUMIFS('5. Kosten uitvoering project'!S:S,'5. Kosten uitvoering project'!E:E,SubsidieTabel!A28,'5. Kosten uitvoering project'!F:F,SubsidieTabel!B28)</f>
        <v>0</v>
      </c>
      <c r="J28" s="287">
        <f t="shared" si="0"/>
        <v>0</v>
      </c>
      <c r="K28" s="287">
        <f t="shared" si="1"/>
        <v>0</v>
      </c>
      <c r="L28" s="286" t="str">
        <f>IFERROR(VLOOKUP(A28,Lijsten!$AK:$AL,2,0),"")</f>
        <v/>
      </c>
      <c r="M28" s="287">
        <f t="shared" si="2"/>
        <v>0</v>
      </c>
      <c r="N28" s="287">
        <f t="shared" si="3"/>
        <v>0</v>
      </c>
      <c r="O28" s="287">
        <f>IFERROR(IF(INDEX(Tb_Activiteiten[#All],MATCH(SubsidieTabel!$A28,Tb_Activiteiten[[#All],[Subsidiabele_Activiteit]],0),MATCH(SubsidieTabel!O$1,Tb_Activiteiten[#Headers],0))=1,SubsidieTabel!$J28,0),0)</f>
        <v>0</v>
      </c>
      <c r="P28" s="287">
        <f>IFERROR(IF(INDEX(Tb_Activiteiten[#All],MATCH(SubsidieTabel!$A28,Tb_Activiteiten[[#All],[Subsidiabele_Activiteit]],0),MATCH(SubsidieTabel!P$1,Tb_Activiteiten[#Headers],0))=1,SubsidieTabel!$K28,0),0)</f>
        <v>0</v>
      </c>
      <c r="Q28" s="287">
        <f>IFERROR(IF(INDEX(Tb_Activiteiten[#All],MATCH(SubsidieTabel!$A28,Tb_Activiteiten[[#All],[Subsidiabele_Activiteit]],0),MATCH(SubsidieTabel!Q$1,Tb_Activiteiten[#Headers],0))=1,SubsidieTabel!$J28,0),0)</f>
        <v>0</v>
      </c>
      <c r="R28" s="287">
        <f>IFERROR(IF(INDEX(Tb_Activiteiten[#All],MATCH(SubsidieTabel!$A28,Tb_Activiteiten[[#All],[Subsidiabele_Activiteit]],0),MATCH(SubsidieTabel!R$1,Tb_Activiteiten[#Headers],0))=1,SubsidieTabel!$K28,0),0)</f>
        <v>0</v>
      </c>
      <c r="S28" s="287">
        <f>IFERROR(IF(INDEX(Tb_Activiteiten[#All],MATCH(SubsidieTabel!$A28,Tb_Activiteiten[[#All],[Subsidiabele_Activiteit]],0),MATCH(SubsidieTabel!S$1,Tb_Activiteiten[#Headers],0))=1,SubsidieTabel!$J28,0),0)</f>
        <v>0</v>
      </c>
      <c r="T28" s="287">
        <f>IFERROR(IF(INDEX(Tb_Activiteiten[#All],MATCH(SubsidieTabel!$A28,Tb_Activiteiten[[#All],[Subsidiabele_Activiteit]],0),MATCH(SubsidieTabel!T$1,Tb_Activiteiten[#Headers],0))=1,SubsidieTabel!$K28,0),0)</f>
        <v>0</v>
      </c>
      <c r="U28" s="287">
        <f>IFERROR(IF(INDEX(Tb_Activiteiten[#All],MATCH(SubsidieTabel!$A28,Tb_Activiteiten[[#All],[Subsidiabele_Activiteit]],0),MATCH(SubsidieTabel!U$1,Tb_Activiteiten[#Headers],0))=1,SubsidieTabel!$J28,0),0)</f>
        <v>0</v>
      </c>
      <c r="V28" s="287">
        <f>IFERROR(IF(INDEX(Tb_Activiteiten[#All],MATCH(SubsidieTabel!$A28,Tb_Activiteiten[[#All],[Subsidiabele_Activiteit]],0),MATCH(SubsidieTabel!V$1,Tb_Activiteiten[#Headers],0))=1,SubsidieTabel!$K28,0),0)</f>
        <v>0</v>
      </c>
      <c r="W28" s="374">
        <f>IFERROR(IF(INDEX(Tb_Activiteiten[#All],MATCH(SubsidieTabel!$A28,Tb_Activiteiten[[#All],[Subsidiabele_Activiteit]],0),MATCH(SubsidieTabel!Q$1,Tb_Activiteiten[#Headers],0))=1,H28,0),0)</f>
        <v>0</v>
      </c>
      <c r="X28" s="374">
        <f>IFERROR(IF(INDEX(Tb_Activiteiten[#All],MATCH(SubsidieTabel!$A28,Tb_Activiteiten[[#All],[Subsidiabele_Activiteit]],0),MATCH(SubsidieTabel!Q$1,Tb_Activiteiten[#Headers],0))=1,I28,0),0)</f>
        <v>0</v>
      </c>
      <c r="Y28" s="374">
        <f>IFERROR(IF(INDEX(Tb_Activiteiten[#All],MATCH(SubsidieTabel!$A28,Tb_Activiteiten[[#All],[Subsidiabele_Activiteit]],0),MATCH(SubsidieTabel!S$1,Tb_Activiteiten[#Headers],0))=1,H28,0),0)</f>
        <v>0</v>
      </c>
      <c r="Z28" s="374">
        <f>IFERROR(IF(INDEX(Tb_Activiteiten[#All],MATCH(SubsidieTabel!$A28,Tb_Activiteiten[[#All],[Subsidiabele_Activiteit]],0),MATCH(SubsidieTabel!S$1,Tb_Activiteiten[#Headers],0))=1,I28,0),0)</f>
        <v>0</v>
      </c>
      <c r="AA28" s="374">
        <f>IFERROR(IF(INDEX(Tb_Activiteiten[#All],MATCH(SubsidieTabel!$A28,Tb_Activiteiten[[#All],[Subsidiabele_Activiteit]],0),MATCH(SubsidieTabel!O$1,Tb_Activiteiten[#Headers],0))=1,$F28,0),0)</f>
        <v>0</v>
      </c>
      <c r="AB28" s="374">
        <f>IFERROR(IF(INDEX(Tb_Activiteiten[#All],MATCH(SubsidieTabel!$A28,Tb_Activiteiten[[#All],[Subsidiabele_Activiteit]],0),MATCH(SubsidieTabel!O$1,Tb_Activiteiten[#Headers],0))=1,$G28,0),0)</f>
        <v>0</v>
      </c>
      <c r="AD28" s="12" t="str">
        <f t="shared" ref="AD28:AD38" si="5">$AD15</f>
        <v>Arbeidskosten</v>
      </c>
      <c r="AE28" s="68" t="str">
        <f t="shared" ref="AE28:AE37" si="6">IF(Keuze_DB_Nr&lt;&gt;"",Keuze_DB_Nr,"")</f>
        <v/>
      </c>
      <c r="AF28" s="64">
        <f>IF(Tb_DBKosten[[#This Row],[Forfait]]=1,SUMIFS('8. Uitgaven betaalverzoek'!U:U,'8. Uitgaven betaalverzoek'!F:F,Tb_DBKosten[[#This Row],[KostenOmschrijving]],'8. Uitgaven betaalverzoek'!A:A,Tb_DBKosten[[#This Row],[Deelbetaling]]),0)</f>
        <v>0</v>
      </c>
      <c r="AG28" s="64">
        <f>IF(Tb_DBKosten[[#This Row],[Forfait]]=1,SUMIFS('8. Uitgaven betaalverzoek'!V:V,'8.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5">
        <v>0.4</v>
      </c>
      <c r="AJ28" s="64">
        <f>IF(Tb_DBKosten[[#This Row],[Forfait]]=1,SUMIFS('8. Uitgaven betaalverzoek'!W:W,'8. Uitgaven betaalverzoek'!F:F,Tb_DBKosten[[#This Row],[KostenOmschrijving]],'8. Uitgaven betaalverzoek'!A:A,Tb_DBKosten[[#This Row],[Deelbetaling]]),0)</f>
        <v>0</v>
      </c>
      <c r="AK28" s="64">
        <f>IF(Tb_DBKosten[[#This Row],[Forfait]]=1,SUMIFS('8. Uitgaven betaalverzoek'!X:X,'8. Uitgaven betaalverzoek'!F:F,Tb_DBKosten[[#This Row],[KostenOmschrijving]],'8. Uitgaven betaalverzoek'!A:A,Tb_DBKosten[[#This Row],[Deelbetaling]]),0)</f>
        <v>0</v>
      </c>
      <c r="AL28" s="64">
        <f>Tb_DBKosten[[#This Row],[Deelbetaling_Aanvraag]]+Tb_DBKosten[[#This Row],[Forfait_Bedrag]]</f>
        <v>0</v>
      </c>
      <c r="AM28" s="64">
        <f>Tb_DBKosten[[#This Row],[Deelbetaling_Beoordeeld]]+Tb_DBKosten[[#This Row],[Forfait_Bedrag_Beoordeeld]]</f>
        <v>0</v>
      </c>
      <c r="AN28" t="str">
        <f>IF(Tb_DBKosten[[#This Row],[Forfait]]=0,"Dit kostentype hoeft u niet op te geven. Hiervoor wordt een forfait berekend.","")</f>
        <v/>
      </c>
    </row>
    <row r="29" spans="1:40" x14ac:dyDescent="0.25">
      <c r="A29" s="12"/>
      <c r="B29" s="12"/>
      <c r="C29" s="12" t="str">
        <f>IFERROR(VLOOKUP($B29,Tb_ProjectKosten[],4,0),"")</f>
        <v/>
      </c>
      <c r="D29" s="12" t="str" cm="1">
        <f t="array" ref="D29">IFERROR(INDEX(Tb_KostenOpties[],MATCH(B29,Tb_KostenOpties[KostenOptie],0),IFERROR(MATCH(Methode_Keuze,Tb_KostenOpties[#Headers],0),2)),"")</f>
        <v/>
      </c>
      <c r="E29" s="284">
        <f>IFERROR(VLOOKUP(B29,Tb_ProjectKosten[[#All],[KostenOmschrijving]:[Forfait_Percentage]],6,0),0)</f>
        <v>0</v>
      </c>
      <c r="F29" s="285">
        <f>SUMIFS('5. Kosten uitvoering project'!P:P,'5. Kosten uitvoering project'!E:E,SubsidieTabel!A29,'5. Kosten uitvoering project'!F:F,SubsidieTabel!B29)</f>
        <v>0</v>
      </c>
      <c r="G29" s="285">
        <f>SUMIFS('5. Kosten uitvoering project'!Q:Q,'5. Kosten uitvoering project'!E:E,SubsidieTabel!A29,'5. Kosten uitvoering project'!F:F,SubsidieTabel!B29)</f>
        <v>0</v>
      </c>
      <c r="H29" s="285">
        <f>SUMIFS('5. Kosten uitvoering project'!R:R,'5. Kosten uitvoering project'!E:E,SubsidieTabel!A29,'5. Kosten uitvoering project'!F:F,SubsidieTabel!B29)</f>
        <v>0</v>
      </c>
      <c r="I29" s="285">
        <f>SUMIFS('5. Kosten uitvoering project'!S:S,'5. Kosten uitvoering project'!E:E,SubsidieTabel!A29,'5. Kosten uitvoering project'!F:F,SubsidieTabel!B29)</f>
        <v>0</v>
      </c>
      <c r="J29" s="285">
        <f t="shared" si="0"/>
        <v>0</v>
      </c>
      <c r="K29" s="285">
        <f t="shared" si="1"/>
        <v>0</v>
      </c>
      <c r="L29" s="284" t="str">
        <f>IFERROR(VLOOKUP(A29,Lijsten!$AK:$AL,2,0),"")</f>
        <v/>
      </c>
      <c r="M29" s="285">
        <f t="shared" si="2"/>
        <v>0</v>
      </c>
      <c r="N29" s="285">
        <f t="shared" si="3"/>
        <v>0</v>
      </c>
      <c r="O29" s="285">
        <f>IFERROR(IF(INDEX(Tb_Activiteiten[#All],MATCH(SubsidieTabel!$A29,Tb_Activiteiten[[#All],[Subsidiabele_Activiteit]],0),MATCH(SubsidieTabel!O$1,Tb_Activiteiten[#Headers],0))=1,SubsidieTabel!$J29,0),0)</f>
        <v>0</v>
      </c>
      <c r="P29" s="285">
        <f>IFERROR(IF(INDEX(Tb_Activiteiten[#All],MATCH(SubsidieTabel!$A29,Tb_Activiteiten[[#All],[Subsidiabele_Activiteit]],0),MATCH(SubsidieTabel!P$1,Tb_Activiteiten[#Headers],0))=1,SubsidieTabel!$K29,0),0)</f>
        <v>0</v>
      </c>
      <c r="Q29" s="285">
        <f>IFERROR(IF(INDEX(Tb_Activiteiten[#All],MATCH(SubsidieTabel!$A29,Tb_Activiteiten[[#All],[Subsidiabele_Activiteit]],0),MATCH(SubsidieTabel!Q$1,Tb_Activiteiten[#Headers],0))=1,SubsidieTabel!$J29,0),0)</f>
        <v>0</v>
      </c>
      <c r="R29" s="285">
        <f>IFERROR(IF(INDEX(Tb_Activiteiten[#All],MATCH(SubsidieTabel!$A29,Tb_Activiteiten[[#All],[Subsidiabele_Activiteit]],0),MATCH(SubsidieTabel!R$1,Tb_Activiteiten[#Headers],0))=1,SubsidieTabel!$K29,0),0)</f>
        <v>0</v>
      </c>
      <c r="S29" s="285">
        <f>IFERROR(IF(INDEX(Tb_Activiteiten[#All],MATCH(SubsidieTabel!$A29,Tb_Activiteiten[[#All],[Subsidiabele_Activiteit]],0),MATCH(SubsidieTabel!S$1,Tb_Activiteiten[#Headers],0))=1,SubsidieTabel!$J29,0),0)</f>
        <v>0</v>
      </c>
      <c r="T29" s="285">
        <f>IFERROR(IF(INDEX(Tb_Activiteiten[#All],MATCH(SubsidieTabel!$A29,Tb_Activiteiten[[#All],[Subsidiabele_Activiteit]],0),MATCH(SubsidieTabel!T$1,Tb_Activiteiten[#Headers],0))=1,SubsidieTabel!$K29,0),0)</f>
        <v>0</v>
      </c>
      <c r="U29" s="285">
        <f>IFERROR(IF(INDEX(Tb_Activiteiten[#All],MATCH(SubsidieTabel!$A29,Tb_Activiteiten[[#All],[Subsidiabele_Activiteit]],0),MATCH(SubsidieTabel!U$1,Tb_Activiteiten[#Headers],0))=1,SubsidieTabel!$J29,0),0)</f>
        <v>0</v>
      </c>
      <c r="V29" s="285">
        <f>IFERROR(IF(INDEX(Tb_Activiteiten[#All],MATCH(SubsidieTabel!$A29,Tb_Activiteiten[[#All],[Subsidiabele_Activiteit]],0),MATCH(SubsidieTabel!V$1,Tb_Activiteiten[#Headers],0))=1,SubsidieTabel!$K29,0),0)</f>
        <v>0</v>
      </c>
      <c r="W29" s="64">
        <f>IFERROR(IF(INDEX(Tb_Activiteiten[#All],MATCH(SubsidieTabel!$A29,Tb_Activiteiten[[#All],[Subsidiabele_Activiteit]],0),MATCH(SubsidieTabel!Q$1,Tb_Activiteiten[#Headers],0))=1,H29,0),0)</f>
        <v>0</v>
      </c>
      <c r="X29" s="64">
        <f>IFERROR(IF(INDEX(Tb_Activiteiten[#All],MATCH(SubsidieTabel!$A29,Tb_Activiteiten[[#All],[Subsidiabele_Activiteit]],0),MATCH(SubsidieTabel!Q$1,Tb_Activiteiten[#Headers],0))=1,I29,0),0)</f>
        <v>0</v>
      </c>
      <c r="Y29" s="64">
        <f>IFERROR(IF(INDEX(Tb_Activiteiten[#All],MATCH(SubsidieTabel!$A29,Tb_Activiteiten[[#All],[Subsidiabele_Activiteit]],0),MATCH(SubsidieTabel!S$1,Tb_Activiteiten[#Headers],0))=1,H29,0),0)</f>
        <v>0</v>
      </c>
      <c r="Z29" s="64">
        <f>IFERROR(IF(INDEX(Tb_Activiteiten[#All],MATCH(SubsidieTabel!$A29,Tb_Activiteiten[[#All],[Subsidiabele_Activiteit]],0),MATCH(SubsidieTabel!S$1,Tb_Activiteiten[#Headers],0))=1,I29,0),0)</f>
        <v>0</v>
      </c>
      <c r="AA29" s="64">
        <f>IFERROR(IF(INDEX(Tb_Activiteiten[#All],MATCH(SubsidieTabel!$A29,Tb_Activiteiten[[#All],[Subsidiabele_Activiteit]],0),MATCH(SubsidieTabel!O$1,Tb_Activiteiten[#Headers],0))=1,$F29,0),0)</f>
        <v>0</v>
      </c>
      <c r="AB29" s="64">
        <f>IFERROR(IF(INDEX(Tb_Activiteiten[#All],MATCH(SubsidieTabel!$A29,Tb_Activiteiten[[#All],[Subsidiabele_Activiteit]],0),MATCH(SubsidieTabel!O$1,Tb_Activiteiten[#Headers],0))=1,$G29,0),0)</f>
        <v>0</v>
      </c>
      <c r="AD29" s="12" t="str">
        <f t="shared" si="5"/>
        <v>Arbeidskosten op basis van IKS</v>
      </c>
      <c r="AE29" t="str">
        <f t="shared" si="6"/>
        <v/>
      </c>
      <c r="AF29" s="64">
        <f>IF(Tb_DBKosten[[#This Row],[Forfait]]=1,SUMIFS('8. Uitgaven betaalverzoek'!U:U,'8. Uitgaven betaalverzoek'!F:F,Tb_DBKosten[[#This Row],[KostenOmschrijving]],'8. Uitgaven betaalverzoek'!A:A,Tb_DBKosten[[#This Row],[Deelbetaling]]),0)</f>
        <v>0</v>
      </c>
      <c r="AG29" s="64">
        <f>IF(Tb_DBKosten[[#This Row],[Forfait]]=1,SUMIFS('8. Uitgaven betaalverzoek'!V:V,'8.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5">
        <v>0</v>
      </c>
      <c r="AJ29" s="64">
        <f>IF(Tb_DBKosten[[#This Row],[Forfait]]=1,SUMIFS('8. Uitgaven betaalverzoek'!W:W,'8. Uitgaven betaalverzoek'!F:F,Tb_DBKosten[[#This Row],[KostenOmschrijving]],'8. Uitgaven betaalverzoek'!A:A,Tb_DBKosten[[#This Row],[Deelbetaling]]),0)</f>
        <v>0</v>
      </c>
      <c r="AK29" s="64">
        <f>IF(Tb_DBKosten[[#This Row],[Forfait]]=1,SUMIFS('8. Uitgaven betaalverzoek'!X:X,'8. Uitgaven betaalverzoek'!F:F,Tb_DBKosten[[#This Row],[KostenOmschrijving]],'8. Uitgaven betaalverzoek'!A:A,Tb_DBKosten[[#This Row],[Deelbetaling]]),0)</f>
        <v>0</v>
      </c>
      <c r="AL29" s="64">
        <f>Tb_DBKosten[[#This Row],[Deelbetaling_Aanvraag]]+Tb_DBKosten[[#This Row],[Forfait_Bedrag]]</f>
        <v>0</v>
      </c>
      <c r="AM29" s="64">
        <f>Tb_DBKosten[[#This Row],[Deelbetaling_Beoordeeld]]+Tb_DBKosten[[#This Row],[Forfait_Bedrag_Beoordeeld]]</f>
        <v>0</v>
      </c>
      <c r="AN29" t="str">
        <f>IF(Tb_DBKosten[[#This Row],[Forfait]]=0,"Dit kostentype hoeft u niet op te geven. Hiervoor wordt een forfait berekend.","")</f>
        <v/>
      </c>
    </row>
    <row r="30" spans="1:40" x14ac:dyDescent="0.25">
      <c r="A30" s="63"/>
      <c r="B30" s="63"/>
      <c r="C30" s="63" t="str">
        <f>IFERROR(VLOOKUP($B30,Tb_ProjectKosten[],4,0),"")</f>
        <v/>
      </c>
      <c r="D30" s="63" t="str" cm="1">
        <f t="array" ref="D30">IFERROR(INDEX(Tb_KostenOpties[],MATCH(B30,Tb_KostenOpties[KostenOptie],0),IFERROR(MATCH(Methode_Keuze,Tb_KostenOpties[#Headers],0),2)),"")</f>
        <v/>
      </c>
      <c r="E30" s="286">
        <f>IFERROR(VLOOKUP(B30,Tb_ProjectKosten[[#All],[KostenOmschrijving]:[Forfait_Percentage]],6,0),0)</f>
        <v>0</v>
      </c>
      <c r="F30" s="287">
        <f>SUMIFS('5. Kosten uitvoering project'!P:P,'5. Kosten uitvoering project'!E:E,SubsidieTabel!A30,'5. Kosten uitvoering project'!F:F,SubsidieTabel!B30)</f>
        <v>0</v>
      </c>
      <c r="G30" s="287">
        <f>SUMIFS('5. Kosten uitvoering project'!Q:Q,'5. Kosten uitvoering project'!E:E,SubsidieTabel!A30,'5. Kosten uitvoering project'!F:F,SubsidieTabel!B30)</f>
        <v>0</v>
      </c>
      <c r="H30" s="287">
        <f>SUMIFS('5. Kosten uitvoering project'!R:R,'5. Kosten uitvoering project'!E:E,SubsidieTabel!A30,'5. Kosten uitvoering project'!F:F,SubsidieTabel!B30)</f>
        <v>0</v>
      </c>
      <c r="I30" s="287">
        <f>SUMIFS('5. Kosten uitvoering project'!S:S,'5. Kosten uitvoering project'!E:E,SubsidieTabel!A30,'5. Kosten uitvoering project'!F:F,SubsidieTabel!B30)</f>
        <v>0</v>
      </c>
      <c r="J30" s="287">
        <f t="shared" si="0"/>
        <v>0</v>
      </c>
      <c r="K30" s="287">
        <f t="shared" si="1"/>
        <v>0</v>
      </c>
      <c r="L30" s="286" t="str">
        <f>IFERROR(VLOOKUP(A30,Lijsten!$AK:$AL,2,0),"")</f>
        <v/>
      </c>
      <c r="M30" s="287">
        <f t="shared" si="2"/>
        <v>0</v>
      </c>
      <c r="N30" s="287">
        <f t="shared" si="3"/>
        <v>0</v>
      </c>
      <c r="O30" s="287">
        <f>IFERROR(IF(INDEX(Tb_Activiteiten[#All],MATCH(SubsidieTabel!$A30,Tb_Activiteiten[[#All],[Subsidiabele_Activiteit]],0),MATCH(SubsidieTabel!O$1,Tb_Activiteiten[#Headers],0))=1,SubsidieTabel!$J30,0),0)</f>
        <v>0</v>
      </c>
      <c r="P30" s="287">
        <f>IFERROR(IF(INDEX(Tb_Activiteiten[#All],MATCH(SubsidieTabel!$A30,Tb_Activiteiten[[#All],[Subsidiabele_Activiteit]],0),MATCH(SubsidieTabel!P$1,Tb_Activiteiten[#Headers],0))=1,SubsidieTabel!$K30,0),0)</f>
        <v>0</v>
      </c>
      <c r="Q30" s="287">
        <f>IFERROR(IF(INDEX(Tb_Activiteiten[#All],MATCH(SubsidieTabel!$A30,Tb_Activiteiten[[#All],[Subsidiabele_Activiteit]],0),MATCH(SubsidieTabel!Q$1,Tb_Activiteiten[#Headers],0))=1,SubsidieTabel!$J30,0),0)</f>
        <v>0</v>
      </c>
      <c r="R30" s="287">
        <f>IFERROR(IF(INDEX(Tb_Activiteiten[#All],MATCH(SubsidieTabel!$A30,Tb_Activiteiten[[#All],[Subsidiabele_Activiteit]],0),MATCH(SubsidieTabel!R$1,Tb_Activiteiten[#Headers],0))=1,SubsidieTabel!$K30,0),0)</f>
        <v>0</v>
      </c>
      <c r="S30" s="287">
        <f>IFERROR(IF(INDEX(Tb_Activiteiten[#All],MATCH(SubsidieTabel!$A30,Tb_Activiteiten[[#All],[Subsidiabele_Activiteit]],0),MATCH(SubsidieTabel!S$1,Tb_Activiteiten[#Headers],0))=1,SubsidieTabel!$J30,0),0)</f>
        <v>0</v>
      </c>
      <c r="T30" s="287">
        <f>IFERROR(IF(INDEX(Tb_Activiteiten[#All],MATCH(SubsidieTabel!$A30,Tb_Activiteiten[[#All],[Subsidiabele_Activiteit]],0),MATCH(SubsidieTabel!T$1,Tb_Activiteiten[#Headers],0))=1,SubsidieTabel!$K30,0),0)</f>
        <v>0</v>
      </c>
      <c r="U30" s="287">
        <f>IFERROR(IF(INDEX(Tb_Activiteiten[#All],MATCH(SubsidieTabel!$A30,Tb_Activiteiten[[#All],[Subsidiabele_Activiteit]],0),MATCH(SubsidieTabel!U$1,Tb_Activiteiten[#Headers],0))=1,SubsidieTabel!$J30,0),0)</f>
        <v>0</v>
      </c>
      <c r="V30" s="287">
        <f>IFERROR(IF(INDEX(Tb_Activiteiten[#All],MATCH(SubsidieTabel!$A30,Tb_Activiteiten[[#All],[Subsidiabele_Activiteit]],0),MATCH(SubsidieTabel!V$1,Tb_Activiteiten[#Headers],0))=1,SubsidieTabel!$K30,0),0)</f>
        <v>0</v>
      </c>
      <c r="W30" s="374">
        <f>IFERROR(IF(INDEX(Tb_Activiteiten[#All],MATCH(SubsidieTabel!$A30,Tb_Activiteiten[[#All],[Subsidiabele_Activiteit]],0),MATCH(SubsidieTabel!Q$1,Tb_Activiteiten[#Headers],0))=1,H30,0),0)</f>
        <v>0</v>
      </c>
      <c r="X30" s="374">
        <f>IFERROR(IF(INDEX(Tb_Activiteiten[#All],MATCH(SubsidieTabel!$A30,Tb_Activiteiten[[#All],[Subsidiabele_Activiteit]],0),MATCH(SubsidieTabel!Q$1,Tb_Activiteiten[#Headers],0))=1,I30,0),0)</f>
        <v>0</v>
      </c>
      <c r="Y30" s="374">
        <f>IFERROR(IF(INDEX(Tb_Activiteiten[#All],MATCH(SubsidieTabel!$A30,Tb_Activiteiten[[#All],[Subsidiabele_Activiteit]],0),MATCH(SubsidieTabel!S$1,Tb_Activiteiten[#Headers],0))=1,H30,0),0)</f>
        <v>0</v>
      </c>
      <c r="Z30" s="374">
        <f>IFERROR(IF(INDEX(Tb_Activiteiten[#All],MATCH(SubsidieTabel!$A30,Tb_Activiteiten[[#All],[Subsidiabele_Activiteit]],0),MATCH(SubsidieTabel!S$1,Tb_Activiteiten[#Headers],0))=1,I30,0),0)</f>
        <v>0</v>
      </c>
      <c r="AA30" s="374">
        <f>IFERROR(IF(INDEX(Tb_Activiteiten[#All],MATCH(SubsidieTabel!$A30,Tb_Activiteiten[[#All],[Subsidiabele_Activiteit]],0),MATCH(SubsidieTabel!O$1,Tb_Activiteiten[#Headers],0))=1,$F30,0),0)</f>
        <v>0</v>
      </c>
      <c r="AB30" s="374">
        <f>IFERROR(IF(INDEX(Tb_Activiteiten[#All],MATCH(SubsidieTabel!$A30,Tb_Activiteiten[[#All],[Subsidiabele_Activiteit]],0),MATCH(SubsidieTabel!O$1,Tb_Activiteiten[#Headers],0))=1,$G30,0),0)</f>
        <v>0</v>
      </c>
      <c r="AD30" s="12" t="str">
        <f t="shared" si="5"/>
        <v>Kosten derden exclusief btw</v>
      </c>
      <c r="AE30" s="68" t="str">
        <f t="shared" si="6"/>
        <v/>
      </c>
      <c r="AF30" s="64">
        <f>IF(Tb_DBKosten[[#This Row],[Forfait]]=1,SUMIFS('8. Uitgaven betaalverzoek'!U:U,'8. Uitgaven betaalverzoek'!F:F,Tb_DBKosten[[#This Row],[KostenOmschrijving]],'8. Uitgaven betaalverzoek'!A:A,Tb_DBKosten[[#This Row],[Deelbetaling]]),0)</f>
        <v>0</v>
      </c>
      <c r="AG30" s="64">
        <f>IF(Tb_DBKosten[[#This Row],[Forfait]]=1,SUMIFS('8. Uitgaven betaalverzoek'!V:V,'8.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5">
        <v>0.23</v>
      </c>
      <c r="AJ30" s="64">
        <f>IF(Tb_DBKosten[[#This Row],[Forfait]]=1,SUMIFS('8. Uitgaven betaalverzoek'!W:W,'8. Uitgaven betaalverzoek'!F:F,Tb_DBKosten[[#This Row],[KostenOmschrijving]],'8. Uitgaven betaalverzoek'!A:A,Tb_DBKosten[[#This Row],[Deelbetaling]]),0)</f>
        <v>0</v>
      </c>
      <c r="AK30" s="64">
        <f>IF(Tb_DBKosten[[#This Row],[Forfait]]=1,SUMIFS('8. Uitgaven betaalverzoek'!X:X,'8. Uitgaven betaalverzoek'!F:F,Tb_DBKosten[[#This Row],[KostenOmschrijving]],'8. Uitgaven betaalverzoek'!A:A,Tb_DBKosten[[#This Row],[Deelbetaling]]),0)</f>
        <v>0</v>
      </c>
      <c r="AL30" s="64">
        <f>Tb_DBKosten[[#This Row],[Deelbetaling_Aanvraag]]+Tb_DBKosten[[#This Row],[Forfait_Bedrag]]</f>
        <v>0</v>
      </c>
      <c r="AM30" s="64">
        <f>Tb_DBKosten[[#This Row],[Deelbetaling_Beoordeeld]]+Tb_DBKosten[[#This Row],[Forfait_Bedrag_Beoordeeld]]</f>
        <v>0</v>
      </c>
      <c r="AN30" t="str">
        <f>IF(Tb_DBKosten[[#This Row],[Forfait]]=0,"Dit kostentype hoeft u niet op te geven. Hiervoor wordt een forfait berekend.","")</f>
        <v/>
      </c>
    </row>
    <row r="31" spans="1:40" x14ac:dyDescent="0.25">
      <c r="A31" s="12"/>
      <c r="B31" s="12"/>
      <c r="C31" s="12" t="str">
        <f>IFERROR(VLOOKUP($B31,Tb_ProjectKosten[],4,0),"")</f>
        <v/>
      </c>
      <c r="D31" s="12" t="str" cm="1">
        <f t="array" ref="D31">IFERROR(INDEX(Tb_KostenOpties[],MATCH(B31,Tb_KostenOpties[KostenOptie],0),IFERROR(MATCH(Methode_Keuze,Tb_KostenOpties[#Headers],0),2)),"")</f>
        <v/>
      </c>
      <c r="E31" s="284">
        <f>IFERROR(VLOOKUP(B31,Tb_ProjectKosten[[#All],[KostenOmschrijving]:[Forfait_Percentage]],6,0),0)</f>
        <v>0</v>
      </c>
      <c r="F31" s="285">
        <f>SUMIFS('5. Kosten uitvoering project'!P:P,'5. Kosten uitvoering project'!E:E,SubsidieTabel!A31,'5. Kosten uitvoering project'!F:F,SubsidieTabel!B31)</f>
        <v>0</v>
      </c>
      <c r="G31" s="285">
        <f>SUMIFS('5. Kosten uitvoering project'!Q:Q,'5. Kosten uitvoering project'!E:E,SubsidieTabel!A31,'5. Kosten uitvoering project'!F:F,SubsidieTabel!B31)</f>
        <v>0</v>
      </c>
      <c r="H31" s="285">
        <f>SUMIFS('5. Kosten uitvoering project'!R:R,'5. Kosten uitvoering project'!E:E,SubsidieTabel!A31,'5. Kosten uitvoering project'!F:F,SubsidieTabel!B31)</f>
        <v>0</v>
      </c>
      <c r="I31" s="285">
        <f>SUMIFS('5. Kosten uitvoering project'!S:S,'5. Kosten uitvoering project'!E:E,SubsidieTabel!A31,'5. Kosten uitvoering project'!F:F,SubsidieTabel!B31)</f>
        <v>0</v>
      </c>
      <c r="J31" s="285">
        <f t="shared" si="0"/>
        <v>0</v>
      </c>
      <c r="K31" s="285">
        <f t="shared" si="1"/>
        <v>0</v>
      </c>
      <c r="L31" s="284" t="str">
        <f>IFERROR(VLOOKUP(A31,Lijsten!$AK:$AL,2,0),"")</f>
        <v/>
      </c>
      <c r="M31" s="285">
        <f t="shared" si="2"/>
        <v>0</v>
      </c>
      <c r="N31" s="285">
        <f t="shared" si="3"/>
        <v>0</v>
      </c>
      <c r="O31" s="285">
        <f>IFERROR(IF(INDEX(Tb_Activiteiten[#All],MATCH(SubsidieTabel!$A31,Tb_Activiteiten[[#All],[Subsidiabele_Activiteit]],0),MATCH(SubsidieTabel!O$1,Tb_Activiteiten[#Headers],0))=1,SubsidieTabel!$J31,0),0)</f>
        <v>0</v>
      </c>
      <c r="P31" s="285">
        <f>IFERROR(IF(INDEX(Tb_Activiteiten[#All],MATCH(SubsidieTabel!$A31,Tb_Activiteiten[[#All],[Subsidiabele_Activiteit]],0),MATCH(SubsidieTabel!P$1,Tb_Activiteiten[#Headers],0))=1,SubsidieTabel!$K31,0),0)</f>
        <v>0</v>
      </c>
      <c r="Q31" s="285">
        <f>IFERROR(IF(INDEX(Tb_Activiteiten[#All],MATCH(SubsidieTabel!$A31,Tb_Activiteiten[[#All],[Subsidiabele_Activiteit]],0),MATCH(SubsidieTabel!Q$1,Tb_Activiteiten[#Headers],0))=1,SubsidieTabel!$J31,0),0)</f>
        <v>0</v>
      </c>
      <c r="R31" s="285">
        <f>IFERROR(IF(INDEX(Tb_Activiteiten[#All],MATCH(SubsidieTabel!$A31,Tb_Activiteiten[[#All],[Subsidiabele_Activiteit]],0),MATCH(SubsidieTabel!R$1,Tb_Activiteiten[#Headers],0))=1,SubsidieTabel!$K31,0),0)</f>
        <v>0</v>
      </c>
      <c r="S31" s="285">
        <f>IFERROR(IF(INDEX(Tb_Activiteiten[#All],MATCH(SubsidieTabel!$A31,Tb_Activiteiten[[#All],[Subsidiabele_Activiteit]],0),MATCH(SubsidieTabel!S$1,Tb_Activiteiten[#Headers],0))=1,SubsidieTabel!$J31,0),0)</f>
        <v>0</v>
      </c>
      <c r="T31" s="285">
        <f>IFERROR(IF(INDEX(Tb_Activiteiten[#All],MATCH(SubsidieTabel!$A31,Tb_Activiteiten[[#All],[Subsidiabele_Activiteit]],0),MATCH(SubsidieTabel!T$1,Tb_Activiteiten[#Headers],0))=1,SubsidieTabel!$K31,0),0)</f>
        <v>0</v>
      </c>
      <c r="U31" s="285">
        <f>IFERROR(IF(INDEX(Tb_Activiteiten[#All],MATCH(SubsidieTabel!$A31,Tb_Activiteiten[[#All],[Subsidiabele_Activiteit]],0),MATCH(SubsidieTabel!U$1,Tb_Activiteiten[#Headers],0))=1,SubsidieTabel!$J31,0),0)</f>
        <v>0</v>
      </c>
      <c r="V31" s="285">
        <f>IFERROR(IF(INDEX(Tb_Activiteiten[#All],MATCH(SubsidieTabel!$A31,Tb_Activiteiten[[#All],[Subsidiabele_Activiteit]],0),MATCH(SubsidieTabel!V$1,Tb_Activiteiten[#Headers],0))=1,SubsidieTabel!$K31,0),0)</f>
        <v>0</v>
      </c>
      <c r="W31" s="64">
        <f>IFERROR(IF(INDEX(Tb_Activiteiten[#All],MATCH(SubsidieTabel!$A31,Tb_Activiteiten[[#All],[Subsidiabele_Activiteit]],0),MATCH(SubsidieTabel!Q$1,Tb_Activiteiten[#Headers],0))=1,H31,0),0)</f>
        <v>0</v>
      </c>
      <c r="X31" s="64">
        <f>IFERROR(IF(INDEX(Tb_Activiteiten[#All],MATCH(SubsidieTabel!$A31,Tb_Activiteiten[[#All],[Subsidiabele_Activiteit]],0),MATCH(SubsidieTabel!Q$1,Tb_Activiteiten[#Headers],0))=1,I31,0),0)</f>
        <v>0</v>
      </c>
      <c r="Y31" s="64">
        <f>IFERROR(IF(INDEX(Tb_Activiteiten[#All],MATCH(SubsidieTabel!$A31,Tb_Activiteiten[[#All],[Subsidiabele_Activiteit]],0),MATCH(SubsidieTabel!S$1,Tb_Activiteiten[#Headers],0))=1,H31,0),0)</f>
        <v>0</v>
      </c>
      <c r="Z31" s="64">
        <f>IFERROR(IF(INDEX(Tb_Activiteiten[#All],MATCH(SubsidieTabel!$A31,Tb_Activiteiten[[#All],[Subsidiabele_Activiteit]],0),MATCH(SubsidieTabel!S$1,Tb_Activiteiten[#Headers],0))=1,I31,0),0)</f>
        <v>0</v>
      </c>
      <c r="AA31" s="64">
        <f>IFERROR(IF(INDEX(Tb_Activiteiten[#All],MATCH(SubsidieTabel!$A31,Tb_Activiteiten[[#All],[Subsidiabele_Activiteit]],0),MATCH(SubsidieTabel!O$1,Tb_Activiteiten[#Headers],0))=1,$F31,0),0)</f>
        <v>0</v>
      </c>
      <c r="AB31" s="64">
        <f>IFERROR(IF(INDEX(Tb_Activiteiten[#All],MATCH(SubsidieTabel!$A31,Tb_Activiteiten[[#All],[Subsidiabele_Activiteit]],0),MATCH(SubsidieTabel!O$1,Tb_Activiteiten[#Headers],0))=1,$G31,0),0)</f>
        <v>0</v>
      </c>
      <c r="AD31" s="12" t="str">
        <f t="shared" si="5"/>
        <v>Niet verrekenbare btw</v>
      </c>
      <c r="AE31" t="str">
        <f t="shared" si="6"/>
        <v/>
      </c>
      <c r="AF31" s="64">
        <f>IF(Tb_DBKosten[[#This Row],[Forfait]]=1,SUMIFS('8. Uitgaven betaalverzoek'!U:U,'8. Uitgaven betaalverzoek'!F:F,Tb_DBKosten[[#This Row],[KostenOmschrijving]],'8. Uitgaven betaalverzoek'!A:A,Tb_DBKosten[[#This Row],[Deelbetaling]]),0)</f>
        <v>0</v>
      </c>
      <c r="AG31" s="64">
        <f>IF(Tb_DBKosten[[#This Row],[Forfait]]=1,SUMIFS('8. Uitgaven betaalverzoek'!V:V,'8.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5">
        <v>0.23</v>
      </c>
      <c r="AJ31" s="64">
        <f>IF(Tb_DBKosten[[#This Row],[Forfait]]=1,SUMIFS('8. Uitgaven betaalverzoek'!W:W,'8. Uitgaven betaalverzoek'!F:F,Tb_DBKosten[[#This Row],[KostenOmschrijving]],'8. Uitgaven betaalverzoek'!A:A,Tb_DBKosten[[#This Row],[Deelbetaling]]),0)</f>
        <v>0</v>
      </c>
      <c r="AK31" s="64">
        <f>IF(Tb_DBKosten[[#This Row],[Forfait]]=1,SUMIFS('8. Uitgaven betaalverzoek'!X:X,'8. Uitgaven betaalverzoek'!F:F,Tb_DBKosten[[#This Row],[KostenOmschrijving]],'8. Uitgaven betaalverzoek'!A:A,Tb_DBKosten[[#This Row],[Deelbetaling]]),0)</f>
        <v>0</v>
      </c>
      <c r="AL31" s="64">
        <f>Tb_DBKosten[[#This Row],[Deelbetaling_Aanvraag]]+Tb_DBKosten[[#This Row],[Forfait_Bedrag]]</f>
        <v>0</v>
      </c>
      <c r="AM31" s="64">
        <f>Tb_DBKosten[[#This Row],[Deelbetaling_Beoordeeld]]+Tb_DBKosten[[#This Row],[Forfait_Bedrag_Beoordeeld]]</f>
        <v>0</v>
      </c>
      <c r="AN31" t="str">
        <f>IF(Tb_DBKosten[[#This Row],[Forfait]]=0,"Dit kostentype hoeft u niet op te geven. Hiervoor wordt een forfait berekend.","")</f>
        <v/>
      </c>
    </row>
    <row r="32" spans="1:40" x14ac:dyDescent="0.25">
      <c r="A32" s="63"/>
      <c r="B32" s="63"/>
      <c r="C32" s="63" t="str">
        <f>IFERROR(VLOOKUP($B32,Tb_ProjectKosten[],4,0),"")</f>
        <v/>
      </c>
      <c r="D32" s="63" t="str" cm="1">
        <f t="array" ref="D32">IFERROR(INDEX(Tb_KostenOpties[],MATCH(B32,Tb_KostenOpties[KostenOptie],0),IFERROR(MATCH(Methode_Keuze,Tb_KostenOpties[#Headers],0),2)),"")</f>
        <v/>
      </c>
      <c r="E32" s="286">
        <f>IFERROR(VLOOKUP(B32,Tb_ProjectKosten[[#All],[KostenOmschrijving]:[Forfait_Percentage]],6,0),0)</f>
        <v>0</v>
      </c>
      <c r="F32" s="287">
        <f>SUMIFS('5. Kosten uitvoering project'!P:P,'5. Kosten uitvoering project'!E:E,SubsidieTabel!A32,'5. Kosten uitvoering project'!F:F,SubsidieTabel!B32)</f>
        <v>0</v>
      </c>
      <c r="G32" s="287">
        <f>SUMIFS('5. Kosten uitvoering project'!Q:Q,'5. Kosten uitvoering project'!E:E,SubsidieTabel!A32,'5. Kosten uitvoering project'!F:F,SubsidieTabel!B32)</f>
        <v>0</v>
      </c>
      <c r="H32" s="287">
        <f>SUMIFS('5. Kosten uitvoering project'!R:R,'5. Kosten uitvoering project'!E:E,SubsidieTabel!A32,'5. Kosten uitvoering project'!F:F,SubsidieTabel!B32)</f>
        <v>0</v>
      </c>
      <c r="I32" s="287">
        <f>SUMIFS('5. Kosten uitvoering project'!S:S,'5. Kosten uitvoering project'!E:E,SubsidieTabel!A32,'5. Kosten uitvoering project'!F:F,SubsidieTabel!B32)</f>
        <v>0</v>
      </c>
      <c r="J32" s="287">
        <f t="shared" si="0"/>
        <v>0</v>
      </c>
      <c r="K32" s="287">
        <f t="shared" si="1"/>
        <v>0</v>
      </c>
      <c r="L32" s="286" t="str">
        <f>IFERROR(VLOOKUP(A32,Lijsten!$AK:$AL,2,0),"")</f>
        <v/>
      </c>
      <c r="M32" s="287">
        <f t="shared" si="2"/>
        <v>0</v>
      </c>
      <c r="N32" s="287">
        <f t="shared" si="3"/>
        <v>0</v>
      </c>
      <c r="O32" s="287">
        <f>IFERROR(IF(INDEX(Tb_Activiteiten[#All],MATCH(SubsidieTabel!$A32,Tb_Activiteiten[[#All],[Subsidiabele_Activiteit]],0),MATCH(SubsidieTabel!O$1,Tb_Activiteiten[#Headers],0))=1,SubsidieTabel!$J32,0),0)</f>
        <v>0</v>
      </c>
      <c r="P32" s="287">
        <f>IFERROR(IF(INDEX(Tb_Activiteiten[#All],MATCH(SubsidieTabel!$A32,Tb_Activiteiten[[#All],[Subsidiabele_Activiteit]],0),MATCH(SubsidieTabel!P$1,Tb_Activiteiten[#Headers],0))=1,SubsidieTabel!$K32,0),0)</f>
        <v>0</v>
      </c>
      <c r="Q32" s="287">
        <f>IFERROR(IF(INDEX(Tb_Activiteiten[#All],MATCH(SubsidieTabel!$A32,Tb_Activiteiten[[#All],[Subsidiabele_Activiteit]],0),MATCH(SubsidieTabel!Q$1,Tb_Activiteiten[#Headers],0))=1,SubsidieTabel!$J32,0),0)</f>
        <v>0</v>
      </c>
      <c r="R32" s="287">
        <f>IFERROR(IF(INDEX(Tb_Activiteiten[#All],MATCH(SubsidieTabel!$A32,Tb_Activiteiten[[#All],[Subsidiabele_Activiteit]],0),MATCH(SubsidieTabel!R$1,Tb_Activiteiten[#Headers],0))=1,SubsidieTabel!$K32,0),0)</f>
        <v>0</v>
      </c>
      <c r="S32" s="287">
        <f>IFERROR(IF(INDEX(Tb_Activiteiten[#All],MATCH(SubsidieTabel!$A32,Tb_Activiteiten[[#All],[Subsidiabele_Activiteit]],0),MATCH(SubsidieTabel!S$1,Tb_Activiteiten[#Headers],0))=1,SubsidieTabel!$J32,0),0)</f>
        <v>0</v>
      </c>
      <c r="T32" s="287">
        <f>IFERROR(IF(INDEX(Tb_Activiteiten[#All],MATCH(SubsidieTabel!$A32,Tb_Activiteiten[[#All],[Subsidiabele_Activiteit]],0),MATCH(SubsidieTabel!T$1,Tb_Activiteiten[#Headers],0))=1,SubsidieTabel!$K32,0),0)</f>
        <v>0</v>
      </c>
      <c r="U32" s="287">
        <f>IFERROR(IF(INDEX(Tb_Activiteiten[#All],MATCH(SubsidieTabel!$A32,Tb_Activiteiten[[#All],[Subsidiabele_Activiteit]],0),MATCH(SubsidieTabel!U$1,Tb_Activiteiten[#Headers],0))=1,SubsidieTabel!$J32,0),0)</f>
        <v>0</v>
      </c>
      <c r="V32" s="287">
        <f>IFERROR(IF(INDEX(Tb_Activiteiten[#All],MATCH(SubsidieTabel!$A32,Tb_Activiteiten[[#All],[Subsidiabele_Activiteit]],0),MATCH(SubsidieTabel!V$1,Tb_Activiteiten[#Headers],0))=1,SubsidieTabel!$K32,0),0)</f>
        <v>0</v>
      </c>
      <c r="W32" s="374">
        <f>IFERROR(IF(INDEX(Tb_Activiteiten[#All],MATCH(SubsidieTabel!$A32,Tb_Activiteiten[[#All],[Subsidiabele_Activiteit]],0),MATCH(SubsidieTabel!Q$1,Tb_Activiteiten[#Headers],0))=1,H32,0),0)</f>
        <v>0</v>
      </c>
      <c r="X32" s="374">
        <f>IFERROR(IF(INDEX(Tb_Activiteiten[#All],MATCH(SubsidieTabel!$A32,Tb_Activiteiten[[#All],[Subsidiabele_Activiteit]],0),MATCH(SubsidieTabel!Q$1,Tb_Activiteiten[#Headers],0))=1,I32,0),0)</f>
        <v>0</v>
      </c>
      <c r="Y32" s="374">
        <f>IFERROR(IF(INDEX(Tb_Activiteiten[#All],MATCH(SubsidieTabel!$A32,Tb_Activiteiten[[#All],[Subsidiabele_Activiteit]],0),MATCH(SubsidieTabel!S$1,Tb_Activiteiten[#Headers],0))=1,H32,0),0)</f>
        <v>0</v>
      </c>
      <c r="Z32" s="374">
        <f>IFERROR(IF(INDEX(Tb_Activiteiten[#All],MATCH(SubsidieTabel!$A32,Tb_Activiteiten[[#All],[Subsidiabele_Activiteit]],0),MATCH(SubsidieTabel!S$1,Tb_Activiteiten[#Headers],0))=1,I32,0),0)</f>
        <v>0</v>
      </c>
      <c r="AA32" s="374">
        <f>IFERROR(IF(INDEX(Tb_Activiteiten[#All],MATCH(SubsidieTabel!$A32,Tb_Activiteiten[[#All],[Subsidiabele_Activiteit]],0),MATCH(SubsidieTabel!O$1,Tb_Activiteiten[#Headers],0))=1,$F32,0),0)</f>
        <v>0</v>
      </c>
      <c r="AB32" s="374">
        <f>IFERROR(IF(INDEX(Tb_Activiteiten[#All],MATCH(SubsidieTabel!$A32,Tb_Activiteiten[[#All],[Subsidiabele_Activiteit]],0),MATCH(SubsidieTabel!O$1,Tb_Activiteiten[#Headers],0))=1,$G32,0),0)</f>
        <v>0</v>
      </c>
      <c r="AD32" s="12" t="str">
        <f t="shared" si="5"/>
        <v>Grondkosten</v>
      </c>
      <c r="AE32" s="68" t="str">
        <f t="shared" si="6"/>
        <v/>
      </c>
      <c r="AF32" s="64">
        <f>IF(Tb_DBKosten[[#This Row],[Forfait]]=1,SUMIFS('8. Uitgaven betaalverzoek'!U:U,'8. Uitgaven betaalverzoek'!F:F,Tb_DBKosten[[#This Row],[KostenOmschrijving]],'8. Uitgaven betaalverzoek'!A:A,Tb_DBKosten[[#This Row],[Deelbetaling]]),0)</f>
        <v>0</v>
      </c>
      <c r="AG32" s="64">
        <f>IF(Tb_DBKosten[[#This Row],[Forfait]]=1,SUMIFS('8. Uitgaven betaalverzoek'!V:V,'8.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5">
        <v>0.23</v>
      </c>
      <c r="AJ32" s="64">
        <f>IF(Tb_DBKosten[[#This Row],[Forfait]]=1,SUMIFS('8. Uitgaven betaalverzoek'!W:W,'8. Uitgaven betaalverzoek'!F:F,Tb_DBKosten[[#This Row],[KostenOmschrijving]],'8. Uitgaven betaalverzoek'!A:A,Tb_DBKosten[[#This Row],[Deelbetaling]]),0)</f>
        <v>0</v>
      </c>
      <c r="AK32" s="64">
        <f>IF(Tb_DBKosten[[#This Row],[Forfait]]=1,SUMIFS('8. Uitgaven betaalverzoek'!X:X,'8. Uitgaven betaalverzoek'!F:F,Tb_DBKosten[[#This Row],[KostenOmschrijving]],'8. Uitgaven betaalverzoek'!A:A,Tb_DBKosten[[#This Row],[Deelbetaling]]),0)</f>
        <v>0</v>
      </c>
      <c r="AL32" s="64">
        <f>Tb_DBKosten[[#This Row],[Deelbetaling_Aanvraag]]+Tb_DBKosten[[#This Row],[Forfait_Bedrag]]</f>
        <v>0</v>
      </c>
      <c r="AM32" s="64">
        <f>Tb_DBKosten[[#This Row],[Deelbetaling_Beoordeeld]]+Tb_DBKosten[[#This Row],[Forfait_Bedrag_Beoordeeld]]</f>
        <v>0</v>
      </c>
      <c r="AN32" t="str">
        <f>IF(Tb_DBKosten[[#This Row],[Forfait]]=0,"Dit kostentype hoeft u niet op te geven. Hiervoor wordt een forfait berekend.","")</f>
        <v/>
      </c>
    </row>
    <row r="33" spans="1:40" x14ac:dyDescent="0.25">
      <c r="A33" s="12"/>
      <c r="B33" s="12"/>
      <c r="C33" s="12" t="str">
        <f>IFERROR(VLOOKUP($B33,Tb_ProjectKosten[],4,0),"")</f>
        <v/>
      </c>
      <c r="D33" s="12" t="str" cm="1">
        <f t="array" ref="D33">IFERROR(INDEX(Tb_KostenOpties[],MATCH(B33,Tb_KostenOpties[KostenOptie],0),IFERROR(MATCH(Methode_Keuze,Tb_KostenOpties[#Headers],0),2)),"")</f>
        <v/>
      </c>
      <c r="E33" s="284">
        <f>IFERROR(VLOOKUP(B33,Tb_ProjectKosten[[#All],[KostenOmschrijving]:[Forfait_Percentage]],6,0),0)</f>
        <v>0</v>
      </c>
      <c r="F33" s="285">
        <f>SUMIFS('5. Kosten uitvoering project'!P:P,'5. Kosten uitvoering project'!E:E,SubsidieTabel!A33,'5. Kosten uitvoering project'!F:F,SubsidieTabel!B33)</f>
        <v>0</v>
      </c>
      <c r="G33" s="285">
        <f>SUMIFS('5. Kosten uitvoering project'!Q:Q,'5. Kosten uitvoering project'!E:E,SubsidieTabel!A33,'5. Kosten uitvoering project'!F:F,SubsidieTabel!B33)</f>
        <v>0</v>
      </c>
      <c r="H33" s="285">
        <f>SUMIFS('5. Kosten uitvoering project'!R:R,'5. Kosten uitvoering project'!E:E,SubsidieTabel!A33,'5. Kosten uitvoering project'!F:F,SubsidieTabel!B33)</f>
        <v>0</v>
      </c>
      <c r="I33" s="285">
        <f>SUMIFS('5. Kosten uitvoering project'!S:S,'5. Kosten uitvoering project'!E:E,SubsidieTabel!A33,'5. Kosten uitvoering project'!F:F,SubsidieTabel!B33)</f>
        <v>0</v>
      </c>
      <c r="J33" s="285">
        <f t="shared" si="0"/>
        <v>0</v>
      </c>
      <c r="K33" s="285">
        <f t="shared" si="1"/>
        <v>0</v>
      </c>
      <c r="L33" s="284" t="str">
        <f>IFERROR(VLOOKUP(A33,Lijsten!$AK:$AL,2,0),"")</f>
        <v/>
      </c>
      <c r="M33" s="285">
        <f t="shared" si="2"/>
        <v>0</v>
      </c>
      <c r="N33" s="285">
        <f t="shared" si="3"/>
        <v>0</v>
      </c>
      <c r="O33" s="285">
        <f>IFERROR(IF(INDEX(Tb_Activiteiten[#All],MATCH(SubsidieTabel!$A33,Tb_Activiteiten[[#All],[Subsidiabele_Activiteit]],0),MATCH(SubsidieTabel!O$1,Tb_Activiteiten[#Headers],0))=1,SubsidieTabel!$J33,0),0)</f>
        <v>0</v>
      </c>
      <c r="P33" s="285">
        <f>IFERROR(IF(INDEX(Tb_Activiteiten[#All],MATCH(SubsidieTabel!$A33,Tb_Activiteiten[[#All],[Subsidiabele_Activiteit]],0),MATCH(SubsidieTabel!P$1,Tb_Activiteiten[#Headers],0))=1,SubsidieTabel!$K33,0),0)</f>
        <v>0</v>
      </c>
      <c r="Q33" s="285">
        <f>IFERROR(IF(INDEX(Tb_Activiteiten[#All],MATCH(SubsidieTabel!$A33,Tb_Activiteiten[[#All],[Subsidiabele_Activiteit]],0),MATCH(SubsidieTabel!Q$1,Tb_Activiteiten[#Headers],0))=1,SubsidieTabel!$J33,0),0)</f>
        <v>0</v>
      </c>
      <c r="R33" s="285">
        <f>IFERROR(IF(INDEX(Tb_Activiteiten[#All],MATCH(SubsidieTabel!$A33,Tb_Activiteiten[[#All],[Subsidiabele_Activiteit]],0),MATCH(SubsidieTabel!R$1,Tb_Activiteiten[#Headers],0))=1,SubsidieTabel!$K33,0),0)</f>
        <v>0</v>
      </c>
      <c r="S33" s="285">
        <f>IFERROR(IF(INDEX(Tb_Activiteiten[#All],MATCH(SubsidieTabel!$A33,Tb_Activiteiten[[#All],[Subsidiabele_Activiteit]],0),MATCH(SubsidieTabel!S$1,Tb_Activiteiten[#Headers],0))=1,SubsidieTabel!$J33,0),0)</f>
        <v>0</v>
      </c>
      <c r="T33" s="285">
        <f>IFERROR(IF(INDEX(Tb_Activiteiten[#All],MATCH(SubsidieTabel!$A33,Tb_Activiteiten[[#All],[Subsidiabele_Activiteit]],0),MATCH(SubsidieTabel!T$1,Tb_Activiteiten[#Headers],0))=1,SubsidieTabel!$K33,0),0)</f>
        <v>0</v>
      </c>
      <c r="U33" s="285">
        <f>IFERROR(IF(INDEX(Tb_Activiteiten[#All],MATCH(SubsidieTabel!$A33,Tb_Activiteiten[[#All],[Subsidiabele_Activiteit]],0),MATCH(SubsidieTabel!U$1,Tb_Activiteiten[#Headers],0))=1,SubsidieTabel!$J33,0),0)</f>
        <v>0</v>
      </c>
      <c r="V33" s="285">
        <f>IFERROR(IF(INDEX(Tb_Activiteiten[#All],MATCH(SubsidieTabel!$A33,Tb_Activiteiten[[#All],[Subsidiabele_Activiteit]],0),MATCH(SubsidieTabel!V$1,Tb_Activiteiten[#Headers],0))=1,SubsidieTabel!$K33,0),0)</f>
        <v>0</v>
      </c>
      <c r="W33" s="64">
        <f>IFERROR(IF(INDEX(Tb_Activiteiten[#All],MATCH(SubsidieTabel!$A33,Tb_Activiteiten[[#All],[Subsidiabele_Activiteit]],0),MATCH(SubsidieTabel!Q$1,Tb_Activiteiten[#Headers],0))=1,H33,0),0)</f>
        <v>0</v>
      </c>
      <c r="X33" s="64">
        <f>IFERROR(IF(INDEX(Tb_Activiteiten[#All],MATCH(SubsidieTabel!$A33,Tb_Activiteiten[[#All],[Subsidiabele_Activiteit]],0),MATCH(SubsidieTabel!Q$1,Tb_Activiteiten[#Headers],0))=1,I33,0),0)</f>
        <v>0</v>
      </c>
      <c r="Y33" s="64">
        <f>IFERROR(IF(INDEX(Tb_Activiteiten[#All],MATCH(SubsidieTabel!$A33,Tb_Activiteiten[[#All],[Subsidiabele_Activiteit]],0),MATCH(SubsidieTabel!S$1,Tb_Activiteiten[#Headers],0))=1,H33,0),0)</f>
        <v>0</v>
      </c>
      <c r="Z33" s="64">
        <f>IFERROR(IF(INDEX(Tb_Activiteiten[#All],MATCH(SubsidieTabel!$A33,Tb_Activiteiten[[#All],[Subsidiabele_Activiteit]],0),MATCH(SubsidieTabel!S$1,Tb_Activiteiten[#Headers],0))=1,I33,0),0)</f>
        <v>0</v>
      </c>
      <c r="AA33" s="64">
        <f>IFERROR(IF(INDEX(Tb_Activiteiten[#All],MATCH(SubsidieTabel!$A33,Tb_Activiteiten[[#All],[Subsidiabele_Activiteit]],0),MATCH(SubsidieTabel!O$1,Tb_Activiteiten[#Headers],0))=1,$F33,0),0)</f>
        <v>0</v>
      </c>
      <c r="AB33" s="64">
        <f>IFERROR(IF(INDEX(Tb_Activiteiten[#All],MATCH(SubsidieTabel!$A33,Tb_Activiteiten[[#All],[Subsidiabele_Activiteit]],0),MATCH(SubsidieTabel!O$1,Tb_Activiteiten[#Headers],0))=1,$G33,0),0)</f>
        <v>0</v>
      </c>
      <c r="AD33" s="12" t="str">
        <f t="shared" si="5"/>
        <v>Bijdrage in natura (overige)</v>
      </c>
      <c r="AE33" t="str">
        <f t="shared" si="6"/>
        <v/>
      </c>
      <c r="AF33" s="64">
        <f>IF(Tb_DBKosten[[#This Row],[Forfait]]=1,SUMIFS('8. Uitgaven betaalverzoek'!U:U,'8. Uitgaven betaalverzoek'!F:F,Tb_DBKosten[[#This Row],[KostenOmschrijving]],'8. Uitgaven betaalverzoek'!A:A,Tb_DBKosten[[#This Row],[Deelbetaling]]),0)</f>
        <v>0</v>
      </c>
      <c r="AG33" s="64">
        <f>IF(Tb_DBKosten[[#This Row],[Forfait]]=1,SUMIFS('8. Uitgaven betaalverzoek'!V:V,'8.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5">
        <v>0.23</v>
      </c>
      <c r="AJ33" s="64">
        <f>IF(Tb_DBKosten[[#This Row],[Forfait]]=1,SUMIFS('8. Uitgaven betaalverzoek'!W:W,'8. Uitgaven betaalverzoek'!F:F,Tb_DBKosten[[#This Row],[KostenOmschrijving]],'8. Uitgaven betaalverzoek'!A:A,Tb_DBKosten[[#This Row],[Deelbetaling]]),0)</f>
        <v>0</v>
      </c>
      <c r="AK33" s="64">
        <f>IF(Tb_DBKosten[[#This Row],[Forfait]]=1,SUMIFS('8. Uitgaven betaalverzoek'!X:X,'8. Uitgaven betaalverzoek'!F:F,Tb_DBKosten[[#This Row],[KostenOmschrijving]],'8. Uitgaven betaalverzoek'!A:A,Tb_DBKosten[[#This Row],[Deelbetaling]]),0)</f>
        <v>0</v>
      </c>
      <c r="AL33" s="64">
        <f>Tb_DBKosten[[#This Row],[Deelbetaling_Aanvraag]]+Tb_DBKosten[[#This Row],[Forfait_Bedrag]]</f>
        <v>0</v>
      </c>
      <c r="AM33" s="64">
        <f>Tb_DBKosten[[#This Row],[Deelbetaling_Beoordeeld]]+Tb_DBKosten[[#This Row],[Forfait_Bedrag_Beoordeeld]]</f>
        <v>0</v>
      </c>
      <c r="AN33" t="str">
        <f>IF(Tb_DBKosten[[#This Row],[Forfait]]=0,"Dit kostentype hoeft u niet op te geven. Hiervoor wordt een forfait berekend.","")</f>
        <v/>
      </c>
    </row>
    <row r="34" spans="1:40" x14ac:dyDescent="0.25">
      <c r="A34" s="63"/>
      <c r="B34" s="63"/>
      <c r="C34" s="63" t="str">
        <f>IFERROR(VLOOKUP($B34,Tb_ProjectKosten[],4,0),"")</f>
        <v/>
      </c>
      <c r="D34" s="63" t="str" cm="1">
        <f t="array" ref="D34">IFERROR(INDEX(Tb_KostenOpties[],MATCH(B34,Tb_KostenOpties[KostenOptie],0),IFERROR(MATCH(Methode_Keuze,Tb_KostenOpties[#Headers],0),2)),"")</f>
        <v/>
      </c>
      <c r="E34" s="286">
        <f>IFERROR(VLOOKUP(B34,Tb_ProjectKosten[[#All],[KostenOmschrijving]:[Forfait_Percentage]],6,0),0)</f>
        <v>0</v>
      </c>
      <c r="F34" s="287">
        <f>SUMIFS('5. Kosten uitvoering project'!P:P,'5. Kosten uitvoering project'!E:E,SubsidieTabel!A34,'5. Kosten uitvoering project'!F:F,SubsidieTabel!B34)</f>
        <v>0</v>
      </c>
      <c r="G34" s="287">
        <f>SUMIFS('5. Kosten uitvoering project'!Q:Q,'5. Kosten uitvoering project'!E:E,SubsidieTabel!A34,'5. Kosten uitvoering project'!F:F,SubsidieTabel!B34)</f>
        <v>0</v>
      </c>
      <c r="H34" s="287">
        <f>SUMIFS('5. Kosten uitvoering project'!R:R,'5. Kosten uitvoering project'!E:E,SubsidieTabel!A34,'5. Kosten uitvoering project'!F:F,SubsidieTabel!B34)</f>
        <v>0</v>
      </c>
      <c r="I34" s="287">
        <f>SUMIFS('5. Kosten uitvoering project'!S:S,'5. Kosten uitvoering project'!E:E,SubsidieTabel!A34,'5. Kosten uitvoering project'!F:F,SubsidieTabel!B34)</f>
        <v>0</v>
      </c>
      <c r="J34" s="287">
        <f t="shared" si="0"/>
        <v>0</v>
      </c>
      <c r="K34" s="287">
        <f t="shared" si="1"/>
        <v>0</v>
      </c>
      <c r="L34" s="286" t="str">
        <f>IFERROR(VLOOKUP(A34,Lijsten!$AK:$AL,2,0),"")</f>
        <v/>
      </c>
      <c r="M34" s="287">
        <f t="shared" si="2"/>
        <v>0</v>
      </c>
      <c r="N34" s="287">
        <f t="shared" si="3"/>
        <v>0</v>
      </c>
      <c r="O34" s="287">
        <f>IFERROR(IF(INDEX(Tb_Activiteiten[#All],MATCH(SubsidieTabel!$A34,Tb_Activiteiten[[#All],[Subsidiabele_Activiteit]],0),MATCH(SubsidieTabel!O$1,Tb_Activiteiten[#Headers],0))=1,SubsidieTabel!$J34,0),0)</f>
        <v>0</v>
      </c>
      <c r="P34" s="287">
        <f>IFERROR(IF(INDEX(Tb_Activiteiten[#All],MATCH(SubsidieTabel!$A34,Tb_Activiteiten[[#All],[Subsidiabele_Activiteit]],0),MATCH(SubsidieTabel!P$1,Tb_Activiteiten[#Headers],0))=1,SubsidieTabel!$K34,0),0)</f>
        <v>0</v>
      </c>
      <c r="Q34" s="287">
        <f>IFERROR(IF(INDEX(Tb_Activiteiten[#All],MATCH(SubsidieTabel!$A34,Tb_Activiteiten[[#All],[Subsidiabele_Activiteit]],0),MATCH(SubsidieTabel!Q$1,Tb_Activiteiten[#Headers],0))=1,SubsidieTabel!$J34,0),0)</f>
        <v>0</v>
      </c>
      <c r="R34" s="287">
        <f>IFERROR(IF(INDEX(Tb_Activiteiten[#All],MATCH(SubsidieTabel!$A34,Tb_Activiteiten[[#All],[Subsidiabele_Activiteit]],0),MATCH(SubsidieTabel!R$1,Tb_Activiteiten[#Headers],0))=1,SubsidieTabel!$K34,0),0)</f>
        <v>0</v>
      </c>
      <c r="S34" s="287">
        <f>IFERROR(IF(INDEX(Tb_Activiteiten[#All],MATCH(SubsidieTabel!$A34,Tb_Activiteiten[[#All],[Subsidiabele_Activiteit]],0),MATCH(SubsidieTabel!S$1,Tb_Activiteiten[#Headers],0))=1,SubsidieTabel!$J34,0),0)</f>
        <v>0</v>
      </c>
      <c r="T34" s="287">
        <f>IFERROR(IF(INDEX(Tb_Activiteiten[#All],MATCH(SubsidieTabel!$A34,Tb_Activiteiten[[#All],[Subsidiabele_Activiteit]],0),MATCH(SubsidieTabel!T$1,Tb_Activiteiten[#Headers],0))=1,SubsidieTabel!$K34,0),0)</f>
        <v>0</v>
      </c>
      <c r="U34" s="287">
        <f>IFERROR(IF(INDEX(Tb_Activiteiten[#All],MATCH(SubsidieTabel!$A34,Tb_Activiteiten[[#All],[Subsidiabele_Activiteit]],0),MATCH(SubsidieTabel!U$1,Tb_Activiteiten[#Headers],0))=1,SubsidieTabel!$J34,0),0)</f>
        <v>0</v>
      </c>
      <c r="V34" s="287">
        <f>IFERROR(IF(INDEX(Tb_Activiteiten[#All],MATCH(SubsidieTabel!$A34,Tb_Activiteiten[[#All],[Subsidiabele_Activiteit]],0),MATCH(SubsidieTabel!V$1,Tb_Activiteiten[#Headers],0))=1,SubsidieTabel!$K34,0),0)</f>
        <v>0</v>
      </c>
      <c r="W34" s="374">
        <f>IFERROR(IF(INDEX(Tb_Activiteiten[#All],MATCH(SubsidieTabel!$A34,Tb_Activiteiten[[#All],[Subsidiabele_Activiteit]],0),MATCH(SubsidieTabel!Q$1,Tb_Activiteiten[#Headers],0))=1,H34,0),0)</f>
        <v>0</v>
      </c>
      <c r="X34" s="374">
        <f>IFERROR(IF(INDEX(Tb_Activiteiten[#All],MATCH(SubsidieTabel!$A34,Tb_Activiteiten[[#All],[Subsidiabele_Activiteit]],0),MATCH(SubsidieTabel!Q$1,Tb_Activiteiten[#Headers],0))=1,I34,0),0)</f>
        <v>0</v>
      </c>
      <c r="Y34" s="374">
        <f>IFERROR(IF(INDEX(Tb_Activiteiten[#All],MATCH(SubsidieTabel!$A34,Tb_Activiteiten[[#All],[Subsidiabele_Activiteit]],0),MATCH(SubsidieTabel!S$1,Tb_Activiteiten[#Headers],0))=1,H34,0),0)</f>
        <v>0</v>
      </c>
      <c r="Z34" s="374">
        <f>IFERROR(IF(INDEX(Tb_Activiteiten[#All],MATCH(SubsidieTabel!$A34,Tb_Activiteiten[[#All],[Subsidiabele_Activiteit]],0),MATCH(SubsidieTabel!S$1,Tb_Activiteiten[#Headers],0))=1,I34,0),0)</f>
        <v>0</v>
      </c>
      <c r="AA34" s="374">
        <f>IFERROR(IF(INDEX(Tb_Activiteiten[#All],MATCH(SubsidieTabel!$A34,Tb_Activiteiten[[#All],[Subsidiabele_Activiteit]],0),MATCH(SubsidieTabel!O$1,Tb_Activiteiten[#Headers],0))=1,$F34,0),0)</f>
        <v>0</v>
      </c>
      <c r="AB34" s="374">
        <f>IFERROR(IF(INDEX(Tb_Activiteiten[#All],MATCH(SubsidieTabel!$A34,Tb_Activiteiten[[#All],[Subsidiabele_Activiteit]],0),MATCH(SubsidieTabel!O$1,Tb_Activiteiten[#Headers],0))=1,$G34,0),0)</f>
        <v>0</v>
      </c>
      <c r="AD34" s="12" t="str">
        <f t="shared" si="5"/>
        <v>Bijdrage in natura (vrijwilligers)</v>
      </c>
      <c r="AE34" s="68" t="str">
        <f t="shared" si="6"/>
        <v/>
      </c>
      <c r="AF34" s="64">
        <f>IF(Tb_DBKosten[[#This Row],[Forfait]]=1,SUMIFS('8. Uitgaven betaalverzoek'!U:U,'8. Uitgaven betaalverzoek'!F:F,Tb_DBKosten[[#This Row],[KostenOmschrijving]],'8. Uitgaven betaalverzoek'!A:A,Tb_DBKosten[[#This Row],[Deelbetaling]]),0)</f>
        <v>0</v>
      </c>
      <c r="AG34" s="64">
        <f>IF(Tb_DBKosten[[#This Row],[Forfait]]=1,SUMIFS('8. Uitgaven betaalverzoek'!V:V,'8.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5">
        <v>0.23</v>
      </c>
      <c r="AJ34" s="64">
        <f>IF(Tb_DBKosten[[#This Row],[Forfait]]=1,SUMIFS('8. Uitgaven betaalverzoek'!W:W,'8. Uitgaven betaalverzoek'!F:F,Tb_DBKosten[[#This Row],[KostenOmschrijving]],'8. Uitgaven betaalverzoek'!A:A,Tb_DBKosten[[#This Row],[Deelbetaling]]),0)</f>
        <v>0</v>
      </c>
      <c r="AK34" s="64">
        <f>IF(Tb_DBKosten[[#This Row],[Forfait]]=1,SUMIFS('8. Uitgaven betaalverzoek'!X:X,'8. Uitgaven betaalverzoek'!F:F,Tb_DBKosten[[#This Row],[KostenOmschrijving]],'8. Uitgaven betaalverzoek'!A:A,Tb_DBKosten[[#This Row],[Deelbetaling]]),0)</f>
        <v>0</v>
      </c>
      <c r="AL34" s="64">
        <f>Tb_DBKosten[[#This Row],[Deelbetaling_Aanvraag]]+Tb_DBKosten[[#This Row],[Forfait_Bedrag]]</f>
        <v>0</v>
      </c>
      <c r="AM34" s="64">
        <f>Tb_DBKosten[[#This Row],[Deelbetaling_Beoordeeld]]+Tb_DBKosten[[#This Row],[Forfait_Bedrag_Beoordeeld]]</f>
        <v>0</v>
      </c>
      <c r="AN34" t="str">
        <f>IF(Tb_DBKosten[[#This Row],[Forfait]]=0,"Dit kostentype hoeft u niet op te geven. Hiervoor wordt een forfait berekend.","")</f>
        <v/>
      </c>
    </row>
    <row r="35" spans="1:40" x14ac:dyDescent="0.25">
      <c r="A35" s="12"/>
      <c r="B35" s="12"/>
      <c r="C35" s="12" t="str">
        <f>IFERROR(VLOOKUP($B35,Tb_ProjectKosten[],4,0),"")</f>
        <v/>
      </c>
      <c r="D35" s="12" t="str" cm="1">
        <f t="array" ref="D35">IFERROR(INDEX(Tb_KostenOpties[],MATCH(B35,Tb_KostenOpties[KostenOptie],0),IFERROR(MATCH(Methode_Keuze,Tb_KostenOpties[#Headers],0),2)),"")</f>
        <v/>
      </c>
      <c r="E35" s="284">
        <f>IFERROR(VLOOKUP(B35,Tb_ProjectKosten[[#All],[KostenOmschrijving]:[Forfait_Percentage]],6,0),0)</f>
        <v>0</v>
      </c>
      <c r="F35" s="285">
        <f>SUMIFS('5. Kosten uitvoering project'!P:P,'5. Kosten uitvoering project'!E:E,SubsidieTabel!A35,'5. Kosten uitvoering project'!F:F,SubsidieTabel!B35)</f>
        <v>0</v>
      </c>
      <c r="G35" s="285">
        <f>SUMIFS('5. Kosten uitvoering project'!Q:Q,'5. Kosten uitvoering project'!E:E,SubsidieTabel!A35,'5. Kosten uitvoering project'!F:F,SubsidieTabel!B35)</f>
        <v>0</v>
      </c>
      <c r="H35" s="285">
        <f>SUMIFS('5. Kosten uitvoering project'!R:R,'5. Kosten uitvoering project'!E:E,SubsidieTabel!A35,'5. Kosten uitvoering project'!F:F,SubsidieTabel!B35)</f>
        <v>0</v>
      </c>
      <c r="I35" s="285">
        <f>SUMIFS('5. Kosten uitvoering project'!S:S,'5. Kosten uitvoering project'!E:E,SubsidieTabel!A35,'5. Kosten uitvoering project'!F:F,SubsidieTabel!B35)</f>
        <v>0</v>
      </c>
      <c r="J35" s="285">
        <f t="shared" si="0"/>
        <v>0</v>
      </c>
      <c r="K35" s="285">
        <f t="shared" si="1"/>
        <v>0</v>
      </c>
      <c r="L35" s="284" t="str">
        <f>IFERROR(VLOOKUP(A35,Lijsten!$AK:$AL,2,0),"")</f>
        <v/>
      </c>
      <c r="M35" s="285">
        <f t="shared" si="2"/>
        <v>0</v>
      </c>
      <c r="N35" s="285">
        <f t="shared" si="3"/>
        <v>0</v>
      </c>
      <c r="O35" s="285">
        <f>IFERROR(IF(INDEX(Tb_Activiteiten[#All],MATCH(SubsidieTabel!$A35,Tb_Activiteiten[[#All],[Subsidiabele_Activiteit]],0),MATCH(SubsidieTabel!O$1,Tb_Activiteiten[#Headers],0))=1,SubsidieTabel!$J35,0),0)</f>
        <v>0</v>
      </c>
      <c r="P35" s="285">
        <f>IFERROR(IF(INDEX(Tb_Activiteiten[#All],MATCH(SubsidieTabel!$A35,Tb_Activiteiten[[#All],[Subsidiabele_Activiteit]],0),MATCH(SubsidieTabel!P$1,Tb_Activiteiten[#Headers],0))=1,SubsidieTabel!$K35,0),0)</f>
        <v>0</v>
      </c>
      <c r="Q35" s="285">
        <f>IFERROR(IF(INDEX(Tb_Activiteiten[#All],MATCH(SubsidieTabel!$A35,Tb_Activiteiten[[#All],[Subsidiabele_Activiteit]],0),MATCH(SubsidieTabel!Q$1,Tb_Activiteiten[#Headers],0))=1,SubsidieTabel!$J35,0),0)</f>
        <v>0</v>
      </c>
      <c r="R35" s="285">
        <f>IFERROR(IF(INDEX(Tb_Activiteiten[#All],MATCH(SubsidieTabel!$A35,Tb_Activiteiten[[#All],[Subsidiabele_Activiteit]],0),MATCH(SubsidieTabel!R$1,Tb_Activiteiten[#Headers],0))=1,SubsidieTabel!$K35,0),0)</f>
        <v>0</v>
      </c>
      <c r="S35" s="285">
        <f>IFERROR(IF(INDEX(Tb_Activiteiten[#All],MATCH(SubsidieTabel!$A35,Tb_Activiteiten[[#All],[Subsidiabele_Activiteit]],0),MATCH(SubsidieTabel!S$1,Tb_Activiteiten[#Headers],0))=1,SubsidieTabel!$J35,0),0)</f>
        <v>0</v>
      </c>
      <c r="T35" s="285">
        <f>IFERROR(IF(INDEX(Tb_Activiteiten[#All],MATCH(SubsidieTabel!$A35,Tb_Activiteiten[[#All],[Subsidiabele_Activiteit]],0),MATCH(SubsidieTabel!T$1,Tb_Activiteiten[#Headers],0))=1,SubsidieTabel!$K35,0),0)</f>
        <v>0</v>
      </c>
      <c r="U35" s="285">
        <f>IFERROR(IF(INDEX(Tb_Activiteiten[#All],MATCH(SubsidieTabel!$A35,Tb_Activiteiten[[#All],[Subsidiabele_Activiteit]],0),MATCH(SubsidieTabel!U$1,Tb_Activiteiten[#Headers],0))=1,SubsidieTabel!$J35,0),0)</f>
        <v>0</v>
      </c>
      <c r="V35" s="285">
        <f>IFERROR(IF(INDEX(Tb_Activiteiten[#All],MATCH(SubsidieTabel!$A35,Tb_Activiteiten[[#All],[Subsidiabele_Activiteit]],0),MATCH(SubsidieTabel!V$1,Tb_Activiteiten[#Headers],0))=1,SubsidieTabel!$K35,0),0)</f>
        <v>0</v>
      </c>
      <c r="W35" s="64">
        <f>IFERROR(IF(INDEX(Tb_Activiteiten[#All],MATCH(SubsidieTabel!$A35,Tb_Activiteiten[[#All],[Subsidiabele_Activiteit]],0),MATCH(SubsidieTabel!Q$1,Tb_Activiteiten[#Headers],0))=1,H35,0),0)</f>
        <v>0</v>
      </c>
      <c r="X35" s="64">
        <f>IFERROR(IF(INDEX(Tb_Activiteiten[#All],MATCH(SubsidieTabel!$A35,Tb_Activiteiten[[#All],[Subsidiabele_Activiteit]],0),MATCH(SubsidieTabel!Q$1,Tb_Activiteiten[#Headers],0))=1,I35,0),0)</f>
        <v>0</v>
      </c>
      <c r="Y35" s="64">
        <f>IFERROR(IF(INDEX(Tb_Activiteiten[#All],MATCH(SubsidieTabel!$A35,Tb_Activiteiten[[#All],[Subsidiabele_Activiteit]],0),MATCH(SubsidieTabel!S$1,Tb_Activiteiten[#Headers],0))=1,H35,0),0)</f>
        <v>0</v>
      </c>
      <c r="Z35" s="64">
        <f>IFERROR(IF(INDEX(Tb_Activiteiten[#All],MATCH(SubsidieTabel!$A35,Tb_Activiteiten[[#All],[Subsidiabele_Activiteit]],0),MATCH(SubsidieTabel!S$1,Tb_Activiteiten[#Headers],0))=1,I35,0),0)</f>
        <v>0</v>
      </c>
      <c r="AA35" s="64">
        <f>IFERROR(IF(INDEX(Tb_Activiteiten[#All],MATCH(SubsidieTabel!$A35,Tb_Activiteiten[[#All],[Subsidiabele_Activiteit]],0),MATCH(SubsidieTabel!O$1,Tb_Activiteiten[#Headers],0))=1,$F35,0),0)</f>
        <v>0</v>
      </c>
      <c r="AB35" s="64">
        <f>IFERROR(IF(INDEX(Tb_Activiteiten[#All],MATCH(SubsidieTabel!$A35,Tb_Activiteiten[[#All],[Subsidiabele_Activiteit]],0),MATCH(SubsidieTabel!O$1,Tb_Activiteiten[#Headers],0))=1,$G35,0),0)</f>
        <v>0</v>
      </c>
      <c r="AD35" s="167" t="str">
        <f t="shared" si="5"/>
        <v>Afschrijvingskosten</v>
      </c>
      <c r="AE35" t="str">
        <f t="shared" si="6"/>
        <v/>
      </c>
      <c r="AF35" s="64">
        <f>IF(Tb_DBKosten[[#This Row],[Forfait]]=1,SUMIFS('8. Uitgaven betaalverzoek'!U:U,'8. Uitgaven betaalverzoek'!F:F,Tb_DBKosten[[#This Row],[KostenOmschrijving]],'8. Uitgaven betaalverzoek'!A:A,Tb_DBKosten[[#This Row],[Deelbetaling]]),0)</f>
        <v>0</v>
      </c>
      <c r="AG35" s="64">
        <f>IF(Tb_DBKosten[[#This Row],[Forfait]]=1,SUMIFS('8. Uitgaven betaalverzoek'!V:V,'8.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5">
        <v>0.23</v>
      </c>
      <c r="AJ35" s="64">
        <f>IF(Tb_DBKosten[[#This Row],[Forfait]]=1,SUMIFS('8. Uitgaven betaalverzoek'!W:W,'8. Uitgaven betaalverzoek'!F:F,Tb_DBKosten[[#This Row],[KostenOmschrijving]],'8. Uitgaven betaalverzoek'!A:A,Tb_DBKosten[[#This Row],[Deelbetaling]]),0)</f>
        <v>0</v>
      </c>
      <c r="AK35" s="64">
        <f>IF(Tb_DBKosten[[#This Row],[Forfait]]=1,SUMIFS('8. Uitgaven betaalverzoek'!X:X,'8. Uitgaven betaalverzoek'!F:F,Tb_DBKosten[[#This Row],[KostenOmschrijving]],'8. Uitgaven betaalverzoek'!A:A,Tb_DBKosten[[#This Row],[Deelbetaling]]),0)</f>
        <v>0</v>
      </c>
      <c r="AL35" s="64">
        <f>Tb_DBKosten[[#This Row],[Deelbetaling_Aanvraag]]+Tb_DBKosten[[#This Row],[Forfait_Bedrag]]</f>
        <v>0</v>
      </c>
      <c r="AM35" s="64">
        <f>Tb_DBKosten[[#This Row],[Deelbetaling_Beoordeeld]]+Tb_DBKosten[[#This Row],[Forfait_Bedrag_Beoordeeld]]</f>
        <v>0</v>
      </c>
      <c r="AN35" t="str">
        <f>IF(Tb_DBKosten[[#This Row],[Forfait]]=0,"Dit kostentype hoeft u niet op te geven. Hiervoor wordt een forfait berekend.","")</f>
        <v/>
      </c>
    </row>
    <row r="36" spans="1:40" x14ac:dyDescent="0.25">
      <c r="A36" s="63"/>
      <c r="B36" s="63"/>
      <c r="C36" s="63" t="str">
        <f>IFERROR(VLOOKUP($B36,Tb_ProjectKosten[],4,0),"")</f>
        <v/>
      </c>
      <c r="D36" s="63" t="str" cm="1">
        <f t="array" ref="D36">IFERROR(INDEX(Tb_KostenOpties[],MATCH(B36,Tb_KostenOpties[KostenOptie],0),IFERROR(MATCH(Methode_Keuze,Tb_KostenOpties[#Headers],0),2)),"")</f>
        <v/>
      </c>
      <c r="E36" s="286">
        <f>IFERROR(VLOOKUP(B36,Tb_ProjectKosten[[#All],[KostenOmschrijving]:[Forfait_Percentage]],6,0),0)</f>
        <v>0</v>
      </c>
      <c r="F36" s="287">
        <f>SUMIFS('5. Kosten uitvoering project'!P:P,'5. Kosten uitvoering project'!E:E,SubsidieTabel!A36,'5. Kosten uitvoering project'!F:F,SubsidieTabel!B36)</f>
        <v>0</v>
      </c>
      <c r="G36" s="287">
        <f>SUMIFS('5. Kosten uitvoering project'!Q:Q,'5. Kosten uitvoering project'!E:E,SubsidieTabel!A36,'5. Kosten uitvoering project'!F:F,SubsidieTabel!B36)</f>
        <v>0</v>
      </c>
      <c r="H36" s="287">
        <f>SUMIFS('5. Kosten uitvoering project'!R:R,'5. Kosten uitvoering project'!E:E,SubsidieTabel!A36,'5. Kosten uitvoering project'!F:F,SubsidieTabel!B36)</f>
        <v>0</v>
      </c>
      <c r="I36" s="287">
        <f>SUMIFS('5. Kosten uitvoering project'!S:S,'5. Kosten uitvoering project'!E:E,SubsidieTabel!A36,'5. Kosten uitvoering project'!F:F,SubsidieTabel!B36)</f>
        <v>0</v>
      </c>
      <c r="J36" s="287">
        <f t="shared" si="0"/>
        <v>0</v>
      </c>
      <c r="K36" s="287">
        <f t="shared" si="1"/>
        <v>0</v>
      </c>
      <c r="L36" s="286" t="str">
        <f>IFERROR(VLOOKUP(A36,Lijsten!$AK:$AL,2,0),"")</f>
        <v/>
      </c>
      <c r="M36" s="287">
        <f t="shared" si="2"/>
        <v>0</v>
      </c>
      <c r="N36" s="287">
        <f t="shared" si="3"/>
        <v>0</v>
      </c>
      <c r="O36" s="287">
        <f>IFERROR(IF(INDEX(Tb_Activiteiten[#All],MATCH(SubsidieTabel!$A36,Tb_Activiteiten[[#All],[Subsidiabele_Activiteit]],0),MATCH(SubsidieTabel!O$1,Tb_Activiteiten[#Headers],0))=1,SubsidieTabel!$J36,0),0)</f>
        <v>0</v>
      </c>
      <c r="P36" s="287">
        <f>IFERROR(IF(INDEX(Tb_Activiteiten[#All],MATCH(SubsidieTabel!$A36,Tb_Activiteiten[[#All],[Subsidiabele_Activiteit]],0),MATCH(SubsidieTabel!P$1,Tb_Activiteiten[#Headers],0))=1,SubsidieTabel!$K36,0),0)</f>
        <v>0</v>
      </c>
      <c r="Q36" s="287">
        <f>IFERROR(IF(INDEX(Tb_Activiteiten[#All],MATCH(SubsidieTabel!$A36,Tb_Activiteiten[[#All],[Subsidiabele_Activiteit]],0),MATCH(SubsidieTabel!Q$1,Tb_Activiteiten[#Headers],0))=1,SubsidieTabel!$J36,0),0)</f>
        <v>0</v>
      </c>
      <c r="R36" s="287">
        <f>IFERROR(IF(INDEX(Tb_Activiteiten[#All],MATCH(SubsidieTabel!$A36,Tb_Activiteiten[[#All],[Subsidiabele_Activiteit]],0),MATCH(SubsidieTabel!R$1,Tb_Activiteiten[#Headers],0))=1,SubsidieTabel!$K36,0),0)</f>
        <v>0</v>
      </c>
      <c r="S36" s="287">
        <f>IFERROR(IF(INDEX(Tb_Activiteiten[#All],MATCH(SubsidieTabel!$A36,Tb_Activiteiten[[#All],[Subsidiabele_Activiteit]],0),MATCH(SubsidieTabel!S$1,Tb_Activiteiten[#Headers],0))=1,SubsidieTabel!$J36,0),0)</f>
        <v>0</v>
      </c>
      <c r="T36" s="287">
        <f>IFERROR(IF(INDEX(Tb_Activiteiten[#All],MATCH(SubsidieTabel!$A36,Tb_Activiteiten[[#All],[Subsidiabele_Activiteit]],0),MATCH(SubsidieTabel!T$1,Tb_Activiteiten[#Headers],0))=1,SubsidieTabel!$K36,0),0)</f>
        <v>0</v>
      </c>
      <c r="U36" s="287">
        <f>IFERROR(IF(INDEX(Tb_Activiteiten[#All],MATCH(SubsidieTabel!$A36,Tb_Activiteiten[[#All],[Subsidiabele_Activiteit]],0),MATCH(SubsidieTabel!U$1,Tb_Activiteiten[#Headers],0))=1,SubsidieTabel!$J36,0),0)</f>
        <v>0</v>
      </c>
      <c r="V36" s="287">
        <f>IFERROR(IF(INDEX(Tb_Activiteiten[#All],MATCH(SubsidieTabel!$A36,Tb_Activiteiten[[#All],[Subsidiabele_Activiteit]],0),MATCH(SubsidieTabel!V$1,Tb_Activiteiten[#Headers],0))=1,SubsidieTabel!$K36,0),0)</f>
        <v>0</v>
      </c>
      <c r="W36" s="374">
        <f>IFERROR(IF(INDEX(Tb_Activiteiten[#All],MATCH(SubsidieTabel!$A36,Tb_Activiteiten[[#All],[Subsidiabele_Activiteit]],0),MATCH(SubsidieTabel!Q$1,Tb_Activiteiten[#Headers],0))=1,H36,0),0)</f>
        <v>0</v>
      </c>
      <c r="X36" s="374">
        <f>IFERROR(IF(INDEX(Tb_Activiteiten[#All],MATCH(SubsidieTabel!$A36,Tb_Activiteiten[[#All],[Subsidiabele_Activiteit]],0),MATCH(SubsidieTabel!Q$1,Tb_Activiteiten[#Headers],0))=1,I36,0),0)</f>
        <v>0</v>
      </c>
      <c r="Y36" s="374">
        <f>IFERROR(IF(INDEX(Tb_Activiteiten[#All],MATCH(SubsidieTabel!$A36,Tb_Activiteiten[[#All],[Subsidiabele_Activiteit]],0),MATCH(SubsidieTabel!S$1,Tb_Activiteiten[#Headers],0))=1,H36,0),0)</f>
        <v>0</v>
      </c>
      <c r="Z36" s="374">
        <f>IFERROR(IF(INDEX(Tb_Activiteiten[#All],MATCH(SubsidieTabel!$A36,Tb_Activiteiten[[#All],[Subsidiabele_Activiteit]],0),MATCH(SubsidieTabel!S$1,Tb_Activiteiten[#Headers],0))=1,I36,0),0)</f>
        <v>0</v>
      </c>
      <c r="AA36" s="374">
        <f>IFERROR(IF(INDEX(Tb_Activiteiten[#All],MATCH(SubsidieTabel!$A36,Tb_Activiteiten[[#All],[Subsidiabele_Activiteit]],0),MATCH(SubsidieTabel!O$1,Tb_Activiteiten[#Headers],0))=1,$F36,0),0)</f>
        <v>0</v>
      </c>
      <c r="AB36" s="374">
        <f>IFERROR(IF(INDEX(Tb_Activiteiten[#All],MATCH(SubsidieTabel!$A36,Tb_Activiteiten[[#All],[Subsidiabele_Activiteit]],0),MATCH(SubsidieTabel!O$1,Tb_Activiteiten[#Headers],0))=1,$G36,0),0)</f>
        <v>0</v>
      </c>
      <c r="AD36" s="167" t="str">
        <f t="shared" si="5"/>
        <v>Vergoeding</v>
      </c>
      <c r="AE36" s="68" t="str">
        <f>IF(Keuze_DB_Nr&lt;&gt;"",Keuze_DB_Nr,"")</f>
        <v/>
      </c>
      <c r="AF36" s="64">
        <f>IF(Tb_DBKosten[[#This Row],[Forfait]]=1,SUMIFS('8. Uitgaven betaalverzoek'!U:U,'8. Uitgaven betaalverzoek'!F:F,Tb_DBKosten[[#This Row],[KostenOmschrijving]],'8. Uitgaven betaalverzoek'!A:A,Tb_DBKosten[[#This Row],[Deelbetaling]]),0)</f>
        <v>0</v>
      </c>
      <c r="AG36" s="64">
        <f>IF(Tb_DBKosten[[#This Row],[Forfait]]=1,SUMIFS('8. Uitgaven betaalverzoek'!V:V,'8.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5">
        <v>0</v>
      </c>
      <c r="AJ36" s="64">
        <f>IF(Tb_DBKosten[[#This Row],[Forfait]]=1,SUMIFS('8. Uitgaven betaalverzoek'!W:W,'8. Uitgaven betaalverzoek'!F:F,Tb_DBKosten[[#This Row],[KostenOmschrijving]],'8. Uitgaven betaalverzoek'!A:A,Tb_DBKosten[[#This Row],[Deelbetaling]]),0)</f>
        <v>0</v>
      </c>
      <c r="AK36" s="64">
        <f>IF(Tb_DBKosten[[#This Row],[Forfait]]=1,SUMIFS('8. Uitgaven betaalverzoek'!X:X,'8. Uitgaven betaalverzoek'!F:F,Tb_DBKosten[[#This Row],[KostenOmschrijving]],'8. Uitgaven betaalverzoek'!A:A,Tb_DBKosten[[#This Row],[Deelbetaling]]),0)</f>
        <v>0</v>
      </c>
      <c r="AL36" s="64">
        <f>Tb_DBKosten[[#This Row],[Deelbetaling_Aanvraag]]+Tb_DBKosten[[#This Row],[Forfait_Bedrag]]</f>
        <v>0</v>
      </c>
      <c r="AM36" s="64">
        <f>Tb_DBKosten[[#This Row],[Deelbetaling_Beoordeeld]]+Tb_DBKosten[[#This Row],[Forfait_Bedrag_Beoordeeld]]</f>
        <v>0</v>
      </c>
      <c r="AN36" t="str">
        <f>IF(Tb_DBKosten[[#This Row],[Forfait]]=0,"Dit kostentype hoeft u niet op te geven. Hiervoor wordt een forfait berekend.","")</f>
        <v/>
      </c>
    </row>
    <row r="37" spans="1:40" x14ac:dyDescent="0.25">
      <c r="A37" s="12"/>
      <c r="B37" s="12"/>
      <c r="C37" s="12" t="str">
        <f>IFERROR(VLOOKUP($B37,Tb_ProjectKosten[],4,0),"")</f>
        <v/>
      </c>
      <c r="D37" s="12" t="str" cm="1">
        <f t="array" ref="D37">IFERROR(INDEX(Tb_KostenOpties[],MATCH(B37,Tb_KostenOpties[KostenOptie],0),IFERROR(MATCH(Methode_Keuze,Tb_KostenOpties[#Headers],0),2)),"")</f>
        <v/>
      </c>
      <c r="E37" s="284">
        <f>IFERROR(VLOOKUP(B37,Tb_ProjectKosten[[#All],[KostenOmschrijving]:[Forfait_Percentage]],6,0),0)</f>
        <v>0</v>
      </c>
      <c r="F37" s="285">
        <f>SUMIFS('5. Kosten uitvoering project'!P:P,'5. Kosten uitvoering project'!E:E,SubsidieTabel!A37,'5. Kosten uitvoering project'!F:F,SubsidieTabel!B37)</f>
        <v>0</v>
      </c>
      <c r="G37" s="285">
        <f>SUMIFS('5. Kosten uitvoering project'!Q:Q,'5. Kosten uitvoering project'!E:E,SubsidieTabel!A37,'5. Kosten uitvoering project'!F:F,SubsidieTabel!B37)</f>
        <v>0</v>
      </c>
      <c r="H37" s="285">
        <f>SUMIFS('5. Kosten uitvoering project'!R:R,'5. Kosten uitvoering project'!E:E,SubsidieTabel!A37,'5. Kosten uitvoering project'!F:F,SubsidieTabel!B37)</f>
        <v>0</v>
      </c>
      <c r="I37" s="285">
        <f>SUMIFS('5. Kosten uitvoering project'!S:S,'5. Kosten uitvoering project'!E:E,SubsidieTabel!A37,'5. Kosten uitvoering project'!F:F,SubsidieTabel!B37)</f>
        <v>0</v>
      </c>
      <c r="J37" s="285">
        <f t="shared" si="0"/>
        <v>0</v>
      </c>
      <c r="K37" s="285">
        <f t="shared" si="1"/>
        <v>0</v>
      </c>
      <c r="L37" s="284" t="str">
        <f>IFERROR(VLOOKUP(A37,Lijsten!$AK:$AL,2,0),"")</f>
        <v/>
      </c>
      <c r="M37" s="285">
        <f t="shared" si="2"/>
        <v>0</v>
      </c>
      <c r="N37" s="285">
        <f t="shared" si="3"/>
        <v>0</v>
      </c>
      <c r="O37" s="285">
        <f>IFERROR(IF(INDEX(Tb_Activiteiten[#All],MATCH(SubsidieTabel!$A37,Tb_Activiteiten[[#All],[Subsidiabele_Activiteit]],0),MATCH(SubsidieTabel!O$1,Tb_Activiteiten[#Headers],0))=1,SubsidieTabel!$J37,0),0)</f>
        <v>0</v>
      </c>
      <c r="P37" s="285">
        <f>IFERROR(IF(INDEX(Tb_Activiteiten[#All],MATCH(SubsidieTabel!$A37,Tb_Activiteiten[[#All],[Subsidiabele_Activiteit]],0),MATCH(SubsidieTabel!P$1,Tb_Activiteiten[#Headers],0))=1,SubsidieTabel!$K37,0),0)</f>
        <v>0</v>
      </c>
      <c r="Q37" s="285">
        <f>IFERROR(IF(INDEX(Tb_Activiteiten[#All],MATCH(SubsidieTabel!$A37,Tb_Activiteiten[[#All],[Subsidiabele_Activiteit]],0),MATCH(SubsidieTabel!Q$1,Tb_Activiteiten[#Headers],0))=1,SubsidieTabel!$J37,0),0)</f>
        <v>0</v>
      </c>
      <c r="R37" s="285">
        <f>IFERROR(IF(INDEX(Tb_Activiteiten[#All],MATCH(SubsidieTabel!$A37,Tb_Activiteiten[[#All],[Subsidiabele_Activiteit]],0),MATCH(SubsidieTabel!R$1,Tb_Activiteiten[#Headers],0))=1,SubsidieTabel!$K37,0),0)</f>
        <v>0</v>
      </c>
      <c r="S37" s="285">
        <f>IFERROR(IF(INDEX(Tb_Activiteiten[#All],MATCH(SubsidieTabel!$A37,Tb_Activiteiten[[#All],[Subsidiabele_Activiteit]],0),MATCH(SubsidieTabel!S$1,Tb_Activiteiten[#Headers],0))=1,SubsidieTabel!$J37,0),0)</f>
        <v>0</v>
      </c>
      <c r="T37" s="285">
        <f>IFERROR(IF(INDEX(Tb_Activiteiten[#All],MATCH(SubsidieTabel!$A37,Tb_Activiteiten[[#All],[Subsidiabele_Activiteit]],0),MATCH(SubsidieTabel!T$1,Tb_Activiteiten[#Headers],0))=1,SubsidieTabel!$K37,0),0)</f>
        <v>0</v>
      </c>
      <c r="U37" s="285">
        <f>IFERROR(IF(INDEX(Tb_Activiteiten[#All],MATCH(SubsidieTabel!$A37,Tb_Activiteiten[[#All],[Subsidiabele_Activiteit]],0),MATCH(SubsidieTabel!U$1,Tb_Activiteiten[#Headers],0))=1,SubsidieTabel!$J37,0),0)</f>
        <v>0</v>
      </c>
      <c r="V37" s="285">
        <f>IFERROR(IF(INDEX(Tb_Activiteiten[#All],MATCH(SubsidieTabel!$A37,Tb_Activiteiten[[#All],[Subsidiabele_Activiteit]],0),MATCH(SubsidieTabel!V$1,Tb_Activiteiten[#Headers],0))=1,SubsidieTabel!$K37,0),0)</f>
        <v>0</v>
      </c>
      <c r="W37" s="64">
        <f>IFERROR(IF(INDEX(Tb_Activiteiten[#All],MATCH(SubsidieTabel!$A37,Tb_Activiteiten[[#All],[Subsidiabele_Activiteit]],0),MATCH(SubsidieTabel!Q$1,Tb_Activiteiten[#Headers],0))=1,H37,0),0)</f>
        <v>0</v>
      </c>
      <c r="X37" s="64">
        <f>IFERROR(IF(INDEX(Tb_Activiteiten[#All],MATCH(SubsidieTabel!$A37,Tb_Activiteiten[[#All],[Subsidiabele_Activiteit]],0),MATCH(SubsidieTabel!Q$1,Tb_Activiteiten[#Headers],0))=1,I37,0),0)</f>
        <v>0</v>
      </c>
      <c r="Y37" s="64">
        <f>IFERROR(IF(INDEX(Tb_Activiteiten[#All],MATCH(SubsidieTabel!$A37,Tb_Activiteiten[[#All],[Subsidiabele_Activiteit]],0),MATCH(SubsidieTabel!S$1,Tb_Activiteiten[#Headers],0))=1,H37,0),0)</f>
        <v>0</v>
      </c>
      <c r="Z37" s="64">
        <f>IFERROR(IF(INDEX(Tb_Activiteiten[#All],MATCH(SubsidieTabel!$A37,Tb_Activiteiten[[#All],[Subsidiabele_Activiteit]],0),MATCH(SubsidieTabel!S$1,Tb_Activiteiten[#Headers],0))=1,I37,0),0)</f>
        <v>0</v>
      </c>
      <c r="AA37" s="64">
        <f>IFERROR(IF(INDEX(Tb_Activiteiten[#All],MATCH(SubsidieTabel!$A37,Tb_Activiteiten[[#All],[Subsidiabele_Activiteit]],0),MATCH(SubsidieTabel!O$1,Tb_Activiteiten[#Headers],0))=1,$F37,0),0)</f>
        <v>0</v>
      </c>
      <c r="AB37" s="64">
        <f>IFERROR(IF(INDEX(Tb_Activiteiten[#All],MATCH(SubsidieTabel!$A37,Tb_Activiteiten[[#All],[Subsidiabele_Activiteit]],0),MATCH(SubsidieTabel!O$1,Tb_Activiteiten[#Headers],0))=1,$G37,0),0)</f>
        <v>0</v>
      </c>
      <c r="AD37" s="167" t="str">
        <f t="shared" si="5"/>
        <v>Arbeidskosten - vast tarief (excl eigen arbeid)</v>
      </c>
      <c r="AE37" t="str">
        <f t="shared" si="6"/>
        <v/>
      </c>
      <c r="AF37" s="64">
        <f>IF(Tb_DBKosten[[#This Row],[Forfait]]=1,SUMIFS('8. Uitgaven betaalverzoek'!U:U,'8. Uitgaven betaalverzoek'!F:F,Tb_DBKosten[[#This Row],[KostenOmschrijving]],'8. Uitgaven betaalverzoek'!A:A,Tb_DBKosten[[#This Row],[Deelbetaling]]),0)</f>
        <v>0</v>
      </c>
      <c r="AG37" s="64">
        <f>IF(Tb_DBKosten[[#This Row],[Forfait]]=1,SUMIFS('8. Uitgaven betaalverzoek'!V:V,'8.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5">
        <v>0</v>
      </c>
      <c r="AJ37" s="64">
        <f>IF(Tb_DBKosten[[#This Row],[Forfait]]=1,SUMIFS('8. Uitgaven betaalverzoek'!W:W,'8. Uitgaven betaalverzoek'!F:F,Tb_DBKosten[[#This Row],[KostenOmschrijving]],'8. Uitgaven betaalverzoek'!A:A,Tb_DBKosten[[#This Row],[Deelbetaling]]),0)</f>
        <v>0</v>
      </c>
      <c r="AK37" s="64">
        <f>IF(Tb_DBKosten[[#This Row],[Forfait]]=1,SUMIFS('8. Uitgaven betaalverzoek'!X:X,'8. Uitgaven betaalverzoek'!F:F,Tb_DBKosten[[#This Row],[KostenOmschrijving]],'8. Uitgaven betaalverzoek'!A:A,Tb_DBKosten[[#This Row],[Deelbetaling]]),0)</f>
        <v>0</v>
      </c>
      <c r="AL37" s="64">
        <f>Tb_DBKosten[[#This Row],[Deelbetaling_Aanvraag]]+Tb_DBKosten[[#This Row],[Forfait_Bedrag]]</f>
        <v>0</v>
      </c>
      <c r="AM37" s="64">
        <f>Tb_DBKosten[[#This Row],[Deelbetaling_Beoordeeld]]+Tb_DBKosten[[#This Row],[Forfait_Bedrag_Beoordeeld]]</f>
        <v>0</v>
      </c>
      <c r="AN37" t="str">
        <f>IF(Tb_DBKosten[[#This Row],[Forfait]]=0,"Dit kostentype hoeft u niet op te geven. Hiervoor wordt een forfait berekend.","")</f>
        <v/>
      </c>
    </row>
    <row r="38" spans="1:40" x14ac:dyDescent="0.25">
      <c r="A38" s="63"/>
      <c r="B38" s="63"/>
      <c r="C38" s="63" t="str">
        <f>IFERROR(VLOOKUP($B38,Tb_ProjectKosten[],4,0),"")</f>
        <v/>
      </c>
      <c r="D38" s="63" t="str" cm="1">
        <f t="array" ref="D38">IFERROR(INDEX(Tb_KostenOpties[],MATCH(B38,Tb_KostenOpties[KostenOptie],0),IFERROR(MATCH(Methode_Keuze,Tb_KostenOpties[#Headers],0),2)),"")</f>
        <v/>
      </c>
      <c r="E38" s="286">
        <f>IFERROR(VLOOKUP(B38,Tb_ProjectKosten[[#All],[KostenOmschrijving]:[Forfait_Percentage]],6,0),0)</f>
        <v>0</v>
      </c>
      <c r="F38" s="287">
        <f>SUMIFS('5. Kosten uitvoering project'!P:P,'5. Kosten uitvoering project'!E:E,SubsidieTabel!A38,'5. Kosten uitvoering project'!F:F,SubsidieTabel!B38)</f>
        <v>0</v>
      </c>
      <c r="G38" s="287">
        <f>SUMIFS('5. Kosten uitvoering project'!Q:Q,'5. Kosten uitvoering project'!E:E,SubsidieTabel!A38,'5. Kosten uitvoering project'!F:F,SubsidieTabel!B38)</f>
        <v>0</v>
      </c>
      <c r="H38" s="287">
        <f>SUMIFS('5. Kosten uitvoering project'!R:R,'5. Kosten uitvoering project'!E:E,SubsidieTabel!A38,'5. Kosten uitvoering project'!F:F,SubsidieTabel!B38)</f>
        <v>0</v>
      </c>
      <c r="I38" s="287">
        <f>SUMIFS('5. Kosten uitvoering project'!S:S,'5. Kosten uitvoering project'!E:E,SubsidieTabel!A38,'5. Kosten uitvoering project'!F:F,SubsidieTabel!B38)</f>
        <v>0</v>
      </c>
      <c r="J38" s="287">
        <f t="shared" si="0"/>
        <v>0</v>
      </c>
      <c r="K38" s="287">
        <f t="shared" si="1"/>
        <v>0</v>
      </c>
      <c r="L38" s="286" t="str">
        <f>IFERROR(VLOOKUP(A38,Lijsten!$AK:$AL,2,0),"")</f>
        <v/>
      </c>
      <c r="M38" s="287">
        <f t="shared" si="2"/>
        <v>0</v>
      </c>
      <c r="N38" s="287">
        <f t="shared" si="3"/>
        <v>0</v>
      </c>
      <c r="O38" s="287">
        <f>IFERROR(IF(INDEX(Tb_Activiteiten[#All],MATCH(SubsidieTabel!$A38,Tb_Activiteiten[[#All],[Subsidiabele_Activiteit]],0),MATCH(SubsidieTabel!O$1,Tb_Activiteiten[#Headers],0))=1,SubsidieTabel!$J38,0),0)</f>
        <v>0</v>
      </c>
      <c r="P38" s="287">
        <f>IFERROR(IF(INDEX(Tb_Activiteiten[#All],MATCH(SubsidieTabel!$A38,Tb_Activiteiten[[#All],[Subsidiabele_Activiteit]],0),MATCH(SubsidieTabel!P$1,Tb_Activiteiten[#Headers],0))=1,SubsidieTabel!$K38,0),0)</f>
        <v>0</v>
      </c>
      <c r="Q38" s="287">
        <f>IFERROR(IF(INDEX(Tb_Activiteiten[#All],MATCH(SubsidieTabel!$A38,Tb_Activiteiten[[#All],[Subsidiabele_Activiteit]],0),MATCH(SubsidieTabel!Q$1,Tb_Activiteiten[#Headers],0))=1,SubsidieTabel!$J38,0),0)</f>
        <v>0</v>
      </c>
      <c r="R38" s="287">
        <f>IFERROR(IF(INDEX(Tb_Activiteiten[#All],MATCH(SubsidieTabel!$A38,Tb_Activiteiten[[#All],[Subsidiabele_Activiteit]],0),MATCH(SubsidieTabel!R$1,Tb_Activiteiten[#Headers],0))=1,SubsidieTabel!$K38,0),0)</f>
        <v>0</v>
      </c>
      <c r="S38" s="287">
        <f>IFERROR(IF(INDEX(Tb_Activiteiten[#All],MATCH(SubsidieTabel!$A38,Tb_Activiteiten[[#All],[Subsidiabele_Activiteit]],0),MATCH(SubsidieTabel!S$1,Tb_Activiteiten[#Headers],0))=1,SubsidieTabel!$J38,0),0)</f>
        <v>0</v>
      </c>
      <c r="T38" s="287">
        <f>IFERROR(IF(INDEX(Tb_Activiteiten[#All],MATCH(SubsidieTabel!$A38,Tb_Activiteiten[[#All],[Subsidiabele_Activiteit]],0),MATCH(SubsidieTabel!T$1,Tb_Activiteiten[#Headers],0))=1,SubsidieTabel!$K38,0),0)</f>
        <v>0</v>
      </c>
      <c r="U38" s="287">
        <f>IFERROR(IF(INDEX(Tb_Activiteiten[#All],MATCH(SubsidieTabel!$A38,Tb_Activiteiten[[#All],[Subsidiabele_Activiteit]],0),MATCH(SubsidieTabel!U$1,Tb_Activiteiten[#Headers],0))=1,SubsidieTabel!$J38,0),0)</f>
        <v>0</v>
      </c>
      <c r="V38" s="287">
        <f>IFERROR(IF(INDEX(Tb_Activiteiten[#All],MATCH(SubsidieTabel!$A38,Tb_Activiteiten[[#All],[Subsidiabele_Activiteit]],0),MATCH(SubsidieTabel!V$1,Tb_Activiteiten[#Headers],0))=1,SubsidieTabel!$K38,0),0)</f>
        <v>0</v>
      </c>
      <c r="W38" s="374">
        <f>IFERROR(IF(INDEX(Tb_Activiteiten[#All],MATCH(SubsidieTabel!$A38,Tb_Activiteiten[[#All],[Subsidiabele_Activiteit]],0),MATCH(SubsidieTabel!Q$1,Tb_Activiteiten[#Headers],0))=1,H38,0),0)</f>
        <v>0</v>
      </c>
      <c r="X38" s="374">
        <f>IFERROR(IF(INDEX(Tb_Activiteiten[#All],MATCH(SubsidieTabel!$A38,Tb_Activiteiten[[#All],[Subsidiabele_Activiteit]],0),MATCH(SubsidieTabel!Q$1,Tb_Activiteiten[#Headers],0))=1,I38,0),0)</f>
        <v>0</v>
      </c>
      <c r="Y38" s="374">
        <f>IFERROR(IF(INDEX(Tb_Activiteiten[#All],MATCH(SubsidieTabel!$A38,Tb_Activiteiten[[#All],[Subsidiabele_Activiteit]],0),MATCH(SubsidieTabel!S$1,Tb_Activiteiten[#Headers],0))=1,H38,0),0)</f>
        <v>0</v>
      </c>
      <c r="Z38" s="374">
        <f>IFERROR(IF(INDEX(Tb_Activiteiten[#All],MATCH(SubsidieTabel!$A38,Tb_Activiteiten[[#All],[Subsidiabele_Activiteit]],0),MATCH(SubsidieTabel!S$1,Tb_Activiteiten[#Headers],0))=1,I38,0),0)</f>
        <v>0</v>
      </c>
      <c r="AA38" s="374">
        <f>IFERROR(IF(INDEX(Tb_Activiteiten[#All],MATCH(SubsidieTabel!$A38,Tb_Activiteiten[[#All],[Subsidiabele_Activiteit]],0),MATCH(SubsidieTabel!O$1,Tb_Activiteiten[#Headers],0))=1,$F38,0),0)</f>
        <v>0</v>
      </c>
      <c r="AB38" s="374">
        <f>IFERROR(IF(INDEX(Tb_Activiteiten[#All],MATCH(SubsidieTabel!$A38,Tb_Activiteiten[[#All],[Subsidiabele_Activiteit]],0),MATCH(SubsidieTabel!O$1,Tb_Activiteiten[#Headers],0))=1,$G38,0),0)</f>
        <v>0</v>
      </c>
      <c r="AD38" s="167" t="str">
        <f t="shared" si="5"/>
        <v>Overige kosten</v>
      </c>
      <c r="AE38" s="68" t="str">
        <f>IF(Keuze_DB_Nr&lt;&gt;"",Keuze_DB_Nr,"")</f>
        <v/>
      </c>
      <c r="AF38" s="64">
        <f>IF(Tb_DBKosten[[#This Row],[Forfait]]=1,SUMIFS('8. Uitgaven betaalverzoek'!U:U,'8. Uitgaven betaalverzoek'!F:F,Tb_DBKosten[[#This Row],[KostenOmschrijving]],'8. Uitgaven betaalverzoek'!A:A,Tb_DBKosten[[#This Row],[Deelbetaling]]),0)</f>
        <v>0</v>
      </c>
      <c r="AG38" s="64">
        <f>IF(Tb_DBKosten[[#This Row],[Forfait]]=1,SUMIFS('8. Uitgaven betaalverzoek'!V:V,'8.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5">
        <v>0.23</v>
      </c>
      <c r="AJ38" s="64">
        <f>IF(Tb_DBKosten[[#This Row],[Forfait]]=1,SUMIFS('8. Uitgaven betaalverzoek'!W:W,'8. Uitgaven betaalverzoek'!F:F,Tb_DBKosten[[#This Row],[KostenOmschrijving]],'8. Uitgaven betaalverzoek'!A:A,Tb_DBKosten[[#This Row],[Deelbetaling]]),0)</f>
        <v>0</v>
      </c>
      <c r="AK38" s="64">
        <f>IF(Tb_DBKosten[[#This Row],[Forfait]]=1,SUMIFS('8. Uitgaven betaalverzoek'!X:X,'8. Uitgaven betaalverzoek'!F:F,Tb_DBKosten[[#This Row],[KostenOmschrijving]],'8. Uitgaven betaalverzoek'!A:A,Tb_DBKosten[[#This Row],[Deelbetaling]]),0)</f>
        <v>0</v>
      </c>
      <c r="AL38" s="64">
        <f>Tb_DBKosten[[#This Row],[Deelbetaling_Aanvraag]]+Tb_DBKosten[[#This Row],[Forfait_Bedrag]]</f>
        <v>0</v>
      </c>
      <c r="AM38" s="64">
        <f>Tb_DBKosten[[#This Row],[Deelbetaling_Beoordeeld]]+Tb_DBKosten[[#This Row],[Forfait_Bedrag_Beoordeeld]]</f>
        <v>0</v>
      </c>
      <c r="AN38" t="str">
        <f>IF(Tb_DBKosten[[#This Row],[Forfait]]=0,"Dit kostentype hoeft u niet op te geven. Hiervoor wordt een forfait berekend.","")</f>
        <v/>
      </c>
    </row>
    <row r="39" spans="1:40" x14ac:dyDescent="0.25">
      <c r="A39" s="12"/>
      <c r="B39" s="12"/>
      <c r="C39" s="12" t="str">
        <f>IFERROR(VLOOKUP($B39,Tb_ProjectKosten[],4,0),"")</f>
        <v/>
      </c>
      <c r="D39" s="12" t="str" cm="1">
        <f t="array" ref="D39">IFERROR(INDEX(Tb_KostenOpties[],MATCH(B39,Tb_KostenOpties[KostenOptie],0),IFERROR(MATCH(Methode_Keuze,Tb_KostenOpties[#Headers],0),2)),"")</f>
        <v/>
      </c>
      <c r="E39" s="284">
        <f>IFERROR(VLOOKUP(B39,Tb_ProjectKosten[[#All],[KostenOmschrijving]:[Forfait_Percentage]],6,0),0)</f>
        <v>0</v>
      </c>
      <c r="F39" s="285">
        <f>SUMIFS('5. Kosten uitvoering project'!P:P,'5. Kosten uitvoering project'!E:E,SubsidieTabel!A39,'5. Kosten uitvoering project'!F:F,SubsidieTabel!B39)</f>
        <v>0</v>
      </c>
      <c r="G39" s="285">
        <f>SUMIFS('5. Kosten uitvoering project'!Q:Q,'5. Kosten uitvoering project'!E:E,SubsidieTabel!A39,'5. Kosten uitvoering project'!F:F,SubsidieTabel!B39)</f>
        <v>0</v>
      </c>
      <c r="H39" s="285">
        <f>SUMIFS('5. Kosten uitvoering project'!R:R,'5. Kosten uitvoering project'!E:E,SubsidieTabel!A39,'5. Kosten uitvoering project'!F:F,SubsidieTabel!B39)</f>
        <v>0</v>
      </c>
      <c r="I39" s="285">
        <f>SUMIFS('5. Kosten uitvoering project'!S:S,'5. Kosten uitvoering project'!E:E,SubsidieTabel!A39,'5. Kosten uitvoering project'!F:F,SubsidieTabel!B39)</f>
        <v>0</v>
      </c>
      <c r="J39" s="285">
        <f t="shared" si="0"/>
        <v>0</v>
      </c>
      <c r="K39" s="285">
        <f t="shared" si="1"/>
        <v>0</v>
      </c>
      <c r="L39" s="284" t="str">
        <f>IFERROR(VLOOKUP(A39,Lijsten!$AK:$AL,2,0),"")</f>
        <v/>
      </c>
      <c r="M39" s="285">
        <f t="shared" si="2"/>
        <v>0</v>
      </c>
      <c r="N39" s="285">
        <f t="shared" si="3"/>
        <v>0</v>
      </c>
      <c r="O39" s="285">
        <f>IFERROR(IF(INDEX(Tb_Activiteiten[#All],MATCH(SubsidieTabel!$A39,Tb_Activiteiten[[#All],[Subsidiabele_Activiteit]],0),MATCH(SubsidieTabel!O$1,Tb_Activiteiten[#Headers],0))=1,SubsidieTabel!$J39,0),0)</f>
        <v>0</v>
      </c>
      <c r="P39" s="285">
        <f>IFERROR(IF(INDEX(Tb_Activiteiten[#All],MATCH(SubsidieTabel!$A39,Tb_Activiteiten[[#All],[Subsidiabele_Activiteit]],0),MATCH(SubsidieTabel!P$1,Tb_Activiteiten[#Headers],0))=1,SubsidieTabel!$K39,0),0)</f>
        <v>0</v>
      </c>
      <c r="Q39" s="285">
        <f>IFERROR(IF(INDEX(Tb_Activiteiten[#All],MATCH(SubsidieTabel!$A39,Tb_Activiteiten[[#All],[Subsidiabele_Activiteit]],0),MATCH(SubsidieTabel!Q$1,Tb_Activiteiten[#Headers],0))=1,SubsidieTabel!$J39,0),0)</f>
        <v>0</v>
      </c>
      <c r="R39" s="285">
        <f>IFERROR(IF(INDEX(Tb_Activiteiten[#All],MATCH(SubsidieTabel!$A39,Tb_Activiteiten[[#All],[Subsidiabele_Activiteit]],0),MATCH(SubsidieTabel!R$1,Tb_Activiteiten[#Headers],0))=1,SubsidieTabel!$K39,0),0)</f>
        <v>0</v>
      </c>
      <c r="S39" s="285">
        <f>IFERROR(IF(INDEX(Tb_Activiteiten[#All],MATCH(SubsidieTabel!$A39,Tb_Activiteiten[[#All],[Subsidiabele_Activiteit]],0),MATCH(SubsidieTabel!S$1,Tb_Activiteiten[#Headers],0))=1,SubsidieTabel!$J39,0),0)</f>
        <v>0</v>
      </c>
      <c r="T39" s="285">
        <f>IFERROR(IF(INDEX(Tb_Activiteiten[#All],MATCH(SubsidieTabel!$A39,Tb_Activiteiten[[#All],[Subsidiabele_Activiteit]],0),MATCH(SubsidieTabel!T$1,Tb_Activiteiten[#Headers],0))=1,SubsidieTabel!$K39,0),0)</f>
        <v>0</v>
      </c>
      <c r="U39" s="285">
        <f>IFERROR(IF(INDEX(Tb_Activiteiten[#All],MATCH(SubsidieTabel!$A39,Tb_Activiteiten[[#All],[Subsidiabele_Activiteit]],0),MATCH(SubsidieTabel!U$1,Tb_Activiteiten[#Headers],0))=1,SubsidieTabel!$J39,0),0)</f>
        <v>0</v>
      </c>
      <c r="V39" s="285">
        <f>IFERROR(IF(INDEX(Tb_Activiteiten[#All],MATCH(SubsidieTabel!$A39,Tb_Activiteiten[[#All],[Subsidiabele_Activiteit]],0),MATCH(SubsidieTabel!V$1,Tb_Activiteiten[#Headers],0))=1,SubsidieTabel!$K39,0),0)</f>
        <v>0</v>
      </c>
      <c r="W39" s="64">
        <f>IFERROR(IF(INDEX(Tb_Activiteiten[#All],MATCH(SubsidieTabel!$A39,Tb_Activiteiten[[#All],[Subsidiabele_Activiteit]],0),MATCH(SubsidieTabel!Q$1,Tb_Activiteiten[#Headers],0))=1,H39,0),0)</f>
        <v>0</v>
      </c>
      <c r="X39" s="64">
        <f>IFERROR(IF(INDEX(Tb_Activiteiten[#All],MATCH(SubsidieTabel!$A39,Tb_Activiteiten[[#All],[Subsidiabele_Activiteit]],0),MATCH(SubsidieTabel!Q$1,Tb_Activiteiten[#Headers],0))=1,I39,0),0)</f>
        <v>0</v>
      </c>
      <c r="Y39" s="64">
        <f>IFERROR(IF(INDEX(Tb_Activiteiten[#All],MATCH(SubsidieTabel!$A39,Tb_Activiteiten[[#All],[Subsidiabele_Activiteit]],0),MATCH(SubsidieTabel!S$1,Tb_Activiteiten[#Headers],0))=1,H39,0),0)</f>
        <v>0</v>
      </c>
      <c r="Z39" s="64">
        <f>IFERROR(IF(INDEX(Tb_Activiteiten[#All],MATCH(SubsidieTabel!$A39,Tb_Activiteiten[[#All],[Subsidiabele_Activiteit]],0),MATCH(SubsidieTabel!S$1,Tb_Activiteiten[#Headers],0))=1,I39,0),0)</f>
        <v>0</v>
      </c>
      <c r="AA39" s="64">
        <f>IFERROR(IF(INDEX(Tb_Activiteiten[#All],MATCH(SubsidieTabel!$A39,Tb_Activiteiten[[#All],[Subsidiabele_Activiteit]],0),MATCH(SubsidieTabel!O$1,Tb_Activiteiten[#Headers],0))=1,$F39,0),0)</f>
        <v>0</v>
      </c>
      <c r="AB39" s="64">
        <f>IFERROR(IF(INDEX(Tb_Activiteiten[#All],MATCH(SubsidieTabel!$A39,Tb_Activiteiten[[#All],[Subsidiabele_Activiteit]],0),MATCH(SubsidieTabel!O$1,Tb_Activiteiten[#Headers],0))=1,$G39,0),0)</f>
        <v>0</v>
      </c>
    </row>
    <row r="40" spans="1:40" x14ac:dyDescent="0.25">
      <c r="A40" s="63"/>
      <c r="B40" s="63"/>
      <c r="C40" s="63" t="str">
        <f>IFERROR(VLOOKUP($B40,Tb_ProjectKosten[],4,0),"")</f>
        <v/>
      </c>
      <c r="D40" s="63" t="str" cm="1">
        <f t="array" ref="D40">IFERROR(INDEX(Tb_KostenOpties[],MATCH(B40,Tb_KostenOpties[KostenOptie],0),IFERROR(MATCH(Methode_Keuze,Tb_KostenOpties[#Headers],0),2)),"")</f>
        <v/>
      </c>
      <c r="E40" s="286">
        <f>IFERROR(VLOOKUP(B40,Tb_ProjectKosten[[#All],[KostenOmschrijving]:[Forfait_Percentage]],6,0),0)</f>
        <v>0</v>
      </c>
      <c r="F40" s="287">
        <f>SUMIFS('5. Kosten uitvoering project'!P:P,'5. Kosten uitvoering project'!E:E,SubsidieTabel!A40,'5. Kosten uitvoering project'!F:F,SubsidieTabel!B40)</f>
        <v>0</v>
      </c>
      <c r="G40" s="287">
        <f>SUMIFS('5. Kosten uitvoering project'!Q:Q,'5. Kosten uitvoering project'!E:E,SubsidieTabel!A40,'5. Kosten uitvoering project'!F:F,SubsidieTabel!B40)</f>
        <v>0</v>
      </c>
      <c r="H40" s="287">
        <f>SUMIFS('5. Kosten uitvoering project'!R:R,'5. Kosten uitvoering project'!E:E,SubsidieTabel!A40,'5. Kosten uitvoering project'!F:F,SubsidieTabel!B40)</f>
        <v>0</v>
      </c>
      <c r="I40" s="287">
        <f>SUMIFS('5. Kosten uitvoering project'!S:S,'5. Kosten uitvoering project'!E:E,SubsidieTabel!A40,'5. Kosten uitvoering project'!F:F,SubsidieTabel!B40)</f>
        <v>0</v>
      </c>
      <c r="J40" s="287">
        <f t="shared" si="0"/>
        <v>0</v>
      </c>
      <c r="K40" s="287">
        <f t="shared" si="1"/>
        <v>0</v>
      </c>
      <c r="L40" s="286" t="str">
        <f>IFERROR(VLOOKUP(A40,Lijsten!$AK:$AL,2,0),"")</f>
        <v/>
      </c>
      <c r="M40" s="287">
        <f t="shared" si="2"/>
        <v>0</v>
      </c>
      <c r="N40" s="287">
        <f t="shared" si="3"/>
        <v>0</v>
      </c>
      <c r="O40" s="287">
        <f>IFERROR(IF(INDEX(Tb_Activiteiten[#All],MATCH(SubsidieTabel!$A40,Tb_Activiteiten[[#All],[Subsidiabele_Activiteit]],0),MATCH(SubsidieTabel!O$1,Tb_Activiteiten[#Headers],0))=1,SubsidieTabel!$J40,0),0)</f>
        <v>0</v>
      </c>
      <c r="P40" s="287">
        <f>IFERROR(IF(INDEX(Tb_Activiteiten[#All],MATCH(SubsidieTabel!$A40,Tb_Activiteiten[[#All],[Subsidiabele_Activiteit]],0),MATCH(SubsidieTabel!P$1,Tb_Activiteiten[#Headers],0))=1,SubsidieTabel!$K40,0),0)</f>
        <v>0</v>
      </c>
      <c r="Q40" s="287">
        <f>IFERROR(IF(INDEX(Tb_Activiteiten[#All],MATCH(SubsidieTabel!$A40,Tb_Activiteiten[[#All],[Subsidiabele_Activiteit]],0),MATCH(SubsidieTabel!Q$1,Tb_Activiteiten[#Headers],0))=1,SubsidieTabel!$J40,0),0)</f>
        <v>0</v>
      </c>
      <c r="R40" s="287">
        <f>IFERROR(IF(INDEX(Tb_Activiteiten[#All],MATCH(SubsidieTabel!$A40,Tb_Activiteiten[[#All],[Subsidiabele_Activiteit]],0),MATCH(SubsidieTabel!R$1,Tb_Activiteiten[#Headers],0))=1,SubsidieTabel!$K40,0),0)</f>
        <v>0</v>
      </c>
      <c r="S40" s="287">
        <f>IFERROR(IF(INDEX(Tb_Activiteiten[#All],MATCH(SubsidieTabel!$A40,Tb_Activiteiten[[#All],[Subsidiabele_Activiteit]],0),MATCH(SubsidieTabel!S$1,Tb_Activiteiten[#Headers],0))=1,SubsidieTabel!$J40,0),0)</f>
        <v>0</v>
      </c>
      <c r="T40" s="287">
        <f>IFERROR(IF(INDEX(Tb_Activiteiten[#All],MATCH(SubsidieTabel!$A40,Tb_Activiteiten[[#All],[Subsidiabele_Activiteit]],0),MATCH(SubsidieTabel!T$1,Tb_Activiteiten[#Headers],0))=1,SubsidieTabel!$K40,0),0)</f>
        <v>0</v>
      </c>
      <c r="U40" s="287">
        <f>IFERROR(IF(INDEX(Tb_Activiteiten[#All],MATCH(SubsidieTabel!$A40,Tb_Activiteiten[[#All],[Subsidiabele_Activiteit]],0),MATCH(SubsidieTabel!U$1,Tb_Activiteiten[#Headers],0))=1,SubsidieTabel!$J40,0),0)</f>
        <v>0</v>
      </c>
      <c r="V40" s="287">
        <f>IFERROR(IF(INDEX(Tb_Activiteiten[#All],MATCH(SubsidieTabel!$A40,Tb_Activiteiten[[#All],[Subsidiabele_Activiteit]],0),MATCH(SubsidieTabel!V$1,Tb_Activiteiten[#Headers],0))=1,SubsidieTabel!$K40,0),0)</f>
        <v>0</v>
      </c>
      <c r="W40" s="374">
        <f>IFERROR(IF(INDEX(Tb_Activiteiten[#All],MATCH(SubsidieTabel!$A40,Tb_Activiteiten[[#All],[Subsidiabele_Activiteit]],0),MATCH(SubsidieTabel!Q$1,Tb_Activiteiten[#Headers],0))=1,H40,0),0)</f>
        <v>0</v>
      </c>
      <c r="X40" s="374">
        <f>IFERROR(IF(INDEX(Tb_Activiteiten[#All],MATCH(SubsidieTabel!$A40,Tb_Activiteiten[[#All],[Subsidiabele_Activiteit]],0),MATCH(SubsidieTabel!Q$1,Tb_Activiteiten[#Headers],0))=1,I40,0),0)</f>
        <v>0</v>
      </c>
      <c r="Y40" s="374">
        <f>IFERROR(IF(INDEX(Tb_Activiteiten[#All],MATCH(SubsidieTabel!$A40,Tb_Activiteiten[[#All],[Subsidiabele_Activiteit]],0),MATCH(SubsidieTabel!S$1,Tb_Activiteiten[#Headers],0))=1,H40,0),0)</f>
        <v>0</v>
      </c>
      <c r="Z40" s="374">
        <f>IFERROR(IF(INDEX(Tb_Activiteiten[#All],MATCH(SubsidieTabel!$A40,Tb_Activiteiten[[#All],[Subsidiabele_Activiteit]],0),MATCH(SubsidieTabel!S$1,Tb_Activiteiten[#Headers],0))=1,I40,0),0)</f>
        <v>0</v>
      </c>
      <c r="AA40" s="374">
        <f>IFERROR(IF(INDEX(Tb_Activiteiten[#All],MATCH(SubsidieTabel!$A40,Tb_Activiteiten[[#All],[Subsidiabele_Activiteit]],0),MATCH(SubsidieTabel!O$1,Tb_Activiteiten[#Headers],0))=1,$F40,0),0)</f>
        <v>0</v>
      </c>
      <c r="AB40" s="374">
        <f>IFERROR(IF(INDEX(Tb_Activiteiten[#All],MATCH(SubsidieTabel!$A40,Tb_Activiteiten[[#All],[Subsidiabele_Activiteit]],0),MATCH(SubsidieTabel!O$1,Tb_Activiteiten[#Headers],0))=1,$G40,0),0)</f>
        <v>0</v>
      </c>
      <c r="AD40" t="s">
        <v>83</v>
      </c>
      <c r="AE40" t="s">
        <v>99</v>
      </c>
      <c r="AF40" t="s">
        <v>101</v>
      </c>
      <c r="AG40" t="s">
        <v>102</v>
      </c>
      <c r="AH40" t="s">
        <v>40</v>
      </c>
      <c r="AI40" t="s">
        <v>336</v>
      </c>
      <c r="AJ40" t="s">
        <v>87</v>
      </c>
      <c r="AK40" t="s">
        <v>88</v>
      </c>
      <c r="AL40" t="s">
        <v>184</v>
      </c>
      <c r="AM40" t="s">
        <v>185</v>
      </c>
      <c r="AN40" t="s">
        <v>56</v>
      </c>
    </row>
    <row r="41" spans="1:40" x14ac:dyDescent="0.25">
      <c r="A41" s="12"/>
      <c r="B41" s="12"/>
      <c r="C41" s="12" t="str">
        <f>IFERROR(VLOOKUP($B41,Tb_ProjectKosten[],4,0),"")</f>
        <v/>
      </c>
      <c r="D41" s="12" t="str" cm="1">
        <f t="array" ref="D41">IFERROR(INDEX(Tb_KostenOpties[],MATCH(B41,Tb_KostenOpties[KostenOptie],0),IFERROR(MATCH(Methode_Keuze,Tb_KostenOpties[#Headers],0),2)),"")</f>
        <v/>
      </c>
      <c r="E41" s="284">
        <f>IFERROR(VLOOKUP(B41,Tb_ProjectKosten[[#All],[KostenOmschrijving]:[Forfait_Percentage]],6,0),0)</f>
        <v>0</v>
      </c>
      <c r="F41" s="285">
        <f>SUMIFS('5. Kosten uitvoering project'!P:P,'5. Kosten uitvoering project'!E:E,SubsidieTabel!A41,'5. Kosten uitvoering project'!F:F,SubsidieTabel!B41)</f>
        <v>0</v>
      </c>
      <c r="G41" s="285">
        <f>SUMIFS('5. Kosten uitvoering project'!Q:Q,'5. Kosten uitvoering project'!E:E,SubsidieTabel!A41,'5. Kosten uitvoering project'!F:F,SubsidieTabel!B41)</f>
        <v>0</v>
      </c>
      <c r="H41" s="285">
        <f>SUMIFS('5. Kosten uitvoering project'!R:R,'5. Kosten uitvoering project'!E:E,SubsidieTabel!A41,'5. Kosten uitvoering project'!F:F,SubsidieTabel!B41)</f>
        <v>0</v>
      </c>
      <c r="I41" s="285">
        <f>SUMIFS('5. Kosten uitvoering project'!S:S,'5. Kosten uitvoering project'!E:E,SubsidieTabel!A41,'5. Kosten uitvoering project'!F:F,SubsidieTabel!B41)</f>
        <v>0</v>
      </c>
      <c r="J41" s="285">
        <f t="shared" si="0"/>
        <v>0</v>
      </c>
      <c r="K41" s="285">
        <f t="shared" si="1"/>
        <v>0</v>
      </c>
      <c r="L41" s="284" t="str">
        <f>IFERROR(VLOOKUP(A41,Lijsten!$AK:$AL,2,0),"")</f>
        <v/>
      </c>
      <c r="M41" s="285">
        <f t="shared" si="2"/>
        <v>0</v>
      </c>
      <c r="N41" s="285">
        <f t="shared" si="3"/>
        <v>0</v>
      </c>
      <c r="O41" s="285">
        <f>IFERROR(IF(INDEX(Tb_Activiteiten[#All],MATCH(SubsidieTabel!$A41,Tb_Activiteiten[[#All],[Subsidiabele_Activiteit]],0),MATCH(SubsidieTabel!O$1,Tb_Activiteiten[#Headers],0))=1,SubsidieTabel!$J41,0),0)</f>
        <v>0</v>
      </c>
      <c r="P41" s="285">
        <f>IFERROR(IF(INDEX(Tb_Activiteiten[#All],MATCH(SubsidieTabel!$A41,Tb_Activiteiten[[#All],[Subsidiabele_Activiteit]],0),MATCH(SubsidieTabel!P$1,Tb_Activiteiten[#Headers],0))=1,SubsidieTabel!$K41,0),0)</f>
        <v>0</v>
      </c>
      <c r="Q41" s="285">
        <f>IFERROR(IF(INDEX(Tb_Activiteiten[#All],MATCH(SubsidieTabel!$A41,Tb_Activiteiten[[#All],[Subsidiabele_Activiteit]],0),MATCH(SubsidieTabel!Q$1,Tb_Activiteiten[#Headers],0))=1,SubsidieTabel!$J41,0),0)</f>
        <v>0</v>
      </c>
      <c r="R41" s="285">
        <f>IFERROR(IF(INDEX(Tb_Activiteiten[#All],MATCH(SubsidieTabel!$A41,Tb_Activiteiten[[#All],[Subsidiabele_Activiteit]],0),MATCH(SubsidieTabel!R$1,Tb_Activiteiten[#Headers],0))=1,SubsidieTabel!$K41,0),0)</f>
        <v>0</v>
      </c>
      <c r="S41" s="285">
        <f>IFERROR(IF(INDEX(Tb_Activiteiten[#All],MATCH(SubsidieTabel!$A41,Tb_Activiteiten[[#All],[Subsidiabele_Activiteit]],0),MATCH(SubsidieTabel!S$1,Tb_Activiteiten[#Headers],0))=1,SubsidieTabel!$J41,0),0)</f>
        <v>0</v>
      </c>
      <c r="T41" s="285">
        <f>IFERROR(IF(INDEX(Tb_Activiteiten[#All],MATCH(SubsidieTabel!$A41,Tb_Activiteiten[[#All],[Subsidiabele_Activiteit]],0),MATCH(SubsidieTabel!T$1,Tb_Activiteiten[#Headers],0))=1,SubsidieTabel!$K41,0),0)</f>
        <v>0</v>
      </c>
      <c r="U41" s="285">
        <f>IFERROR(IF(INDEX(Tb_Activiteiten[#All],MATCH(SubsidieTabel!$A41,Tb_Activiteiten[[#All],[Subsidiabele_Activiteit]],0),MATCH(SubsidieTabel!U$1,Tb_Activiteiten[#Headers],0))=1,SubsidieTabel!$J41,0),0)</f>
        <v>0</v>
      </c>
      <c r="V41" s="285">
        <f>IFERROR(IF(INDEX(Tb_Activiteiten[#All],MATCH(SubsidieTabel!$A41,Tb_Activiteiten[[#All],[Subsidiabele_Activiteit]],0),MATCH(SubsidieTabel!V$1,Tb_Activiteiten[#Headers],0))=1,SubsidieTabel!$K41,0),0)</f>
        <v>0</v>
      </c>
      <c r="W41" s="64">
        <f>IFERROR(IF(INDEX(Tb_Activiteiten[#All],MATCH(SubsidieTabel!$A41,Tb_Activiteiten[[#All],[Subsidiabele_Activiteit]],0),MATCH(SubsidieTabel!Q$1,Tb_Activiteiten[#Headers],0))=1,H41,0),0)</f>
        <v>0</v>
      </c>
      <c r="X41" s="64">
        <f>IFERROR(IF(INDEX(Tb_Activiteiten[#All],MATCH(SubsidieTabel!$A41,Tb_Activiteiten[[#All],[Subsidiabele_Activiteit]],0),MATCH(SubsidieTabel!Q$1,Tb_Activiteiten[#Headers],0))=1,I41,0),0)</f>
        <v>0</v>
      </c>
      <c r="Y41" s="64">
        <f>IFERROR(IF(INDEX(Tb_Activiteiten[#All],MATCH(SubsidieTabel!$A41,Tb_Activiteiten[[#All],[Subsidiabele_Activiteit]],0),MATCH(SubsidieTabel!S$1,Tb_Activiteiten[#Headers],0))=1,H41,0),0)</f>
        <v>0</v>
      </c>
      <c r="Z41" s="64">
        <f>IFERROR(IF(INDEX(Tb_Activiteiten[#All],MATCH(SubsidieTabel!$A41,Tb_Activiteiten[[#All],[Subsidiabele_Activiteit]],0),MATCH(SubsidieTabel!S$1,Tb_Activiteiten[#Headers],0))=1,I41,0),0)</f>
        <v>0</v>
      </c>
      <c r="AA41" s="64">
        <f>IFERROR(IF(INDEX(Tb_Activiteiten[#All],MATCH(SubsidieTabel!$A41,Tb_Activiteiten[[#All],[Subsidiabele_Activiteit]],0),MATCH(SubsidieTabel!O$1,Tb_Activiteiten[#Headers],0))=1,$F41,0),0)</f>
        <v>0</v>
      </c>
      <c r="AB41" s="64">
        <f>IFERROR(IF(INDEX(Tb_Activiteiten[#All],MATCH(SubsidieTabel!$A41,Tb_Activiteiten[[#All],[Subsidiabele_Activiteit]],0),MATCH(SubsidieTabel!O$1,Tb_Activiteiten[#Headers],0))=1,$G41,0),0)</f>
        <v>0</v>
      </c>
      <c r="AD41" s="12" t="str">
        <f t="shared" ref="AD41:AD51" si="7">$AD28</f>
        <v>Arbeidskosten</v>
      </c>
      <c r="AE41" s="68" t="str">
        <f t="shared" ref="AE41:AE50" si="8">IF(Keuze_DB_Nr_BEO&lt;&gt;"",Keuze_DB_Nr_BEO,"")</f>
        <v/>
      </c>
      <c r="AF41" s="64">
        <f>IF(Tb_DBKostenBEO[[#This Row],[Forfait]]=1,SUMIFS('8. Uitgaven betaalverzoek'!U:U,'8. Uitgaven betaalverzoek'!F:F,Tb_DBKostenBEO[[#This Row],[KostenOmschrijving]],'8. Uitgaven betaalverzoek'!A:A,Tb_DBKostenBEO[[#This Row],[Deelbetaling]]),0)</f>
        <v>0</v>
      </c>
      <c r="AG41" s="64">
        <f>IF(Tb_DBKostenBEO[[#This Row],[Forfait]]=1,SUMIFS('8. Uitgaven betaalverzoek'!V:V,'8.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5">
        <v>0.4</v>
      </c>
      <c r="AJ41" s="64">
        <f>IF(Tb_DBKostenBEO[[#This Row],[Forfait]]=1,SUMIFS('8. Uitgaven betaalverzoek'!W:W,'8. Uitgaven betaalverzoek'!F:F,Tb_DBKostenBEO[[#This Row],[KostenOmschrijving]],'8. Uitgaven betaalverzoek'!A:A,Tb_DBKostenBEO[[#This Row],[Deelbetaling]]),0)</f>
        <v>0</v>
      </c>
      <c r="AK41" s="64">
        <f>IF(Tb_DBKostenBEO[[#This Row],[Forfait]]=1,SUMIFS('8. Uitgaven betaalverzoek'!X:X,'8. Uitgaven betaalverzoek'!F:F,Tb_DBKostenBEO[[#This Row],[KostenOmschrijving]],'8. Uitgaven betaalverzoek'!A:A,Tb_DBKostenBEO[[#This Row],[Deelbetaling]]),0)</f>
        <v>0</v>
      </c>
      <c r="AL41" s="64">
        <f>Tb_DBKostenBEO[[#This Row],[Deelbetaling_Aanvraag]]+Tb_DBKostenBEO[[#This Row],[Forfait_Bedrag]]</f>
        <v>0</v>
      </c>
      <c r="AM41" s="64">
        <f>Tb_DBKostenBEO[[#This Row],[Deelbetaling_Beoordeeld]]+Tb_DBKostenBEO[[#This Row],[Forfait_Bedrag_Beoordeeld]]</f>
        <v>0</v>
      </c>
      <c r="AN41" t="str">
        <f>IF(Tb_DBKostenBEO[[#This Row],[Forfait]]=0,"Dit kostentype hoeft u niet op te geven. Hiervoor wordt een forfait berekend.","")</f>
        <v/>
      </c>
    </row>
    <row r="42" spans="1:40" x14ac:dyDescent="0.25">
      <c r="A42" s="63"/>
      <c r="B42" s="63"/>
      <c r="C42" s="63" t="str">
        <f>IFERROR(VLOOKUP($B42,Tb_ProjectKosten[],4,0),"")</f>
        <v/>
      </c>
      <c r="D42" s="63" t="str" cm="1">
        <f t="array" ref="D42">IFERROR(INDEX(Tb_KostenOpties[],MATCH(B42,Tb_KostenOpties[KostenOptie],0),IFERROR(MATCH(Methode_Keuze,Tb_KostenOpties[#Headers],0),2)),"")</f>
        <v/>
      </c>
      <c r="E42" s="286">
        <f>IFERROR(VLOOKUP(B42,Tb_ProjectKosten[[#All],[KostenOmschrijving]:[Forfait_Percentage]],6,0),0)</f>
        <v>0</v>
      </c>
      <c r="F42" s="287">
        <f>SUMIFS('5. Kosten uitvoering project'!P:P,'5. Kosten uitvoering project'!E:E,SubsidieTabel!A42,'5. Kosten uitvoering project'!F:F,SubsidieTabel!B42)</f>
        <v>0</v>
      </c>
      <c r="G42" s="287">
        <f>SUMIFS('5. Kosten uitvoering project'!Q:Q,'5. Kosten uitvoering project'!E:E,SubsidieTabel!A42,'5. Kosten uitvoering project'!F:F,SubsidieTabel!B42)</f>
        <v>0</v>
      </c>
      <c r="H42" s="287">
        <f>SUMIFS('5. Kosten uitvoering project'!R:R,'5. Kosten uitvoering project'!E:E,SubsidieTabel!A42,'5. Kosten uitvoering project'!F:F,SubsidieTabel!B42)</f>
        <v>0</v>
      </c>
      <c r="I42" s="287">
        <f>SUMIFS('5. Kosten uitvoering project'!S:S,'5. Kosten uitvoering project'!E:E,SubsidieTabel!A42,'5. Kosten uitvoering project'!F:F,SubsidieTabel!B42)</f>
        <v>0</v>
      </c>
      <c r="J42" s="287">
        <f t="shared" si="0"/>
        <v>0</v>
      </c>
      <c r="K42" s="287">
        <f t="shared" si="1"/>
        <v>0</v>
      </c>
      <c r="L42" s="286" t="str">
        <f>IFERROR(VLOOKUP(A42,Lijsten!$AK:$AL,2,0),"")</f>
        <v/>
      </c>
      <c r="M42" s="287">
        <f t="shared" si="2"/>
        <v>0</v>
      </c>
      <c r="N42" s="287">
        <f t="shared" si="3"/>
        <v>0</v>
      </c>
      <c r="O42" s="287">
        <f>IFERROR(IF(INDEX(Tb_Activiteiten[#All],MATCH(SubsidieTabel!$A42,Tb_Activiteiten[[#All],[Subsidiabele_Activiteit]],0),MATCH(SubsidieTabel!O$1,Tb_Activiteiten[#Headers],0))=1,SubsidieTabel!$J42,0),0)</f>
        <v>0</v>
      </c>
      <c r="P42" s="287">
        <f>IFERROR(IF(INDEX(Tb_Activiteiten[#All],MATCH(SubsidieTabel!$A42,Tb_Activiteiten[[#All],[Subsidiabele_Activiteit]],0),MATCH(SubsidieTabel!P$1,Tb_Activiteiten[#Headers],0))=1,SubsidieTabel!$K42,0),0)</f>
        <v>0</v>
      </c>
      <c r="Q42" s="287">
        <f>IFERROR(IF(INDEX(Tb_Activiteiten[#All],MATCH(SubsidieTabel!$A42,Tb_Activiteiten[[#All],[Subsidiabele_Activiteit]],0),MATCH(SubsidieTabel!Q$1,Tb_Activiteiten[#Headers],0))=1,SubsidieTabel!$J42,0),0)</f>
        <v>0</v>
      </c>
      <c r="R42" s="287">
        <f>IFERROR(IF(INDEX(Tb_Activiteiten[#All],MATCH(SubsidieTabel!$A42,Tb_Activiteiten[[#All],[Subsidiabele_Activiteit]],0),MATCH(SubsidieTabel!R$1,Tb_Activiteiten[#Headers],0))=1,SubsidieTabel!$K42,0),0)</f>
        <v>0</v>
      </c>
      <c r="S42" s="287">
        <f>IFERROR(IF(INDEX(Tb_Activiteiten[#All],MATCH(SubsidieTabel!$A42,Tb_Activiteiten[[#All],[Subsidiabele_Activiteit]],0),MATCH(SubsidieTabel!S$1,Tb_Activiteiten[#Headers],0))=1,SubsidieTabel!$J42,0),0)</f>
        <v>0</v>
      </c>
      <c r="T42" s="287">
        <f>IFERROR(IF(INDEX(Tb_Activiteiten[#All],MATCH(SubsidieTabel!$A42,Tb_Activiteiten[[#All],[Subsidiabele_Activiteit]],0),MATCH(SubsidieTabel!T$1,Tb_Activiteiten[#Headers],0))=1,SubsidieTabel!$K42,0),0)</f>
        <v>0</v>
      </c>
      <c r="U42" s="287">
        <f>IFERROR(IF(INDEX(Tb_Activiteiten[#All],MATCH(SubsidieTabel!$A42,Tb_Activiteiten[[#All],[Subsidiabele_Activiteit]],0),MATCH(SubsidieTabel!U$1,Tb_Activiteiten[#Headers],0))=1,SubsidieTabel!$J42,0),0)</f>
        <v>0</v>
      </c>
      <c r="V42" s="287">
        <f>IFERROR(IF(INDEX(Tb_Activiteiten[#All],MATCH(SubsidieTabel!$A42,Tb_Activiteiten[[#All],[Subsidiabele_Activiteit]],0),MATCH(SubsidieTabel!V$1,Tb_Activiteiten[#Headers],0))=1,SubsidieTabel!$K42,0),0)</f>
        <v>0</v>
      </c>
      <c r="W42" s="374">
        <f>IFERROR(IF(INDEX(Tb_Activiteiten[#All],MATCH(SubsidieTabel!$A42,Tb_Activiteiten[[#All],[Subsidiabele_Activiteit]],0),MATCH(SubsidieTabel!Q$1,Tb_Activiteiten[#Headers],0))=1,H42,0),0)</f>
        <v>0</v>
      </c>
      <c r="X42" s="374">
        <f>IFERROR(IF(INDEX(Tb_Activiteiten[#All],MATCH(SubsidieTabel!$A42,Tb_Activiteiten[[#All],[Subsidiabele_Activiteit]],0),MATCH(SubsidieTabel!Q$1,Tb_Activiteiten[#Headers],0))=1,I42,0),0)</f>
        <v>0</v>
      </c>
      <c r="Y42" s="374">
        <f>IFERROR(IF(INDEX(Tb_Activiteiten[#All],MATCH(SubsidieTabel!$A42,Tb_Activiteiten[[#All],[Subsidiabele_Activiteit]],0),MATCH(SubsidieTabel!S$1,Tb_Activiteiten[#Headers],0))=1,H42,0),0)</f>
        <v>0</v>
      </c>
      <c r="Z42" s="374">
        <f>IFERROR(IF(INDEX(Tb_Activiteiten[#All],MATCH(SubsidieTabel!$A42,Tb_Activiteiten[[#All],[Subsidiabele_Activiteit]],0),MATCH(SubsidieTabel!S$1,Tb_Activiteiten[#Headers],0))=1,I42,0),0)</f>
        <v>0</v>
      </c>
      <c r="AA42" s="374">
        <f>IFERROR(IF(INDEX(Tb_Activiteiten[#All],MATCH(SubsidieTabel!$A42,Tb_Activiteiten[[#All],[Subsidiabele_Activiteit]],0),MATCH(SubsidieTabel!O$1,Tb_Activiteiten[#Headers],0))=1,$F42,0),0)</f>
        <v>0</v>
      </c>
      <c r="AB42" s="374">
        <f>IFERROR(IF(INDEX(Tb_Activiteiten[#All],MATCH(SubsidieTabel!$A42,Tb_Activiteiten[[#All],[Subsidiabele_Activiteit]],0),MATCH(SubsidieTabel!O$1,Tb_Activiteiten[#Headers],0))=1,$G42,0),0)</f>
        <v>0</v>
      </c>
      <c r="AD42" s="12" t="str">
        <f t="shared" si="7"/>
        <v>Arbeidskosten op basis van IKS</v>
      </c>
      <c r="AE42" t="str">
        <f t="shared" si="8"/>
        <v/>
      </c>
      <c r="AF42" s="64">
        <f>IF(Tb_DBKostenBEO[[#This Row],[Forfait]]=1,SUMIFS('8. Uitgaven betaalverzoek'!U:U,'8. Uitgaven betaalverzoek'!F:F,Tb_DBKostenBEO[[#This Row],[KostenOmschrijving]],'8. Uitgaven betaalverzoek'!A:A,Tb_DBKostenBEO[[#This Row],[Deelbetaling]]),0)</f>
        <v>0</v>
      </c>
      <c r="AG42" s="64">
        <f>IF(Tb_DBKostenBEO[[#This Row],[Forfait]]=1,SUMIFS('8. Uitgaven betaalverzoek'!V:V,'8.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5">
        <v>0</v>
      </c>
      <c r="AJ42" s="64">
        <f>IF(Tb_DBKostenBEO[[#This Row],[Forfait]]=1,SUMIFS('8. Uitgaven betaalverzoek'!W:W,'8. Uitgaven betaalverzoek'!F:F,Tb_DBKostenBEO[[#This Row],[KostenOmschrijving]],'8. Uitgaven betaalverzoek'!A:A,Tb_DBKostenBEO[[#This Row],[Deelbetaling]]),0)</f>
        <v>0</v>
      </c>
      <c r="AK42" s="64">
        <f>IF(Tb_DBKostenBEO[[#This Row],[Forfait]]=1,SUMIFS('8. Uitgaven betaalverzoek'!X:X,'8. Uitgaven betaalverzoek'!F:F,Tb_DBKostenBEO[[#This Row],[KostenOmschrijving]],'8. Uitgaven betaalverzoek'!A:A,Tb_DBKostenBEO[[#This Row],[Deelbetaling]]),0)</f>
        <v>0</v>
      </c>
      <c r="AL42" s="64">
        <f>Tb_DBKostenBEO[[#This Row],[Deelbetaling_Aanvraag]]+Tb_DBKostenBEO[[#This Row],[Forfait_Bedrag]]</f>
        <v>0</v>
      </c>
      <c r="AM42" s="64">
        <f>Tb_DBKostenBEO[[#This Row],[Deelbetaling_Beoordeeld]]+Tb_DBKostenBEO[[#This Row],[Forfait_Bedrag_Beoordeeld]]</f>
        <v>0</v>
      </c>
      <c r="AN42" t="str">
        <f>IF(Tb_DBKostenBEO[[#This Row],[Forfait]]=0,"Dit kostentype hoeft u niet op te geven. Hiervoor wordt een forfait berekend.","")</f>
        <v/>
      </c>
    </row>
    <row r="43" spans="1:40" x14ac:dyDescent="0.25">
      <c r="A43" s="12"/>
      <c r="B43" s="12"/>
      <c r="C43" s="12" t="str">
        <f>IFERROR(VLOOKUP($B43,Tb_ProjectKosten[],4,0),"")</f>
        <v/>
      </c>
      <c r="D43" s="12" t="str" cm="1">
        <f t="array" ref="D43">IFERROR(INDEX(Tb_KostenOpties[],MATCH(B43,Tb_KostenOpties[KostenOptie],0),IFERROR(MATCH(Methode_Keuze,Tb_KostenOpties[#Headers],0),2)),"")</f>
        <v/>
      </c>
      <c r="E43" s="284">
        <f>IFERROR(VLOOKUP(B43,Tb_ProjectKosten[[#All],[KostenOmschrijving]:[Forfait_Percentage]],6,0),0)</f>
        <v>0</v>
      </c>
      <c r="F43" s="285">
        <f>SUMIFS('5. Kosten uitvoering project'!P:P,'5. Kosten uitvoering project'!E:E,SubsidieTabel!A43,'5. Kosten uitvoering project'!F:F,SubsidieTabel!B43)</f>
        <v>0</v>
      </c>
      <c r="G43" s="285">
        <f>SUMIFS('5. Kosten uitvoering project'!Q:Q,'5. Kosten uitvoering project'!E:E,SubsidieTabel!A43,'5. Kosten uitvoering project'!F:F,SubsidieTabel!B43)</f>
        <v>0</v>
      </c>
      <c r="H43" s="285">
        <f>SUMIFS('5. Kosten uitvoering project'!R:R,'5. Kosten uitvoering project'!E:E,SubsidieTabel!A43,'5. Kosten uitvoering project'!F:F,SubsidieTabel!B43)</f>
        <v>0</v>
      </c>
      <c r="I43" s="285">
        <f>SUMIFS('5. Kosten uitvoering project'!S:S,'5. Kosten uitvoering project'!E:E,SubsidieTabel!A43,'5. Kosten uitvoering project'!F:F,SubsidieTabel!B43)</f>
        <v>0</v>
      </c>
      <c r="J43" s="285">
        <f t="shared" si="0"/>
        <v>0</v>
      </c>
      <c r="K43" s="285">
        <f t="shared" si="1"/>
        <v>0</v>
      </c>
      <c r="L43" s="284" t="str">
        <f>IFERROR(VLOOKUP(A43,Lijsten!$AK:$AL,2,0),"")</f>
        <v/>
      </c>
      <c r="M43" s="285">
        <f t="shared" si="2"/>
        <v>0</v>
      </c>
      <c r="N43" s="285">
        <f t="shared" si="3"/>
        <v>0</v>
      </c>
      <c r="O43" s="285">
        <f>IFERROR(IF(INDEX(Tb_Activiteiten[#All],MATCH(SubsidieTabel!$A43,Tb_Activiteiten[[#All],[Subsidiabele_Activiteit]],0),MATCH(SubsidieTabel!O$1,Tb_Activiteiten[#Headers],0))=1,SubsidieTabel!$J43,0),0)</f>
        <v>0</v>
      </c>
      <c r="P43" s="285">
        <f>IFERROR(IF(INDEX(Tb_Activiteiten[#All],MATCH(SubsidieTabel!$A43,Tb_Activiteiten[[#All],[Subsidiabele_Activiteit]],0),MATCH(SubsidieTabel!P$1,Tb_Activiteiten[#Headers],0))=1,SubsidieTabel!$K43,0),0)</f>
        <v>0</v>
      </c>
      <c r="Q43" s="285">
        <f>IFERROR(IF(INDEX(Tb_Activiteiten[#All],MATCH(SubsidieTabel!$A43,Tb_Activiteiten[[#All],[Subsidiabele_Activiteit]],0),MATCH(SubsidieTabel!Q$1,Tb_Activiteiten[#Headers],0))=1,SubsidieTabel!$J43,0),0)</f>
        <v>0</v>
      </c>
      <c r="R43" s="285">
        <f>IFERROR(IF(INDEX(Tb_Activiteiten[#All],MATCH(SubsidieTabel!$A43,Tb_Activiteiten[[#All],[Subsidiabele_Activiteit]],0),MATCH(SubsidieTabel!R$1,Tb_Activiteiten[#Headers],0))=1,SubsidieTabel!$K43,0),0)</f>
        <v>0</v>
      </c>
      <c r="S43" s="285">
        <f>IFERROR(IF(INDEX(Tb_Activiteiten[#All],MATCH(SubsidieTabel!$A43,Tb_Activiteiten[[#All],[Subsidiabele_Activiteit]],0),MATCH(SubsidieTabel!S$1,Tb_Activiteiten[#Headers],0))=1,SubsidieTabel!$J43,0),0)</f>
        <v>0</v>
      </c>
      <c r="T43" s="285">
        <f>IFERROR(IF(INDEX(Tb_Activiteiten[#All],MATCH(SubsidieTabel!$A43,Tb_Activiteiten[[#All],[Subsidiabele_Activiteit]],0),MATCH(SubsidieTabel!T$1,Tb_Activiteiten[#Headers],0))=1,SubsidieTabel!$K43,0),0)</f>
        <v>0</v>
      </c>
      <c r="U43" s="285">
        <f>IFERROR(IF(INDEX(Tb_Activiteiten[#All],MATCH(SubsidieTabel!$A43,Tb_Activiteiten[[#All],[Subsidiabele_Activiteit]],0),MATCH(SubsidieTabel!U$1,Tb_Activiteiten[#Headers],0))=1,SubsidieTabel!$J43,0),0)</f>
        <v>0</v>
      </c>
      <c r="V43" s="285">
        <f>IFERROR(IF(INDEX(Tb_Activiteiten[#All],MATCH(SubsidieTabel!$A43,Tb_Activiteiten[[#All],[Subsidiabele_Activiteit]],0),MATCH(SubsidieTabel!V$1,Tb_Activiteiten[#Headers],0))=1,SubsidieTabel!$K43,0),0)</f>
        <v>0</v>
      </c>
      <c r="W43" s="64">
        <f>IFERROR(IF(INDEX(Tb_Activiteiten[#All],MATCH(SubsidieTabel!$A43,Tb_Activiteiten[[#All],[Subsidiabele_Activiteit]],0),MATCH(SubsidieTabel!Q$1,Tb_Activiteiten[#Headers],0))=1,H43,0),0)</f>
        <v>0</v>
      </c>
      <c r="X43" s="64">
        <f>IFERROR(IF(INDEX(Tb_Activiteiten[#All],MATCH(SubsidieTabel!$A43,Tb_Activiteiten[[#All],[Subsidiabele_Activiteit]],0),MATCH(SubsidieTabel!Q$1,Tb_Activiteiten[#Headers],0))=1,I43,0),0)</f>
        <v>0</v>
      </c>
      <c r="Y43" s="64">
        <f>IFERROR(IF(INDEX(Tb_Activiteiten[#All],MATCH(SubsidieTabel!$A43,Tb_Activiteiten[[#All],[Subsidiabele_Activiteit]],0),MATCH(SubsidieTabel!S$1,Tb_Activiteiten[#Headers],0))=1,H43,0),0)</f>
        <v>0</v>
      </c>
      <c r="Z43" s="64">
        <f>IFERROR(IF(INDEX(Tb_Activiteiten[#All],MATCH(SubsidieTabel!$A43,Tb_Activiteiten[[#All],[Subsidiabele_Activiteit]],0),MATCH(SubsidieTabel!S$1,Tb_Activiteiten[#Headers],0))=1,I43,0),0)</f>
        <v>0</v>
      </c>
      <c r="AA43" s="64">
        <f>IFERROR(IF(INDEX(Tb_Activiteiten[#All],MATCH(SubsidieTabel!$A43,Tb_Activiteiten[[#All],[Subsidiabele_Activiteit]],0),MATCH(SubsidieTabel!O$1,Tb_Activiteiten[#Headers],0))=1,$F43,0),0)</f>
        <v>0</v>
      </c>
      <c r="AB43" s="64">
        <f>IFERROR(IF(INDEX(Tb_Activiteiten[#All],MATCH(SubsidieTabel!$A43,Tb_Activiteiten[[#All],[Subsidiabele_Activiteit]],0),MATCH(SubsidieTabel!O$1,Tb_Activiteiten[#Headers],0))=1,$G43,0),0)</f>
        <v>0</v>
      </c>
      <c r="AD43" s="12" t="str">
        <f t="shared" si="7"/>
        <v>Kosten derden exclusief btw</v>
      </c>
      <c r="AE43" s="68" t="str">
        <f t="shared" si="8"/>
        <v/>
      </c>
      <c r="AF43" s="64">
        <f>IF(Tb_DBKostenBEO[[#This Row],[Forfait]]=1,SUMIFS('8. Uitgaven betaalverzoek'!U:U,'8. Uitgaven betaalverzoek'!F:F,Tb_DBKostenBEO[[#This Row],[KostenOmschrijving]],'8. Uitgaven betaalverzoek'!A:A,Tb_DBKostenBEO[[#This Row],[Deelbetaling]]),0)</f>
        <v>0</v>
      </c>
      <c r="AG43" s="64">
        <f>IF(Tb_DBKostenBEO[[#This Row],[Forfait]]=1,SUMIFS('8. Uitgaven betaalverzoek'!V:V,'8.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5">
        <v>0.23</v>
      </c>
      <c r="AJ43" s="64">
        <f>IF(Tb_DBKostenBEO[[#This Row],[Forfait]]=1,SUMIFS('8. Uitgaven betaalverzoek'!W:W,'8. Uitgaven betaalverzoek'!F:F,Tb_DBKostenBEO[[#This Row],[KostenOmschrijving]],'8. Uitgaven betaalverzoek'!A:A,Tb_DBKostenBEO[[#This Row],[Deelbetaling]]),0)</f>
        <v>0</v>
      </c>
      <c r="AK43" s="64">
        <f>IF(Tb_DBKostenBEO[[#This Row],[Forfait]]=1,SUMIFS('8. Uitgaven betaalverzoek'!X:X,'8. Uitgaven betaalverzoek'!F:F,Tb_DBKostenBEO[[#This Row],[KostenOmschrijving]],'8. Uitgaven betaalverzoek'!A:A,Tb_DBKostenBEO[[#This Row],[Deelbetaling]]),0)</f>
        <v>0</v>
      </c>
      <c r="AL43" s="64">
        <f>Tb_DBKostenBEO[[#This Row],[Deelbetaling_Aanvraag]]+Tb_DBKostenBEO[[#This Row],[Forfait_Bedrag]]</f>
        <v>0</v>
      </c>
      <c r="AM43" s="64">
        <f>Tb_DBKostenBEO[[#This Row],[Deelbetaling_Beoordeeld]]+Tb_DBKostenBEO[[#This Row],[Forfait_Bedrag_Beoordeeld]]</f>
        <v>0</v>
      </c>
      <c r="AN43" t="str">
        <f>IF(Tb_DBKostenBEO[[#This Row],[Forfait]]=0,"Dit kostentype hoeft u niet op te geven. Hiervoor wordt een forfait berekend.","")</f>
        <v/>
      </c>
    </row>
    <row r="44" spans="1:40" x14ac:dyDescent="0.25">
      <c r="A44" s="63"/>
      <c r="B44" s="63"/>
      <c r="C44" s="63" t="str">
        <f>IFERROR(VLOOKUP($B44,Tb_ProjectKosten[],4,0),"")</f>
        <v/>
      </c>
      <c r="D44" s="63" t="str" cm="1">
        <f t="array" ref="D44">IFERROR(INDEX(Tb_KostenOpties[],MATCH(B44,Tb_KostenOpties[KostenOptie],0),IFERROR(MATCH(Methode_Keuze,Tb_KostenOpties[#Headers],0),2)),"")</f>
        <v/>
      </c>
      <c r="E44" s="286">
        <f>IFERROR(VLOOKUP(B44,Tb_ProjectKosten[[#All],[KostenOmschrijving]:[Forfait_Percentage]],6,0),0)</f>
        <v>0</v>
      </c>
      <c r="F44" s="287">
        <f>SUMIFS('5. Kosten uitvoering project'!P:P,'5. Kosten uitvoering project'!E:E,SubsidieTabel!A44,'5. Kosten uitvoering project'!F:F,SubsidieTabel!B44)</f>
        <v>0</v>
      </c>
      <c r="G44" s="287">
        <f>SUMIFS('5. Kosten uitvoering project'!Q:Q,'5. Kosten uitvoering project'!E:E,SubsidieTabel!A44,'5. Kosten uitvoering project'!F:F,SubsidieTabel!B44)</f>
        <v>0</v>
      </c>
      <c r="H44" s="287">
        <f>SUMIFS('5. Kosten uitvoering project'!R:R,'5. Kosten uitvoering project'!E:E,SubsidieTabel!A44,'5. Kosten uitvoering project'!F:F,SubsidieTabel!B44)</f>
        <v>0</v>
      </c>
      <c r="I44" s="287">
        <f>SUMIFS('5. Kosten uitvoering project'!S:S,'5. Kosten uitvoering project'!E:E,SubsidieTabel!A44,'5. Kosten uitvoering project'!F:F,SubsidieTabel!B44)</f>
        <v>0</v>
      </c>
      <c r="J44" s="287">
        <f t="shared" si="0"/>
        <v>0</v>
      </c>
      <c r="K44" s="287">
        <f t="shared" si="1"/>
        <v>0</v>
      </c>
      <c r="L44" s="286" t="str">
        <f>IFERROR(VLOOKUP(A44,Lijsten!$AK:$AL,2,0),"")</f>
        <v/>
      </c>
      <c r="M44" s="287">
        <f t="shared" si="2"/>
        <v>0</v>
      </c>
      <c r="N44" s="287">
        <f t="shared" si="3"/>
        <v>0</v>
      </c>
      <c r="O44" s="287">
        <f>IFERROR(IF(INDEX(Tb_Activiteiten[#All],MATCH(SubsidieTabel!$A44,Tb_Activiteiten[[#All],[Subsidiabele_Activiteit]],0),MATCH(SubsidieTabel!O$1,Tb_Activiteiten[#Headers],0))=1,SubsidieTabel!$J44,0),0)</f>
        <v>0</v>
      </c>
      <c r="P44" s="287">
        <f>IFERROR(IF(INDEX(Tb_Activiteiten[#All],MATCH(SubsidieTabel!$A44,Tb_Activiteiten[[#All],[Subsidiabele_Activiteit]],0),MATCH(SubsidieTabel!P$1,Tb_Activiteiten[#Headers],0))=1,SubsidieTabel!$K44,0),0)</f>
        <v>0</v>
      </c>
      <c r="Q44" s="287">
        <f>IFERROR(IF(INDEX(Tb_Activiteiten[#All],MATCH(SubsidieTabel!$A44,Tb_Activiteiten[[#All],[Subsidiabele_Activiteit]],0),MATCH(SubsidieTabel!Q$1,Tb_Activiteiten[#Headers],0))=1,SubsidieTabel!$J44,0),0)</f>
        <v>0</v>
      </c>
      <c r="R44" s="287">
        <f>IFERROR(IF(INDEX(Tb_Activiteiten[#All],MATCH(SubsidieTabel!$A44,Tb_Activiteiten[[#All],[Subsidiabele_Activiteit]],0),MATCH(SubsidieTabel!R$1,Tb_Activiteiten[#Headers],0))=1,SubsidieTabel!$K44,0),0)</f>
        <v>0</v>
      </c>
      <c r="S44" s="287">
        <f>IFERROR(IF(INDEX(Tb_Activiteiten[#All],MATCH(SubsidieTabel!$A44,Tb_Activiteiten[[#All],[Subsidiabele_Activiteit]],0),MATCH(SubsidieTabel!S$1,Tb_Activiteiten[#Headers],0))=1,SubsidieTabel!$J44,0),0)</f>
        <v>0</v>
      </c>
      <c r="T44" s="287">
        <f>IFERROR(IF(INDEX(Tb_Activiteiten[#All],MATCH(SubsidieTabel!$A44,Tb_Activiteiten[[#All],[Subsidiabele_Activiteit]],0),MATCH(SubsidieTabel!T$1,Tb_Activiteiten[#Headers],0))=1,SubsidieTabel!$K44,0),0)</f>
        <v>0</v>
      </c>
      <c r="U44" s="287">
        <f>IFERROR(IF(INDEX(Tb_Activiteiten[#All],MATCH(SubsidieTabel!$A44,Tb_Activiteiten[[#All],[Subsidiabele_Activiteit]],0),MATCH(SubsidieTabel!U$1,Tb_Activiteiten[#Headers],0))=1,SubsidieTabel!$J44,0),0)</f>
        <v>0</v>
      </c>
      <c r="V44" s="287">
        <f>IFERROR(IF(INDEX(Tb_Activiteiten[#All],MATCH(SubsidieTabel!$A44,Tb_Activiteiten[[#All],[Subsidiabele_Activiteit]],0),MATCH(SubsidieTabel!V$1,Tb_Activiteiten[#Headers],0))=1,SubsidieTabel!$K44,0),0)</f>
        <v>0</v>
      </c>
      <c r="W44" s="374">
        <f>IFERROR(IF(INDEX(Tb_Activiteiten[#All],MATCH(SubsidieTabel!$A44,Tb_Activiteiten[[#All],[Subsidiabele_Activiteit]],0),MATCH(SubsidieTabel!Q$1,Tb_Activiteiten[#Headers],0))=1,H44,0),0)</f>
        <v>0</v>
      </c>
      <c r="X44" s="374">
        <f>IFERROR(IF(INDEX(Tb_Activiteiten[#All],MATCH(SubsidieTabel!$A44,Tb_Activiteiten[[#All],[Subsidiabele_Activiteit]],0),MATCH(SubsidieTabel!Q$1,Tb_Activiteiten[#Headers],0))=1,I44,0),0)</f>
        <v>0</v>
      </c>
      <c r="Y44" s="374">
        <f>IFERROR(IF(INDEX(Tb_Activiteiten[#All],MATCH(SubsidieTabel!$A44,Tb_Activiteiten[[#All],[Subsidiabele_Activiteit]],0),MATCH(SubsidieTabel!S$1,Tb_Activiteiten[#Headers],0))=1,H44,0),0)</f>
        <v>0</v>
      </c>
      <c r="Z44" s="374">
        <f>IFERROR(IF(INDEX(Tb_Activiteiten[#All],MATCH(SubsidieTabel!$A44,Tb_Activiteiten[[#All],[Subsidiabele_Activiteit]],0),MATCH(SubsidieTabel!S$1,Tb_Activiteiten[#Headers],0))=1,I44,0),0)</f>
        <v>0</v>
      </c>
      <c r="AA44" s="374">
        <f>IFERROR(IF(INDEX(Tb_Activiteiten[#All],MATCH(SubsidieTabel!$A44,Tb_Activiteiten[[#All],[Subsidiabele_Activiteit]],0),MATCH(SubsidieTabel!O$1,Tb_Activiteiten[#Headers],0))=1,$F44,0),0)</f>
        <v>0</v>
      </c>
      <c r="AB44" s="374">
        <f>IFERROR(IF(INDEX(Tb_Activiteiten[#All],MATCH(SubsidieTabel!$A44,Tb_Activiteiten[[#All],[Subsidiabele_Activiteit]],0),MATCH(SubsidieTabel!O$1,Tb_Activiteiten[#Headers],0))=1,$G44,0),0)</f>
        <v>0</v>
      </c>
      <c r="AD44" s="12" t="str">
        <f t="shared" si="7"/>
        <v>Niet verrekenbare btw</v>
      </c>
      <c r="AE44" t="str">
        <f t="shared" si="8"/>
        <v/>
      </c>
      <c r="AF44" s="64">
        <f>IF(Tb_DBKostenBEO[[#This Row],[Forfait]]=1,SUMIFS('8. Uitgaven betaalverzoek'!U:U,'8. Uitgaven betaalverzoek'!F:F,Tb_DBKostenBEO[[#This Row],[KostenOmschrijving]],'8. Uitgaven betaalverzoek'!A:A,Tb_DBKostenBEO[[#This Row],[Deelbetaling]]),0)</f>
        <v>0</v>
      </c>
      <c r="AG44" s="64">
        <f>IF(Tb_DBKostenBEO[[#This Row],[Forfait]]=1,SUMIFS('8. Uitgaven betaalverzoek'!V:V,'8.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5">
        <v>0.23</v>
      </c>
      <c r="AJ44" s="64">
        <f>IF(Tb_DBKostenBEO[[#This Row],[Forfait]]=1,SUMIFS('8. Uitgaven betaalverzoek'!W:W,'8. Uitgaven betaalverzoek'!F:F,Tb_DBKostenBEO[[#This Row],[KostenOmschrijving]],'8. Uitgaven betaalverzoek'!A:A,Tb_DBKostenBEO[[#This Row],[Deelbetaling]]),0)</f>
        <v>0</v>
      </c>
      <c r="AK44" s="64">
        <f>IF(Tb_DBKostenBEO[[#This Row],[Forfait]]=1,SUMIFS('8. Uitgaven betaalverzoek'!X:X,'8. Uitgaven betaalverzoek'!F:F,Tb_DBKostenBEO[[#This Row],[KostenOmschrijving]],'8. Uitgaven betaalverzoek'!A:A,Tb_DBKostenBEO[[#This Row],[Deelbetaling]]),0)</f>
        <v>0</v>
      </c>
      <c r="AL44" s="64">
        <f>Tb_DBKostenBEO[[#This Row],[Deelbetaling_Aanvraag]]+Tb_DBKostenBEO[[#This Row],[Forfait_Bedrag]]</f>
        <v>0</v>
      </c>
      <c r="AM44" s="64">
        <f>Tb_DBKostenBEO[[#This Row],[Deelbetaling_Beoordeeld]]+Tb_DBKostenBEO[[#This Row],[Forfait_Bedrag_Beoordeeld]]</f>
        <v>0</v>
      </c>
      <c r="AN44" t="str">
        <f>IF(Tb_DBKostenBEO[[#This Row],[Forfait]]=0,"Dit kostentype hoeft u niet op te geven. Hiervoor wordt een forfait berekend.","")</f>
        <v/>
      </c>
    </row>
    <row r="45" spans="1:40" x14ac:dyDescent="0.25">
      <c r="A45" s="12"/>
      <c r="B45" s="12"/>
      <c r="C45" s="12" t="str">
        <f>IFERROR(VLOOKUP($B45,Tb_ProjectKosten[],4,0),"")</f>
        <v/>
      </c>
      <c r="D45" s="12" t="str" cm="1">
        <f t="array" ref="D45">IFERROR(INDEX(Tb_KostenOpties[],MATCH(B45,Tb_KostenOpties[KostenOptie],0),IFERROR(MATCH(Methode_Keuze,Tb_KostenOpties[#Headers],0),2)),"")</f>
        <v/>
      </c>
      <c r="E45" s="284">
        <f>IFERROR(VLOOKUP(B45,Tb_ProjectKosten[[#All],[KostenOmschrijving]:[Forfait_Percentage]],6,0),0)</f>
        <v>0</v>
      </c>
      <c r="F45" s="285">
        <f>SUMIFS('5. Kosten uitvoering project'!P:P,'5. Kosten uitvoering project'!E:E,SubsidieTabel!A45,'5. Kosten uitvoering project'!F:F,SubsidieTabel!B45)</f>
        <v>0</v>
      </c>
      <c r="G45" s="285">
        <f>SUMIFS('5. Kosten uitvoering project'!Q:Q,'5. Kosten uitvoering project'!E:E,SubsidieTabel!A45,'5. Kosten uitvoering project'!F:F,SubsidieTabel!B45)</f>
        <v>0</v>
      </c>
      <c r="H45" s="285">
        <f>SUMIFS('5. Kosten uitvoering project'!R:R,'5. Kosten uitvoering project'!E:E,SubsidieTabel!A45,'5. Kosten uitvoering project'!F:F,SubsidieTabel!B45)</f>
        <v>0</v>
      </c>
      <c r="I45" s="285">
        <f>SUMIFS('5. Kosten uitvoering project'!S:S,'5. Kosten uitvoering project'!E:E,SubsidieTabel!A45,'5. Kosten uitvoering project'!F:F,SubsidieTabel!B45)</f>
        <v>0</v>
      </c>
      <c r="J45" s="285">
        <f t="shared" si="0"/>
        <v>0</v>
      </c>
      <c r="K45" s="285">
        <f t="shared" si="1"/>
        <v>0</v>
      </c>
      <c r="L45" s="284" t="str">
        <f>IFERROR(VLOOKUP(A45,Lijsten!$AK:$AL,2,0),"")</f>
        <v/>
      </c>
      <c r="M45" s="285">
        <f t="shared" si="2"/>
        <v>0</v>
      </c>
      <c r="N45" s="285">
        <f t="shared" si="3"/>
        <v>0</v>
      </c>
      <c r="O45" s="285">
        <f>IFERROR(IF(INDEX(Tb_Activiteiten[#All],MATCH(SubsidieTabel!$A45,Tb_Activiteiten[[#All],[Subsidiabele_Activiteit]],0),MATCH(SubsidieTabel!O$1,Tb_Activiteiten[#Headers],0))=1,SubsidieTabel!$J45,0),0)</f>
        <v>0</v>
      </c>
      <c r="P45" s="285">
        <f>IFERROR(IF(INDEX(Tb_Activiteiten[#All],MATCH(SubsidieTabel!$A45,Tb_Activiteiten[[#All],[Subsidiabele_Activiteit]],0),MATCH(SubsidieTabel!P$1,Tb_Activiteiten[#Headers],0))=1,SubsidieTabel!$K45,0),0)</f>
        <v>0</v>
      </c>
      <c r="Q45" s="285">
        <f>IFERROR(IF(INDEX(Tb_Activiteiten[#All],MATCH(SubsidieTabel!$A45,Tb_Activiteiten[[#All],[Subsidiabele_Activiteit]],0),MATCH(SubsidieTabel!Q$1,Tb_Activiteiten[#Headers],0))=1,SubsidieTabel!$J45,0),0)</f>
        <v>0</v>
      </c>
      <c r="R45" s="285">
        <f>IFERROR(IF(INDEX(Tb_Activiteiten[#All],MATCH(SubsidieTabel!$A45,Tb_Activiteiten[[#All],[Subsidiabele_Activiteit]],0),MATCH(SubsidieTabel!R$1,Tb_Activiteiten[#Headers],0))=1,SubsidieTabel!$K45,0),0)</f>
        <v>0</v>
      </c>
      <c r="S45" s="285">
        <f>IFERROR(IF(INDEX(Tb_Activiteiten[#All],MATCH(SubsidieTabel!$A45,Tb_Activiteiten[[#All],[Subsidiabele_Activiteit]],0),MATCH(SubsidieTabel!S$1,Tb_Activiteiten[#Headers],0))=1,SubsidieTabel!$J45,0),0)</f>
        <v>0</v>
      </c>
      <c r="T45" s="285">
        <f>IFERROR(IF(INDEX(Tb_Activiteiten[#All],MATCH(SubsidieTabel!$A45,Tb_Activiteiten[[#All],[Subsidiabele_Activiteit]],0),MATCH(SubsidieTabel!T$1,Tb_Activiteiten[#Headers],0))=1,SubsidieTabel!$K45,0),0)</f>
        <v>0</v>
      </c>
      <c r="U45" s="285">
        <f>IFERROR(IF(INDEX(Tb_Activiteiten[#All],MATCH(SubsidieTabel!$A45,Tb_Activiteiten[[#All],[Subsidiabele_Activiteit]],0),MATCH(SubsidieTabel!U$1,Tb_Activiteiten[#Headers],0))=1,SubsidieTabel!$J45,0),0)</f>
        <v>0</v>
      </c>
      <c r="V45" s="285">
        <f>IFERROR(IF(INDEX(Tb_Activiteiten[#All],MATCH(SubsidieTabel!$A45,Tb_Activiteiten[[#All],[Subsidiabele_Activiteit]],0),MATCH(SubsidieTabel!V$1,Tb_Activiteiten[#Headers],0))=1,SubsidieTabel!$K45,0),0)</f>
        <v>0</v>
      </c>
      <c r="W45" s="64">
        <f>IFERROR(IF(INDEX(Tb_Activiteiten[#All],MATCH(SubsidieTabel!$A45,Tb_Activiteiten[[#All],[Subsidiabele_Activiteit]],0),MATCH(SubsidieTabel!Q$1,Tb_Activiteiten[#Headers],0))=1,H45,0),0)</f>
        <v>0</v>
      </c>
      <c r="X45" s="64">
        <f>IFERROR(IF(INDEX(Tb_Activiteiten[#All],MATCH(SubsidieTabel!$A45,Tb_Activiteiten[[#All],[Subsidiabele_Activiteit]],0),MATCH(SubsidieTabel!Q$1,Tb_Activiteiten[#Headers],0))=1,I45,0),0)</f>
        <v>0</v>
      </c>
      <c r="Y45" s="64">
        <f>IFERROR(IF(INDEX(Tb_Activiteiten[#All],MATCH(SubsidieTabel!$A45,Tb_Activiteiten[[#All],[Subsidiabele_Activiteit]],0),MATCH(SubsidieTabel!S$1,Tb_Activiteiten[#Headers],0))=1,H45,0),0)</f>
        <v>0</v>
      </c>
      <c r="Z45" s="64">
        <f>IFERROR(IF(INDEX(Tb_Activiteiten[#All],MATCH(SubsidieTabel!$A45,Tb_Activiteiten[[#All],[Subsidiabele_Activiteit]],0),MATCH(SubsidieTabel!S$1,Tb_Activiteiten[#Headers],0))=1,I45,0),0)</f>
        <v>0</v>
      </c>
      <c r="AA45" s="64">
        <f>IFERROR(IF(INDEX(Tb_Activiteiten[#All],MATCH(SubsidieTabel!$A45,Tb_Activiteiten[[#All],[Subsidiabele_Activiteit]],0),MATCH(SubsidieTabel!O$1,Tb_Activiteiten[#Headers],0))=1,$F45,0),0)</f>
        <v>0</v>
      </c>
      <c r="AB45" s="64">
        <f>IFERROR(IF(INDEX(Tb_Activiteiten[#All],MATCH(SubsidieTabel!$A45,Tb_Activiteiten[[#All],[Subsidiabele_Activiteit]],0),MATCH(SubsidieTabel!O$1,Tb_Activiteiten[#Headers],0))=1,$G45,0),0)</f>
        <v>0</v>
      </c>
      <c r="AD45" s="12" t="str">
        <f t="shared" si="7"/>
        <v>Grondkosten</v>
      </c>
      <c r="AE45" s="68" t="str">
        <f t="shared" si="8"/>
        <v/>
      </c>
      <c r="AF45" s="64">
        <f>IF(Tb_DBKostenBEO[[#This Row],[Forfait]]=1,SUMIFS('8. Uitgaven betaalverzoek'!U:U,'8. Uitgaven betaalverzoek'!F:F,Tb_DBKostenBEO[[#This Row],[KostenOmschrijving]],'8. Uitgaven betaalverzoek'!A:A,Tb_DBKostenBEO[[#This Row],[Deelbetaling]]),0)</f>
        <v>0</v>
      </c>
      <c r="AG45" s="64">
        <f>IF(Tb_DBKostenBEO[[#This Row],[Forfait]]=1,SUMIFS('8. Uitgaven betaalverzoek'!V:V,'8.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5">
        <v>0.23</v>
      </c>
      <c r="AJ45" s="64">
        <f>IF(Tb_DBKostenBEO[[#This Row],[Forfait]]=1,SUMIFS('8. Uitgaven betaalverzoek'!W:W,'8. Uitgaven betaalverzoek'!F:F,Tb_DBKostenBEO[[#This Row],[KostenOmschrijving]],'8. Uitgaven betaalverzoek'!A:A,Tb_DBKostenBEO[[#This Row],[Deelbetaling]]),0)</f>
        <v>0</v>
      </c>
      <c r="AK45" s="64">
        <f>IF(Tb_DBKostenBEO[[#This Row],[Forfait]]=1,SUMIFS('8. Uitgaven betaalverzoek'!X:X,'8. Uitgaven betaalverzoek'!F:F,Tb_DBKostenBEO[[#This Row],[KostenOmschrijving]],'8. Uitgaven betaalverzoek'!A:A,Tb_DBKostenBEO[[#This Row],[Deelbetaling]]),0)</f>
        <v>0</v>
      </c>
      <c r="AL45" s="64">
        <f>Tb_DBKostenBEO[[#This Row],[Deelbetaling_Aanvraag]]+Tb_DBKostenBEO[[#This Row],[Forfait_Bedrag]]</f>
        <v>0</v>
      </c>
      <c r="AM45" s="64">
        <f>Tb_DBKostenBEO[[#This Row],[Deelbetaling_Beoordeeld]]+Tb_DBKostenBEO[[#This Row],[Forfait_Bedrag_Beoordeeld]]</f>
        <v>0</v>
      </c>
      <c r="AN45" t="str">
        <f>IF(Tb_DBKostenBEO[[#This Row],[Forfait]]=0,"Dit kostentype hoeft u niet op te geven. Hiervoor wordt een forfait berekend.","")</f>
        <v/>
      </c>
    </row>
    <row r="46" spans="1:40" x14ac:dyDescent="0.25">
      <c r="A46" s="63"/>
      <c r="B46" s="63"/>
      <c r="C46" s="63" t="str">
        <f>IFERROR(VLOOKUP($B46,Tb_ProjectKosten[],4,0),"")</f>
        <v/>
      </c>
      <c r="D46" s="63" t="str" cm="1">
        <f t="array" ref="D46">IFERROR(INDEX(Tb_KostenOpties[],MATCH(B46,Tb_KostenOpties[KostenOptie],0),IFERROR(MATCH(Methode_Keuze,Tb_KostenOpties[#Headers],0),2)),"")</f>
        <v/>
      </c>
      <c r="E46" s="286">
        <f>IFERROR(VLOOKUP(B46,Tb_ProjectKosten[[#All],[KostenOmschrijving]:[Forfait_Percentage]],6,0),0)</f>
        <v>0</v>
      </c>
      <c r="F46" s="287">
        <f>SUMIFS('5. Kosten uitvoering project'!P:P,'5. Kosten uitvoering project'!E:E,SubsidieTabel!A46,'5. Kosten uitvoering project'!F:F,SubsidieTabel!B46)</f>
        <v>0</v>
      </c>
      <c r="G46" s="287">
        <f>SUMIFS('5. Kosten uitvoering project'!Q:Q,'5. Kosten uitvoering project'!E:E,SubsidieTabel!A46,'5. Kosten uitvoering project'!F:F,SubsidieTabel!B46)</f>
        <v>0</v>
      </c>
      <c r="H46" s="287">
        <f>SUMIFS('5. Kosten uitvoering project'!R:R,'5. Kosten uitvoering project'!E:E,SubsidieTabel!A46,'5. Kosten uitvoering project'!F:F,SubsidieTabel!B46)</f>
        <v>0</v>
      </c>
      <c r="I46" s="287">
        <f>SUMIFS('5. Kosten uitvoering project'!S:S,'5. Kosten uitvoering project'!E:E,SubsidieTabel!A46,'5. Kosten uitvoering project'!F:F,SubsidieTabel!B46)</f>
        <v>0</v>
      </c>
      <c r="J46" s="287">
        <f t="shared" si="0"/>
        <v>0</v>
      </c>
      <c r="K46" s="287">
        <f t="shared" si="1"/>
        <v>0</v>
      </c>
      <c r="L46" s="286" t="str">
        <f>IFERROR(VLOOKUP(A46,Lijsten!$AK:$AL,2,0),"")</f>
        <v/>
      </c>
      <c r="M46" s="287">
        <f t="shared" si="2"/>
        <v>0</v>
      </c>
      <c r="N46" s="287">
        <f t="shared" si="3"/>
        <v>0</v>
      </c>
      <c r="O46" s="287">
        <f>IFERROR(IF(INDEX(Tb_Activiteiten[#All],MATCH(SubsidieTabel!$A46,Tb_Activiteiten[[#All],[Subsidiabele_Activiteit]],0),MATCH(SubsidieTabel!O$1,Tb_Activiteiten[#Headers],0))=1,SubsidieTabel!$J46,0),0)</f>
        <v>0</v>
      </c>
      <c r="P46" s="287">
        <f>IFERROR(IF(INDEX(Tb_Activiteiten[#All],MATCH(SubsidieTabel!$A46,Tb_Activiteiten[[#All],[Subsidiabele_Activiteit]],0),MATCH(SubsidieTabel!P$1,Tb_Activiteiten[#Headers],0))=1,SubsidieTabel!$K46,0),0)</f>
        <v>0</v>
      </c>
      <c r="Q46" s="287">
        <f>IFERROR(IF(INDEX(Tb_Activiteiten[#All],MATCH(SubsidieTabel!$A46,Tb_Activiteiten[[#All],[Subsidiabele_Activiteit]],0),MATCH(SubsidieTabel!Q$1,Tb_Activiteiten[#Headers],0))=1,SubsidieTabel!$J46,0),0)</f>
        <v>0</v>
      </c>
      <c r="R46" s="287">
        <f>IFERROR(IF(INDEX(Tb_Activiteiten[#All],MATCH(SubsidieTabel!$A46,Tb_Activiteiten[[#All],[Subsidiabele_Activiteit]],0),MATCH(SubsidieTabel!R$1,Tb_Activiteiten[#Headers],0))=1,SubsidieTabel!$K46,0),0)</f>
        <v>0</v>
      </c>
      <c r="S46" s="287">
        <f>IFERROR(IF(INDEX(Tb_Activiteiten[#All],MATCH(SubsidieTabel!$A46,Tb_Activiteiten[[#All],[Subsidiabele_Activiteit]],0),MATCH(SubsidieTabel!S$1,Tb_Activiteiten[#Headers],0))=1,SubsidieTabel!$J46,0),0)</f>
        <v>0</v>
      </c>
      <c r="T46" s="287">
        <f>IFERROR(IF(INDEX(Tb_Activiteiten[#All],MATCH(SubsidieTabel!$A46,Tb_Activiteiten[[#All],[Subsidiabele_Activiteit]],0),MATCH(SubsidieTabel!T$1,Tb_Activiteiten[#Headers],0))=1,SubsidieTabel!$K46,0),0)</f>
        <v>0</v>
      </c>
      <c r="U46" s="287">
        <f>IFERROR(IF(INDEX(Tb_Activiteiten[#All],MATCH(SubsidieTabel!$A46,Tb_Activiteiten[[#All],[Subsidiabele_Activiteit]],0),MATCH(SubsidieTabel!U$1,Tb_Activiteiten[#Headers],0))=1,SubsidieTabel!$J46,0),0)</f>
        <v>0</v>
      </c>
      <c r="V46" s="287">
        <f>IFERROR(IF(INDEX(Tb_Activiteiten[#All],MATCH(SubsidieTabel!$A46,Tb_Activiteiten[[#All],[Subsidiabele_Activiteit]],0),MATCH(SubsidieTabel!V$1,Tb_Activiteiten[#Headers],0))=1,SubsidieTabel!$K46,0),0)</f>
        <v>0</v>
      </c>
      <c r="W46" s="374">
        <f>IFERROR(IF(INDEX(Tb_Activiteiten[#All],MATCH(SubsidieTabel!$A46,Tb_Activiteiten[[#All],[Subsidiabele_Activiteit]],0),MATCH(SubsidieTabel!Q$1,Tb_Activiteiten[#Headers],0))=1,H46,0),0)</f>
        <v>0</v>
      </c>
      <c r="X46" s="374">
        <f>IFERROR(IF(INDEX(Tb_Activiteiten[#All],MATCH(SubsidieTabel!$A46,Tb_Activiteiten[[#All],[Subsidiabele_Activiteit]],0),MATCH(SubsidieTabel!Q$1,Tb_Activiteiten[#Headers],0))=1,I46,0),0)</f>
        <v>0</v>
      </c>
      <c r="Y46" s="374">
        <f>IFERROR(IF(INDEX(Tb_Activiteiten[#All],MATCH(SubsidieTabel!$A46,Tb_Activiteiten[[#All],[Subsidiabele_Activiteit]],0),MATCH(SubsidieTabel!S$1,Tb_Activiteiten[#Headers],0))=1,H46,0),0)</f>
        <v>0</v>
      </c>
      <c r="Z46" s="374">
        <f>IFERROR(IF(INDEX(Tb_Activiteiten[#All],MATCH(SubsidieTabel!$A46,Tb_Activiteiten[[#All],[Subsidiabele_Activiteit]],0),MATCH(SubsidieTabel!S$1,Tb_Activiteiten[#Headers],0))=1,I46,0),0)</f>
        <v>0</v>
      </c>
      <c r="AA46" s="374">
        <f>IFERROR(IF(INDEX(Tb_Activiteiten[#All],MATCH(SubsidieTabel!$A46,Tb_Activiteiten[[#All],[Subsidiabele_Activiteit]],0),MATCH(SubsidieTabel!O$1,Tb_Activiteiten[#Headers],0))=1,$F46,0),0)</f>
        <v>0</v>
      </c>
      <c r="AB46" s="374">
        <f>IFERROR(IF(INDEX(Tb_Activiteiten[#All],MATCH(SubsidieTabel!$A46,Tb_Activiteiten[[#All],[Subsidiabele_Activiteit]],0),MATCH(SubsidieTabel!O$1,Tb_Activiteiten[#Headers],0))=1,$G46,0),0)</f>
        <v>0</v>
      </c>
      <c r="AD46" s="12" t="str">
        <f t="shared" si="7"/>
        <v>Bijdrage in natura (overige)</v>
      </c>
      <c r="AE46" t="str">
        <f t="shared" si="8"/>
        <v/>
      </c>
      <c r="AF46" s="64">
        <f>IF(Tb_DBKostenBEO[[#This Row],[Forfait]]=1,SUMIFS('8. Uitgaven betaalverzoek'!U:U,'8. Uitgaven betaalverzoek'!F:F,Tb_DBKostenBEO[[#This Row],[KostenOmschrijving]],'8. Uitgaven betaalverzoek'!A:A,Tb_DBKostenBEO[[#This Row],[Deelbetaling]]),0)</f>
        <v>0</v>
      </c>
      <c r="AG46" s="64">
        <f>IF(Tb_DBKostenBEO[[#This Row],[Forfait]]=1,SUMIFS('8. Uitgaven betaalverzoek'!V:V,'8.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5">
        <v>0.23</v>
      </c>
      <c r="AJ46" s="64">
        <f>IF(Tb_DBKostenBEO[[#This Row],[Forfait]]=1,SUMIFS('8. Uitgaven betaalverzoek'!W:W,'8. Uitgaven betaalverzoek'!F:F,Tb_DBKostenBEO[[#This Row],[KostenOmschrijving]],'8. Uitgaven betaalverzoek'!A:A,Tb_DBKostenBEO[[#This Row],[Deelbetaling]]),0)</f>
        <v>0</v>
      </c>
      <c r="AK46" s="64">
        <f>IF(Tb_DBKostenBEO[[#This Row],[Forfait]]=1,SUMIFS('8. Uitgaven betaalverzoek'!X:X,'8. Uitgaven betaalverzoek'!F:F,Tb_DBKostenBEO[[#This Row],[KostenOmschrijving]],'8. Uitgaven betaalverzoek'!A:A,Tb_DBKostenBEO[[#This Row],[Deelbetaling]]),0)</f>
        <v>0</v>
      </c>
      <c r="AL46" s="64">
        <f>Tb_DBKostenBEO[[#This Row],[Deelbetaling_Aanvraag]]+Tb_DBKostenBEO[[#This Row],[Forfait_Bedrag]]</f>
        <v>0</v>
      </c>
      <c r="AM46" s="64">
        <f>Tb_DBKostenBEO[[#This Row],[Deelbetaling_Beoordeeld]]+Tb_DBKostenBEO[[#This Row],[Forfait_Bedrag_Beoordeeld]]</f>
        <v>0</v>
      </c>
      <c r="AN46" t="str">
        <f>IF(Tb_DBKostenBEO[[#This Row],[Forfait]]=0,"Dit kostentype hoeft u niet op te geven. Hiervoor wordt een forfait berekend.","")</f>
        <v/>
      </c>
    </row>
    <row r="47" spans="1:40" x14ac:dyDescent="0.25">
      <c r="A47" s="12"/>
      <c r="B47" s="12"/>
      <c r="C47" s="12" t="str">
        <f>IFERROR(VLOOKUP($B47,Tb_ProjectKosten[],4,0),"")</f>
        <v/>
      </c>
      <c r="D47" s="12" t="str" cm="1">
        <f t="array" ref="D47">IFERROR(INDEX(Tb_KostenOpties[],MATCH(B47,Tb_KostenOpties[KostenOptie],0),IFERROR(MATCH(Methode_Keuze,Tb_KostenOpties[#Headers],0),2)),"")</f>
        <v/>
      </c>
      <c r="E47" s="284">
        <f>IFERROR(VLOOKUP(B47,Tb_ProjectKosten[[#All],[KostenOmschrijving]:[Forfait_Percentage]],6,0),0)</f>
        <v>0</v>
      </c>
      <c r="F47" s="285">
        <f>SUMIFS('5. Kosten uitvoering project'!P:P,'5. Kosten uitvoering project'!E:E,SubsidieTabel!A47,'5. Kosten uitvoering project'!F:F,SubsidieTabel!B47)</f>
        <v>0</v>
      </c>
      <c r="G47" s="285">
        <f>SUMIFS('5. Kosten uitvoering project'!Q:Q,'5. Kosten uitvoering project'!E:E,SubsidieTabel!A47,'5. Kosten uitvoering project'!F:F,SubsidieTabel!B47)</f>
        <v>0</v>
      </c>
      <c r="H47" s="285">
        <f>SUMIFS('5. Kosten uitvoering project'!R:R,'5. Kosten uitvoering project'!E:E,SubsidieTabel!A47,'5. Kosten uitvoering project'!F:F,SubsidieTabel!B47)</f>
        <v>0</v>
      </c>
      <c r="I47" s="285">
        <f>SUMIFS('5. Kosten uitvoering project'!S:S,'5. Kosten uitvoering project'!E:E,SubsidieTabel!A47,'5. Kosten uitvoering project'!F:F,SubsidieTabel!B47)</f>
        <v>0</v>
      </c>
      <c r="J47" s="285">
        <f t="shared" si="0"/>
        <v>0</v>
      </c>
      <c r="K47" s="285">
        <f t="shared" si="1"/>
        <v>0</v>
      </c>
      <c r="L47" s="284" t="str">
        <f>IFERROR(VLOOKUP(A47,Lijsten!$AK:$AL,2,0),"")</f>
        <v/>
      </c>
      <c r="M47" s="285">
        <f t="shared" si="2"/>
        <v>0</v>
      </c>
      <c r="N47" s="285">
        <f t="shared" si="3"/>
        <v>0</v>
      </c>
      <c r="O47" s="285">
        <f>IFERROR(IF(INDEX(Tb_Activiteiten[#All],MATCH(SubsidieTabel!$A47,Tb_Activiteiten[[#All],[Subsidiabele_Activiteit]],0),MATCH(SubsidieTabel!O$1,Tb_Activiteiten[#Headers],0))=1,SubsidieTabel!$J47,0),0)</f>
        <v>0</v>
      </c>
      <c r="P47" s="285">
        <f>IFERROR(IF(INDEX(Tb_Activiteiten[#All],MATCH(SubsidieTabel!$A47,Tb_Activiteiten[[#All],[Subsidiabele_Activiteit]],0),MATCH(SubsidieTabel!P$1,Tb_Activiteiten[#Headers],0))=1,SubsidieTabel!$K47,0),0)</f>
        <v>0</v>
      </c>
      <c r="Q47" s="285">
        <f>IFERROR(IF(INDEX(Tb_Activiteiten[#All],MATCH(SubsidieTabel!$A47,Tb_Activiteiten[[#All],[Subsidiabele_Activiteit]],0),MATCH(SubsidieTabel!Q$1,Tb_Activiteiten[#Headers],0))=1,SubsidieTabel!$J47,0),0)</f>
        <v>0</v>
      </c>
      <c r="R47" s="285">
        <f>IFERROR(IF(INDEX(Tb_Activiteiten[#All],MATCH(SubsidieTabel!$A47,Tb_Activiteiten[[#All],[Subsidiabele_Activiteit]],0),MATCH(SubsidieTabel!R$1,Tb_Activiteiten[#Headers],0))=1,SubsidieTabel!$K47,0),0)</f>
        <v>0</v>
      </c>
      <c r="S47" s="285">
        <f>IFERROR(IF(INDEX(Tb_Activiteiten[#All],MATCH(SubsidieTabel!$A47,Tb_Activiteiten[[#All],[Subsidiabele_Activiteit]],0),MATCH(SubsidieTabel!S$1,Tb_Activiteiten[#Headers],0))=1,SubsidieTabel!$J47,0),0)</f>
        <v>0</v>
      </c>
      <c r="T47" s="285">
        <f>IFERROR(IF(INDEX(Tb_Activiteiten[#All],MATCH(SubsidieTabel!$A47,Tb_Activiteiten[[#All],[Subsidiabele_Activiteit]],0),MATCH(SubsidieTabel!T$1,Tb_Activiteiten[#Headers],0))=1,SubsidieTabel!$K47,0),0)</f>
        <v>0</v>
      </c>
      <c r="U47" s="285">
        <f>IFERROR(IF(INDEX(Tb_Activiteiten[#All],MATCH(SubsidieTabel!$A47,Tb_Activiteiten[[#All],[Subsidiabele_Activiteit]],0),MATCH(SubsidieTabel!U$1,Tb_Activiteiten[#Headers],0))=1,SubsidieTabel!$J47,0),0)</f>
        <v>0</v>
      </c>
      <c r="V47" s="285">
        <f>IFERROR(IF(INDEX(Tb_Activiteiten[#All],MATCH(SubsidieTabel!$A47,Tb_Activiteiten[[#All],[Subsidiabele_Activiteit]],0),MATCH(SubsidieTabel!V$1,Tb_Activiteiten[#Headers],0))=1,SubsidieTabel!$K47,0),0)</f>
        <v>0</v>
      </c>
      <c r="W47" s="64">
        <f>IFERROR(IF(INDEX(Tb_Activiteiten[#All],MATCH(SubsidieTabel!$A47,Tb_Activiteiten[[#All],[Subsidiabele_Activiteit]],0),MATCH(SubsidieTabel!Q$1,Tb_Activiteiten[#Headers],0))=1,H47,0),0)</f>
        <v>0</v>
      </c>
      <c r="X47" s="64">
        <f>IFERROR(IF(INDEX(Tb_Activiteiten[#All],MATCH(SubsidieTabel!$A47,Tb_Activiteiten[[#All],[Subsidiabele_Activiteit]],0),MATCH(SubsidieTabel!Q$1,Tb_Activiteiten[#Headers],0))=1,I47,0),0)</f>
        <v>0</v>
      </c>
      <c r="Y47" s="64">
        <f>IFERROR(IF(INDEX(Tb_Activiteiten[#All],MATCH(SubsidieTabel!$A47,Tb_Activiteiten[[#All],[Subsidiabele_Activiteit]],0),MATCH(SubsidieTabel!S$1,Tb_Activiteiten[#Headers],0))=1,H47,0),0)</f>
        <v>0</v>
      </c>
      <c r="Z47" s="64">
        <f>IFERROR(IF(INDEX(Tb_Activiteiten[#All],MATCH(SubsidieTabel!$A47,Tb_Activiteiten[[#All],[Subsidiabele_Activiteit]],0),MATCH(SubsidieTabel!S$1,Tb_Activiteiten[#Headers],0))=1,I47,0),0)</f>
        <v>0</v>
      </c>
      <c r="AA47" s="64">
        <f>IFERROR(IF(INDEX(Tb_Activiteiten[#All],MATCH(SubsidieTabel!$A47,Tb_Activiteiten[[#All],[Subsidiabele_Activiteit]],0),MATCH(SubsidieTabel!O$1,Tb_Activiteiten[#Headers],0))=1,$F47,0),0)</f>
        <v>0</v>
      </c>
      <c r="AB47" s="64">
        <f>IFERROR(IF(INDEX(Tb_Activiteiten[#All],MATCH(SubsidieTabel!$A47,Tb_Activiteiten[[#All],[Subsidiabele_Activiteit]],0),MATCH(SubsidieTabel!O$1,Tb_Activiteiten[#Headers],0))=1,$G47,0),0)</f>
        <v>0</v>
      </c>
      <c r="AD47" s="12" t="str">
        <f t="shared" si="7"/>
        <v>Bijdrage in natura (vrijwilligers)</v>
      </c>
      <c r="AE47" s="68" t="str">
        <f t="shared" si="8"/>
        <v/>
      </c>
      <c r="AF47" s="64">
        <f>IF(Tb_DBKostenBEO[[#This Row],[Forfait]]=1,SUMIFS('8. Uitgaven betaalverzoek'!U:U,'8. Uitgaven betaalverzoek'!F:F,Tb_DBKostenBEO[[#This Row],[KostenOmschrijving]],'8. Uitgaven betaalverzoek'!A:A,Tb_DBKostenBEO[[#This Row],[Deelbetaling]]),0)</f>
        <v>0</v>
      </c>
      <c r="AG47" s="64">
        <f>IF(Tb_DBKostenBEO[[#This Row],[Forfait]]=1,SUMIFS('8. Uitgaven betaalverzoek'!V:V,'8.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5">
        <v>0.23</v>
      </c>
      <c r="AJ47" s="64">
        <f>IF(Tb_DBKostenBEO[[#This Row],[Forfait]]=1,SUMIFS('8. Uitgaven betaalverzoek'!W:W,'8. Uitgaven betaalverzoek'!F:F,Tb_DBKostenBEO[[#This Row],[KostenOmschrijving]],'8. Uitgaven betaalverzoek'!A:A,Tb_DBKostenBEO[[#This Row],[Deelbetaling]]),0)</f>
        <v>0</v>
      </c>
      <c r="AK47" s="64">
        <f>IF(Tb_DBKostenBEO[[#This Row],[Forfait]]=1,SUMIFS('8. Uitgaven betaalverzoek'!X:X,'8. Uitgaven betaalverzoek'!F:F,Tb_DBKostenBEO[[#This Row],[KostenOmschrijving]],'8. Uitgaven betaalverzoek'!A:A,Tb_DBKostenBEO[[#This Row],[Deelbetaling]]),0)</f>
        <v>0</v>
      </c>
      <c r="AL47" s="64">
        <f>Tb_DBKostenBEO[[#This Row],[Deelbetaling_Aanvraag]]+Tb_DBKostenBEO[[#This Row],[Forfait_Bedrag]]</f>
        <v>0</v>
      </c>
      <c r="AM47" s="64">
        <f>Tb_DBKostenBEO[[#This Row],[Deelbetaling_Beoordeeld]]+Tb_DBKostenBEO[[#This Row],[Forfait_Bedrag_Beoordeeld]]</f>
        <v>0</v>
      </c>
      <c r="AN47" t="str">
        <f>IF(Tb_DBKostenBEO[[#This Row],[Forfait]]=0,"Dit kostentype hoeft u niet op te geven. Hiervoor wordt een forfait berekend.","")</f>
        <v/>
      </c>
    </row>
    <row r="48" spans="1:40" x14ac:dyDescent="0.25">
      <c r="A48" s="63"/>
      <c r="B48" s="63"/>
      <c r="C48" s="63" t="str">
        <f>IFERROR(VLOOKUP($B48,Tb_ProjectKosten[],4,0),"")</f>
        <v/>
      </c>
      <c r="D48" s="63" t="str" cm="1">
        <f t="array" ref="D48">IFERROR(INDEX(Tb_KostenOpties[],MATCH(B48,Tb_KostenOpties[KostenOptie],0),IFERROR(MATCH(Methode_Keuze,Tb_KostenOpties[#Headers],0),2)),"")</f>
        <v/>
      </c>
      <c r="E48" s="286">
        <f>IFERROR(VLOOKUP(B48,Tb_ProjectKosten[[#All],[KostenOmschrijving]:[Forfait_Percentage]],6,0),0)</f>
        <v>0</v>
      </c>
      <c r="F48" s="287">
        <f>SUMIFS('5. Kosten uitvoering project'!P:P,'5. Kosten uitvoering project'!E:E,SubsidieTabel!A48,'5. Kosten uitvoering project'!F:F,SubsidieTabel!B48)</f>
        <v>0</v>
      </c>
      <c r="G48" s="287">
        <f>SUMIFS('5. Kosten uitvoering project'!Q:Q,'5. Kosten uitvoering project'!E:E,SubsidieTabel!A48,'5. Kosten uitvoering project'!F:F,SubsidieTabel!B48)</f>
        <v>0</v>
      </c>
      <c r="H48" s="287">
        <f>SUMIFS('5. Kosten uitvoering project'!R:R,'5. Kosten uitvoering project'!E:E,SubsidieTabel!A48,'5. Kosten uitvoering project'!F:F,SubsidieTabel!B48)</f>
        <v>0</v>
      </c>
      <c r="I48" s="287">
        <f>SUMIFS('5. Kosten uitvoering project'!S:S,'5. Kosten uitvoering project'!E:E,SubsidieTabel!A48,'5. Kosten uitvoering project'!F:F,SubsidieTabel!B48)</f>
        <v>0</v>
      </c>
      <c r="J48" s="287">
        <f t="shared" si="0"/>
        <v>0</v>
      </c>
      <c r="K48" s="287">
        <f t="shared" si="1"/>
        <v>0</v>
      </c>
      <c r="L48" s="286" t="str">
        <f>IFERROR(VLOOKUP(A48,Lijsten!$AK:$AL,2,0),"")</f>
        <v/>
      </c>
      <c r="M48" s="287">
        <f t="shared" si="2"/>
        <v>0</v>
      </c>
      <c r="N48" s="287">
        <f t="shared" si="3"/>
        <v>0</v>
      </c>
      <c r="O48" s="287">
        <f>IFERROR(IF(INDEX(Tb_Activiteiten[#All],MATCH(SubsidieTabel!$A48,Tb_Activiteiten[[#All],[Subsidiabele_Activiteit]],0),MATCH(SubsidieTabel!O$1,Tb_Activiteiten[#Headers],0))=1,SubsidieTabel!$J48,0),0)</f>
        <v>0</v>
      </c>
      <c r="P48" s="287">
        <f>IFERROR(IF(INDEX(Tb_Activiteiten[#All],MATCH(SubsidieTabel!$A48,Tb_Activiteiten[[#All],[Subsidiabele_Activiteit]],0),MATCH(SubsidieTabel!P$1,Tb_Activiteiten[#Headers],0))=1,SubsidieTabel!$K48,0),0)</f>
        <v>0</v>
      </c>
      <c r="Q48" s="287">
        <f>IFERROR(IF(INDEX(Tb_Activiteiten[#All],MATCH(SubsidieTabel!$A48,Tb_Activiteiten[[#All],[Subsidiabele_Activiteit]],0),MATCH(SubsidieTabel!Q$1,Tb_Activiteiten[#Headers],0))=1,SubsidieTabel!$J48,0),0)</f>
        <v>0</v>
      </c>
      <c r="R48" s="287">
        <f>IFERROR(IF(INDEX(Tb_Activiteiten[#All],MATCH(SubsidieTabel!$A48,Tb_Activiteiten[[#All],[Subsidiabele_Activiteit]],0),MATCH(SubsidieTabel!R$1,Tb_Activiteiten[#Headers],0))=1,SubsidieTabel!$K48,0),0)</f>
        <v>0</v>
      </c>
      <c r="S48" s="287">
        <f>IFERROR(IF(INDEX(Tb_Activiteiten[#All],MATCH(SubsidieTabel!$A48,Tb_Activiteiten[[#All],[Subsidiabele_Activiteit]],0),MATCH(SubsidieTabel!S$1,Tb_Activiteiten[#Headers],0))=1,SubsidieTabel!$J48,0),0)</f>
        <v>0</v>
      </c>
      <c r="T48" s="287">
        <f>IFERROR(IF(INDEX(Tb_Activiteiten[#All],MATCH(SubsidieTabel!$A48,Tb_Activiteiten[[#All],[Subsidiabele_Activiteit]],0),MATCH(SubsidieTabel!T$1,Tb_Activiteiten[#Headers],0))=1,SubsidieTabel!$K48,0),0)</f>
        <v>0</v>
      </c>
      <c r="U48" s="287">
        <f>IFERROR(IF(INDEX(Tb_Activiteiten[#All],MATCH(SubsidieTabel!$A48,Tb_Activiteiten[[#All],[Subsidiabele_Activiteit]],0),MATCH(SubsidieTabel!U$1,Tb_Activiteiten[#Headers],0))=1,SubsidieTabel!$J48,0),0)</f>
        <v>0</v>
      </c>
      <c r="V48" s="287">
        <f>IFERROR(IF(INDEX(Tb_Activiteiten[#All],MATCH(SubsidieTabel!$A48,Tb_Activiteiten[[#All],[Subsidiabele_Activiteit]],0),MATCH(SubsidieTabel!V$1,Tb_Activiteiten[#Headers],0))=1,SubsidieTabel!$K48,0),0)</f>
        <v>0</v>
      </c>
      <c r="W48" s="374">
        <f>IFERROR(IF(INDEX(Tb_Activiteiten[#All],MATCH(SubsidieTabel!$A48,Tb_Activiteiten[[#All],[Subsidiabele_Activiteit]],0),MATCH(SubsidieTabel!Q$1,Tb_Activiteiten[#Headers],0))=1,H48,0),0)</f>
        <v>0</v>
      </c>
      <c r="X48" s="374">
        <f>IFERROR(IF(INDEX(Tb_Activiteiten[#All],MATCH(SubsidieTabel!$A48,Tb_Activiteiten[[#All],[Subsidiabele_Activiteit]],0),MATCH(SubsidieTabel!Q$1,Tb_Activiteiten[#Headers],0))=1,I48,0),0)</f>
        <v>0</v>
      </c>
      <c r="Y48" s="374">
        <f>IFERROR(IF(INDEX(Tb_Activiteiten[#All],MATCH(SubsidieTabel!$A48,Tb_Activiteiten[[#All],[Subsidiabele_Activiteit]],0),MATCH(SubsidieTabel!S$1,Tb_Activiteiten[#Headers],0))=1,H48,0),0)</f>
        <v>0</v>
      </c>
      <c r="Z48" s="374">
        <f>IFERROR(IF(INDEX(Tb_Activiteiten[#All],MATCH(SubsidieTabel!$A48,Tb_Activiteiten[[#All],[Subsidiabele_Activiteit]],0),MATCH(SubsidieTabel!S$1,Tb_Activiteiten[#Headers],0))=1,I48,0),0)</f>
        <v>0</v>
      </c>
      <c r="AA48" s="374">
        <f>IFERROR(IF(INDEX(Tb_Activiteiten[#All],MATCH(SubsidieTabel!$A48,Tb_Activiteiten[[#All],[Subsidiabele_Activiteit]],0),MATCH(SubsidieTabel!O$1,Tb_Activiteiten[#Headers],0))=1,$F48,0),0)</f>
        <v>0</v>
      </c>
      <c r="AB48" s="374">
        <f>IFERROR(IF(INDEX(Tb_Activiteiten[#All],MATCH(SubsidieTabel!$A48,Tb_Activiteiten[[#All],[Subsidiabele_Activiteit]],0),MATCH(SubsidieTabel!O$1,Tb_Activiteiten[#Headers],0))=1,$G48,0),0)</f>
        <v>0</v>
      </c>
      <c r="AD48" s="167" t="str">
        <f t="shared" si="7"/>
        <v>Afschrijvingskosten</v>
      </c>
      <c r="AE48" t="str">
        <f t="shared" si="8"/>
        <v/>
      </c>
      <c r="AF48" s="64">
        <f>IF(Tb_DBKostenBEO[[#This Row],[Forfait]]=1,SUMIFS('8. Uitgaven betaalverzoek'!U:U,'8. Uitgaven betaalverzoek'!F:F,Tb_DBKostenBEO[[#This Row],[KostenOmschrijving]],'8. Uitgaven betaalverzoek'!A:A,Tb_DBKostenBEO[[#This Row],[Deelbetaling]]),0)</f>
        <v>0</v>
      </c>
      <c r="AG48" s="64">
        <f>IF(Tb_DBKostenBEO[[#This Row],[Forfait]]=1,SUMIFS('8. Uitgaven betaalverzoek'!V:V,'8.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5">
        <v>0.23</v>
      </c>
      <c r="AJ48" s="64">
        <f>IF(Tb_DBKostenBEO[[#This Row],[Forfait]]=1,SUMIFS('8. Uitgaven betaalverzoek'!W:W,'8. Uitgaven betaalverzoek'!F:F,Tb_DBKostenBEO[[#This Row],[KostenOmschrijving]],'8. Uitgaven betaalverzoek'!A:A,Tb_DBKostenBEO[[#This Row],[Deelbetaling]]),0)</f>
        <v>0</v>
      </c>
      <c r="AK48" s="64">
        <f>IF(Tb_DBKostenBEO[[#This Row],[Forfait]]=1,SUMIFS('8. Uitgaven betaalverzoek'!X:X,'8. Uitgaven betaalverzoek'!F:F,Tb_DBKostenBEO[[#This Row],[KostenOmschrijving]],'8. Uitgaven betaalverzoek'!A:A,Tb_DBKostenBEO[[#This Row],[Deelbetaling]]),0)</f>
        <v>0</v>
      </c>
      <c r="AL48" s="64">
        <f>Tb_DBKostenBEO[[#This Row],[Deelbetaling_Aanvraag]]+Tb_DBKostenBEO[[#This Row],[Forfait_Bedrag]]</f>
        <v>0</v>
      </c>
      <c r="AM48" s="64">
        <f>Tb_DBKostenBEO[[#This Row],[Deelbetaling_Beoordeeld]]+Tb_DBKostenBEO[[#This Row],[Forfait_Bedrag_Beoordeeld]]</f>
        <v>0</v>
      </c>
      <c r="AN48" t="str">
        <f>IF(Tb_DBKostenBEO[[#This Row],[Forfait]]=0,"Dit kostentype hoeft u niet op te geven. Hiervoor wordt een forfait berekend.","")</f>
        <v/>
      </c>
    </row>
    <row r="49" spans="1:40" x14ac:dyDescent="0.25">
      <c r="A49" s="12"/>
      <c r="B49" s="12"/>
      <c r="C49" s="12" t="str">
        <f>IFERROR(VLOOKUP($B49,Tb_ProjectKosten[],4,0),"")</f>
        <v/>
      </c>
      <c r="D49" s="12" t="str" cm="1">
        <f t="array" ref="D49">IFERROR(INDEX(Tb_KostenOpties[],MATCH(B49,Tb_KostenOpties[KostenOptie],0),IFERROR(MATCH(Methode_Keuze,Tb_KostenOpties[#Headers],0),2)),"")</f>
        <v/>
      </c>
      <c r="E49" s="284">
        <f>IFERROR(VLOOKUP(B49,Tb_ProjectKosten[[#All],[KostenOmschrijving]:[Forfait_Percentage]],6,0),0)</f>
        <v>0</v>
      </c>
      <c r="F49" s="285">
        <f>SUMIFS('5. Kosten uitvoering project'!P:P,'5. Kosten uitvoering project'!E:E,SubsidieTabel!A49,'5. Kosten uitvoering project'!F:F,SubsidieTabel!B49)</f>
        <v>0</v>
      </c>
      <c r="G49" s="285">
        <f>SUMIFS('5. Kosten uitvoering project'!Q:Q,'5. Kosten uitvoering project'!E:E,SubsidieTabel!A49,'5. Kosten uitvoering project'!F:F,SubsidieTabel!B49)</f>
        <v>0</v>
      </c>
      <c r="H49" s="285">
        <f>SUMIFS('5. Kosten uitvoering project'!R:R,'5. Kosten uitvoering project'!E:E,SubsidieTabel!A49,'5. Kosten uitvoering project'!F:F,SubsidieTabel!B49)</f>
        <v>0</v>
      </c>
      <c r="I49" s="285">
        <f>SUMIFS('5. Kosten uitvoering project'!S:S,'5. Kosten uitvoering project'!E:E,SubsidieTabel!A49,'5. Kosten uitvoering project'!F:F,SubsidieTabel!B49)</f>
        <v>0</v>
      </c>
      <c r="J49" s="285">
        <f t="shared" si="0"/>
        <v>0</v>
      </c>
      <c r="K49" s="285">
        <f t="shared" si="1"/>
        <v>0</v>
      </c>
      <c r="L49" s="284" t="str">
        <f>IFERROR(VLOOKUP(A49,Lijsten!$AK:$AL,2,0),"")</f>
        <v/>
      </c>
      <c r="M49" s="285">
        <f t="shared" si="2"/>
        <v>0</v>
      </c>
      <c r="N49" s="285">
        <f t="shared" si="3"/>
        <v>0</v>
      </c>
      <c r="O49" s="285">
        <f>IFERROR(IF(INDEX(Tb_Activiteiten[#All],MATCH(SubsidieTabel!$A49,Tb_Activiteiten[[#All],[Subsidiabele_Activiteit]],0),MATCH(SubsidieTabel!O$1,Tb_Activiteiten[#Headers],0))=1,SubsidieTabel!$J49,0),0)</f>
        <v>0</v>
      </c>
      <c r="P49" s="285">
        <f>IFERROR(IF(INDEX(Tb_Activiteiten[#All],MATCH(SubsidieTabel!$A49,Tb_Activiteiten[[#All],[Subsidiabele_Activiteit]],0),MATCH(SubsidieTabel!P$1,Tb_Activiteiten[#Headers],0))=1,SubsidieTabel!$K49,0),0)</f>
        <v>0</v>
      </c>
      <c r="Q49" s="285">
        <f>IFERROR(IF(INDEX(Tb_Activiteiten[#All],MATCH(SubsidieTabel!$A49,Tb_Activiteiten[[#All],[Subsidiabele_Activiteit]],0),MATCH(SubsidieTabel!Q$1,Tb_Activiteiten[#Headers],0))=1,SubsidieTabel!$J49,0),0)</f>
        <v>0</v>
      </c>
      <c r="R49" s="285">
        <f>IFERROR(IF(INDEX(Tb_Activiteiten[#All],MATCH(SubsidieTabel!$A49,Tb_Activiteiten[[#All],[Subsidiabele_Activiteit]],0),MATCH(SubsidieTabel!R$1,Tb_Activiteiten[#Headers],0))=1,SubsidieTabel!$K49,0),0)</f>
        <v>0</v>
      </c>
      <c r="S49" s="285">
        <f>IFERROR(IF(INDEX(Tb_Activiteiten[#All],MATCH(SubsidieTabel!$A49,Tb_Activiteiten[[#All],[Subsidiabele_Activiteit]],0),MATCH(SubsidieTabel!S$1,Tb_Activiteiten[#Headers],0))=1,SubsidieTabel!$J49,0),0)</f>
        <v>0</v>
      </c>
      <c r="T49" s="285">
        <f>IFERROR(IF(INDEX(Tb_Activiteiten[#All],MATCH(SubsidieTabel!$A49,Tb_Activiteiten[[#All],[Subsidiabele_Activiteit]],0),MATCH(SubsidieTabel!T$1,Tb_Activiteiten[#Headers],0))=1,SubsidieTabel!$K49,0),0)</f>
        <v>0</v>
      </c>
      <c r="U49" s="285">
        <f>IFERROR(IF(INDEX(Tb_Activiteiten[#All],MATCH(SubsidieTabel!$A49,Tb_Activiteiten[[#All],[Subsidiabele_Activiteit]],0),MATCH(SubsidieTabel!U$1,Tb_Activiteiten[#Headers],0))=1,SubsidieTabel!$J49,0),0)</f>
        <v>0</v>
      </c>
      <c r="V49" s="285">
        <f>IFERROR(IF(INDEX(Tb_Activiteiten[#All],MATCH(SubsidieTabel!$A49,Tb_Activiteiten[[#All],[Subsidiabele_Activiteit]],0),MATCH(SubsidieTabel!V$1,Tb_Activiteiten[#Headers],0))=1,SubsidieTabel!$K49,0),0)</f>
        <v>0</v>
      </c>
      <c r="W49" s="64">
        <f>IFERROR(IF(INDEX(Tb_Activiteiten[#All],MATCH(SubsidieTabel!$A49,Tb_Activiteiten[[#All],[Subsidiabele_Activiteit]],0),MATCH(SubsidieTabel!Q$1,Tb_Activiteiten[#Headers],0))=1,H49,0),0)</f>
        <v>0</v>
      </c>
      <c r="X49" s="64">
        <f>IFERROR(IF(INDEX(Tb_Activiteiten[#All],MATCH(SubsidieTabel!$A49,Tb_Activiteiten[[#All],[Subsidiabele_Activiteit]],0),MATCH(SubsidieTabel!Q$1,Tb_Activiteiten[#Headers],0))=1,I49,0),0)</f>
        <v>0</v>
      </c>
      <c r="Y49" s="64">
        <f>IFERROR(IF(INDEX(Tb_Activiteiten[#All],MATCH(SubsidieTabel!$A49,Tb_Activiteiten[[#All],[Subsidiabele_Activiteit]],0),MATCH(SubsidieTabel!S$1,Tb_Activiteiten[#Headers],0))=1,H49,0),0)</f>
        <v>0</v>
      </c>
      <c r="Z49" s="64">
        <f>IFERROR(IF(INDEX(Tb_Activiteiten[#All],MATCH(SubsidieTabel!$A49,Tb_Activiteiten[[#All],[Subsidiabele_Activiteit]],0),MATCH(SubsidieTabel!S$1,Tb_Activiteiten[#Headers],0))=1,I49,0),0)</f>
        <v>0</v>
      </c>
      <c r="AA49" s="64">
        <f>IFERROR(IF(INDEX(Tb_Activiteiten[#All],MATCH(SubsidieTabel!$A49,Tb_Activiteiten[[#All],[Subsidiabele_Activiteit]],0),MATCH(SubsidieTabel!O$1,Tb_Activiteiten[#Headers],0))=1,$F49,0),0)</f>
        <v>0</v>
      </c>
      <c r="AB49" s="64">
        <f>IFERROR(IF(INDEX(Tb_Activiteiten[#All],MATCH(SubsidieTabel!$A49,Tb_Activiteiten[[#All],[Subsidiabele_Activiteit]],0),MATCH(SubsidieTabel!O$1,Tb_Activiteiten[#Headers],0))=1,$G49,0),0)</f>
        <v>0</v>
      </c>
      <c r="AD49" s="167" t="str">
        <f t="shared" si="7"/>
        <v>Vergoeding</v>
      </c>
      <c r="AE49" s="68" t="str">
        <f>IF(Keuze_DB_Nr_BEO&lt;&gt;"",Keuze_DB_Nr_BEO,"")</f>
        <v/>
      </c>
      <c r="AF49" s="64">
        <f>IF(Tb_DBKostenBEO[[#This Row],[Forfait]]=1,SUMIFS('8. Uitgaven betaalverzoek'!U:U,'8. Uitgaven betaalverzoek'!F:F,Tb_DBKostenBEO[[#This Row],[KostenOmschrijving]],'8. Uitgaven betaalverzoek'!A:A,Tb_DBKostenBEO[[#This Row],[Deelbetaling]]),0)</f>
        <v>0</v>
      </c>
      <c r="AG49" s="64">
        <f>IF(Tb_DBKostenBEO[[#This Row],[Forfait]]=1,SUMIFS('8. Uitgaven betaalverzoek'!V:V,'8.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5">
        <v>0</v>
      </c>
      <c r="AJ49" s="64">
        <f>IF(Tb_DBKostenBEO[[#This Row],[Forfait]]=1,SUMIFS('8. Uitgaven betaalverzoek'!W:W,'8. Uitgaven betaalverzoek'!F:F,Tb_DBKostenBEO[[#This Row],[KostenOmschrijving]],'8. Uitgaven betaalverzoek'!A:A,Tb_DBKostenBEO[[#This Row],[Deelbetaling]]),0)</f>
        <v>0</v>
      </c>
      <c r="AK49" s="64">
        <f>IF(Tb_DBKostenBEO[[#This Row],[Forfait]]=1,SUMIFS('8. Uitgaven betaalverzoek'!X:X,'8. Uitgaven betaalverzoek'!F:F,Tb_DBKostenBEO[[#This Row],[KostenOmschrijving]],'8. Uitgaven betaalverzoek'!A:A,Tb_DBKostenBEO[[#This Row],[Deelbetaling]]),0)</f>
        <v>0</v>
      </c>
      <c r="AL49" s="64">
        <f>Tb_DBKostenBEO[[#This Row],[Deelbetaling_Aanvraag]]+Tb_DBKostenBEO[[#This Row],[Forfait_Bedrag]]</f>
        <v>0</v>
      </c>
      <c r="AM49" s="64">
        <f>Tb_DBKostenBEO[[#This Row],[Deelbetaling_Beoordeeld]]+Tb_DBKostenBEO[[#This Row],[Forfait_Bedrag_Beoordeeld]]</f>
        <v>0</v>
      </c>
      <c r="AN49" t="str">
        <f>IF(Tb_DBKostenBEO[[#This Row],[Forfait]]=0,"Dit kostentype hoeft u niet op te geven. Hiervoor wordt een forfait berekend.","")</f>
        <v/>
      </c>
    </row>
    <row r="50" spans="1:40" x14ac:dyDescent="0.25">
      <c r="A50" s="63"/>
      <c r="B50" s="63"/>
      <c r="C50" s="63" t="str">
        <f>IFERROR(VLOOKUP($B50,Tb_ProjectKosten[],4,0),"")</f>
        <v/>
      </c>
      <c r="D50" s="63" t="str" cm="1">
        <f t="array" ref="D50">IFERROR(INDEX(Tb_KostenOpties[],MATCH(B50,Tb_KostenOpties[KostenOptie],0),IFERROR(MATCH(Methode_Keuze,Tb_KostenOpties[#Headers],0),2)),"")</f>
        <v/>
      </c>
      <c r="E50" s="286">
        <f>IFERROR(VLOOKUP(B50,Tb_ProjectKosten[[#All],[KostenOmschrijving]:[Forfait_Percentage]],6,0),0)</f>
        <v>0</v>
      </c>
      <c r="F50" s="287">
        <f>SUMIFS('5. Kosten uitvoering project'!P:P,'5. Kosten uitvoering project'!E:E,SubsidieTabel!A50,'5. Kosten uitvoering project'!F:F,SubsidieTabel!B50)</f>
        <v>0</v>
      </c>
      <c r="G50" s="287">
        <f>SUMIFS('5. Kosten uitvoering project'!Q:Q,'5. Kosten uitvoering project'!E:E,SubsidieTabel!A50,'5. Kosten uitvoering project'!F:F,SubsidieTabel!B50)</f>
        <v>0</v>
      </c>
      <c r="H50" s="287">
        <f>SUMIFS('5. Kosten uitvoering project'!R:R,'5. Kosten uitvoering project'!E:E,SubsidieTabel!A50,'5. Kosten uitvoering project'!F:F,SubsidieTabel!B50)</f>
        <v>0</v>
      </c>
      <c r="I50" s="287">
        <f>SUMIFS('5. Kosten uitvoering project'!S:S,'5. Kosten uitvoering project'!E:E,SubsidieTabel!A50,'5. Kosten uitvoering project'!F:F,SubsidieTabel!B50)</f>
        <v>0</v>
      </c>
      <c r="J50" s="287">
        <f t="shared" si="0"/>
        <v>0</v>
      </c>
      <c r="K50" s="287">
        <f t="shared" si="1"/>
        <v>0</v>
      </c>
      <c r="L50" s="286" t="str">
        <f>IFERROR(VLOOKUP(A50,Lijsten!$AK:$AL,2,0),"")</f>
        <v/>
      </c>
      <c r="M50" s="287">
        <f t="shared" si="2"/>
        <v>0</v>
      </c>
      <c r="N50" s="287">
        <f t="shared" si="3"/>
        <v>0</v>
      </c>
      <c r="O50" s="287">
        <f>IFERROR(IF(INDEX(Tb_Activiteiten[#All],MATCH(SubsidieTabel!$A50,Tb_Activiteiten[[#All],[Subsidiabele_Activiteit]],0),MATCH(SubsidieTabel!O$1,Tb_Activiteiten[#Headers],0))=1,SubsidieTabel!$J50,0),0)</f>
        <v>0</v>
      </c>
      <c r="P50" s="287">
        <f>IFERROR(IF(INDEX(Tb_Activiteiten[#All],MATCH(SubsidieTabel!$A50,Tb_Activiteiten[[#All],[Subsidiabele_Activiteit]],0),MATCH(SubsidieTabel!P$1,Tb_Activiteiten[#Headers],0))=1,SubsidieTabel!$K50,0),0)</f>
        <v>0</v>
      </c>
      <c r="Q50" s="287">
        <f>IFERROR(IF(INDEX(Tb_Activiteiten[#All],MATCH(SubsidieTabel!$A50,Tb_Activiteiten[[#All],[Subsidiabele_Activiteit]],0),MATCH(SubsidieTabel!Q$1,Tb_Activiteiten[#Headers],0))=1,SubsidieTabel!$J50,0),0)</f>
        <v>0</v>
      </c>
      <c r="R50" s="287">
        <f>IFERROR(IF(INDEX(Tb_Activiteiten[#All],MATCH(SubsidieTabel!$A50,Tb_Activiteiten[[#All],[Subsidiabele_Activiteit]],0),MATCH(SubsidieTabel!R$1,Tb_Activiteiten[#Headers],0))=1,SubsidieTabel!$K50,0),0)</f>
        <v>0</v>
      </c>
      <c r="S50" s="287">
        <f>IFERROR(IF(INDEX(Tb_Activiteiten[#All],MATCH(SubsidieTabel!$A50,Tb_Activiteiten[[#All],[Subsidiabele_Activiteit]],0),MATCH(SubsidieTabel!S$1,Tb_Activiteiten[#Headers],0))=1,SubsidieTabel!$J50,0),0)</f>
        <v>0</v>
      </c>
      <c r="T50" s="287">
        <f>IFERROR(IF(INDEX(Tb_Activiteiten[#All],MATCH(SubsidieTabel!$A50,Tb_Activiteiten[[#All],[Subsidiabele_Activiteit]],0),MATCH(SubsidieTabel!T$1,Tb_Activiteiten[#Headers],0))=1,SubsidieTabel!$K50,0),0)</f>
        <v>0</v>
      </c>
      <c r="U50" s="287">
        <f>IFERROR(IF(INDEX(Tb_Activiteiten[#All],MATCH(SubsidieTabel!$A50,Tb_Activiteiten[[#All],[Subsidiabele_Activiteit]],0),MATCH(SubsidieTabel!U$1,Tb_Activiteiten[#Headers],0))=1,SubsidieTabel!$J50,0),0)</f>
        <v>0</v>
      </c>
      <c r="V50" s="287">
        <f>IFERROR(IF(INDEX(Tb_Activiteiten[#All],MATCH(SubsidieTabel!$A50,Tb_Activiteiten[[#All],[Subsidiabele_Activiteit]],0),MATCH(SubsidieTabel!V$1,Tb_Activiteiten[#Headers],0))=1,SubsidieTabel!$K50,0),0)</f>
        <v>0</v>
      </c>
      <c r="W50" s="374">
        <f>IFERROR(IF(INDEX(Tb_Activiteiten[#All],MATCH(SubsidieTabel!$A50,Tb_Activiteiten[[#All],[Subsidiabele_Activiteit]],0),MATCH(SubsidieTabel!Q$1,Tb_Activiteiten[#Headers],0))=1,H50,0),0)</f>
        <v>0</v>
      </c>
      <c r="X50" s="374">
        <f>IFERROR(IF(INDEX(Tb_Activiteiten[#All],MATCH(SubsidieTabel!$A50,Tb_Activiteiten[[#All],[Subsidiabele_Activiteit]],0),MATCH(SubsidieTabel!Q$1,Tb_Activiteiten[#Headers],0))=1,I50,0),0)</f>
        <v>0</v>
      </c>
      <c r="Y50" s="374">
        <f>IFERROR(IF(INDEX(Tb_Activiteiten[#All],MATCH(SubsidieTabel!$A50,Tb_Activiteiten[[#All],[Subsidiabele_Activiteit]],0),MATCH(SubsidieTabel!S$1,Tb_Activiteiten[#Headers],0))=1,H50,0),0)</f>
        <v>0</v>
      </c>
      <c r="Z50" s="374">
        <f>IFERROR(IF(INDEX(Tb_Activiteiten[#All],MATCH(SubsidieTabel!$A50,Tb_Activiteiten[[#All],[Subsidiabele_Activiteit]],0),MATCH(SubsidieTabel!S$1,Tb_Activiteiten[#Headers],0))=1,I50,0),0)</f>
        <v>0</v>
      </c>
      <c r="AA50" s="374">
        <f>IFERROR(IF(INDEX(Tb_Activiteiten[#All],MATCH(SubsidieTabel!$A50,Tb_Activiteiten[[#All],[Subsidiabele_Activiteit]],0),MATCH(SubsidieTabel!O$1,Tb_Activiteiten[#Headers],0))=1,$F50,0),0)</f>
        <v>0</v>
      </c>
      <c r="AB50" s="374">
        <f>IFERROR(IF(INDEX(Tb_Activiteiten[#All],MATCH(SubsidieTabel!$A50,Tb_Activiteiten[[#All],[Subsidiabele_Activiteit]],0),MATCH(SubsidieTabel!O$1,Tb_Activiteiten[#Headers],0))=1,$G50,0),0)</f>
        <v>0</v>
      </c>
      <c r="AD50" s="167" t="str">
        <f t="shared" si="7"/>
        <v>Arbeidskosten - vast tarief (excl eigen arbeid)</v>
      </c>
      <c r="AE50" t="str">
        <f t="shared" si="8"/>
        <v/>
      </c>
      <c r="AF50" s="64">
        <f>IF(Tb_DBKostenBEO[[#This Row],[Forfait]]=1,SUMIFS('8. Uitgaven betaalverzoek'!U:U,'8. Uitgaven betaalverzoek'!F:F,Tb_DBKostenBEO[[#This Row],[KostenOmschrijving]],'8. Uitgaven betaalverzoek'!A:A,Tb_DBKostenBEO[[#This Row],[Deelbetaling]]),0)</f>
        <v>0</v>
      </c>
      <c r="AG50" s="64">
        <f>IF(Tb_DBKostenBEO[[#This Row],[Forfait]]=1,SUMIFS('8. Uitgaven betaalverzoek'!V:V,'8.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5">
        <v>0</v>
      </c>
      <c r="AJ50" s="64">
        <f>IF(Tb_DBKostenBEO[[#This Row],[Forfait]]=1,SUMIFS('8. Uitgaven betaalverzoek'!W:W,'8. Uitgaven betaalverzoek'!F:F,Tb_DBKostenBEO[[#This Row],[KostenOmschrijving]],'8. Uitgaven betaalverzoek'!A:A,Tb_DBKostenBEO[[#This Row],[Deelbetaling]]),0)</f>
        <v>0</v>
      </c>
      <c r="AK50" s="64">
        <f>IF(Tb_DBKostenBEO[[#This Row],[Forfait]]=1,SUMIFS('8. Uitgaven betaalverzoek'!X:X,'8. Uitgaven betaalverzoek'!F:F,Tb_DBKostenBEO[[#This Row],[KostenOmschrijving]],'8. Uitgaven betaalverzoek'!A:A,Tb_DBKostenBEO[[#This Row],[Deelbetaling]]),0)</f>
        <v>0</v>
      </c>
      <c r="AL50" s="64">
        <f>Tb_DBKostenBEO[[#This Row],[Deelbetaling_Aanvraag]]+Tb_DBKostenBEO[[#This Row],[Forfait_Bedrag]]</f>
        <v>0</v>
      </c>
      <c r="AM50" s="64">
        <f>Tb_DBKostenBEO[[#This Row],[Deelbetaling_Beoordeeld]]+Tb_DBKostenBEO[[#This Row],[Forfait_Bedrag_Beoordeeld]]</f>
        <v>0</v>
      </c>
      <c r="AN50" t="str">
        <f>IF(Tb_DBKostenBEO[[#This Row],[Forfait]]=0,"Dit kostentype hoeft u niet op te geven. Hiervoor wordt een forfait berekend.","")</f>
        <v/>
      </c>
    </row>
    <row r="51" spans="1:40" x14ac:dyDescent="0.25">
      <c r="A51" s="12"/>
      <c r="B51" s="12"/>
      <c r="C51" s="12" t="str">
        <f>IFERROR(VLOOKUP($B51,Tb_ProjectKosten[],4,0),"")</f>
        <v/>
      </c>
      <c r="D51" s="12" t="str" cm="1">
        <f t="array" ref="D51">IFERROR(INDEX(Tb_KostenOpties[],MATCH(B51,Tb_KostenOpties[KostenOptie],0),IFERROR(MATCH(Methode_Keuze,Tb_KostenOpties[#Headers],0),2)),"")</f>
        <v/>
      </c>
      <c r="E51" s="284">
        <f>IFERROR(VLOOKUP(B51,Tb_ProjectKosten[[#All],[KostenOmschrijving]:[Forfait_Percentage]],6,0),0)</f>
        <v>0</v>
      </c>
      <c r="F51" s="285">
        <f>SUMIFS('5. Kosten uitvoering project'!P:P,'5. Kosten uitvoering project'!E:E,SubsidieTabel!A51,'5. Kosten uitvoering project'!F:F,SubsidieTabel!B51)</f>
        <v>0</v>
      </c>
      <c r="G51" s="285">
        <f>SUMIFS('5. Kosten uitvoering project'!Q:Q,'5. Kosten uitvoering project'!E:E,SubsidieTabel!A51,'5. Kosten uitvoering project'!F:F,SubsidieTabel!B51)</f>
        <v>0</v>
      </c>
      <c r="H51" s="285">
        <f>SUMIFS('5. Kosten uitvoering project'!R:R,'5. Kosten uitvoering project'!E:E,SubsidieTabel!A51,'5. Kosten uitvoering project'!F:F,SubsidieTabel!B51)</f>
        <v>0</v>
      </c>
      <c r="I51" s="285">
        <f>SUMIFS('5. Kosten uitvoering project'!S:S,'5. Kosten uitvoering project'!E:E,SubsidieTabel!A51,'5. Kosten uitvoering project'!F:F,SubsidieTabel!B51)</f>
        <v>0</v>
      </c>
      <c r="J51" s="285">
        <f t="shared" si="0"/>
        <v>0</v>
      </c>
      <c r="K51" s="285">
        <f t="shared" si="1"/>
        <v>0</v>
      </c>
      <c r="L51" s="284" t="str">
        <f>IFERROR(VLOOKUP(A51,Lijsten!$AK:$AL,2,0),"")</f>
        <v/>
      </c>
      <c r="M51" s="285">
        <f t="shared" si="2"/>
        <v>0</v>
      </c>
      <c r="N51" s="285">
        <f t="shared" si="3"/>
        <v>0</v>
      </c>
      <c r="O51" s="285">
        <f>IFERROR(IF(INDEX(Tb_Activiteiten[#All],MATCH(SubsidieTabel!$A51,Tb_Activiteiten[[#All],[Subsidiabele_Activiteit]],0),MATCH(SubsidieTabel!O$1,Tb_Activiteiten[#Headers],0))=1,SubsidieTabel!$J51,0),0)</f>
        <v>0</v>
      </c>
      <c r="P51" s="285">
        <f>IFERROR(IF(INDEX(Tb_Activiteiten[#All],MATCH(SubsidieTabel!$A51,Tb_Activiteiten[[#All],[Subsidiabele_Activiteit]],0),MATCH(SubsidieTabel!P$1,Tb_Activiteiten[#Headers],0))=1,SubsidieTabel!$K51,0),0)</f>
        <v>0</v>
      </c>
      <c r="Q51" s="285">
        <f>IFERROR(IF(INDEX(Tb_Activiteiten[#All],MATCH(SubsidieTabel!$A51,Tb_Activiteiten[[#All],[Subsidiabele_Activiteit]],0),MATCH(SubsidieTabel!Q$1,Tb_Activiteiten[#Headers],0))=1,SubsidieTabel!$J51,0),0)</f>
        <v>0</v>
      </c>
      <c r="R51" s="285">
        <f>IFERROR(IF(INDEX(Tb_Activiteiten[#All],MATCH(SubsidieTabel!$A51,Tb_Activiteiten[[#All],[Subsidiabele_Activiteit]],0),MATCH(SubsidieTabel!R$1,Tb_Activiteiten[#Headers],0))=1,SubsidieTabel!$K51,0),0)</f>
        <v>0</v>
      </c>
      <c r="S51" s="285">
        <f>IFERROR(IF(INDEX(Tb_Activiteiten[#All],MATCH(SubsidieTabel!$A51,Tb_Activiteiten[[#All],[Subsidiabele_Activiteit]],0),MATCH(SubsidieTabel!S$1,Tb_Activiteiten[#Headers],0))=1,SubsidieTabel!$J51,0),0)</f>
        <v>0</v>
      </c>
      <c r="T51" s="285">
        <f>IFERROR(IF(INDEX(Tb_Activiteiten[#All],MATCH(SubsidieTabel!$A51,Tb_Activiteiten[[#All],[Subsidiabele_Activiteit]],0),MATCH(SubsidieTabel!T$1,Tb_Activiteiten[#Headers],0))=1,SubsidieTabel!$K51,0),0)</f>
        <v>0</v>
      </c>
      <c r="U51" s="285">
        <f>IFERROR(IF(INDEX(Tb_Activiteiten[#All],MATCH(SubsidieTabel!$A51,Tb_Activiteiten[[#All],[Subsidiabele_Activiteit]],0),MATCH(SubsidieTabel!U$1,Tb_Activiteiten[#Headers],0))=1,SubsidieTabel!$J51,0),0)</f>
        <v>0</v>
      </c>
      <c r="V51" s="285">
        <f>IFERROR(IF(INDEX(Tb_Activiteiten[#All],MATCH(SubsidieTabel!$A51,Tb_Activiteiten[[#All],[Subsidiabele_Activiteit]],0),MATCH(SubsidieTabel!V$1,Tb_Activiteiten[#Headers],0))=1,SubsidieTabel!$K51,0),0)</f>
        <v>0</v>
      </c>
      <c r="W51" s="64">
        <f>IFERROR(IF(INDEX(Tb_Activiteiten[#All],MATCH(SubsidieTabel!$A51,Tb_Activiteiten[[#All],[Subsidiabele_Activiteit]],0),MATCH(SubsidieTabel!Q$1,Tb_Activiteiten[#Headers],0))=1,H51,0),0)</f>
        <v>0</v>
      </c>
      <c r="X51" s="64">
        <f>IFERROR(IF(INDEX(Tb_Activiteiten[#All],MATCH(SubsidieTabel!$A51,Tb_Activiteiten[[#All],[Subsidiabele_Activiteit]],0),MATCH(SubsidieTabel!Q$1,Tb_Activiteiten[#Headers],0))=1,I51,0),0)</f>
        <v>0</v>
      </c>
      <c r="Y51" s="64">
        <f>IFERROR(IF(INDEX(Tb_Activiteiten[#All],MATCH(SubsidieTabel!$A51,Tb_Activiteiten[[#All],[Subsidiabele_Activiteit]],0),MATCH(SubsidieTabel!S$1,Tb_Activiteiten[#Headers],0))=1,H51,0),0)</f>
        <v>0</v>
      </c>
      <c r="Z51" s="64">
        <f>IFERROR(IF(INDEX(Tb_Activiteiten[#All],MATCH(SubsidieTabel!$A51,Tb_Activiteiten[[#All],[Subsidiabele_Activiteit]],0),MATCH(SubsidieTabel!S$1,Tb_Activiteiten[#Headers],0))=1,I51,0),0)</f>
        <v>0</v>
      </c>
      <c r="AA51" s="64">
        <f>IFERROR(IF(INDEX(Tb_Activiteiten[#All],MATCH(SubsidieTabel!$A51,Tb_Activiteiten[[#All],[Subsidiabele_Activiteit]],0),MATCH(SubsidieTabel!O$1,Tb_Activiteiten[#Headers],0))=1,$F51,0),0)</f>
        <v>0</v>
      </c>
      <c r="AB51" s="64">
        <f>IFERROR(IF(INDEX(Tb_Activiteiten[#All],MATCH(SubsidieTabel!$A51,Tb_Activiteiten[[#All],[Subsidiabele_Activiteit]],0),MATCH(SubsidieTabel!O$1,Tb_Activiteiten[#Headers],0))=1,$G51,0),0)</f>
        <v>0</v>
      </c>
      <c r="AD51" s="167" t="str">
        <f t="shared" si="7"/>
        <v>Overige kosten</v>
      </c>
      <c r="AE51" s="68" t="str">
        <f>IF(Keuze_DB_Nr_BEO&lt;&gt;"",Keuze_DB_Nr_BEO,"")</f>
        <v/>
      </c>
      <c r="AF51" s="64">
        <f>IF(Tb_DBKostenBEO[[#This Row],[Forfait]]=1,SUMIFS('8. Uitgaven betaalverzoek'!U:U,'8. Uitgaven betaalverzoek'!F:F,Tb_DBKostenBEO[[#This Row],[KostenOmschrijving]],'8. Uitgaven betaalverzoek'!A:A,Tb_DBKostenBEO[[#This Row],[Deelbetaling]]),0)</f>
        <v>0</v>
      </c>
      <c r="AG51" s="64">
        <f>IF(Tb_DBKostenBEO[[#This Row],[Forfait]]=1,SUMIFS('8. Uitgaven betaalverzoek'!V:V,'8.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5">
        <v>0.23</v>
      </c>
      <c r="AJ51" s="64">
        <f>IF(Tb_DBKostenBEO[[#This Row],[Forfait]]=1,SUMIFS('8. Uitgaven betaalverzoek'!W:W,'8. Uitgaven betaalverzoek'!F:F,Tb_DBKostenBEO[[#This Row],[KostenOmschrijving]],'8. Uitgaven betaalverzoek'!A:A,Tb_DBKostenBEO[[#This Row],[Deelbetaling]]),0)</f>
        <v>0</v>
      </c>
      <c r="AK51" s="64">
        <f>IF(Tb_DBKostenBEO[[#This Row],[Forfait]]=1,SUMIFS('8. Uitgaven betaalverzoek'!X:X,'8. Uitgaven betaalverzoek'!F:F,Tb_DBKostenBEO[[#This Row],[KostenOmschrijving]],'8. Uitgaven betaalverzoek'!A:A,Tb_DBKostenBEO[[#This Row],[Deelbetaling]]),0)</f>
        <v>0</v>
      </c>
      <c r="AL51" s="64">
        <f>Tb_DBKostenBEO[[#This Row],[Deelbetaling_Aanvraag]]+Tb_DBKostenBEO[[#This Row],[Forfait_Bedrag]]</f>
        <v>0</v>
      </c>
      <c r="AM51" s="64">
        <f>Tb_DBKostenBEO[[#This Row],[Deelbetaling_Beoordeeld]]+Tb_DBKostenBEO[[#This Row],[Forfait_Bedrag_Beoordeeld]]</f>
        <v>0</v>
      </c>
      <c r="AN51" t="str">
        <f>IF(Tb_DBKostenBEO[[#This Row],[Forfait]]=0,"Dit kostentype hoeft u niet op te geven. Hiervoor wordt een forfait berekend.","")</f>
        <v/>
      </c>
    </row>
    <row r="52" spans="1:40" x14ac:dyDescent="0.25">
      <c r="A52" s="63"/>
      <c r="B52" s="63"/>
      <c r="C52" s="63" t="str">
        <f>IFERROR(VLOOKUP($B52,Tb_ProjectKosten[],4,0),"")</f>
        <v/>
      </c>
      <c r="D52" s="63" t="str" cm="1">
        <f t="array" ref="D52">IFERROR(INDEX(Tb_KostenOpties[],MATCH(B52,Tb_KostenOpties[KostenOptie],0),IFERROR(MATCH(Methode_Keuze,Tb_KostenOpties[#Headers],0),2)),"")</f>
        <v/>
      </c>
      <c r="E52" s="286">
        <f>IFERROR(VLOOKUP(B52,Tb_ProjectKosten[[#All],[KostenOmschrijving]:[Forfait_Percentage]],6,0),0)</f>
        <v>0</v>
      </c>
      <c r="F52" s="287">
        <f>SUMIFS('5. Kosten uitvoering project'!P:P,'5. Kosten uitvoering project'!E:E,SubsidieTabel!A52,'5. Kosten uitvoering project'!F:F,SubsidieTabel!B52)</f>
        <v>0</v>
      </c>
      <c r="G52" s="287">
        <f>SUMIFS('5. Kosten uitvoering project'!Q:Q,'5. Kosten uitvoering project'!E:E,SubsidieTabel!A52,'5. Kosten uitvoering project'!F:F,SubsidieTabel!B52)</f>
        <v>0</v>
      </c>
      <c r="H52" s="287">
        <f>SUMIFS('5. Kosten uitvoering project'!R:R,'5. Kosten uitvoering project'!E:E,SubsidieTabel!A52,'5. Kosten uitvoering project'!F:F,SubsidieTabel!B52)</f>
        <v>0</v>
      </c>
      <c r="I52" s="287">
        <f>SUMIFS('5. Kosten uitvoering project'!S:S,'5. Kosten uitvoering project'!E:E,SubsidieTabel!A52,'5. Kosten uitvoering project'!F:F,SubsidieTabel!B52)</f>
        <v>0</v>
      </c>
      <c r="J52" s="287">
        <f t="shared" si="0"/>
        <v>0</v>
      </c>
      <c r="K52" s="287">
        <f t="shared" si="1"/>
        <v>0</v>
      </c>
      <c r="L52" s="286" t="str">
        <f>IFERROR(VLOOKUP(A52,Lijsten!$AK:$AL,2,0),"")</f>
        <v/>
      </c>
      <c r="M52" s="287">
        <f t="shared" si="2"/>
        <v>0</v>
      </c>
      <c r="N52" s="287">
        <f t="shared" si="3"/>
        <v>0</v>
      </c>
      <c r="O52" s="287">
        <f>IFERROR(IF(INDEX(Tb_Activiteiten[#All],MATCH(SubsidieTabel!$A52,Tb_Activiteiten[[#All],[Subsidiabele_Activiteit]],0),MATCH(SubsidieTabel!O$1,Tb_Activiteiten[#Headers],0))=1,SubsidieTabel!$J52,0),0)</f>
        <v>0</v>
      </c>
      <c r="P52" s="287">
        <f>IFERROR(IF(INDEX(Tb_Activiteiten[#All],MATCH(SubsidieTabel!$A52,Tb_Activiteiten[[#All],[Subsidiabele_Activiteit]],0),MATCH(SubsidieTabel!P$1,Tb_Activiteiten[#Headers],0))=1,SubsidieTabel!$K52,0),0)</f>
        <v>0</v>
      </c>
      <c r="Q52" s="287">
        <f>IFERROR(IF(INDEX(Tb_Activiteiten[#All],MATCH(SubsidieTabel!$A52,Tb_Activiteiten[[#All],[Subsidiabele_Activiteit]],0),MATCH(SubsidieTabel!Q$1,Tb_Activiteiten[#Headers],0))=1,SubsidieTabel!$J52,0),0)</f>
        <v>0</v>
      </c>
      <c r="R52" s="287">
        <f>IFERROR(IF(INDEX(Tb_Activiteiten[#All],MATCH(SubsidieTabel!$A52,Tb_Activiteiten[[#All],[Subsidiabele_Activiteit]],0),MATCH(SubsidieTabel!R$1,Tb_Activiteiten[#Headers],0))=1,SubsidieTabel!$K52,0),0)</f>
        <v>0</v>
      </c>
      <c r="S52" s="287">
        <f>IFERROR(IF(INDEX(Tb_Activiteiten[#All],MATCH(SubsidieTabel!$A52,Tb_Activiteiten[[#All],[Subsidiabele_Activiteit]],0),MATCH(SubsidieTabel!S$1,Tb_Activiteiten[#Headers],0))=1,SubsidieTabel!$J52,0),0)</f>
        <v>0</v>
      </c>
      <c r="T52" s="287">
        <f>IFERROR(IF(INDEX(Tb_Activiteiten[#All],MATCH(SubsidieTabel!$A52,Tb_Activiteiten[[#All],[Subsidiabele_Activiteit]],0),MATCH(SubsidieTabel!T$1,Tb_Activiteiten[#Headers],0))=1,SubsidieTabel!$K52,0),0)</f>
        <v>0</v>
      </c>
      <c r="U52" s="287">
        <f>IFERROR(IF(INDEX(Tb_Activiteiten[#All],MATCH(SubsidieTabel!$A52,Tb_Activiteiten[[#All],[Subsidiabele_Activiteit]],0),MATCH(SubsidieTabel!U$1,Tb_Activiteiten[#Headers],0))=1,SubsidieTabel!$J52,0),0)</f>
        <v>0</v>
      </c>
      <c r="V52" s="287">
        <f>IFERROR(IF(INDEX(Tb_Activiteiten[#All],MATCH(SubsidieTabel!$A52,Tb_Activiteiten[[#All],[Subsidiabele_Activiteit]],0),MATCH(SubsidieTabel!V$1,Tb_Activiteiten[#Headers],0))=1,SubsidieTabel!$K52,0),0)</f>
        <v>0</v>
      </c>
      <c r="W52" s="374">
        <f>IFERROR(IF(INDEX(Tb_Activiteiten[#All],MATCH(SubsidieTabel!$A52,Tb_Activiteiten[[#All],[Subsidiabele_Activiteit]],0),MATCH(SubsidieTabel!Q$1,Tb_Activiteiten[#Headers],0))=1,H52,0),0)</f>
        <v>0</v>
      </c>
      <c r="X52" s="374">
        <f>IFERROR(IF(INDEX(Tb_Activiteiten[#All],MATCH(SubsidieTabel!$A52,Tb_Activiteiten[[#All],[Subsidiabele_Activiteit]],0),MATCH(SubsidieTabel!Q$1,Tb_Activiteiten[#Headers],0))=1,I52,0),0)</f>
        <v>0</v>
      </c>
      <c r="Y52" s="374">
        <f>IFERROR(IF(INDEX(Tb_Activiteiten[#All],MATCH(SubsidieTabel!$A52,Tb_Activiteiten[[#All],[Subsidiabele_Activiteit]],0),MATCH(SubsidieTabel!S$1,Tb_Activiteiten[#Headers],0))=1,H52,0),0)</f>
        <v>0</v>
      </c>
      <c r="Z52" s="374">
        <f>IFERROR(IF(INDEX(Tb_Activiteiten[#All],MATCH(SubsidieTabel!$A52,Tb_Activiteiten[[#All],[Subsidiabele_Activiteit]],0),MATCH(SubsidieTabel!S$1,Tb_Activiteiten[#Headers],0))=1,I52,0),0)</f>
        <v>0</v>
      </c>
      <c r="AA52" s="374">
        <f>IFERROR(IF(INDEX(Tb_Activiteiten[#All],MATCH(SubsidieTabel!$A52,Tb_Activiteiten[[#All],[Subsidiabele_Activiteit]],0),MATCH(SubsidieTabel!O$1,Tb_Activiteiten[#Headers],0))=1,$F52,0),0)</f>
        <v>0</v>
      </c>
      <c r="AB52" s="374">
        <f>IFERROR(IF(INDEX(Tb_Activiteiten[#All],MATCH(SubsidieTabel!$A52,Tb_Activiteiten[[#All],[Subsidiabele_Activiteit]],0),MATCH(SubsidieTabel!O$1,Tb_Activiteiten[#Headers],0))=1,$G52,0),0)</f>
        <v>0</v>
      </c>
    </row>
    <row r="53" spans="1:40" x14ac:dyDescent="0.25">
      <c r="A53" s="12"/>
      <c r="B53" s="12"/>
      <c r="C53" s="12" t="str">
        <f>IFERROR(VLOOKUP($B53,Tb_ProjectKosten[],4,0),"")</f>
        <v/>
      </c>
      <c r="D53" s="12" t="str" cm="1">
        <f t="array" ref="D53">IFERROR(INDEX(Tb_KostenOpties[],MATCH(B53,Tb_KostenOpties[KostenOptie],0),IFERROR(MATCH(Methode_Keuze,Tb_KostenOpties[#Headers],0),2)),"")</f>
        <v/>
      </c>
      <c r="E53" s="284">
        <f>IFERROR(VLOOKUP(B53,Tb_ProjectKosten[[#All],[KostenOmschrijving]:[Forfait_Percentage]],6,0),0)</f>
        <v>0</v>
      </c>
      <c r="F53" s="285">
        <f>SUMIFS('5. Kosten uitvoering project'!P:P,'5. Kosten uitvoering project'!E:E,SubsidieTabel!A53,'5. Kosten uitvoering project'!F:F,SubsidieTabel!B53)</f>
        <v>0</v>
      </c>
      <c r="G53" s="285">
        <f>SUMIFS('5. Kosten uitvoering project'!Q:Q,'5. Kosten uitvoering project'!E:E,SubsidieTabel!A53,'5. Kosten uitvoering project'!F:F,SubsidieTabel!B53)</f>
        <v>0</v>
      </c>
      <c r="H53" s="285">
        <f>SUMIFS('5. Kosten uitvoering project'!R:R,'5. Kosten uitvoering project'!E:E,SubsidieTabel!A53,'5. Kosten uitvoering project'!F:F,SubsidieTabel!B53)</f>
        <v>0</v>
      </c>
      <c r="I53" s="285">
        <f>SUMIFS('5. Kosten uitvoering project'!S:S,'5. Kosten uitvoering project'!E:E,SubsidieTabel!A53,'5. Kosten uitvoering project'!F:F,SubsidieTabel!B53)</f>
        <v>0</v>
      </c>
      <c r="J53" s="285">
        <f t="shared" si="0"/>
        <v>0</v>
      </c>
      <c r="K53" s="285">
        <f t="shared" si="1"/>
        <v>0</v>
      </c>
      <c r="L53" s="284" t="str">
        <f>IFERROR(VLOOKUP(A53,Lijsten!$AK:$AL,2,0),"")</f>
        <v/>
      </c>
      <c r="M53" s="285">
        <f t="shared" si="2"/>
        <v>0</v>
      </c>
      <c r="N53" s="285">
        <f t="shared" si="3"/>
        <v>0</v>
      </c>
      <c r="O53" s="285">
        <f>IFERROR(IF(INDEX(Tb_Activiteiten[#All],MATCH(SubsidieTabel!$A53,Tb_Activiteiten[[#All],[Subsidiabele_Activiteit]],0),MATCH(SubsidieTabel!O$1,Tb_Activiteiten[#Headers],0))=1,SubsidieTabel!$J53,0),0)</f>
        <v>0</v>
      </c>
      <c r="P53" s="285">
        <f>IFERROR(IF(INDEX(Tb_Activiteiten[#All],MATCH(SubsidieTabel!$A53,Tb_Activiteiten[[#All],[Subsidiabele_Activiteit]],0),MATCH(SubsidieTabel!P$1,Tb_Activiteiten[#Headers],0))=1,SubsidieTabel!$K53,0),0)</f>
        <v>0</v>
      </c>
      <c r="Q53" s="285">
        <f>IFERROR(IF(INDEX(Tb_Activiteiten[#All],MATCH(SubsidieTabel!$A53,Tb_Activiteiten[[#All],[Subsidiabele_Activiteit]],0),MATCH(SubsidieTabel!Q$1,Tb_Activiteiten[#Headers],0))=1,SubsidieTabel!$J53,0),0)</f>
        <v>0</v>
      </c>
      <c r="R53" s="285">
        <f>IFERROR(IF(INDEX(Tb_Activiteiten[#All],MATCH(SubsidieTabel!$A53,Tb_Activiteiten[[#All],[Subsidiabele_Activiteit]],0),MATCH(SubsidieTabel!R$1,Tb_Activiteiten[#Headers],0))=1,SubsidieTabel!$K53,0),0)</f>
        <v>0</v>
      </c>
      <c r="S53" s="285">
        <f>IFERROR(IF(INDEX(Tb_Activiteiten[#All],MATCH(SubsidieTabel!$A53,Tb_Activiteiten[[#All],[Subsidiabele_Activiteit]],0),MATCH(SubsidieTabel!S$1,Tb_Activiteiten[#Headers],0))=1,SubsidieTabel!$J53,0),0)</f>
        <v>0</v>
      </c>
      <c r="T53" s="285">
        <f>IFERROR(IF(INDEX(Tb_Activiteiten[#All],MATCH(SubsidieTabel!$A53,Tb_Activiteiten[[#All],[Subsidiabele_Activiteit]],0),MATCH(SubsidieTabel!T$1,Tb_Activiteiten[#Headers],0))=1,SubsidieTabel!$K53,0),0)</f>
        <v>0</v>
      </c>
      <c r="U53" s="285">
        <f>IFERROR(IF(INDEX(Tb_Activiteiten[#All],MATCH(SubsidieTabel!$A53,Tb_Activiteiten[[#All],[Subsidiabele_Activiteit]],0),MATCH(SubsidieTabel!U$1,Tb_Activiteiten[#Headers],0))=1,SubsidieTabel!$J53,0),0)</f>
        <v>0</v>
      </c>
      <c r="V53" s="285">
        <f>IFERROR(IF(INDEX(Tb_Activiteiten[#All],MATCH(SubsidieTabel!$A53,Tb_Activiteiten[[#All],[Subsidiabele_Activiteit]],0),MATCH(SubsidieTabel!V$1,Tb_Activiteiten[#Headers],0))=1,SubsidieTabel!$K53,0),0)</f>
        <v>0</v>
      </c>
      <c r="W53" s="64">
        <f>IFERROR(IF(INDEX(Tb_Activiteiten[#All],MATCH(SubsidieTabel!$A53,Tb_Activiteiten[[#All],[Subsidiabele_Activiteit]],0),MATCH(SubsidieTabel!Q$1,Tb_Activiteiten[#Headers],0))=1,H53,0),0)</f>
        <v>0</v>
      </c>
      <c r="X53" s="64">
        <f>IFERROR(IF(INDEX(Tb_Activiteiten[#All],MATCH(SubsidieTabel!$A53,Tb_Activiteiten[[#All],[Subsidiabele_Activiteit]],0),MATCH(SubsidieTabel!Q$1,Tb_Activiteiten[#Headers],0))=1,I53,0),0)</f>
        <v>0</v>
      </c>
      <c r="Y53" s="64">
        <f>IFERROR(IF(INDEX(Tb_Activiteiten[#All],MATCH(SubsidieTabel!$A53,Tb_Activiteiten[[#All],[Subsidiabele_Activiteit]],0),MATCH(SubsidieTabel!S$1,Tb_Activiteiten[#Headers],0))=1,H53,0),0)</f>
        <v>0</v>
      </c>
      <c r="Z53" s="64">
        <f>IFERROR(IF(INDEX(Tb_Activiteiten[#All],MATCH(SubsidieTabel!$A53,Tb_Activiteiten[[#All],[Subsidiabele_Activiteit]],0),MATCH(SubsidieTabel!S$1,Tb_Activiteiten[#Headers],0))=1,I53,0),0)</f>
        <v>0</v>
      </c>
      <c r="AA53" s="64">
        <f>IFERROR(IF(INDEX(Tb_Activiteiten[#All],MATCH(SubsidieTabel!$A53,Tb_Activiteiten[[#All],[Subsidiabele_Activiteit]],0),MATCH(SubsidieTabel!O$1,Tb_Activiteiten[#Headers],0))=1,$F53,0),0)</f>
        <v>0</v>
      </c>
      <c r="AB53" s="64">
        <f>IFERROR(IF(INDEX(Tb_Activiteiten[#All],MATCH(SubsidieTabel!$A53,Tb_Activiteiten[[#All],[Subsidiabele_Activiteit]],0),MATCH(SubsidieTabel!O$1,Tb_Activiteiten[#Headers],0))=1,$G53,0),0)</f>
        <v>0</v>
      </c>
    </row>
    <row r="54" spans="1:40" x14ac:dyDescent="0.25">
      <c r="A54" s="63"/>
      <c r="B54" s="63"/>
      <c r="C54" s="63" t="str">
        <f>IFERROR(VLOOKUP($B54,Tb_ProjectKosten[],4,0),"")</f>
        <v/>
      </c>
      <c r="D54" s="63" t="str" cm="1">
        <f t="array" ref="D54">IFERROR(INDEX(Tb_KostenOpties[],MATCH(B54,Tb_KostenOpties[KostenOptie],0),IFERROR(MATCH(Methode_Keuze,Tb_KostenOpties[#Headers],0),2)),"")</f>
        <v/>
      </c>
      <c r="E54" s="286">
        <f>IFERROR(VLOOKUP(B54,Tb_ProjectKosten[[#All],[KostenOmschrijving]:[Forfait_Percentage]],6,0),0)</f>
        <v>0</v>
      </c>
      <c r="F54" s="287">
        <f>SUMIFS('5. Kosten uitvoering project'!P:P,'5. Kosten uitvoering project'!E:E,SubsidieTabel!A54,'5. Kosten uitvoering project'!F:F,SubsidieTabel!B54)</f>
        <v>0</v>
      </c>
      <c r="G54" s="287">
        <f>SUMIFS('5. Kosten uitvoering project'!Q:Q,'5. Kosten uitvoering project'!E:E,SubsidieTabel!A54,'5. Kosten uitvoering project'!F:F,SubsidieTabel!B54)</f>
        <v>0</v>
      </c>
      <c r="H54" s="287">
        <f>SUMIFS('5. Kosten uitvoering project'!R:R,'5. Kosten uitvoering project'!E:E,SubsidieTabel!A54,'5. Kosten uitvoering project'!F:F,SubsidieTabel!B54)</f>
        <v>0</v>
      </c>
      <c r="I54" s="287">
        <f>SUMIFS('5. Kosten uitvoering project'!S:S,'5. Kosten uitvoering project'!E:E,SubsidieTabel!A54,'5. Kosten uitvoering project'!F:F,SubsidieTabel!B54)</f>
        <v>0</v>
      </c>
      <c r="J54" s="287">
        <f t="shared" si="0"/>
        <v>0</v>
      </c>
      <c r="K54" s="287">
        <f t="shared" si="1"/>
        <v>0</v>
      </c>
      <c r="L54" s="286" t="str">
        <f>IFERROR(VLOOKUP(A54,Lijsten!$AK:$AL,2,0),"")</f>
        <v/>
      </c>
      <c r="M54" s="287">
        <f t="shared" si="2"/>
        <v>0</v>
      </c>
      <c r="N54" s="287">
        <f t="shared" si="3"/>
        <v>0</v>
      </c>
      <c r="O54" s="287">
        <f>IFERROR(IF(INDEX(Tb_Activiteiten[#All],MATCH(SubsidieTabel!$A54,Tb_Activiteiten[[#All],[Subsidiabele_Activiteit]],0),MATCH(SubsidieTabel!O$1,Tb_Activiteiten[#Headers],0))=1,SubsidieTabel!$J54,0),0)</f>
        <v>0</v>
      </c>
      <c r="P54" s="287">
        <f>IFERROR(IF(INDEX(Tb_Activiteiten[#All],MATCH(SubsidieTabel!$A54,Tb_Activiteiten[[#All],[Subsidiabele_Activiteit]],0),MATCH(SubsidieTabel!P$1,Tb_Activiteiten[#Headers],0))=1,SubsidieTabel!$K54,0),0)</f>
        <v>0</v>
      </c>
      <c r="Q54" s="287">
        <f>IFERROR(IF(INDEX(Tb_Activiteiten[#All],MATCH(SubsidieTabel!$A54,Tb_Activiteiten[[#All],[Subsidiabele_Activiteit]],0),MATCH(SubsidieTabel!Q$1,Tb_Activiteiten[#Headers],0))=1,SubsidieTabel!$J54,0),0)</f>
        <v>0</v>
      </c>
      <c r="R54" s="287">
        <f>IFERROR(IF(INDEX(Tb_Activiteiten[#All],MATCH(SubsidieTabel!$A54,Tb_Activiteiten[[#All],[Subsidiabele_Activiteit]],0),MATCH(SubsidieTabel!R$1,Tb_Activiteiten[#Headers],0))=1,SubsidieTabel!$K54,0),0)</f>
        <v>0</v>
      </c>
      <c r="S54" s="287">
        <f>IFERROR(IF(INDEX(Tb_Activiteiten[#All],MATCH(SubsidieTabel!$A54,Tb_Activiteiten[[#All],[Subsidiabele_Activiteit]],0),MATCH(SubsidieTabel!S$1,Tb_Activiteiten[#Headers],0))=1,SubsidieTabel!$J54,0),0)</f>
        <v>0</v>
      </c>
      <c r="T54" s="287">
        <f>IFERROR(IF(INDEX(Tb_Activiteiten[#All],MATCH(SubsidieTabel!$A54,Tb_Activiteiten[[#All],[Subsidiabele_Activiteit]],0),MATCH(SubsidieTabel!T$1,Tb_Activiteiten[#Headers],0))=1,SubsidieTabel!$K54,0),0)</f>
        <v>0</v>
      </c>
      <c r="U54" s="287">
        <f>IFERROR(IF(INDEX(Tb_Activiteiten[#All],MATCH(SubsidieTabel!$A54,Tb_Activiteiten[[#All],[Subsidiabele_Activiteit]],0),MATCH(SubsidieTabel!U$1,Tb_Activiteiten[#Headers],0))=1,SubsidieTabel!$J54,0),0)</f>
        <v>0</v>
      </c>
      <c r="V54" s="287">
        <f>IFERROR(IF(INDEX(Tb_Activiteiten[#All],MATCH(SubsidieTabel!$A54,Tb_Activiteiten[[#All],[Subsidiabele_Activiteit]],0),MATCH(SubsidieTabel!V$1,Tb_Activiteiten[#Headers],0))=1,SubsidieTabel!$K54,0),0)</f>
        <v>0</v>
      </c>
      <c r="W54" s="374">
        <f>IFERROR(IF(INDEX(Tb_Activiteiten[#All],MATCH(SubsidieTabel!$A54,Tb_Activiteiten[[#All],[Subsidiabele_Activiteit]],0),MATCH(SubsidieTabel!Q$1,Tb_Activiteiten[#Headers],0))=1,H54,0),0)</f>
        <v>0</v>
      </c>
      <c r="X54" s="374">
        <f>IFERROR(IF(INDEX(Tb_Activiteiten[#All],MATCH(SubsidieTabel!$A54,Tb_Activiteiten[[#All],[Subsidiabele_Activiteit]],0),MATCH(SubsidieTabel!Q$1,Tb_Activiteiten[#Headers],0))=1,I54,0),0)</f>
        <v>0</v>
      </c>
      <c r="Y54" s="374">
        <f>IFERROR(IF(INDEX(Tb_Activiteiten[#All],MATCH(SubsidieTabel!$A54,Tb_Activiteiten[[#All],[Subsidiabele_Activiteit]],0),MATCH(SubsidieTabel!S$1,Tb_Activiteiten[#Headers],0))=1,H54,0),0)</f>
        <v>0</v>
      </c>
      <c r="Z54" s="374">
        <f>IFERROR(IF(INDEX(Tb_Activiteiten[#All],MATCH(SubsidieTabel!$A54,Tb_Activiteiten[[#All],[Subsidiabele_Activiteit]],0),MATCH(SubsidieTabel!S$1,Tb_Activiteiten[#Headers],0))=1,I54,0),0)</f>
        <v>0</v>
      </c>
      <c r="AA54" s="374">
        <f>IFERROR(IF(INDEX(Tb_Activiteiten[#All],MATCH(SubsidieTabel!$A54,Tb_Activiteiten[[#All],[Subsidiabele_Activiteit]],0),MATCH(SubsidieTabel!O$1,Tb_Activiteiten[#Headers],0))=1,$F54,0),0)</f>
        <v>0</v>
      </c>
      <c r="AB54" s="374">
        <f>IFERROR(IF(INDEX(Tb_Activiteiten[#All],MATCH(SubsidieTabel!$A54,Tb_Activiteiten[[#All],[Subsidiabele_Activiteit]],0),MATCH(SubsidieTabel!O$1,Tb_Activiteiten[#Headers],0))=1,$G54,0),0)</f>
        <v>0</v>
      </c>
    </row>
    <row r="55" spans="1:40" x14ac:dyDescent="0.25">
      <c r="A55" s="12"/>
      <c r="B55" s="12"/>
      <c r="C55" s="12" t="str">
        <f>IFERROR(VLOOKUP($B55,Tb_ProjectKosten[],4,0),"")</f>
        <v/>
      </c>
      <c r="D55" s="12" t="str" cm="1">
        <f t="array" ref="D55">IFERROR(INDEX(Tb_KostenOpties[],MATCH(B55,Tb_KostenOpties[KostenOptie],0),IFERROR(MATCH(Methode_Keuze,Tb_KostenOpties[#Headers],0),2)),"")</f>
        <v/>
      </c>
      <c r="E55" s="284">
        <f>IFERROR(VLOOKUP(B55,Tb_ProjectKosten[[#All],[KostenOmschrijving]:[Forfait_Percentage]],6,0),0)</f>
        <v>0</v>
      </c>
      <c r="F55" s="285">
        <f>SUMIFS('5. Kosten uitvoering project'!P:P,'5. Kosten uitvoering project'!E:E,SubsidieTabel!A55,'5. Kosten uitvoering project'!F:F,SubsidieTabel!B55)</f>
        <v>0</v>
      </c>
      <c r="G55" s="285">
        <f>SUMIFS('5. Kosten uitvoering project'!Q:Q,'5. Kosten uitvoering project'!E:E,SubsidieTabel!A55,'5. Kosten uitvoering project'!F:F,SubsidieTabel!B55)</f>
        <v>0</v>
      </c>
      <c r="H55" s="285">
        <f>SUMIFS('5. Kosten uitvoering project'!R:R,'5. Kosten uitvoering project'!E:E,SubsidieTabel!A55,'5. Kosten uitvoering project'!F:F,SubsidieTabel!B55)</f>
        <v>0</v>
      </c>
      <c r="I55" s="285">
        <f>SUMIFS('5. Kosten uitvoering project'!S:S,'5. Kosten uitvoering project'!E:E,SubsidieTabel!A55,'5. Kosten uitvoering project'!F:F,SubsidieTabel!B55)</f>
        <v>0</v>
      </c>
      <c r="J55" s="285">
        <f t="shared" si="0"/>
        <v>0</v>
      </c>
      <c r="K55" s="285">
        <f t="shared" si="1"/>
        <v>0</v>
      </c>
      <c r="L55" s="284" t="str">
        <f>IFERROR(VLOOKUP(A55,Lijsten!$AK:$AL,2,0),"")</f>
        <v/>
      </c>
      <c r="M55" s="285">
        <f t="shared" si="2"/>
        <v>0</v>
      </c>
      <c r="N55" s="285">
        <f t="shared" si="3"/>
        <v>0</v>
      </c>
      <c r="O55" s="285">
        <f>IFERROR(IF(INDEX(Tb_Activiteiten[#All],MATCH(SubsidieTabel!$A55,Tb_Activiteiten[[#All],[Subsidiabele_Activiteit]],0),MATCH(SubsidieTabel!O$1,Tb_Activiteiten[#Headers],0))=1,SubsidieTabel!$J55,0),0)</f>
        <v>0</v>
      </c>
      <c r="P55" s="285">
        <f>IFERROR(IF(INDEX(Tb_Activiteiten[#All],MATCH(SubsidieTabel!$A55,Tb_Activiteiten[[#All],[Subsidiabele_Activiteit]],0),MATCH(SubsidieTabel!P$1,Tb_Activiteiten[#Headers],0))=1,SubsidieTabel!$K55,0),0)</f>
        <v>0</v>
      </c>
      <c r="Q55" s="285">
        <f>IFERROR(IF(INDEX(Tb_Activiteiten[#All],MATCH(SubsidieTabel!$A55,Tb_Activiteiten[[#All],[Subsidiabele_Activiteit]],0),MATCH(SubsidieTabel!Q$1,Tb_Activiteiten[#Headers],0))=1,SubsidieTabel!$J55,0),0)</f>
        <v>0</v>
      </c>
      <c r="R55" s="285">
        <f>IFERROR(IF(INDEX(Tb_Activiteiten[#All],MATCH(SubsidieTabel!$A55,Tb_Activiteiten[[#All],[Subsidiabele_Activiteit]],0),MATCH(SubsidieTabel!R$1,Tb_Activiteiten[#Headers],0))=1,SubsidieTabel!$K55,0),0)</f>
        <v>0</v>
      </c>
      <c r="S55" s="285">
        <f>IFERROR(IF(INDEX(Tb_Activiteiten[#All],MATCH(SubsidieTabel!$A55,Tb_Activiteiten[[#All],[Subsidiabele_Activiteit]],0),MATCH(SubsidieTabel!S$1,Tb_Activiteiten[#Headers],0))=1,SubsidieTabel!$J55,0),0)</f>
        <v>0</v>
      </c>
      <c r="T55" s="285">
        <f>IFERROR(IF(INDEX(Tb_Activiteiten[#All],MATCH(SubsidieTabel!$A55,Tb_Activiteiten[[#All],[Subsidiabele_Activiteit]],0),MATCH(SubsidieTabel!T$1,Tb_Activiteiten[#Headers],0))=1,SubsidieTabel!$K55,0),0)</f>
        <v>0</v>
      </c>
      <c r="U55" s="285">
        <f>IFERROR(IF(INDEX(Tb_Activiteiten[#All],MATCH(SubsidieTabel!$A55,Tb_Activiteiten[[#All],[Subsidiabele_Activiteit]],0),MATCH(SubsidieTabel!U$1,Tb_Activiteiten[#Headers],0))=1,SubsidieTabel!$J55,0),0)</f>
        <v>0</v>
      </c>
      <c r="V55" s="285">
        <f>IFERROR(IF(INDEX(Tb_Activiteiten[#All],MATCH(SubsidieTabel!$A55,Tb_Activiteiten[[#All],[Subsidiabele_Activiteit]],0),MATCH(SubsidieTabel!V$1,Tb_Activiteiten[#Headers],0))=1,SubsidieTabel!$K55,0),0)</f>
        <v>0</v>
      </c>
      <c r="W55" s="64">
        <f>IFERROR(IF(INDEX(Tb_Activiteiten[#All],MATCH(SubsidieTabel!$A55,Tb_Activiteiten[[#All],[Subsidiabele_Activiteit]],0),MATCH(SubsidieTabel!Q$1,Tb_Activiteiten[#Headers],0))=1,H55,0),0)</f>
        <v>0</v>
      </c>
      <c r="X55" s="64">
        <f>IFERROR(IF(INDEX(Tb_Activiteiten[#All],MATCH(SubsidieTabel!$A55,Tb_Activiteiten[[#All],[Subsidiabele_Activiteit]],0),MATCH(SubsidieTabel!Q$1,Tb_Activiteiten[#Headers],0))=1,I55,0),0)</f>
        <v>0</v>
      </c>
      <c r="Y55" s="64">
        <f>IFERROR(IF(INDEX(Tb_Activiteiten[#All],MATCH(SubsidieTabel!$A55,Tb_Activiteiten[[#All],[Subsidiabele_Activiteit]],0),MATCH(SubsidieTabel!S$1,Tb_Activiteiten[#Headers],0))=1,H55,0),0)</f>
        <v>0</v>
      </c>
      <c r="Z55" s="64">
        <f>IFERROR(IF(INDEX(Tb_Activiteiten[#All],MATCH(SubsidieTabel!$A55,Tb_Activiteiten[[#All],[Subsidiabele_Activiteit]],0),MATCH(SubsidieTabel!S$1,Tb_Activiteiten[#Headers],0))=1,I55,0),0)</f>
        <v>0</v>
      </c>
      <c r="AA55" s="64">
        <f>IFERROR(IF(INDEX(Tb_Activiteiten[#All],MATCH(SubsidieTabel!$A55,Tb_Activiteiten[[#All],[Subsidiabele_Activiteit]],0),MATCH(SubsidieTabel!O$1,Tb_Activiteiten[#Headers],0))=1,$F55,0),0)</f>
        <v>0</v>
      </c>
      <c r="AB55" s="64">
        <f>IFERROR(IF(INDEX(Tb_Activiteiten[#All],MATCH(SubsidieTabel!$A55,Tb_Activiteiten[[#All],[Subsidiabele_Activiteit]],0),MATCH(SubsidieTabel!O$1,Tb_Activiteiten[#Headers],0))=1,$G55,0),0)</f>
        <v>0</v>
      </c>
    </row>
    <row r="56" spans="1:40" x14ac:dyDescent="0.25">
      <c r="A56" s="63"/>
      <c r="B56" s="63"/>
      <c r="C56" s="63" t="str">
        <f>IFERROR(VLOOKUP($B56,Tb_ProjectKosten[],4,0),"")</f>
        <v/>
      </c>
      <c r="D56" s="63" t="str" cm="1">
        <f t="array" ref="D56">IFERROR(INDEX(Tb_KostenOpties[],MATCH(B56,Tb_KostenOpties[KostenOptie],0),IFERROR(MATCH(Methode_Keuze,Tb_KostenOpties[#Headers],0),2)),"")</f>
        <v/>
      </c>
      <c r="E56" s="286">
        <f>IFERROR(VLOOKUP(B56,Tb_ProjectKosten[[#All],[KostenOmschrijving]:[Forfait_Percentage]],6,0),0)</f>
        <v>0</v>
      </c>
      <c r="F56" s="287">
        <f>SUMIFS('5. Kosten uitvoering project'!P:P,'5. Kosten uitvoering project'!E:E,SubsidieTabel!A56,'5. Kosten uitvoering project'!F:F,SubsidieTabel!B56)</f>
        <v>0</v>
      </c>
      <c r="G56" s="287">
        <f>SUMIFS('5. Kosten uitvoering project'!Q:Q,'5. Kosten uitvoering project'!E:E,SubsidieTabel!A56,'5. Kosten uitvoering project'!F:F,SubsidieTabel!B56)</f>
        <v>0</v>
      </c>
      <c r="H56" s="287">
        <f>SUMIFS('5. Kosten uitvoering project'!R:R,'5. Kosten uitvoering project'!E:E,SubsidieTabel!A56,'5. Kosten uitvoering project'!F:F,SubsidieTabel!B56)</f>
        <v>0</v>
      </c>
      <c r="I56" s="287">
        <f>SUMIFS('5. Kosten uitvoering project'!S:S,'5. Kosten uitvoering project'!E:E,SubsidieTabel!A56,'5. Kosten uitvoering project'!F:F,SubsidieTabel!B56)</f>
        <v>0</v>
      </c>
      <c r="J56" s="287">
        <f t="shared" si="0"/>
        <v>0</v>
      </c>
      <c r="K56" s="287">
        <f t="shared" si="1"/>
        <v>0</v>
      </c>
      <c r="L56" s="286" t="str">
        <f>IFERROR(VLOOKUP(A56,Lijsten!$AK:$AL,2,0),"")</f>
        <v/>
      </c>
      <c r="M56" s="287">
        <f t="shared" si="2"/>
        <v>0</v>
      </c>
      <c r="N56" s="287">
        <f t="shared" si="3"/>
        <v>0</v>
      </c>
      <c r="O56" s="287">
        <f>IFERROR(IF(INDEX(Tb_Activiteiten[#All],MATCH(SubsidieTabel!$A56,Tb_Activiteiten[[#All],[Subsidiabele_Activiteit]],0),MATCH(SubsidieTabel!O$1,Tb_Activiteiten[#Headers],0))=1,SubsidieTabel!$J56,0),0)</f>
        <v>0</v>
      </c>
      <c r="P56" s="287">
        <f>IFERROR(IF(INDEX(Tb_Activiteiten[#All],MATCH(SubsidieTabel!$A56,Tb_Activiteiten[[#All],[Subsidiabele_Activiteit]],0),MATCH(SubsidieTabel!P$1,Tb_Activiteiten[#Headers],0))=1,SubsidieTabel!$K56,0),0)</f>
        <v>0</v>
      </c>
      <c r="Q56" s="287">
        <f>IFERROR(IF(INDEX(Tb_Activiteiten[#All],MATCH(SubsidieTabel!$A56,Tb_Activiteiten[[#All],[Subsidiabele_Activiteit]],0),MATCH(SubsidieTabel!Q$1,Tb_Activiteiten[#Headers],0))=1,SubsidieTabel!$J56,0),0)</f>
        <v>0</v>
      </c>
      <c r="R56" s="287">
        <f>IFERROR(IF(INDEX(Tb_Activiteiten[#All],MATCH(SubsidieTabel!$A56,Tb_Activiteiten[[#All],[Subsidiabele_Activiteit]],0),MATCH(SubsidieTabel!R$1,Tb_Activiteiten[#Headers],0))=1,SubsidieTabel!$K56,0),0)</f>
        <v>0</v>
      </c>
      <c r="S56" s="287">
        <f>IFERROR(IF(INDEX(Tb_Activiteiten[#All],MATCH(SubsidieTabel!$A56,Tb_Activiteiten[[#All],[Subsidiabele_Activiteit]],0),MATCH(SubsidieTabel!S$1,Tb_Activiteiten[#Headers],0))=1,SubsidieTabel!$J56,0),0)</f>
        <v>0</v>
      </c>
      <c r="T56" s="287">
        <f>IFERROR(IF(INDEX(Tb_Activiteiten[#All],MATCH(SubsidieTabel!$A56,Tb_Activiteiten[[#All],[Subsidiabele_Activiteit]],0),MATCH(SubsidieTabel!T$1,Tb_Activiteiten[#Headers],0))=1,SubsidieTabel!$K56,0),0)</f>
        <v>0</v>
      </c>
      <c r="U56" s="287">
        <f>IFERROR(IF(INDEX(Tb_Activiteiten[#All],MATCH(SubsidieTabel!$A56,Tb_Activiteiten[[#All],[Subsidiabele_Activiteit]],0),MATCH(SubsidieTabel!U$1,Tb_Activiteiten[#Headers],0))=1,SubsidieTabel!$J56,0),0)</f>
        <v>0</v>
      </c>
      <c r="V56" s="287">
        <f>IFERROR(IF(INDEX(Tb_Activiteiten[#All],MATCH(SubsidieTabel!$A56,Tb_Activiteiten[[#All],[Subsidiabele_Activiteit]],0),MATCH(SubsidieTabel!V$1,Tb_Activiteiten[#Headers],0))=1,SubsidieTabel!$K56,0),0)</f>
        <v>0</v>
      </c>
      <c r="W56" s="374">
        <f>IFERROR(IF(INDEX(Tb_Activiteiten[#All],MATCH(SubsidieTabel!$A56,Tb_Activiteiten[[#All],[Subsidiabele_Activiteit]],0),MATCH(SubsidieTabel!Q$1,Tb_Activiteiten[#Headers],0))=1,H56,0),0)</f>
        <v>0</v>
      </c>
      <c r="X56" s="374">
        <f>IFERROR(IF(INDEX(Tb_Activiteiten[#All],MATCH(SubsidieTabel!$A56,Tb_Activiteiten[[#All],[Subsidiabele_Activiteit]],0),MATCH(SubsidieTabel!Q$1,Tb_Activiteiten[#Headers],0))=1,I56,0),0)</f>
        <v>0</v>
      </c>
      <c r="Y56" s="374">
        <f>IFERROR(IF(INDEX(Tb_Activiteiten[#All],MATCH(SubsidieTabel!$A56,Tb_Activiteiten[[#All],[Subsidiabele_Activiteit]],0),MATCH(SubsidieTabel!S$1,Tb_Activiteiten[#Headers],0))=1,H56,0),0)</f>
        <v>0</v>
      </c>
      <c r="Z56" s="374">
        <f>IFERROR(IF(INDEX(Tb_Activiteiten[#All],MATCH(SubsidieTabel!$A56,Tb_Activiteiten[[#All],[Subsidiabele_Activiteit]],0),MATCH(SubsidieTabel!S$1,Tb_Activiteiten[#Headers],0))=1,I56,0),0)</f>
        <v>0</v>
      </c>
      <c r="AA56" s="374">
        <f>IFERROR(IF(INDEX(Tb_Activiteiten[#All],MATCH(SubsidieTabel!$A56,Tb_Activiteiten[[#All],[Subsidiabele_Activiteit]],0),MATCH(SubsidieTabel!O$1,Tb_Activiteiten[#Headers],0))=1,$F56,0),0)</f>
        <v>0</v>
      </c>
      <c r="AB56" s="374">
        <f>IFERROR(IF(INDEX(Tb_Activiteiten[#All],MATCH(SubsidieTabel!$A56,Tb_Activiteiten[[#All],[Subsidiabele_Activiteit]],0),MATCH(SubsidieTabel!O$1,Tb_Activiteiten[#Headers],0))=1,$G56,0),0)</f>
        <v>0</v>
      </c>
    </row>
    <row r="57" spans="1:40" x14ac:dyDescent="0.25">
      <c r="A57" s="12"/>
      <c r="B57" s="12"/>
      <c r="C57" s="12" t="str">
        <f>IFERROR(VLOOKUP($B57,Tb_ProjectKosten[],4,0),"")</f>
        <v/>
      </c>
      <c r="D57" s="12" t="str" cm="1">
        <f t="array" ref="D57">IFERROR(INDEX(Tb_KostenOpties[],MATCH(B57,Tb_KostenOpties[KostenOptie],0),IFERROR(MATCH(Methode_Keuze,Tb_KostenOpties[#Headers],0),2)),"")</f>
        <v/>
      </c>
      <c r="E57" s="284">
        <f>IFERROR(VLOOKUP(B57,Tb_ProjectKosten[[#All],[KostenOmschrijving]:[Forfait_Percentage]],6,0),0)</f>
        <v>0</v>
      </c>
      <c r="F57" s="285">
        <f>SUMIFS('5. Kosten uitvoering project'!P:P,'5. Kosten uitvoering project'!E:E,SubsidieTabel!A57,'5. Kosten uitvoering project'!F:F,SubsidieTabel!B57)</f>
        <v>0</v>
      </c>
      <c r="G57" s="285">
        <f>SUMIFS('5. Kosten uitvoering project'!Q:Q,'5. Kosten uitvoering project'!E:E,SubsidieTabel!A57,'5. Kosten uitvoering project'!F:F,SubsidieTabel!B57)</f>
        <v>0</v>
      </c>
      <c r="H57" s="285">
        <f>SUMIFS('5. Kosten uitvoering project'!R:R,'5. Kosten uitvoering project'!E:E,SubsidieTabel!A57,'5. Kosten uitvoering project'!F:F,SubsidieTabel!B57)</f>
        <v>0</v>
      </c>
      <c r="I57" s="285">
        <f>SUMIFS('5. Kosten uitvoering project'!S:S,'5. Kosten uitvoering project'!E:E,SubsidieTabel!A57,'5. Kosten uitvoering project'!F:F,SubsidieTabel!B57)</f>
        <v>0</v>
      </c>
      <c r="J57" s="285">
        <f t="shared" si="0"/>
        <v>0</v>
      </c>
      <c r="K57" s="285">
        <f t="shared" si="1"/>
        <v>0</v>
      </c>
      <c r="L57" s="284" t="str">
        <f>IFERROR(VLOOKUP(A57,Lijsten!$AK:$AL,2,0),"")</f>
        <v/>
      </c>
      <c r="M57" s="285">
        <f t="shared" si="2"/>
        <v>0</v>
      </c>
      <c r="N57" s="285">
        <f t="shared" si="3"/>
        <v>0</v>
      </c>
      <c r="O57" s="285">
        <f>IFERROR(IF(INDEX(Tb_Activiteiten[#All],MATCH(SubsidieTabel!$A57,Tb_Activiteiten[[#All],[Subsidiabele_Activiteit]],0),MATCH(SubsidieTabel!O$1,Tb_Activiteiten[#Headers],0))=1,SubsidieTabel!$J57,0),0)</f>
        <v>0</v>
      </c>
      <c r="P57" s="285">
        <f>IFERROR(IF(INDEX(Tb_Activiteiten[#All],MATCH(SubsidieTabel!$A57,Tb_Activiteiten[[#All],[Subsidiabele_Activiteit]],0),MATCH(SubsidieTabel!P$1,Tb_Activiteiten[#Headers],0))=1,SubsidieTabel!$K57,0),0)</f>
        <v>0</v>
      </c>
      <c r="Q57" s="285">
        <f>IFERROR(IF(INDEX(Tb_Activiteiten[#All],MATCH(SubsidieTabel!$A57,Tb_Activiteiten[[#All],[Subsidiabele_Activiteit]],0),MATCH(SubsidieTabel!Q$1,Tb_Activiteiten[#Headers],0))=1,SubsidieTabel!$J57,0),0)</f>
        <v>0</v>
      </c>
      <c r="R57" s="285">
        <f>IFERROR(IF(INDEX(Tb_Activiteiten[#All],MATCH(SubsidieTabel!$A57,Tb_Activiteiten[[#All],[Subsidiabele_Activiteit]],0),MATCH(SubsidieTabel!R$1,Tb_Activiteiten[#Headers],0))=1,SubsidieTabel!$K57,0),0)</f>
        <v>0</v>
      </c>
      <c r="S57" s="285">
        <f>IFERROR(IF(INDEX(Tb_Activiteiten[#All],MATCH(SubsidieTabel!$A57,Tb_Activiteiten[[#All],[Subsidiabele_Activiteit]],0),MATCH(SubsidieTabel!S$1,Tb_Activiteiten[#Headers],0))=1,SubsidieTabel!$J57,0),0)</f>
        <v>0</v>
      </c>
      <c r="T57" s="285">
        <f>IFERROR(IF(INDEX(Tb_Activiteiten[#All],MATCH(SubsidieTabel!$A57,Tb_Activiteiten[[#All],[Subsidiabele_Activiteit]],0),MATCH(SubsidieTabel!T$1,Tb_Activiteiten[#Headers],0))=1,SubsidieTabel!$K57,0),0)</f>
        <v>0</v>
      </c>
      <c r="U57" s="285">
        <f>IFERROR(IF(INDEX(Tb_Activiteiten[#All],MATCH(SubsidieTabel!$A57,Tb_Activiteiten[[#All],[Subsidiabele_Activiteit]],0),MATCH(SubsidieTabel!U$1,Tb_Activiteiten[#Headers],0))=1,SubsidieTabel!$J57,0),0)</f>
        <v>0</v>
      </c>
      <c r="V57" s="285">
        <f>IFERROR(IF(INDEX(Tb_Activiteiten[#All],MATCH(SubsidieTabel!$A57,Tb_Activiteiten[[#All],[Subsidiabele_Activiteit]],0),MATCH(SubsidieTabel!V$1,Tb_Activiteiten[#Headers],0))=1,SubsidieTabel!$K57,0),0)</f>
        <v>0</v>
      </c>
      <c r="W57" s="64">
        <f>IFERROR(IF(INDEX(Tb_Activiteiten[#All],MATCH(SubsidieTabel!$A57,Tb_Activiteiten[[#All],[Subsidiabele_Activiteit]],0),MATCH(SubsidieTabel!Q$1,Tb_Activiteiten[#Headers],0))=1,H57,0),0)</f>
        <v>0</v>
      </c>
      <c r="X57" s="64">
        <f>IFERROR(IF(INDEX(Tb_Activiteiten[#All],MATCH(SubsidieTabel!$A57,Tb_Activiteiten[[#All],[Subsidiabele_Activiteit]],0),MATCH(SubsidieTabel!Q$1,Tb_Activiteiten[#Headers],0))=1,I57,0),0)</f>
        <v>0</v>
      </c>
      <c r="Y57" s="64">
        <f>IFERROR(IF(INDEX(Tb_Activiteiten[#All],MATCH(SubsidieTabel!$A57,Tb_Activiteiten[[#All],[Subsidiabele_Activiteit]],0),MATCH(SubsidieTabel!S$1,Tb_Activiteiten[#Headers],0))=1,H57,0),0)</f>
        <v>0</v>
      </c>
      <c r="Z57" s="64">
        <f>IFERROR(IF(INDEX(Tb_Activiteiten[#All],MATCH(SubsidieTabel!$A57,Tb_Activiteiten[[#All],[Subsidiabele_Activiteit]],0),MATCH(SubsidieTabel!S$1,Tb_Activiteiten[#Headers],0))=1,I57,0),0)</f>
        <v>0</v>
      </c>
      <c r="AA57" s="64">
        <f>IFERROR(IF(INDEX(Tb_Activiteiten[#All],MATCH(SubsidieTabel!$A57,Tb_Activiteiten[[#All],[Subsidiabele_Activiteit]],0),MATCH(SubsidieTabel!O$1,Tb_Activiteiten[#Headers],0))=1,$F57,0),0)</f>
        <v>0</v>
      </c>
      <c r="AB57" s="64">
        <f>IFERROR(IF(INDEX(Tb_Activiteiten[#All],MATCH(SubsidieTabel!$A57,Tb_Activiteiten[[#All],[Subsidiabele_Activiteit]],0),MATCH(SubsidieTabel!O$1,Tb_Activiteiten[#Headers],0))=1,$G57,0),0)</f>
        <v>0</v>
      </c>
    </row>
    <row r="58" spans="1:40" x14ac:dyDescent="0.25">
      <c r="A58" s="63"/>
      <c r="B58" s="63"/>
      <c r="C58" s="63" t="str">
        <f>IFERROR(VLOOKUP($B58,Tb_ProjectKosten[],4,0),"")</f>
        <v/>
      </c>
      <c r="D58" s="63" t="str" cm="1">
        <f t="array" ref="D58">IFERROR(INDEX(Tb_KostenOpties[],MATCH(B58,Tb_KostenOpties[KostenOptie],0),IFERROR(MATCH(Methode_Keuze,Tb_KostenOpties[#Headers],0),2)),"")</f>
        <v/>
      </c>
      <c r="E58" s="286">
        <f>IFERROR(VLOOKUP(B58,Tb_ProjectKosten[[#All],[KostenOmschrijving]:[Forfait_Percentage]],6,0),0)</f>
        <v>0</v>
      </c>
      <c r="F58" s="287">
        <f>SUMIFS('5. Kosten uitvoering project'!P:P,'5. Kosten uitvoering project'!E:E,SubsidieTabel!A58,'5. Kosten uitvoering project'!F:F,SubsidieTabel!B58)</f>
        <v>0</v>
      </c>
      <c r="G58" s="287">
        <f>SUMIFS('5. Kosten uitvoering project'!Q:Q,'5. Kosten uitvoering project'!E:E,SubsidieTabel!A58,'5. Kosten uitvoering project'!F:F,SubsidieTabel!B58)</f>
        <v>0</v>
      </c>
      <c r="H58" s="287">
        <f>SUMIFS('5. Kosten uitvoering project'!R:R,'5. Kosten uitvoering project'!E:E,SubsidieTabel!A58,'5. Kosten uitvoering project'!F:F,SubsidieTabel!B58)</f>
        <v>0</v>
      </c>
      <c r="I58" s="287">
        <f>SUMIFS('5. Kosten uitvoering project'!S:S,'5. Kosten uitvoering project'!E:E,SubsidieTabel!A58,'5. Kosten uitvoering project'!F:F,SubsidieTabel!B58)</f>
        <v>0</v>
      </c>
      <c r="J58" s="287">
        <f t="shared" si="0"/>
        <v>0</v>
      </c>
      <c r="K58" s="287">
        <f t="shared" si="1"/>
        <v>0</v>
      </c>
      <c r="L58" s="286" t="str">
        <f>IFERROR(VLOOKUP(A58,Lijsten!$AK:$AL,2,0),"")</f>
        <v/>
      </c>
      <c r="M58" s="287">
        <f t="shared" si="2"/>
        <v>0</v>
      </c>
      <c r="N58" s="287">
        <f t="shared" si="3"/>
        <v>0</v>
      </c>
      <c r="O58" s="287">
        <f>IFERROR(IF(INDEX(Tb_Activiteiten[#All],MATCH(SubsidieTabel!$A58,Tb_Activiteiten[[#All],[Subsidiabele_Activiteit]],0),MATCH(SubsidieTabel!O$1,Tb_Activiteiten[#Headers],0))=1,SubsidieTabel!$J58,0),0)</f>
        <v>0</v>
      </c>
      <c r="P58" s="287">
        <f>IFERROR(IF(INDEX(Tb_Activiteiten[#All],MATCH(SubsidieTabel!$A58,Tb_Activiteiten[[#All],[Subsidiabele_Activiteit]],0),MATCH(SubsidieTabel!P$1,Tb_Activiteiten[#Headers],0))=1,SubsidieTabel!$K58,0),0)</f>
        <v>0</v>
      </c>
      <c r="Q58" s="287">
        <f>IFERROR(IF(INDEX(Tb_Activiteiten[#All],MATCH(SubsidieTabel!$A58,Tb_Activiteiten[[#All],[Subsidiabele_Activiteit]],0),MATCH(SubsidieTabel!Q$1,Tb_Activiteiten[#Headers],0))=1,SubsidieTabel!$J58,0),0)</f>
        <v>0</v>
      </c>
      <c r="R58" s="287">
        <f>IFERROR(IF(INDEX(Tb_Activiteiten[#All],MATCH(SubsidieTabel!$A58,Tb_Activiteiten[[#All],[Subsidiabele_Activiteit]],0),MATCH(SubsidieTabel!R$1,Tb_Activiteiten[#Headers],0))=1,SubsidieTabel!$K58,0),0)</f>
        <v>0</v>
      </c>
      <c r="S58" s="287">
        <f>IFERROR(IF(INDEX(Tb_Activiteiten[#All],MATCH(SubsidieTabel!$A58,Tb_Activiteiten[[#All],[Subsidiabele_Activiteit]],0),MATCH(SubsidieTabel!S$1,Tb_Activiteiten[#Headers],0))=1,SubsidieTabel!$J58,0),0)</f>
        <v>0</v>
      </c>
      <c r="T58" s="287">
        <f>IFERROR(IF(INDEX(Tb_Activiteiten[#All],MATCH(SubsidieTabel!$A58,Tb_Activiteiten[[#All],[Subsidiabele_Activiteit]],0),MATCH(SubsidieTabel!T$1,Tb_Activiteiten[#Headers],0))=1,SubsidieTabel!$K58,0),0)</f>
        <v>0</v>
      </c>
      <c r="U58" s="287">
        <f>IFERROR(IF(INDEX(Tb_Activiteiten[#All],MATCH(SubsidieTabel!$A58,Tb_Activiteiten[[#All],[Subsidiabele_Activiteit]],0),MATCH(SubsidieTabel!U$1,Tb_Activiteiten[#Headers],0))=1,SubsidieTabel!$J58,0),0)</f>
        <v>0</v>
      </c>
      <c r="V58" s="287">
        <f>IFERROR(IF(INDEX(Tb_Activiteiten[#All],MATCH(SubsidieTabel!$A58,Tb_Activiteiten[[#All],[Subsidiabele_Activiteit]],0),MATCH(SubsidieTabel!V$1,Tb_Activiteiten[#Headers],0))=1,SubsidieTabel!$K58,0),0)</f>
        <v>0</v>
      </c>
      <c r="W58" s="374">
        <f>IFERROR(IF(INDEX(Tb_Activiteiten[#All],MATCH(SubsidieTabel!$A58,Tb_Activiteiten[[#All],[Subsidiabele_Activiteit]],0),MATCH(SubsidieTabel!Q$1,Tb_Activiteiten[#Headers],0))=1,H58,0),0)</f>
        <v>0</v>
      </c>
      <c r="X58" s="374">
        <f>IFERROR(IF(INDEX(Tb_Activiteiten[#All],MATCH(SubsidieTabel!$A58,Tb_Activiteiten[[#All],[Subsidiabele_Activiteit]],0),MATCH(SubsidieTabel!Q$1,Tb_Activiteiten[#Headers],0))=1,I58,0),0)</f>
        <v>0</v>
      </c>
      <c r="Y58" s="374">
        <f>IFERROR(IF(INDEX(Tb_Activiteiten[#All],MATCH(SubsidieTabel!$A58,Tb_Activiteiten[[#All],[Subsidiabele_Activiteit]],0),MATCH(SubsidieTabel!S$1,Tb_Activiteiten[#Headers],0))=1,H58,0),0)</f>
        <v>0</v>
      </c>
      <c r="Z58" s="374">
        <f>IFERROR(IF(INDEX(Tb_Activiteiten[#All],MATCH(SubsidieTabel!$A58,Tb_Activiteiten[[#All],[Subsidiabele_Activiteit]],0),MATCH(SubsidieTabel!S$1,Tb_Activiteiten[#Headers],0))=1,I58,0),0)</f>
        <v>0</v>
      </c>
      <c r="AA58" s="374">
        <f>IFERROR(IF(INDEX(Tb_Activiteiten[#All],MATCH(SubsidieTabel!$A58,Tb_Activiteiten[[#All],[Subsidiabele_Activiteit]],0),MATCH(SubsidieTabel!O$1,Tb_Activiteiten[#Headers],0))=1,$F58,0),0)</f>
        <v>0</v>
      </c>
      <c r="AB58" s="374">
        <f>IFERROR(IF(INDEX(Tb_Activiteiten[#All],MATCH(SubsidieTabel!$A58,Tb_Activiteiten[[#All],[Subsidiabele_Activiteit]],0),MATCH(SubsidieTabel!O$1,Tb_Activiteiten[#Headers],0))=1,$G58,0),0)</f>
        <v>0</v>
      </c>
    </row>
    <row r="59" spans="1:40" x14ac:dyDescent="0.25">
      <c r="A59" s="12"/>
      <c r="B59" s="12"/>
      <c r="C59" s="12" t="str">
        <f>IFERROR(VLOOKUP($B59,Tb_ProjectKosten[],4,0),"")</f>
        <v/>
      </c>
      <c r="D59" s="12" t="str" cm="1">
        <f t="array" ref="D59">IFERROR(INDEX(Tb_KostenOpties[],MATCH(B59,Tb_KostenOpties[KostenOptie],0),IFERROR(MATCH(Methode_Keuze,Tb_KostenOpties[#Headers],0),2)),"")</f>
        <v/>
      </c>
      <c r="E59" s="284">
        <f>IFERROR(VLOOKUP(B59,Tb_ProjectKosten[[#All],[KostenOmschrijving]:[Forfait_Percentage]],6,0),0)</f>
        <v>0</v>
      </c>
      <c r="F59" s="285">
        <f>SUMIFS('5. Kosten uitvoering project'!P:P,'5. Kosten uitvoering project'!E:E,SubsidieTabel!A59,'5. Kosten uitvoering project'!F:F,SubsidieTabel!B59)</f>
        <v>0</v>
      </c>
      <c r="G59" s="285">
        <f>SUMIFS('5. Kosten uitvoering project'!Q:Q,'5. Kosten uitvoering project'!E:E,SubsidieTabel!A59,'5. Kosten uitvoering project'!F:F,SubsidieTabel!B59)</f>
        <v>0</v>
      </c>
      <c r="H59" s="285">
        <f>SUMIFS('5. Kosten uitvoering project'!R:R,'5. Kosten uitvoering project'!E:E,SubsidieTabel!A59,'5. Kosten uitvoering project'!F:F,SubsidieTabel!B59)</f>
        <v>0</v>
      </c>
      <c r="I59" s="285">
        <f>SUMIFS('5. Kosten uitvoering project'!S:S,'5. Kosten uitvoering project'!E:E,SubsidieTabel!A59,'5. Kosten uitvoering project'!F:F,SubsidieTabel!B59)</f>
        <v>0</v>
      </c>
      <c r="J59" s="285">
        <f t="shared" si="0"/>
        <v>0</v>
      </c>
      <c r="K59" s="285">
        <f t="shared" si="1"/>
        <v>0</v>
      </c>
      <c r="L59" s="284" t="str">
        <f>IFERROR(VLOOKUP(A59,Lijsten!$AK:$AL,2,0),"")</f>
        <v/>
      </c>
      <c r="M59" s="285">
        <f t="shared" si="2"/>
        <v>0</v>
      </c>
      <c r="N59" s="285">
        <f t="shared" si="3"/>
        <v>0</v>
      </c>
      <c r="O59" s="285">
        <f>IFERROR(IF(INDEX(Tb_Activiteiten[#All],MATCH(SubsidieTabel!$A59,Tb_Activiteiten[[#All],[Subsidiabele_Activiteit]],0),MATCH(SubsidieTabel!O$1,Tb_Activiteiten[#Headers],0))=1,SubsidieTabel!$J59,0),0)</f>
        <v>0</v>
      </c>
      <c r="P59" s="285">
        <f>IFERROR(IF(INDEX(Tb_Activiteiten[#All],MATCH(SubsidieTabel!$A59,Tb_Activiteiten[[#All],[Subsidiabele_Activiteit]],0),MATCH(SubsidieTabel!P$1,Tb_Activiteiten[#Headers],0))=1,SubsidieTabel!$K59,0),0)</f>
        <v>0</v>
      </c>
      <c r="Q59" s="285">
        <f>IFERROR(IF(INDEX(Tb_Activiteiten[#All],MATCH(SubsidieTabel!$A59,Tb_Activiteiten[[#All],[Subsidiabele_Activiteit]],0),MATCH(SubsidieTabel!Q$1,Tb_Activiteiten[#Headers],0))=1,SubsidieTabel!$J59,0),0)</f>
        <v>0</v>
      </c>
      <c r="R59" s="285">
        <f>IFERROR(IF(INDEX(Tb_Activiteiten[#All],MATCH(SubsidieTabel!$A59,Tb_Activiteiten[[#All],[Subsidiabele_Activiteit]],0),MATCH(SubsidieTabel!R$1,Tb_Activiteiten[#Headers],0))=1,SubsidieTabel!$K59,0),0)</f>
        <v>0</v>
      </c>
      <c r="S59" s="285">
        <f>IFERROR(IF(INDEX(Tb_Activiteiten[#All],MATCH(SubsidieTabel!$A59,Tb_Activiteiten[[#All],[Subsidiabele_Activiteit]],0),MATCH(SubsidieTabel!S$1,Tb_Activiteiten[#Headers],0))=1,SubsidieTabel!$J59,0),0)</f>
        <v>0</v>
      </c>
      <c r="T59" s="285">
        <f>IFERROR(IF(INDEX(Tb_Activiteiten[#All],MATCH(SubsidieTabel!$A59,Tb_Activiteiten[[#All],[Subsidiabele_Activiteit]],0),MATCH(SubsidieTabel!T$1,Tb_Activiteiten[#Headers],0))=1,SubsidieTabel!$K59,0),0)</f>
        <v>0</v>
      </c>
      <c r="U59" s="285">
        <f>IFERROR(IF(INDEX(Tb_Activiteiten[#All],MATCH(SubsidieTabel!$A59,Tb_Activiteiten[[#All],[Subsidiabele_Activiteit]],0),MATCH(SubsidieTabel!U$1,Tb_Activiteiten[#Headers],0))=1,SubsidieTabel!$J59,0),0)</f>
        <v>0</v>
      </c>
      <c r="V59" s="285">
        <f>IFERROR(IF(INDEX(Tb_Activiteiten[#All],MATCH(SubsidieTabel!$A59,Tb_Activiteiten[[#All],[Subsidiabele_Activiteit]],0),MATCH(SubsidieTabel!V$1,Tb_Activiteiten[#Headers],0))=1,SubsidieTabel!$K59,0),0)</f>
        <v>0</v>
      </c>
      <c r="W59" s="64">
        <f>IFERROR(IF(INDEX(Tb_Activiteiten[#All],MATCH(SubsidieTabel!$A59,Tb_Activiteiten[[#All],[Subsidiabele_Activiteit]],0),MATCH(SubsidieTabel!Q$1,Tb_Activiteiten[#Headers],0))=1,H59,0),0)</f>
        <v>0</v>
      </c>
      <c r="X59" s="64">
        <f>IFERROR(IF(INDEX(Tb_Activiteiten[#All],MATCH(SubsidieTabel!$A59,Tb_Activiteiten[[#All],[Subsidiabele_Activiteit]],0),MATCH(SubsidieTabel!Q$1,Tb_Activiteiten[#Headers],0))=1,I59,0),0)</f>
        <v>0</v>
      </c>
      <c r="Y59" s="64">
        <f>IFERROR(IF(INDEX(Tb_Activiteiten[#All],MATCH(SubsidieTabel!$A59,Tb_Activiteiten[[#All],[Subsidiabele_Activiteit]],0),MATCH(SubsidieTabel!S$1,Tb_Activiteiten[#Headers],0))=1,H59,0),0)</f>
        <v>0</v>
      </c>
      <c r="Z59" s="64">
        <f>IFERROR(IF(INDEX(Tb_Activiteiten[#All],MATCH(SubsidieTabel!$A59,Tb_Activiteiten[[#All],[Subsidiabele_Activiteit]],0),MATCH(SubsidieTabel!S$1,Tb_Activiteiten[#Headers],0))=1,I59,0),0)</f>
        <v>0</v>
      </c>
      <c r="AA59" s="64">
        <f>IFERROR(IF(INDEX(Tb_Activiteiten[#All],MATCH(SubsidieTabel!$A59,Tb_Activiteiten[[#All],[Subsidiabele_Activiteit]],0),MATCH(SubsidieTabel!O$1,Tb_Activiteiten[#Headers],0))=1,$F59,0),0)</f>
        <v>0</v>
      </c>
      <c r="AB59" s="64">
        <f>IFERROR(IF(INDEX(Tb_Activiteiten[#All],MATCH(SubsidieTabel!$A59,Tb_Activiteiten[[#All],[Subsidiabele_Activiteit]],0),MATCH(SubsidieTabel!O$1,Tb_Activiteiten[#Headers],0))=1,$G59,0),0)</f>
        <v>0</v>
      </c>
    </row>
    <row r="60" spans="1:40" x14ac:dyDescent="0.25">
      <c r="A60" s="63"/>
      <c r="B60" s="63"/>
      <c r="C60" s="63" t="str">
        <f>IFERROR(VLOOKUP($B60,Tb_ProjectKosten[],4,0),"")</f>
        <v/>
      </c>
      <c r="D60" s="63" t="str" cm="1">
        <f t="array" ref="D60">IFERROR(INDEX(Tb_KostenOpties[],MATCH(B60,Tb_KostenOpties[KostenOptie],0),IFERROR(MATCH(Methode_Keuze,Tb_KostenOpties[#Headers],0),2)),"")</f>
        <v/>
      </c>
      <c r="E60" s="286">
        <f>IFERROR(VLOOKUP(B60,Tb_ProjectKosten[[#All],[KostenOmschrijving]:[Forfait_Percentage]],6,0),0)</f>
        <v>0</v>
      </c>
      <c r="F60" s="287">
        <f>SUMIFS('5. Kosten uitvoering project'!P:P,'5. Kosten uitvoering project'!E:E,SubsidieTabel!A60,'5. Kosten uitvoering project'!F:F,SubsidieTabel!B60)</f>
        <v>0</v>
      </c>
      <c r="G60" s="287">
        <f>SUMIFS('5. Kosten uitvoering project'!Q:Q,'5. Kosten uitvoering project'!E:E,SubsidieTabel!A60,'5. Kosten uitvoering project'!F:F,SubsidieTabel!B60)</f>
        <v>0</v>
      </c>
      <c r="H60" s="287">
        <f>SUMIFS('5. Kosten uitvoering project'!R:R,'5. Kosten uitvoering project'!E:E,SubsidieTabel!A60,'5. Kosten uitvoering project'!F:F,SubsidieTabel!B60)</f>
        <v>0</v>
      </c>
      <c r="I60" s="287">
        <f>SUMIFS('5. Kosten uitvoering project'!S:S,'5. Kosten uitvoering project'!E:E,SubsidieTabel!A60,'5. Kosten uitvoering project'!F:F,SubsidieTabel!B60)</f>
        <v>0</v>
      </c>
      <c r="J60" s="287">
        <f t="shared" si="0"/>
        <v>0</v>
      </c>
      <c r="K60" s="287">
        <f t="shared" si="1"/>
        <v>0</v>
      </c>
      <c r="L60" s="286" t="str">
        <f>IFERROR(VLOOKUP(A60,Lijsten!$AK:$AL,2,0),"")</f>
        <v/>
      </c>
      <c r="M60" s="287">
        <f t="shared" si="2"/>
        <v>0</v>
      </c>
      <c r="N60" s="287">
        <f t="shared" si="3"/>
        <v>0</v>
      </c>
      <c r="O60" s="287">
        <f>IFERROR(IF(INDEX(Tb_Activiteiten[#All],MATCH(SubsidieTabel!$A60,Tb_Activiteiten[[#All],[Subsidiabele_Activiteit]],0),MATCH(SubsidieTabel!O$1,Tb_Activiteiten[#Headers],0))=1,SubsidieTabel!$J60,0),0)</f>
        <v>0</v>
      </c>
      <c r="P60" s="287">
        <f>IFERROR(IF(INDEX(Tb_Activiteiten[#All],MATCH(SubsidieTabel!$A60,Tb_Activiteiten[[#All],[Subsidiabele_Activiteit]],0),MATCH(SubsidieTabel!P$1,Tb_Activiteiten[#Headers],0))=1,SubsidieTabel!$K60,0),0)</f>
        <v>0</v>
      </c>
      <c r="Q60" s="287">
        <f>IFERROR(IF(INDEX(Tb_Activiteiten[#All],MATCH(SubsidieTabel!$A60,Tb_Activiteiten[[#All],[Subsidiabele_Activiteit]],0),MATCH(SubsidieTabel!Q$1,Tb_Activiteiten[#Headers],0))=1,SubsidieTabel!$J60,0),0)</f>
        <v>0</v>
      </c>
      <c r="R60" s="287">
        <f>IFERROR(IF(INDEX(Tb_Activiteiten[#All],MATCH(SubsidieTabel!$A60,Tb_Activiteiten[[#All],[Subsidiabele_Activiteit]],0),MATCH(SubsidieTabel!R$1,Tb_Activiteiten[#Headers],0))=1,SubsidieTabel!$K60,0),0)</f>
        <v>0</v>
      </c>
      <c r="S60" s="287">
        <f>IFERROR(IF(INDEX(Tb_Activiteiten[#All],MATCH(SubsidieTabel!$A60,Tb_Activiteiten[[#All],[Subsidiabele_Activiteit]],0),MATCH(SubsidieTabel!S$1,Tb_Activiteiten[#Headers],0))=1,SubsidieTabel!$J60,0),0)</f>
        <v>0</v>
      </c>
      <c r="T60" s="287">
        <f>IFERROR(IF(INDEX(Tb_Activiteiten[#All],MATCH(SubsidieTabel!$A60,Tb_Activiteiten[[#All],[Subsidiabele_Activiteit]],0),MATCH(SubsidieTabel!T$1,Tb_Activiteiten[#Headers],0))=1,SubsidieTabel!$K60,0),0)</f>
        <v>0</v>
      </c>
      <c r="U60" s="287">
        <f>IFERROR(IF(INDEX(Tb_Activiteiten[#All],MATCH(SubsidieTabel!$A60,Tb_Activiteiten[[#All],[Subsidiabele_Activiteit]],0),MATCH(SubsidieTabel!U$1,Tb_Activiteiten[#Headers],0))=1,SubsidieTabel!$J60,0),0)</f>
        <v>0</v>
      </c>
      <c r="V60" s="287">
        <f>IFERROR(IF(INDEX(Tb_Activiteiten[#All],MATCH(SubsidieTabel!$A60,Tb_Activiteiten[[#All],[Subsidiabele_Activiteit]],0),MATCH(SubsidieTabel!V$1,Tb_Activiteiten[#Headers],0))=1,SubsidieTabel!$K60,0),0)</f>
        <v>0</v>
      </c>
      <c r="W60" s="374">
        <f>IFERROR(IF(INDEX(Tb_Activiteiten[#All],MATCH(SubsidieTabel!$A60,Tb_Activiteiten[[#All],[Subsidiabele_Activiteit]],0),MATCH(SubsidieTabel!Q$1,Tb_Activiteiten[#Headers],0))=1,H60,0),0)</f>
        <v>0</v>
      </c>
      <c r="X60" s="374">
        <f>IFERROR(IF(INDEX(Tb_Activiteiten[#All],MATCH(SubsidieTabel!$A60,Tb_Activiteiten[[#All],[Subsidiabele_Activiteit]],0),MATCH(SubsidieTabel!Q$1,Tb_Activiteiten[#Headers],0))=1,I60,0),0)</f>
        <v>0</v>
      </c>
      <c r="Y60" s="374">
        <f>IFERROR(IF(INDEX(Tb_Activiteiten[#All],MATCH(SubsidieTabel!$A60,Tb_Activiteiten[[#All],[Subsidiabele_Activiteit]],0),MATCH(SubsidieTabel!S$1,Tb_Activiteiten[#Headers],0))=1,H60,0),0)</f>
        <v>0</v>
      </c>
      <c r="Z60" s="374">
        <f>IFERROR(IF(INDEX(Tb_Activiteiten[#All],MATCH(SubsidieTabel!$A60,Tb_Activiteiten[[#All],[Subsidiabele_Activiteit]],0),MATCH(SubsidieTabel!S$1,Tb_Activiteiten[#Headers],0))=1,I60,0),0)</f>
        <v>0</v>
      </c>
      <c r="AA60" s="374">
        <f>IFERROR(IF(INDEX(Tb_Activiteiten[#All],MATCH(SubsidieTabel!$A60,Tb_Activiteiten[[#All],[Subsidiabele_Activiteit]],0),MATCH(SubsidieTabel!O$1,Tb_Activiteiten[#Headers],0))=1,$F60,0),0)</f>
        <v>0</v>
      </c>
      <c r="AB60" s="374">
        <f>IFERROR(IF(INDEX(Tb_Activiteiten[#All],MATCH(SubsidieTabel!$A60,Tb_Activiteiten[[#All],[Subsidiabele_Activiteit]],0),MATCH(SubsidieTabel!O$1,Tb_Activiteiten[#Headers],0))=1,$G60,0),0)</f>
        <v>0</v>
      </c>
    </row>
    <row r="61" spans="1:40" x14ac:dyDescent="0.25">
      <c r="A61" s="12"/>
      <c r="B61" s="12"/>
      <c r="C61" s="12" t="str">
        <f>IFERROR(VLOOKUP($B61,Tb_ProjectKosten[],4,0),"")</f>
        <v/>
      </c>
      <c r="D61" s="12" t="str" cm="1">
        <f t="array" ref="D61">IFERROR(INDEX(Tb_KostenOpties[],MATCH(B61,Tb_KostenOpties[KostenOptie],0),IFERROR(MATCH(Methode_Keuze,Tb_KostenOpties[#Headers],0),2)),"")</f>
        <v/>
      </c>
      <c r="E61" s="284">
        <f>IFERROR(VLOOKUP(B61,Tb_ProjectKosten[[#All],[KostenOmschrijving]:[Forfait_Percentage]],6,0),0)</f>
        <v>0</v>
      </c>
      <c r="F61" s="285">
        <f>SUMIFS('5. Kosten uitvoering project'!P:P,'5. Kosten uitvoering project'!E:E,SubsidieTabel!A61,'5. Kosten uitvoering project'!F:F,SubsidieTabel!B61)</f>
        <v>0</v>
      </c>
      <c r="G61" s="285">
        <f>SUMIFS('5. Kosten uitvoering project'!Q:Q,'5. Kosten uitvoering project'!E:E,SubsidieTabel!A61,'5. Kosten uitvoering project'!F:F,SubsidieTabel!B61)</f>
        <v>0</v>
      </c>
      <c r="H61" s="285">
        <f>SUMIFS('5. Kosten uitvoering project'!R:R,'5. Kosten uitvoering project'!E:E,SubsidieTabel!A61,'5. Kosten uitvoering project'!F:F,SubsidieTabel!B61)</f>
        <v>0</v>
      </c>
      <c r="I61" s="285">
        <f>SUMIFS('5. Kosten uitvoering project'!S:S,'5. Kosten uitvoering project'!E:E,SubsidieTabel!A61,'5. Kosten uitvoering project'!F:F,SubsidieTabel!B61)</f>
        <v>0</v>
      </c>
      <c r="J61" s="285">
        <f t="shared" si="0"/>
        <v>0</v>
      </c>
      <c r="K61" s="285">
        <f t="shared" si="1"/>
        <v>0</v>
      </c>
      <c r="L61" s="284" t="str">
        <f>IFERROR(VLOOKUP(A61,Lijsten!$AK:$AL,2,0),"")</f>
        <v/>
      </c>
      <c r="M61" s="285">
        <f t="shared" si="2"/>
        <v>0</v>
      </c>
      <c r="N61" s="285">
        <f t="shared" si="3"/>
        <v>0</v>
      </c>
      <c r="O61" s="285">
        <f>IFERROR(IF(INDEX(Tb_Activiteiten[#All],MATCH(SubsidieTabel!$A61,Tb_Activiteiten[[#All],[Subsidiabele_Activiteit]],0),MATCH(SubsidieTabel!O$1,Tb_Activiteiten[#Headers],0))=1,SubsidieTabel!$J61,0),0)</f>
        <v>0</v>
      </c>
      <c r="P61" s="285">
        <f>IFERROR(IF(INDEX(Tb_Activiteiten[#All],MATCH(SubsidieTabel!$A61,Tb_Activiteiten[[#All],[Subsidiabele_Activiteit]],0),MATCH(SubsidieTabel!P$1,Tb_Activiteiten[#Headers],0))=1,SubsidieTabel!$K61,0),0)</f>
        <v>0</v>
      </c>
      <c r="Q61" s="285">
        <f>IFERROR(IF(INDEX(Tb_Activiteiten[#All],MATCH(SubsidieTabel!$A61,Tb_Activiteiten[[#All],[Subsidiabele_Activiteit]],0),MATCH(SubsidieTabel!Q$1,Tb_Activiteiten[#Headers],0))=1,SubsidieTabel!$J61,0),0)</f>
        <v>0</v>
      </c>
      <c r="R61" s="285">
        <f>IFERROR(IF(INDEX(Tb_Activiteiten[#All],MATCH(SubsidieTabel!$A61,Tb_Activiteiten[[#All],[Subsidiabele_Activiteit]],0),MATCH(SubsidieTabel!R$1,Tb_Activiteiten[#Headers],0))=1,SubsidieTabel!$K61,0),0)</f>
        <v>0</v>
      </c>
      <c r="S61" s="285">
        <f>IFERROR(IF(INDEX(Tb_Activiteiten[#All],MATCH(SubsidieTabel!$A61,Tb_Activiteiten[[#All],[Subsidiabele_Activiteit]],0),MATCH(SubsidieTabel!S$1,Tb_Activiteiten[#Headers],0))=1,SubsidieTabel!$J61,0),0)</f>
        <v>0</v>
      </c>
      <c r="T61" s="285">
        <f>IFERROR(IF(INDEX(Tb_Activiteiten[#All],MATCH(SubsidieTabel!$A61,Tb_Activiteiten[[#All],[Subsidiabele_Activiteit]],0),MATCH(SubsidieTabel!T$1,Tb_Activiteiten[#Headers],0))=1,SubsidieTabel!$K61,0),0)</f>
        <v>0</v>
      </c>
      <c r="U61" s="285">
        <f>IFERROR(IF(INDEX(Tb_Activiteiten[#All],MATCH(SubsidieTabel!$A61,Tb_Activiteiten[[#All],[Subsidiabele_Activiteit]],0),MATCH(SubsidieTabel!U$1,Tb_Activiteiten[#Headers],0))=1,SubsidieTabel!$J61,0),0)</f>
        <v>0</v>
      </c>
      <c r="V61" s="285">
        <f>IFERROR(IF(INDEX(Tb_Activiteiten[#All],MATCH(SubsidieTabel!$A61,Tb_Activiteiten[[#All],[Subsidiabele_Activiteit]],0),MATCH(SubsidieTabel!V$1,Tb_Activiteiten[#Headers],0))=1,SubsidieTabel!$K61,0),0)</f>
        <v>0</v>
      </c>
      <c r="W61" s="64">
        <f>IFERROR(IF(INDEX(Tb_Activiteiten[#All],MATCH(SubsidieTabel!$A61,Tb_Activiteiten[[#All],[Subsidiabele_Activiteit]],0),MATCH(SubsidieTabel!Q$1,Tb_Activiteiten[#Headers],0))=1,H61,0),0)</f>
        <v>0</v>
      </c>
      <c r="X61" s="64">
        <f>IFERROR(IF(INDEX(Tb_Activiteiten[#All],MATCH(SubsidieTabel!$A61,Tb_Activiteiten[[#All],[Subsidiabele_Activiteit]],0),MATCH(SubsidieTabel!Q$1,Tb_Activiteiten[#Headers],0))=1,I61,0),0)</f>
        <v>0</v>
      </c>
      <c r="Y61" s="64">
        <f>IFERROR(IF(INDEX(Tb_Activiteiten[#All],MATCH(SubsidieTabel!$A61,Tb_Activiteiten[[#All],[Subsidiabele_Activiteit]],0),MATCH(SubsidieTabel!S$1,Tb_Activiteiten[#Headers],0))=1,H61,0),0)</f>
        <v>0</v>
      </c>
      <c r="Z61" s="64">
        <f>IFERROR(IF(INDEX(Tb_Activiteiten[#All],MATCH(SubsidieTabel!$A61,Tb_Activiteiten[[#All],[Subsidiabele_Activiteit]],0),MATCH(SubsidieTabel!S$1,Tb_Activiteiten[#Headers],0))=1,I61,0),0)</f>
        <v>0</v>
      </c>
      <c r="AA61" s="64">
        <f>IFERROR(IF(INDEX(Tb_Activiteiten[#All],MATCH(SubsidieTabel!$A61,Tb_Activiteiten[[#All],[Subsidiabele_Activiteit]],0),MATCH(SubsidieTabel!O$1,Tb_Activiteiten[#Headers],0))=1,$F61,0),0)</f>
        <v>0</v>
      </c>
      <c r="AB61" s="64">
        <f>IFERROR(IF(INDEX(Tb_Activiteiten[#All],MATCH(SubsidieTabel!$A61,Tb_Activiteiten[[#All],[Subsidiabele_Activiteit]],0),MATCH(SubsidieTabel!O$1,Tb_Activiteiten[#Headers],0))=1,$G61,0),0)</f>
        <v>0</v>
      </c>
    </row>
    <row r="62" spans="1:40" x14ac:dyDescent="0.25">
      <c r="A62" s="63"/>
      <c r="B62" s="63"/>
      <c r="C62" s="63" t="str">
        <f>IFERROR(VLOOKUP($B62,Tb_ProjectKosten[],4,0),"")</f>
        <v/>
      </c>
      <c r="D62" s="63" t="str" cm="1">
        <f t="array" ref="D62">IFERROR(INDEX(Tb_KostenOpties[],MATCH(B62,Tb_KostenOpties[KostenOptie],0),IFERROR(MATCH(Methode_Keuze,Tb_KostenOpties[#Headers],0),2)),"")</f>
        <v/>
      </c>
      <c r="E62" s="286">
        <f>IFERROR(VLOOKUP(B62,Tb_ProjectKosten[[#All],[KostenOmschrijving]:[Forfait_Percentage]],6,0),0)</f>
        <v>0</v>
      </c>
      <c r="F62" s="287">
        <f>SUMIFS('5. Kosten uitvoering project'!P:P,'5. Kosten uitvoering project'!E:E,SubsidieTabel!A62,'5. Kosten uitvoering project'!F:F,SubsidieTabel!B62)</f>
        <v>0</v>
      </c>
      <c r="G62" s="287">
        <f>SUMIFS('5. Kosten uitvoering project'!Q:Q,'5. Kosten uitvoering project'!E:E,SubsidieTabel!A62,'5. Kosten uitvoering project'!F:F,SubsidieTabel!B62)</f>
        <v>0</v>
      </c>
      <c r="H62" s="287">
        <f>SUMIFS('5. Kosten uitvoering project'!R:R,'5. Kosten uitvoering project'!E:E,SubsidieTabel!A62,'5. Kosten uitvoering project'!F:F,SubsidieTabel!B62)</f>
        <v>0</v>
      </c>
      <c r="I62" s="287">
        <f>SUMIFS('5. Kosten uitvoering project'!S:S,'5. Kosten uitvoering project'!E:E,SubsidieTabel!A62,'5. Kosten uitvoering project'!F:F,SubsidieTabel!B62)</f>
        <v>0</v>
      </c>
      <c r="J62" s="287">
        <f t="shared" si="0"/>
        <v>0</v>
      </c>
      <c r="K62" s="287">
        <f t="shared" si="1"/>
        <v>0</v>
      </c>
      <c r="L62" s="286" t="str">
        <f>IFERROR(VLOOKUP(A62,Lijsten!$AK:$AL,2,0),"")</f>
        <v/>
      </c>
      <c r="M62" s="287">
        <f t="shared" si="2"/>
        <v>0</v>
      </c>
      <c r="N62" s="287">
        <f t="shared" si="3"/>
        <v>0</v>
      </c>
      <c r="O62" s="287">
        <f>IFERROR(IF(INDEX(Tb_Activiteiten[#All],MATCH(SubsidieTabel!$A62,Tb_Activiteiten[[#All],[Subsidiabele_Activiteit]],0),MATCH(SubsidieTabel!O$1,Tb_Activiteiten[#Headers],0))=1,SubsidieTabel!$J62,0),0)</f>
        <v>0</v>
      </c>
      <c r="P62" s="287">
        <f>IFERROR(IF(INDEX(Tb_Activiteiten[#All],MATCH(SubsidieTabel!$A62,Tb_Activiteiten[[#All],[Subsidiabele_Activiteit]],0),MATCH(SubsidieTabel!P$1,Tb_Activiteiten[#Headers],0))=1,SubsidieTabel!$K62,0),0)</f>
        <v>0</v>
      </c>
      <c r="Q62" s="287">
        <f>IFERROR(IF(INDEX(Tb_Activiteiten[#All],MATCH(SubsidieTabel!$A62,Tb_Activiteiten[[#All],[Subsidiabele_Activiteit]],0),MATCH(SubsidieTabel!Q$1,Tb_Activiteiten[#Headers],0))=1,SubsidieTabel!$J62,0),0)</f>
        <v>0</v>
      </c>
      <c r="R62" s="287">
        <f>IFERROR(IF(INDEX(Tb_Activiteiten[#All],MATCH(SubsidieTabel!$A62,Tb_Activiteiten[[#All],[Subsidiabele_Activiteit]],0),MATCH(SubsidieTabel!R$1,Tb_Activiteiten[#Headers],0))=1,SubsidieTabel!$K62,0),0)</f>
        <v>0</v>
      </c>
      <c r="S62" s="287">
        <f>IFERROR(IF(INDEX(Tb_Activiteiten[#All],MATCH(SubsidieTabel!$A62,Tb_Activiteiten[[#All],[Subsidiabele_Activiteit]],0),MATCH(SubsidieTabel!S$1,Tb_Activiteiten[#Headers],0))=1,SubsidieTabel!$J62,0),0)</f>
        <v>0</v>
      </c>
      <c r="T62" s="287">
        <f>IFERROR(IF(INDEX(Tb_Activiteiten[#All],MATCH(SubsidieTabel!$A62,Tb_Activiteiten[[#All],[Subsidiabele_Activiteit]],0),MATCH(SubsidieTabel!T$1,Tb_Activiteiten[#Headers],0))=1,SubsidieTabel!$K62,0),0)</f>
        <v>0</v>
      </c>
      <c r="U62" s="287">
        <f>IFERROR(IF(INDEX(Tb_Activiteiten[#All],MATCH(SubsidieTabel!$A62,Tb_Activiteiten[[#All],[Subsidiabele_Activiteit]],0),MATCH(SubsidieTabel!U$1,Tb_Activiteiten[#Headers],0))=1,SubsidieTabel!$J62,0),0)</f>
        <v>0</v>
      </c>
      <c r="V62" s="287">
        <f>IFERROR(IF(INDEX(Tb_Activiteiten[#All],MATCH(SubsidieTabel!$A62,Tb_Activiteiten[[#All],[Subsidiabele_Activiteit]],0),MATCH(SubsidieTabel!V$1,Tb_Activiteiten[#Headers],0))=1,SubsidieTabel!$K62,0),0)</f>
        <v>0</v>
      </c>
      <c r="W62" s="374">
        <f>IFERROR(IF(INDEX(Tb_Activiteiten[#All],MATCH(SubsidieTabel!$A62,Tb_Activiteiten[[#All],[Subsidiabele_Activiteit]],0),MATCH(SubsidieTabel!Q$1,Tb_Activiteiten[#Headers],0))=1,H62,0),0)</f>
        <v>0</v>
      </c>
      <c r="X62" s="374">
        <f>IFERROR(IF(INDEX(Tb_Activiteiten[#All],MATCH(SubsidieTabel!$A62,Tb_Activiteiten[[#All],[Subsidiabele_Activiteit]],0),MATCH(SubsidieTabel!Q$1,Tb_Activiteiten[#Headers],0))=1,I62,0),0)</f>
        <v>0</v>
      </c>
      <c r="Y62" s="374">
        <f>IFERROR(IF(INDEX(Tb_Activiteiten[#All],MATCH(SubsidieTabel!$A62,Tb_Activiteiten[[#All],[Subsidiabele_Activiteit]],0),MATCH(SubsidieTabel!S$1,Tb_Activiteiten[#Headers],0))=1,H62,0),0)</f>
        <v>0</v>
      </c>
      <c r="Z62" s="374">
        <f>IFERROR(IF(INDEX(Tb_Activiteiten[#All],MATCH(SubsidieTabel!$A62,Tb_Activiteiten[[#All],[Subsidiabele_Activiteit]],0),MATCH(SubsidieTabel!S$1,Tb_Activiteiten[#Headers],0))=1,I62,0),0)</f>
        <v>0</v>
      </c>
      <c r="AA62" s="374">
        <f>IFERROR(IF(INDEX(Tb_Activiteiten[#All],MATCH(SubsidieTabel!$A62,Tb_Activiteiten[[#All],[Subsidiabele_Activiteit]],0),MATCH(SubsidieTabel!O$1,Tb_Activiteiten[#Headers],0))=1,$F62,0),0)</f>
        <v>0</v>
      </c>
      <c r="AB62" s="374">
        <f>IFERROR(IF(INDEX(Tb_Activiteiten[#All],MATCH(SubsidieTabel!$A62,Tb_Activiteiten[[#All],[Subsidiabele_Activiteit]],0),MATCH(SubsidieTabel!O$1,Tb_Activiteiten[#Headers],0))=1,$G62,0),0)</f>
        <v>0</v>
      </c>
    </row>
    <row r="63" spans="1:40" x14ac:dyDescent="0.25">
      <c r="A63" s="12"/>
      <c r="B63" s="12"/>
      <c r="C63" s="12" t="str">
        <f>IFERROR(VLOOKUP($B63,Tb_ProjectKosten[],4,0),"")</f>
        <v/>
      </c>
      <c r="D63" s="12" t="str" cm="1">
        <f t="array" ref="D63">IFERROR(INDEX(Tb_KostenOpties[],MATCH(B63,Tb_KostenOpties[KostenOptie],0),IFERROR(MATCH(Methode_Keuze,Tb_KostenOpties[#Headers],0),2)),"")</f>
        <v/>
      </c>
      <c r="E63" s="284">
        <f>IFERROR(VLOOKUP(B63,Tb_ProjectKosten[[#All],[KostenOmschrijving]:[Forfait_Percentage]],6,0),0)</f>
        <v>0</v>
      </c>
      <c r="F63" s="285">
        <f>SUMIFS('5. Kosten uitvoering project'!P:P,'5. Kosten uitvoering project'!E:E,SubsidieTabel!A63,'5. Kosten uitvoering project'!F:F,SubsidieTabel!B63)</f>
        <v>0</v>
      </c>
      <c r="G63" s="285">
        <f>SUMIFS('5. Kosten uitvoering project'!Q:Q,'5. Kosten uitvoering project'!E:E,SubsidieTabel!A63,'5. Kosten uitvoering project'!F:F,SubsidieTabel!B63)</f>
        <v>0</v>
      </c>
      <c r="H63" s="285">
        <f>SUMIFS('5. Kosten uitvoering project'!R:R,'5. Kosten uitvoering project'!E:E,SubsidieTabel!A63,'5. Kosten uitvoering project'!F:F,SubsidieTabel!B63)</f>
        <v>0</v>
      </c>
      <c r="I63" s="285">
        <f>SUMIFS('5. Kosten uitvoering project'!S:S,'5. Kosten uitvoering project'!E:E,SubsidieTabel!A63,'5. Kosten uitvoering project'!F:F,SubsidieTabel!B63)</f>
        <v>0</v>
      </c>
      <c r="J63" s="285">
        <f t="shared" si="0"/>
        <v>0</v>
      </c>
      <c r="K63" s="285">
        <f t="shared" si="1"/>
        <v>0</v>
      </c>
      <c r="L63" s="284" t="str">
        <f>IFERROR(VLOOKUP(A63,Lijsten!$AK:$AL,2,0),"")</f>
        <v/>
      </c>
      <c r="M63" s="285">
        <f t="shared" si="2"/>
        <v>0</v>
      </c>
      <c r="N63" s="285">
        <f t="shared" si="3"/>
        <v>0</v>
      </c>
      <c r="O63" s="285">
        <f>IFERROR(IF(INDEX(Tb_Activiteiten[#All],MATCH(SubsidieTabel!$A63,Tb_Activiteiten[[#All],[Subsidiabele_Activiteit]],0),MATCH(SubsidieTabel!O$1,Tb_Activiteiten[#Headers],0))=1,SubsidieTabel!$J63,0),0)</f>
        <v>0</v>
      </c>
      <c r="P63" s="285">
        <f>IFERROR(IF(INDEX(Tb_Activiteiten[#All],MATCH(SubsidieTabel!$A63,Tb_Activiteiten[[#All],[Subsidiabele_Activiteit]],0),MATCH(SubsidieTabel!P$1,Tb_Activiteiten[#Headers],0))=1,SubsidieTabel!$K63,0),0)</f>
        <v>0</v>
      </c>
      <c r="Q63" s="285">
        <f>IFERROR(IF(INDEX(Tb_Activiteiten[#All],MATCH(SubsidieTabel!$A63,Tb_Activiteiten[[#All],[Subsidiabele_Activiteit]],0),MATCH(SubsidieTabel!Q$1,Tb_Activiteiten[#Headers],0))=1,SubsidieTabel!$J63,0),0)</f>
        <v>0</v>
      </c>
      <c r="R63" s="285">
        <f>IFERROR(IF(INDEX(Tb_Activiteiten[#All],MATCH(SubsidieTabel!$A63,Tb_Activiteiten[[#All],[Subsidiabele_Activiteit]],0),MATCH(SubsidieTabel!R$1,Tb_Activiteiten[#Headers],0))=1,SubsidieTabel!$K63,0),0)</f>
        <v>0</v>
      </c>
      <c r="S63" s="285">
        <f>IFERROR(IF(INDEX(Tb_Activiteiten[#All],MATCH(SubsidieTabel!$A63,Tb_Activiteiten[[#All],[Subsidiabele_Activiteit]],0),MATCH(SubsidieTabel!S$1,Tb_Activiteiten[#Headers],0))=1,SubsidieTabel!$J63,0),0)</f>
        <v>0</v>
      </c>
      <c r="T63" s="285">
        <f>IFERROR(IF(INDEX(Tb_Activiteiten[#All],MATCH(SubsidieTabel!$A63,Tb_Activiteiten[[#All],[Subsidiabele_Activiteit]],0),MATCH(SubsidieTabel!T$1,Tb_Activiteiten[#Headers],0))=1,SubsidieTabel!$K63,0),0)</f>
        <v>0</v>
      </c>
      <c r="U63" s="285">
        <f>IFERROR(IF(INDEX(Tb_Activiteiten[#All],MATCH(SubsidieTabel!$A63,Tb_Activiteiten[[#All],[Subsidiabele_Activiteit]],0),MATCH(SubsidieTabel!U$1,Tb_Activiteiten[#Headers],0))=1,SubsidieTabel!$J63,0),0)</f>
        <v>0</v>
      </c>
      <c r="V63" s="285">
        <f>IFERROR(IF(INDEX(Tb_Activiteiten[#All],MATCH(SubsidieTabel!$A63,Tb_Activiteiten[[#All],[Subsidiabele_Activiteit]],0),MATCH(SubsidieTabel!V$1,Tb_Activiteiten[#Headers],0))=1,SubsidieTabel!$K63,0),0)</f>
        <v>0</v>
      </c>
      <c r="W63" s="64">
        <f>IFERROR(IF(INDEX(Tb_Activiteiten[#All],MATCH(SubsidieTabel!$A63,Tb_Activiteiten[[#All],[Subsidiabele_Activiteit]],0),MATCH(SubsidieTabel!Q$1,Tb_Activiteiten[#Headers],0))=1,H63,0),0)</f>
        <v>0</v>
      </c>
      <c r="X63" s="64">
        <f>IFERROR(IF(INDEX(Tb_Activiteiten[#All],MATCH(SubsidieTabel!$A63,Tb_Activiteiten[[#All],[Subsidiabele_Activiteit]],0),MATCH(SubsidieTabel!Q$1,Tb_Activiteiten[#Headers],0))=1,I63,0),0)</f>
        <v>0</v>
      </c>
      <c r="Y63" s="64">
        <f>IFERROR(IF(INDEX(Tb_Activiteiten[#All],MATCH(SubsidieTabel!$A63,Tb_Activiteiten[[#All],[Subsidiabele_Activiteit]],0),MATCH(SubsidieTabel!S$1,Tb_Activiteiten[#Headers],0))=1,H63,0),0)</f>
        <v>0</v>
      </c>
      <c r="Z63" s="64">
        <f>IFERROR(IF(INDEX(Tb_Activiteiten[#All],MATCH(SubsidieTabel!$A63,Tb_Activiteiten[[#All],[Subsidiabele_Activiteit]],0),MATCH(SubsidieTabel!S$1,Tb_Activiteiten[#Headers],0))=1,I63,0),0)</f>
        <v>0</v>
      </c>
      <c r="AA63" s="64">
        <f>IFERROR(IF(INDEX(Tb_Activiteiten[#All],MATCH(SubsidieTabel!$A63,Tb_Activiteiten[[#All],[Subsidiabele_Activiteit]],0),MATCH(SubsidieTabel!O$1,Tb_Activiteiten[#Headers],0))=1,$F63,0),0)</f>
        <v>0</v>
      </c>
      <c r="AB63" s="64">
        <f>IFERROR(IF(INDEX(Tb_Activiteiten[#All],MATCH(SubsidieTabel!$A63,Tb_Activiteiten[[#All],[Subsidiabele_Activiteit]],0),MATCH(SubsidieTabel!O$1,Tb_Activiteiten[#Headers],0))=1,$G63,0),0)</f>
        <v>0</v>
      </c>
    </row>
    <row r="64" spans="1:40" x14ac:dyDescent="0.25">
      <c r="A64" s="63"/>
      <c r="B64" s="63"/>
      <c r="C64" s="63" t="str">
        <f>IFERROR(VLOOKUP($B64,Tb_ProjectKosten[],4,0),"")</f>
        <v/>
      </c>
      <c r="D64" s="63" t="str" cm="1">
        <f t="array" ref="D64">IFERROR(INDEX(Tb_KostenOpties[],MATCH(B64,Tb_KostenOpties[KostenOptie],0),IFERROR(MATCH(Methode_Keuze,Tb_KostenOpties[#Headers],0),2)),"")</f>
        <v/>
      </c>
      <c r="E64" s="286">
        <f>IFERROR(VLOOKUP(B64,Tb_ProjectKosten[[#All],[KostenOmschrijving]:[Forfait_Percentage]],6,0),0)</f>
        <v>0</v>
      </c>
      <c r="F64" s="287">
        <f>SUMIFS('5. Kosten uitvoering project'!P:P,'5. Kosten uitvoering project'!E:E,SubsidieTabel!A64,'5. Kosten uitvoering project'!F:F,SubsidieTabel!B64)</f>
        <v>0</v>
      </c>
      <c r="G64" s="287">
        <f>SUMIFS('5. Kosten uitvoering project'!Q:Q,'5. Kosten uitvoering project'!E:E,SubsidieTabel!A64,'5. Kosten uitvoering project'!F:F,SubsidieTabel!B64)</f>
        <v>0</v>
      </c>
      <c r="H64" s="287">
        <f>SUMIFS('5. Kosten uitvoering project'!R:R,'5. Kosten uitvoering project'!E:E,SubsidieTabel!A64,'5. Kosten uitvoering project'!F:F,SubsidieTabel!B64)</f>
        <v>0</v>
      </c>
      <c r="I64" s="287">
        <f>SUMIFS('5. Kosten uitvoering project'!S:S,'5. Kosten uitvoering project'!E:E,SubsidieTabel!A64,'5. Kosten uitvoering project'!F:F,SubsidieTabel!B64)</f>
        <v>0</v>
      </c>
      <c r="J64" s="287">
        <f t="shared" si="0"/>
        <v>0</v>
      </c>
      <c r="K64" s="287">
        <f t="shared" si="1"/>
        <v>0</v>
      </c>
      <c r="L64" s="286" t="str">
        <f>IFERROR(VLOOKUP(A64,Lijsten!$AK:$AL,2,0),"")</f>
        <v/>
      </c>
      <c r="M64" s="287">
        <f t="shared" si="2"/>
        <v>0</v>
      </c>
      <c r="N64" s="287">
        <f t="shared" si="3"/>
        <v>0</v>
      </c>
      <c r="O64" s="287">
        <f>IFERROR(IF(INDEX(Tb_Activiteiten[#All],MATCH(SubsidieTabel!$A64,Tb_Activiteiten[[#All],[Subsidiabele_Activiteit]],0),MATCH(SubsidieTabel!O$1,Tb_Activiteiten[#Headers],0))=1,SubsidieTabel!$J64,0),0)</f>
        <v>0</v>
      </c>
      <c r="P64" s="287">
        <f>IFERROR(IF(INDEX(Tb_Activiteiten[#All],MATCH(SubsidieTabel!$A64,Tb_Activiteiten[[#All],[Subsidiabele_Activiteit]],0),MATCH(SubsidieTabel!P$1,Tb_Activiteiten[#Headers],0))=1,SubsidieTabel!$K64,0),0)</f>
        <v>0</v>
      </c>
      <c r="Q64" s="287">
        <f>IFERROR(IF(INDEX(Tb_Activiteiten[#All],MATCH(SubsidieTabel!$A64,Tb_Activiteiten[[#All],[Subsidiabele_Activiteit]],0),MATCH(SubsidieTabel!Q$1,Tb_Activiteiten[#Headers],0))=1,SubsidieTabel!$J64,0),0)</f>
        <v>0</v>
      </c>
      <c r="R64" s="287">
        <f>IFERROR(IF(INDEX(Tb_Activiteiten[#All],MATCH(SubsidieTabel!$A64,Tb_Activiteiten[[#All],[Subsidiabele_Activiteit]],0),MATCH(SubsidieTabel!R$1,Tb_Activiteiten[#Headers],0))=1,SubsidieTabel!$K64,0),0)</f>
        <v>0</v>
      </c>
      <c r="S64" s="287">
        <f>IFERROR(IF(INDEX(Tb_Activiteiten[#All],MATCH(SubsidieTabel!$A64,Tb_Activiteiten[[#All],[Subsidiabele_Activiteit]],0),MATCH(SubsidieTabel!S$1,Tb_Activiteiten[#Headers],0))=1,SubsidieTabel!$J64,0),0)</f>
        <v>0</v>
      </c>
      <c r="T64" s="287">
        <f>IFERROR(IF(INDEX(Tb_Activiteiten[#All],MATCH(SubsidieTabel!$A64,Tb_Activiteiten[[#All],[Subsidiabele_Activiteit]],0),MATCH(SubsidieTabel!T$1,Tb_Activiteiten[#Headers],0))=1,SubsidieTabel!$K64,0),0)</f>
        <v>0</v>
      </c>
      <c r="U64" s="287">
        <f>IFERROR(IF(INDEX(Tb_Activiteiten[#All],MATCH(SubsidieTabel!$A64,Tb_Activiteiten[[#All],[Subsidiabele_Activiteit]],0),MATCH(SubsidieTabel!U$1,Tb_Activiteiten[#Headers],0))=1,SubsidieTabel!$J64,0),0)</f>
        <v>0</v>
      </c>
      <c r="V64" s="287">
        <f>IFERROR(IF(INDEX(Tb_Activiteiten[#All],MATCH(SubsidieTabel!$A64,Tb_Activiteiten[[#All],[Subsidiabele_Activiteit]],0),MATCH(SubsidieTabel!V$1,Tb_Activiteiten[#Headers],0))=1,SubsidieTabel!$K64,0),0)</f>
        <v>0</v>
      </c>
      <c r="W64" s="374">
        <f>IFERROR(IF(INDEX(Tb_Activiteiten[#All],MATCH(SubsidieTabel!$A64,Tb_Activiteiten[[#All],[Subsidiabele_Activiteit]],0),MATCH(SubsidieTabel!Q$1,Tb_Activiteiten[#Headers],0))=1,H64,0),0)</f>
        <v>0</v>
      </c>
      <c r="X64" s="374">
        <f>IFERROR(IF(INDEX(Tb_Activiteiten[#All],MATCH(SubsidieTabel!$A64,Tb_Activiteiten[[#All],[Subsidiabele_Activiteit]],0),MATCH(SubsidieTabel!Q$1,Tb_Activiteiten[#Headers],0))=1,I64,0),0)</f>
        <v>0</v>
      </c>
      <c r="Y64" s="374">
        <f>IFERROR(IF(INDEX(Tb_Activiteiten[#All],MATCH(SubsidieTabel!$A64,Tb_Activiteiten[[#All],[Subsidiabele_Activiteit]],0),MATCH(SubsidieTabel!S$1,Tb_Activiteiten[#Headers],0))=1,H64,0),0)</f>
        <v>0</v>
      </c>
      <c r="Z64" s="374">
        <f>IFERROR(IF(INDEX(Tb_Activiteiten[#All],MATCH(SubsidieTabel!$A64,Tb_Activiteiten[[#All],[Subsidiabele_Activiteit]],0),MATCH(SubsidieTabel!S$1,Tb_Activiteiten[#Headers],0))=1,I64,0),0)</f>
        <v>0</v>
      </c>
      <c r="AA64" s="374">
        <f>IFERROR(IF(INDEX(Tb_Activiteiten[#All],MATCH(SubsidieTabel!$A64,Tb_Activiteiten[[#All],[Subsidiabele_Activiteit]],0),MATCH(SubsidieTabel!O$1,Tb_Activiteiten[#Headers],0))=1,$F64,0),0)</f>
        <v>0</v>
      </c>
      <c r="AB64" s="374">
        <f>IFERROR(IF(INDEX(Tb_Activiteiten[#All],MATCH(SubsidieTabel!$A64,Tb_Activiteiten[[#All],[Subsidiabele_Activiteit]],0),MATCH(SubsidieTabel!O$1,Tb_Activiteiten[#Headers],0))=1,$G64,0),0)</f>
        <v>0</v>
      </c>
    </row>
    <row r="65" spans="1:28" x14ac:dyDescent="0.25">
      <c r="A65" s="12"/>
      <c r="B65" s="12"/>
      <c r="C65" s="12" t="str">
        <f>IFERROR(VLOOKUP($B65,Tb_ProjectKosten[],4,0),"")</f>
        <v/>
      </c>
      <c r="D65" s="12" t="str" cm="1">
        <f t="array" ref="D65">IFERROR(INDEX(Tb_KostenOpties[],MATCH(B65,Tb_KostenOpties[KostenOptie],0),IFERROR(MATCH(Methode_Keuze,Tb_KostenOpties[#Headers],0),2)),"")</f>
        <v/>
      </c>
      <c r="E65" s="284">
        <f>IFERROR(VLOOKUP(B65,Tb_ProjectKosten[[#All],[KostenOmschrijving]:[Forfait_Percentage]],6,0),0)</f>
        <v>0</v>
      </c>
      <c r="F65" s="285">
        <f>SUMIFS('5. Kosten uitvoering project'!P:P,'5. Kosten uitvoering project'!E:E,SubsidieTabel!A65,'5. Kosten uitvoering project'!F:F,SubsidieTabel!B65)</f>
        <v>0</v>
      </c>
      <c r="G65" s="285">
        <f>SUMIFS('5. Kosten uitvoering project'!Q:Q,'5. Kosten uitvoering project'!E:E,SubsidieTabel!A65,'5. Kosten uitvoering project'!F:F,SubsidieTabel!B65)</f>
        <v>0</v>
      </c>
      <c r="H65" s="285">
        <f>SUMIFS('5. Kosten uitvoering project'!R:R,'5. Kosten uitvoering project'!E:E,SubsidieTabel!A65,'5. Kosten uitvoering project'!F:F,SubsidieTabel!B65)</f>
        <v>0</v>
      </c>
      <c r="I65" s="285">
        <f>SUMIFS('5. Kosten uitvoering project'!S:S,'5. Kosten uitvoering project'!E:E,SubsidieTabel!A65,'5. Kosten uitvoering project'!F:F,SubsidieTabel!B65)</f>
        <v>0</v>
      </c>
      <c r="J65" s="285">
        <f t="shared" si="0"/>
        <v>0</v>
      </c>
      <c r="K65" s="285">
        <f t="shared" si="1"/>
        <v>0</v>
      </c>
      <c r="L65" s="284" t="str">
        <f>IFERROR(VLOOKUP(A65,Lijsten!$AK:$AL,2,0),"")</f>
        <v/>
      </c>
      <c r="M65" s="285">
        <f t="shared" si="2"/>
        <v>0</v>
      </c>
      <c r="N65" s="285">
        <f t="shared" si="3"/>
        <v>0</v>
      </c>
      <c r="O65" s="285">
        <f>IFERROR(IF(INDEX(Tb_Activiteiten[#All],MATCH(SubsidieTabel!$A65,Tb_Activiteiten[[#All],[Subsidiabele_Activiteit]],0),MATCH(SubsidieTabel!O$1,Tb_Activiteiten[#Headers],0))=1,SubsidieTabel!$J65,0),0)</f>
        <v>0</v>
      </c>
      <c r="P65" s="285">
        <f>IFERROR(IF(INDEX(Tb_Activiteiten[#All],MATCH(SubsidieTabel!$A65,Tb_Activiteiten[[#All],[Subsidiabele_Activiteit]],0),MATCH(SubsidieTabel!P$1,Tb_Activiteiten[#Headers],0))=1,SubsidieTabel!$K65,0),0)</f>
        <v>0</v>
      </c>
      <c r="Q65" s="285">
        <f>IFERROR(IF(INDEX(Tb_Activiteiten[#All],MATCH(SubsidieTabel!$A65,Tb_Activiteiten[[#All],[Subsidiabele_Activiteit]],0),MATCH(SubsidieTabel!Q$1,Tb_Activiteiten[#Headers],0))=1,SubsidieTabel!$J65,0),0)</f>
        <v>0</v>
      </c>
      <c r="R65" s="285">
        <f>IFERROR(IF(INDEX(Tb_Activiteiten[#All],MATCH(SubsidieTabel!$A65,Tb_Activiteiten[[#All],[Subsidiabele_Activiteit]],0),MATCH(SubsidieTabel!R$1,Tb_Activiteiten[#Headers],0))=1,SubsidieTabel!$K65,0),0)</f>
        <v>0</v>
      </c>
      <c r="S65" s="285">
        <f>IFERROR(IF(INDEX(Tb_Activiteiten[#All],MATCH(SubsidieTabel!$A65,Tb_Activiteiten[[#All],[Subsidiabele_Activiteit]],0),MATCH(SubsidieTabel!S$1,Tb_Activiteiten[#Headers],0))=1,SubsidieTabel!$J65,0),0)</f>
        <v>0</v>
      </c>
      <c r="T65" s="285">
        <f>IFERROR(IF(INDEX(Tb_Activiteiten[#All],MATCH(SubsidieTabel!$A65,Tb_Activiteiten[[#All],[Subsidiabele_Activiteit]],0),MATCH(SubsidieTabel!T$1,Tb_Activiteiten[#Headers],0))=1,SubsidieTabel!$K65,0),0)</f>
        <v>0</v>
      </c>
      <c r="U65" s="285">
        <f>IFERROR(IF(INDEX(Tb_Activiteiten[#All],MATCH(SubsidieTabel!$A65,Tb_Activiteiten[[#All],[Subsidiabele_Activiteit]],0),MATCH(SubsidieTabel!U$1,Tb_Activiteiten[#Headers],0))=1,SubsidieTabel!$J65,0),0)</f>
        <v>0</v>
      </c>
      <c r="V65" s="285">
        <f>IFERROR(IF(INDEX(Tb_Activiteiten[#All],MATCH(SubsidieTabel!$A65,Tb_Activiteiten[[#All],[Subsidiabele_Activiteit]],0),MATCH(SubsidieTabel!V$1,Tb_Activiteiten[#Headers],0))=1,SubsidieTabel!$K65,0),0)</f>
        <v>0</v>
      </c>
      <c r="W65" s="64">
        <f>IFERROR(IF(INDEX(Tb_Activiteiten[#All],MATCH(SubsidieTabel!$A65,Tb_Activiteiten[[#All],[Subsidiabele_Activiteit]],0),MATCH(SubsidieTabel!Q$1,Tb_Activiteiten[#Headers],0))=1,H65,0),0)</f>
        <v>0</v>
      </c>
      <c r="X65" s="64">
        <f>IFERROR(IF(INDEX(Tb_Activiteiten[#All],MATCH(SubsidieTabel!$A65,Tb_Activiteiten[[#All],[Subsidiabele_Activiteit]],0),MATCH(SubsidieTabel!Q$1,Tb_Activiteiten[#Headers],0))=1,I65,0),0)</f>
        <v>0</v>
      </c>
      <c r="Y65" s="64">
        <f>IFERROR(IF(INDEX(Tb_Activiteiten[#All],MATCH(SubsidieTabel!$A65,Tb_Activiteiten[[#All],[Subsidiabele_Activiteit]],0),MATCH(SubsidieTabel!S$1,Tb_Activiteiten[#Headers],0))=1,H65,0),0)</f>
        <v>0</v>
      </c>
      <c r="Z65" s="64">
        <f>IFERROR(IF(INDEX(Tb_Activiteiten[#All],MATCH(SubsidieTabel!$A65,Tb_Activiteiten[[#All],[Subsidiabele_Activiteit]],0),MATCH(SubsidieTabel!S$1,Tb_Activiteiten[#Headers],0))=1,I65,0),0)</f>
        <v>0</v>
      </c>
      <c r="AA65" s="64">
        <f>IFERROR(IF(INDEX(Tb_Activiteiten[#All],MATCH(SubsidieTabel!$A65,Tb_Activiteiten[[#All],[Subsidiabele_Activiteit]],0),MATCH(SubsidieTabel!O$1,Tb_Activiteiten[#Headers],0))=1,$F65,0),0)</f>
        <v>0</v>
      </c>
      <c r="AB65" s="64">
        <f>IFERROR(IF(INDEX(Tb_Activiteiten[#All],MATCH(SubsidieTabel!$A65,Tb_Activiteiten[[#All],[Subsidiabele_Activiteit]],0),MATCH(SubsidieTabel!O$1,Tb_Activiteiten[#Headers],0))=1,$G65,0),0)</f>
        <v>0</v>
      </c>
    </row>
    <row r="66" spans="1:28" x14ac:dyDescent="0.25">
      <c r="A66" s="63"/>
      <c r="B66" s="63"/>
      <c r="C66" s="63" t="str">
        <f>IFERROR(VLOOKUP($B66,Tb_ProjectKosten[],4,0),"")</f>
        <v/>
      </c>
      <c r="D66" s="63" t="str" cm="1">
        <f t="array" ref="D66">IFERROR(INDEX(Tb_KostenOpties[],MATCH(B66,Tb_KostenOpties[KostenOptie],0),IFERROR(MATCH(Methode_Keuze,Tb_KostenOpties[#Headers],0),2)),"")</f>
        <v/>
      </c>
      <c r="E66" s="286">
        <f>IFERROR(VLOOKUP(B66,Tb_ProjectKosten[[#All],[KostenOmschrijving]:[Forfait_Percentage]],6,0),0)</f>
        <v>0</v>
      </c>
      <c r="F66" s="287">
        <f>SUMIFS('5. Kosten uitvoering project'!P:P,'5. Kosten uitvoering project'!E:E,SubsidieTabel!A66,'5. Kosten uitvoering project'!F:F,SubsidieTabel!B66)</f>
        <v>0</v>
      </c>
      <c r="G66" s="287">
        <f>SUMIFS('5. Kosten uitvoering project'!Q:Q,'5. Kosten uitvoering project'!E:E,SubsidieTabel!A66,'5. Kosten uitvoering project'!F:F,SubsidieTabel!B66)</f>
        <v>0</v>
      </c>
      <c r="H66" s="287">
        <f>SUMIFS('5. Kosten uitvoering project'!R:R,'5. Kosten uitvoering project'!E:E,SubsidieTabel!A66,'5. Kosten uitvoering project'!F:F,SubsidieTabel!B66)</f>
        <v>0</v>
      </c>
      <c r="I66" s="287">
        <f>SUMIFS('5. Kosten uitvoering project'!S:S,'5. Kosten uitvoering project'!E:E,SubsidieTabel!A66,'5. Kosten uitvoering project'!F:F,SubsidieTabel!B66)</f>
        <v>0</v>
      </c>
      <c r="J66" s="287">
        <f t="shared" si="0"/>
        <v>0</v>
      </c>
      <c r="K66" s="287">
        <f t="shared" si="1"/>
        <v>0</v>
      </c>
      <c r="L66" s="286" t="str">
        <f>IFERROR(VLOOKUP(A66,Lijsten!$AK:$AL,2,0),"")</f>
        <v/>
      </c>
      <c r="M66" s="287">
        <f t="shared" si="2"/>
        <v>0</v>
      </c>
      <c r="N66" s="287">
        <f t="shared" si="3"/>
        <v>0</v>
      </c>
      <c r="O66" s="287">
        <f>IFERROR(IF(INDEX(Tb_Activiteiten[#All],MATCH(SubsidieTabel!$A66,Tb_Activiteiten[[#All],[Subsidiabele_Activiteit]],0),MATCH(SubsidieTabel!O$1,Tb_Activiteiten[#Headers],0))=1,SubsidieTabel!$J66,0),0)</f>
        <v>0</v>
      </c>
      <c r="P66" s="287">
        <f>IFERROR(IF(INDEX(Tb_Activiteiten[#All],MATCH(SubsidieTabel!$A66,Tb_Activiteiten[[#All],[Subsidiabele_Activiteit]],0),MATCH(SubsidieTabel!P$1,Tb_Activiteiten[#Headers],0))=1,SubsidieTabel!$K66,0),0)</f>
        <v>0</v>
      </c>
      <c r="Q66" s="287">
        <f>IFERROR(IF(INDEX(Tb_Activiteiten[#All],MATCH(SubsidieTabel!$A66,Tb_Activiteiten[[#All],[Subsidiabele_Activiteit]],0),MATCH(SubsidieTabel!Q$1,Tb_Activiteiten[#Headers],0))=1,SubsidieTabel!$J66,0),0)</f>
        <v>0</v>
      </c>
      <c r="R66" s="287">
        <f>IFERROR(IF(INDEX(Tb_Activiteiten[#All],MATCH(SubsidieTabel!$A66,Tb_Activiteiten[[#All],[Subsidiabele_Activiteit]],0),MATCH(SubsidieTabel!R$1,Tb_Activiteiten[#Headers],0))=1,SubsidieTabel!$K66,0),0)</f>
        <v>0</v>
      </c>
      <c r="S66" s="287">
        <f>IFERROR(IF(INDEX(Tb_Activiteiten[#All],MATCH(SubsidieTabel!$A66,Tb_Activiteiten[[#All],[Subsidiabele_Activiteit]],0),MATCH(SubsidieTabel!S$1,Tb_Activiteiten[#Headers],0))=1,SubsidieTabel!$J66,0),0)</f>
        <v>0</v>
      </c>
      <c r="T66" s="287">
        <f>IFERROR(IF(INDEX(Tb_Activiteiten[#All],MATCH(SubsidieTabel!$A66,Tb_Activiteiten[[#All],[Subsidiabele_Activiteit]],0),MATCH(SubsidieTabel!T$1,Tb_Activiteiten[#Headers],0))=1,SubsidieTabel!$K66,0),0)</f>
        <v>0</v>
      </c>
      <c r="U66" s="287">
        <f>IFERROR(IF(INDEX(Tb_Activiteiten[#All],MATCH(SubsidieTabel!$A66,Tb_Activiteiten[[#All],[Subsidiabele_Activiteit]],0),MATCH(SubsidieTabel!U$1,Tb_Activiteiten[#Headers],0))=1,SubsidieTabel!$J66,0),0)</f>
        <v>0</v>
      </c>
      <c r="V66" s="287">
        <f>IFERROR(IF(INDEX(Tb_Activiteiten[#All],MATCH(SubsidieTabel!$A66,Tb_Activiteiten[[#All],[Subsidiabele_Activiteit]],0),MATCH(SubsidieTabel!V$1,Tb_Activiteiten[#Headers],0))=1,SubsidieTabel!$K66,0),0)</f>
        <v>0</v>
      </c>
      <c r="W66" s="374">
        <f>IFERROR(IF(INDEX(Tb_Activiteiten[#All],MATCH(SubsidieTabel!$A66,Tb_Activiteiten[[#All],[Subsidiabele_Activiteit]],0),MATCH(SubsidieTabel!Q$1,Tb_Activiteiten[#Headers],0))=1,H66,0),0)</f>
        <v>0</v>
      </c>
      <c r="X66" s="374">
        <f>IFERROR(IF(INDEX(Tb_Activiteiten[#All],MATCH(SubsidieTabel!$A66,Tb_Activiteiten[[#All],[Subsidiabele_Activiteit]],0),MATCH(SubsidieTabel!Q$1,Tb_Activiteiten[#Headers],0))=1,I66,0),0)</f>
        <v>0</v>
      </c>
      <c r="Y66" s="374">
        <f>IFERROR(IF(INDEX(Tb_Activiteiten[#All],MATCH(SubsidieTabel!$A66,Tb_Activiteiten[[#All],[Subsidiabele_Activiteit]],0),MATCH(SubsidieTabel!S$1,Tb_Activiteiten[#Headers],0))=1,H66,0),0)</f>
        <v>0</v>
      </c>
      <c r="Z66" s="374">
        <f>IFERROR(IF(INDEX(Tb_Activiteiten[#All],MATCH(SubsidieTabel!$A66,Tb_Activiteiten[[#All],[Subsidiabele_Activiteit]],0),MATCH(SubsidieTabel!S$1,Tb_Activiteiten[#Headers],0))=1,I66,0),0)</f>
        <v>0</v>
      </c>
      <c r="AA66" s="374">
        <f>IFERROR(IF(INDEX(Tb_Activiteiten[#All],MATCH(SubsidieTabel!$A66,Tb_Activiteiten[[#All],[Subsidiabele_Activiteit]],0),MATCH(SubsidieTabel!O$1,Tb_Activiteiten[#Headers],0))=1,$F66,0),0)</f>
        <v>0</v>
      </c>
      <c r="AB66" s="374">
        <f>IFERROR(IF(INDEX(Tb_Activiteiten[#All],MATCH(SubsidieTabel!$A66,Tb_Activiteiten[[#All],[Subsidiabele_Activiteit]],0),MATCH(SubsidieTabel!O$1,Tb_Activiteiten[#Headers],0))=1,$G66,0),0)</f>
        <v>0</v>
      </c>
    </row>
    <row r="67" spans="1:28" x14ac:dyDescent="0.25">
      <c r="A67" s="12"/>
      <c r="B67" s="12"/>
      <c r="C67" s="12" t="str">
        <f>IFERROR(VLOOKUP($B67,Tb_ProjectKosten[],4,0),"")</f>
        <v/>
      </c>
      <c r="D67" s="12" t="str" cm="1">
        <f t="array" ref="D67">IFERROR(INDEX(Tb_KostenOpties[],MATCH(B67,Tb_KostenOpties[KostenOptie],0),IFERROR(MATCH(Methode_Keuze,Tb_KostenOpties[#Headers],0),2)),"")</f>
        <v/>
      </c>
      <c r="E67" s="284">
        <f>IFERROR(VLOOKUP(B67,Tb_ProjectKosten[[#All],[KostenOmschrijving]:[Forfait_Percentage]],6,0),0)</f>
        <v>0</v>
      </c>
      <c r="F67" s="285">
        <f>SUMIFS('5. Kosten uitvoering project'!P:P,'5. Kosten uitvoering project'!E:E,SubsidieTabel!A67,'5. Kosten uitvoering project'!F:F,SubsidieTabel!B67)</f>
        <v>0</v>
      </c>
      <c r="G67" s="285">
        <f>SUMIFS('5. Kosten uitvoering project'!Q:Q,'5. Kosten uitvoering project'!E:E,SubsidieTabel!A67,'5. Kosten uitvoering project'!F:F,SubsidieTabel!B67)</f>
        <v>0</v>
      </c>
      <c r="H67" s="285">
        <f>SUMIFS('5. Kosten uitvoering project'!R:R,'5. Kosten uitvoering project'!E:E,SubsidieTabel!A67,'5. Kosten uitvoering project'!F:F,SubsidieTabel!B67)</f>
        <v>0</v>
      </c>
      <c r="I67" s="285">
        <f>SUMIFS('5. Kosten uitvoering project'!S:S,'5. Kosten uitvoering project'!E:E,SubsidieTabel!A67,'5. Kosten uitvoering project'!F:F,SubsidieTabel!B67)</f>
        <v>0</v>
      </c>
      <c r="J67" s="285">
        <f t="shared" ref="J67:J100" si="9">IFERROR(F67+H67,"")</f>
        <v>0</v>
      </c>
      <c r="K67" s="285">
        <f t="shared" ref="K67:K100" si="10">IFERROR(G67+I67,"")</f>
        <v>0</v>
      </c>
      <c r="L67" s="284" t="str">
        <f>IFERROR(VLOOKUP(A67,Lijsten!$AK:$AL,2,0),"")</f>
        <v/>
      </c>
      <c r="M67" s="285">
        <f t="shared" ref="M67:M100" si="11">IFERROR($L67*(F67+H67),0)</f>
        <v>0</v>
      </c>
      <c r="N67" s="285">
        <f t="shared" ref="N67:N100" si="12">IFERROR($L67*(G67+I67),0)</f>
        <v>0</v>
      </c>
      <c r="O67" s="285">
        <f>IFERROR(IF(INDEX(Tb_Activiteiten[#All],MATCH(SubsidieTabel!$A67,Tb_Activiteiten[[#All],[Subsidiabele_Activiteit]],0),MATCH(SubsidieTabel!O$1,Tb_Activiteiten[#Headers],0))=1,SubsidieTabel!$J67,0),0)</f>
        <v>0</v>
      </c>
      <c r="P67" s="285">
        <f>IFERROR(IF(INDEX(Tb_Activiteiten[#All],MATCH(SubsidieTabel!$A67,Tb_Activiteiten[[#All],[Subsidiabele_Activiteit]],0),MATCH(SubsidieTabel!P$1,Tb_Activiteiten[#Headers],0))=1,SubsidieTabel!$K67,0),0)</f>
        <v>0</v>
      </c>
      <c r="Q67" s="285">
        <f>IFERROR(IF(INDEX(Tb_Activiteiten[#All],MATCH(SubsidieTabel!$A67,Tb_Activiteiten[[#All],[Subsidiabele_Activiteit]],0),MATCH(SubsidieTabel!Q$1,Tb_Activiteiten[#Headers],0))=1,SubsidieTabel!$J67,0),0)</f>
        <v>0</v>
      </c>
      <c r="R67" s="285">
        <f>IFERROR(IF(INDEX(Tb_Activiteiten[#All],MATCH(SubsidieTabel!$A67,Tb_Activiteiten[[#All],[Subsidiabele_Activiteit]],0),MATCH(SubsidieTabel!R$1,Tb_Activiteiten[#Headers],0))=1,SubsidieTabel!$K67,0),0)</f>
        <v>0</v>
      </c>
      <c r="S67" s="285">
        <f>IFERROR(IF(INDEX(Tb_Activiteiten[#All],MATCH(SubsidieTabel!$A67,Tb_Activiteiten[[#All],[Subsidiabele_Activiteit]],0),MATCH(SubsidieTabel!S$1,Tb_Activiteiten[#Headers],0))=1,SubsidieTabel!$J67,0),0)</f>
        <v>0</v>
      </c>
      <c r="T67" s="285">
        <f>IFERROR(IF(INDEX(Tb_Activiteiten[#All],MATCH(SubsidieTabel!$A67,Tb_Activiteiten[[#All],[Subsidiabele_Activiteit]],0),MATCH(SubsidieTabel!T$1,Tb_Activiteiten[#Headers],0))=1,SubsidieTabel!$K67,0),0)</f>
        <v>0</v>
      </c>
      <c r="U67" s="285">
        <f>IFERROR(IF(INDEX(Tb_Activiteiten[#All],MATCH(SubsidieTabel!$A67,Tb_Activiteiten[[#All],[Subsidiabele_Activiteit]],0),MATCH(SubsidieTabel!U$1,Tb_Activiteiten[#Headers],0))=1,SubsidieTabel!$J67,0),0)</f>
        <v>0</v>
      </c>
      <c r="V67" s="285">
        <f>IFERROR(IF(INDEX(Tb_Activiteiten[#All],MATCH(SubsidieTabel!$A67,Tb_Activiteiten[[#All],[Subsidiabele_Activiteit]],0),MATCH(SubsidieTabel!V$1,Tb_Activiteiten[#Headers],0))=1,SubsidieTabel!$K67,0),0)</f>
        <v>0</v>
      </c>
      <c r="W67" s="64">
        <f>IFERROR(IF(INDEX(Tb_Activiteiten[#All],MATCH(SubsidieTabel!$A67,Tb_Activiteiten[[#All],[Subsidiabele_Activiteit]],0),MATCH(SubsidieTabel!Q$1,Tb_Activiteiten[#Headers],0))=1,H67,0),0)</f>
        <v>0</v>
      </c>
      <c r="X67" s="64">
        <f>IFERROR(IF(INDEX(Tb_Activiteiten[#All],MATCH(SubsidieTabel!$A67,Tb_Activiteiten[[#All],[Subsidiabele_Activiteit]],0),MATCH(SubsidieTabel!Q$1,Tb_Activiteiten[#Headers],0))=1,I67,0),0)</f>
        <v>0</v>
      </c>
      <c r="Y67" s="64">
        <f>IFERROR(IF(INDEX(Tb_Activiteiten[#All],MATCH(SubsidieTabel!$A67,Tb_Activiteiten[[#All],[Subsidiabele_Activiteit]],0),MATCH(SubsidieTabel!S$1,Tb_Activiteiten[#Headers],0))=1,H67,0),0)</f>
        <v>0</v>
      </c>
      <c r="Z67" s="64">
        <f>IFERROR(IF(INDEX(Tb_Activiteiten[#All],MATCH(SubsidieTabel!$A67,Tb_Activiteiten[[#All],[Subsidiabele_Activiteit]],0),MATCH(SubsidieTabel!S$1,Tb_Activiteiten[#Headers],0))=1,I67,0),0)</f>
        <v>0</v>
      </c>
      <c r="AA67" s="64">
        <f>IFERROR(IF(INDEX(Tb_Activiteiten[#All],MATCH(SubsidieTabel!$A67,Tb_Activiteiten[[#All],[Subsidiabele_Activiteit]],0),MATCH(SubsidieTabel!O$1,Tb_Activiteiten[#Headers],0))=1,$F67,0),0)</f>
        <v>0</v>
      </c>
      <c r="AB67" s="64">
        <f>IFERROR(IF(INDEX(Tb_Activiteiten[#All],MATCH(SubsidieTabel!$A67,Tb_Activiteiten[[#All],[Subsidiabele_Activiteit]],0),MATCH(SubsidieTabel!O$1,Tb_Activiteiten[#Headers],0))=1,$G67,0),0)</f>
        <v>0</v>
      </c>
    </row>
    <row r="68" spans="1:28" x14ac:dyDescent="0.25">
      <c r="A68" s="63"/>
      <c r="B68" s="63"/>
      <c r="C68" s="63" t="str">
        <f>IFERROR(VLOOKUP($B68,Tb_ProjectKosten[],4,0),"")</f>
        <v/>
      </c>
      <c r="D68" s="63" t="str" cm="1">
        <f t="array" ref="D68">IFERROR(INDEX(Tb_KostenOpties[],MATCH(B68,Tb_KostenOpties[KostenOptie],0),IFERROR(MATCH(Methode_Keuze,Tb_KostenOpties[#Headers],0),2)),"")</f>
        <v/>
      </c>
      <c r="E68" s="286">
        <f>IFERROR(VLOOKUP(B68,Tb_ProjectKosten[[#All],[KostenOmschrijving]:[Forfait_Percentage]],6,0),0)</f>
        <v>0</v>
      </c>
      <c r="F68" s="287">
        <f>SUMIFS('5. Kosten uitvoering project'!P:P,'5. Kosten uitvoering project'!E:E,SubsidieTabel!A68,'5. Kosten uitvoering project'!F:F,SubsidieTabel!B68)</f>
        <v>0</v>
      </c>
      <c r="G68" s="287">
        <f>SUMIFS('5. Kosten uitvoering project'!Q:Q,'5. Kosten uitvoering project'!E:E,SubsidieTabel!A68,'5. Kosten uitvoering project'!F:F,SubsidieTabel!B68)</f>
        <v>0</v>
      </c>
      <c r="H68" s="287">
        <f>SUMIFS('5. Kosten uitvoering project'!R:R,'5. Kosten uitvoering project'!E:E,SubsidieTabel!A68,'5. Kosten uitvoering project'!F:F,SubsidieTabel!B68)</f>
        <v>0</v>
      </c>
      <c r="I68" s="287">
        <f>SUMIFS('5. Kosten uitvoering project'!S:S,'5. Kosten uitvoering project'!E:E,SubsidieTabel!A68,'5. Kosten uitvoering project'!F:F,SubsidieTabel!B68)</f>
        <v>0</v>
      </c>
      <c r="J68" s="287">
        <f t="shared" si="9"/>
        <v>0</v>
      </c>
      <c r="K68" s="287">
        <f t="shared" si="10"/>
        <v>0</v>
      </c>
      <c r="L68" s="286" t="str">
        <f>IFERROR(VLOOKUP(A68,Lijsten!$AK:$AL,2,0),"")</f>
        <v/>
      </c>
      <c r="M68" s="287">
        <f t="shared" si="11"/>
        <v>0</v>
      </c>
      <c r="N68" s="287">
        <f t="shared" si="12"/>
        <v>0</v>
      </c>
      <c r="O68" s="287">
        <f>IFERROR(IF(INDEX(Tb_Activiteiten[#All],MATCH(SubsidieTabel!$A68,Tb_Activiteiten[[#All],[Subsidiabele_Activiteit]],0),MATCH(SubsidieTabel!O$1,Tb_Activiteiten[#Headers],0))=1,SubsidieTabel!$J68,0),0)</f>
        <v>0</v>
      </c>
      <c r="P68" s="287">
        <f>IFERROR(IF(INDEX(Tb_Activiteiten[#All],MATCH(SubsidieTabel!$A68,Tb_Activiteiten[[#All],[Subsidiabele_Activiteit]],0),MATCH(SubsidieTabel!P$1,Tb_Activiteiten[#Headers],0))=1,SubsidieTabel!$K68,0),0)</f>
        <v>0</v>
      </c>
      <c r="Q68" s="287">
        <f>IFERROR(IF(INDEX(Tb_Activiteiten[#All],MATCH(SubsidieTabel!$A68,Tb_Activiteiten[[#All],[Subsidiabele_Activiteit]],0),MATCH(SubsidieTabel!Q$1,Tb_Activiteiten[#Headers],0))=1,SubsidieTabel!$J68,0),0)</f>
        <v>0</v>
      </c>
      <c r="R68" s="287">
        <f>IFERROR(IF(INDEX(Tb_Activiteiten[#All],MATCH(SubsidieTabel!$A68,Tb_Activiteiten[[#All],[Subsidiabele_Activiteit]],0),MATCH(SubsidieTabel!R$1,Tb_Activiteiten[#Headers],0))=1,SubsidieTabel!$K68,0),0)</f>
        <v>0</v>
      </c>
      <c r="S68" s="287">
        <f>IFERROR(IF(INDEX(Tb_Activiteiten[#All],MATCH(SubsidieTabel!$A68,Tb_Activiteiten[[#All],[Subsidiabele_Activiteit]],0),MATCH(SubsidieTabel!S$1,Tb_Activiteiten[#Headers],0))=1,SubsidieTabel!$J68,0),0)</f>
        <v>0</v>
      </c>
      <c r="T68" s="287">
        <f>IFERROR(IF(INDEX(Tb_Activiteiten[#All],MATCH(SubsidieTabel!$A68,Tb_Activiteiten[[#All],[Subsidiabele_Activiteit]],0),MATCH(SubsidieTabel!T$1,Tb_Activiteiten[#Headers],0))=1,SubsidieTabel!$K68,0),0)</f>
        <v>0</v>
      </c>
      <c r="U68" s="287">
        <f>IFERROR(IF(INDEX(Tb_Activiteiten[#All],MATCH(SubsidieTabel!$A68,Tb_Activiteiten[[#All],[Subsidiabele_Activiteit]],0),MATCH(SubsidieTabel!U$1,Tb_Activiteiten[#Headers],0))=1,SubsidieTabel!$J68,0),0)</f>
        <v>0</v>
      </c>
      <c r="V68" s="287">
        <f>IFERROR(IF(INDEX(Tb_Activiteiten[#All],MATCH(SubsidieTabel!$A68,Tb_Activiteiten[[#All],[Subsidiabele_Activiteit]],0),MATCH(SubsidieTabel!V$1,Tb_Activiteiten[#Headers],0))=1,SubsidieTabel!$K68,0),0)</f>
        <v>0</v>
      </c>
      <c r="W68" s="374">
        <f>IFERROR(IF(INDEX(Tb_Activiteiten[#All],MATCH(SubsidieTabel!$A68,Tb_Activiteiten[[#All],[Subsidiabele_Activiteit]],0),MATCH(SubsidieTabel!Q$1,Tb_Activiteiten[#Headers],0))=1,H68,0),0)</f>
        <v>0</v>
      </c>
      <c r="X68" s="374">
        <f>IFERROR(IF(INDEX(Tb_Activiteiten[#All],MATCH(SubsidieTabel!$A68,Tb_Activiteiten[[#All],[Subsidiabele_Activiteit]],0),MATCH(SubsidieTabel!Q$1,Tb_Activiteiten[#Headers],0))=1,I68,0),0)</f>
        <v>0</v>
      </c>
      <c r="Y68" s="374">
        <f>IFERROR(IF(INDEX(Tb_Activiteiten[#All],MATCH(SubsidieTabel!$A68,Tb_Activiteiten[[#All],[Subsidiabele_Activiteit]],0),MATCH(SubsidieTabel!S$1,Tb_Activiteiten[#Headers],0))=1,H68,0),0)</f>
        <v>0</v>
      </c>
      <c r="Z68" s="374">
        <f>IFERROR(IF(INDEX(Tb_Activiteiten[#All],MATCH(SubsidieTabel!$A68,Tb_Activiteiten[[#All],[Subsidiabele_Activiteit]],0),MATCH(SubsidieTabel!S$1,Tb_Activiteiten[#Headers],0))=1,I68,0),0)</f>
        <v>0</v>
      </c>
      <c r="AA68" s="374">
        <f>IFERROR(IF(INDEX(Tb_Activiteiten[#All],MATCH(SubsidieTabel!$A68,Tb_Activiteiten[[#All],[Subsidiabele_Activiteit]],0),MATCH(SubsidieTabel!O$1,Tb_Activiteiten[#Headers],0))=1,$F68,0),0)</f>
        <v>0</v>
      </c>
      <c r="AB68" s="374">
        <f>IFERROR(IF(INDEX(Tb_Activiteiten[#All],MATCH(SubsidieTabel!$A68,Tb_Activiteiten[[#All],[Subsidiabele_Activiteit]],0),MATCH(SubsidieTabel!O$1,Tb_Activiteiten[#Headers],0))=1,$G68,0),0)</f>
        <v>0</v>
      </c>
    </row>
    <row r="69" spans="1:28" x14ac:dyDescent="0.25">
      <c r="A69" s="12"/>
      <c r="B69" s="12"/>
      <c r="C69" s="12" t="str">
        <f>IFERROR(VLOOKUP($B69,Tb_ProjectKosten[],4,0),"")</f>
        <v/>
      </c>
      <c r="D69" s="12" t="str" cm="1">
        <f t="array" ref="D69">IFERROR(INDEX(Tb_KostenOpties[],MATCH(B69,Tb_KostenOpties[KostenOptie],0),IFERROR(MATCH(Methode_Keuze,Tb_KostenOpties[#Headers],0),2)),"")</f>
        <v/>
      </c>
      <c r="E69" s="284">
        <f>IFERROR(VLOOKUP(B69,Tb_ProjectKosten[[#All],[KostenOmschrijving]:[Forfait_Percentage]],6,0),0)</f>
        <v>0</v>
      </c>
      <c r="F69" s="285">
        <f>SUMIFS('5. Kosten uitvoering project'!P:P,'5. Kosten uitvoering project'!E:E,SubsidieTabel!A69,'5. Kosten uitvoering project'!F:F,SubsidieTabel!B69)</f>
        <v>0</v>
      </c>
      <c r="G69" s="285">
        <f>SUMIFS('5. Kosten uitvoering project'!Q:Q,'5. Kosten uitvoering project'!E:E,SubsidieTabel!A69,'5. Kosten uitvoering project'!F:F,SubsidieTabel!B69)</f>
        <v>0</v>
      </c>
      <c r="H69" s="285">
        <f>SUMIFS('5. Kosten uitvoering project'!R:R,'5. Kosten uitvoering project'!E:E,SubsidieTabel!A69,'5. Kosten uitvoering project'!F:F,SubsidieTabel!B69)</f>
        <v>0</v>
      </c>
      <c r="I69" s="285">
        <f>SUMIFS('5. Kosten uitvoering project'!S:S,'5. Kosten uitvoering project'!E:E,SubsidieTabel!A69,'5. Kosten uitvoering project'!F:F,SubsidieTabel!B69)</f>
        <v>0</v>
      </c>
      <c r="J69" s="285">
        <f t="shared" si="9"/>
        <v>0</v>
      </c>
      <c r="K69" s="285">
        <f t="shared" si="10"/>
        <v>0</v>
      </c>
      <c r="L69" s="284" t="str">
        <f>IFERROR(VLOOKUP(A69,Lijsten!$AK:$AL,2,0),"")</f>
        <v/>
      </c>
      <c r="M69" s="285">
        <f t="shared" si="11"/>
        <v>0</v>
      </c>
      <c r="N69" s="285">
        <f t="shared" si="12"/>
        <v>0</v>
      </c>
      <c r="O69" s="285">
        <f>IFERROR(IF(INDEX(Tb_Activiteiten[#All],MATCH(SubsidieTabel!$A69,Tb_Activiteiten[[#All],[Subsidiabele_Activiteit]],0),MATCH(SubsidieTabel!O$1,Tb_Activiteiten[#Headers],0))=1,SubsidieTabel!$J69,0),0)</f>
        <v>0</v>
      </c>
      <c r="P69" s="285">
        <f>IFERROR(IF(INDEX(Tb_Activiteiten[#All],MATCH(SubsidieTabel!$A69,Tb_Activiteiten[[#All],[Subsidiabele_Activiteit]],0),MATCH(SubsidieTabel!P$1,Tb_Activiteiten[#Headers],0))=1,SubsidieTabel!$K69,0),0)</f>
        <v>0</v>
      </c>
      <c r="Q69" s="285">
        <f>IFERROR(IF(INDEX(Tb_Activiteiten[#All],MATCH(SubsidieTabel!$A69,Tb_Activiteiten[[#All],[Subsidiabele_Activiteit]],0),MATCH(SubsidieTabel!Q$1,Tb_Activiteiten[#Headers],0))=1,SubsidieTabel!$J69,0),0)</f>
        <v>0</v>
      </c>
      <c r="R69" s="285">
        <f>IFERROR(IF(INDEX(Tb_Activiteiten[#All],MATCH(SubsidieTabel!$A69,Tb_Activiteiten[[#All],[Subsidiabele_Activiteit]],0),MATCH(SubsidieTabel!R$1,Tb_Activiteiten[#Headers],0))=1,SubsidieTabel!$K69,0),0)</f>
        <v>0</v>
      </c>
      <c r="S69" s="285">
        <f>IFERROR(IF(INDEX(Tb_Activiteiten[#All],MATCH(SubsidieTabel!$A69,Tb_Activiteiten[[#All],[Subsidiabele_Activiteit]],0),MATCH(SubsidieTabel!S$1,Tb_Activiteiten[#Headers],0))=1,SubsidieTabel!$J69,0),0)</f>
        <v>0</v>
      </c>
      <c r="T69" s="285">
        <f>IFERROR(IF(INDEX(Tb_Activiteiten[#All],MATCH(SubsidieTabel!$A69,Tb_Activiteiten[[#All],[Subsidiabele_Activiteit]],0),MATCH(SubsidieTabel!T$1,Tb_Activiteiten[#Headers],0))=1,SubsidieTabel!$K69,0),0)</f>
        <v>0</v>
      </c>
      <c r="U69" s="285">
        <f>IFERROR(IF(INDEX(Tb_Activiteiten[#All],MATCH(SubsidieTabel!$A69,Tb_Activiteiten[[#All],[Subsidiabele_Activiteit]],0),MATCH(SubsidieTabel!U$1,Tb_Activiteiten[#Headers],0))=1,SubsidieTabel!$J69,0),0)</f>
        <v>0</v>
      </c>
      <c r="V69" s="285">
        <f>IFERROR(IF(INDEX(Tb_Activiteiten[#All],MATCH(SubsidieTabel!$A69,Tb_Activiteiten[[#All],[Subsidiabele_Activiteit]],0),MATCH(SubsidieTabel!V$1,Tb_Activiteiten[#Headers],0))=1,SubsidieTabel!$K69,0),0)</f>
        <v>0</v>
      </c>
      <c r="W69" s="64">
        <f>IFERROR(IF(INDEX(Tb_Activiteiten[#All],MATCH(SubsidieTabel!$A69,Tb_Activiteiten[[#All],[Subsidiabele_Activiteit]],0),MATCH(SubsidieTabel!Q$1,Tb_Activiteiten[#Headers],0))=1,H69,0),0)</f>
        <v>0</v>
      </c>
      <c r="X69" s="64">
        <f>IFERROR(IF(INDEX(Tb_Activiteiten[#All],MATCH(SubsidieTabel!$A69,Tb_Activiteiten[[#All],[Subsidiabele_Activiteit]],0),MATCH(SubsidieTabel!Q$1,Tb_Activiteiten[#Headers],0))=1,I69,0),0)</f>
        <v>0</v>
      </c>
      <c r="Y69" s="64">
        <f>IFERROR(IF(INDEX(Tb_Activiteiten[#All],MATCH(SubsidieTabel!$A69,Tb_Activiteiten[[#All],[Subsidiabele_Activiteit]],0),MATCH(SubsidieTabel!S$1,Tb_Activiteiten[#Headers],0))=1,H69,0),0)</f>
        <v>0</v>
      </c>
      <c r="Z69" s="64">
        <f>IFERROR(IF(INDEX(Tb_Activiteiten[#All],MATCH(SubsidieTabel!$A69,Tb_Activiteiten[[#All],[Subsidiabele_Activiteit]],0),MATCH(SubsidieTabel!S$1,Tb_Activiteiten[#Headers],0))=1,I69,0),0)</f>
        <v>0</v>
      </c>
      <c r="AA69" s="64">
        <f>IFERROR(IF(INDEX(Tb_Activiteiten[#All],MATCH(SubsidieTabel!$A69,Tb_Activiteiten[[#All],[Subsidiabele_Activiteit]],0),MATCH(SubsidieTabel!O$1,Tb_Activiteiten[#Headers],0))=1,$F69,0),0)</f>
        <v>0</v>
      </c>
      <c r="AB69" s="64">
        <f>IFERROR(IF(INDEX(Tb_Activiteiten[#All],MATCH(SubsidieTabel!$A69,Tb_Activiteiten[[#All],[Subsidiabele_Activiteit]],0),MATCH(SubsidieTabel!O$1,Tb_Activiteiten[#Headers],0))=1,$G69,0),0)</f>
        <v>0</v>
      </c>
    </row>
    <row r="70" spans="1:28" x14ac:dyDescent="0.25">
      <c r="A70" s="63"/>
      <c r="B70" s="63"/>
      <c r="C70" s="63" t="str">
        <f>IFERROR(VLOOKUP($B70,Tb_ProjectKosten[],4,0),"")</f>
        <v/>
      </c>
      <c r="D70" s="63" t="str" cm="1">
        <f t="array" ref="D70">IFERROR(INDEX(Tb_KostenOpties[],MATCH(B70,Tb_KostenOpties[KostenOptie],0),IFERROR(MATCH(Methode_Keuze,Tb_KostenOpties[#Headers],0),2)),"")</f>
        <v/>
      </c>
      <c r="E70" s="286">
        <f>IFERROR(VLOOKUP(B70,Tb_ProjectKosten[[#All],[KostenOmschrijving]:[Forfait_Percentage]],6,0),0)</f>
        <v>0</v>
      </c>
      <c r="F70" s="287">
        <f>SUMIFS('5. Kosten uitvoering project'!P:P,'5. Kosten uitvoering project'!E:E,SubsidieTabel!A70,'5. Kosten uitvoering project'!F:F,SubsidieTabel!B70)</f>
        <v>0</v>
      </c>
      <c r="G70" s="287">
        <f>SUMIFS('5. Kosten uitvoering project'!Q:Q,'5. Kosten uitvoering project'!E:E,SubsidieTabel!A70,'5. Kosten uitvoering project'!F:F,SubsidieTabel!B70)</f>
        <v>0</v>
      </c>
      <c r="H70" s="287">
        <f>SUMIFS('5. Kosten uitvoering project'!R:R,'5. Kosten uitvoering project'!E:E,SubsidieTabel!A70,'5. Kosten uitvoering project'!F:F,SubsidieTabel!B70)</f>
        <v>0</v>
      </c>
      <c r="I70" s="287">
        <f>SUMIFS('5. Kosten uitvoering project'!S:S,'5. Kosten uitvoering project'!E:E,SubsidieTabel!A70,'5. Kosten uitvoering project'!F:F,SubsidieTabel!B70)</f>
        <v>0</v>
      </c>
      <c r="J70" s="287">
        <f t="shared" si="9"/>
        <v>0</v>
      </c>
      <c r="K70" s="287">
        <f t="shared" si="10"/>
        <v>0</v>
      </c>
      <c r="L70" s="286" t="str">
        <f>IFERROR(VLOOKUP(A70,Lijsten!$AK:$AL,2,0),"")</f>
        <v/>
      </c>
      <c r="M70" s="287">
        <f t="shared" si="11"/>
        <v>0</v>
      </c>
      <c r="N70" s="287">
        <f t="shared" si="12"/>
        <v>0</v>
      </c>
      <c r="O70" s="287">
        <f>IFERROR(IF(INDEX(Tb_Activiteiten[#All],MATCH(SubsidieTabel!$A70,Tb_Activiteiten[[#All],[Subsidiabele_Activiteit]],0),MATCH(SubsidieTabel!O$1,Tb_Activiteiten[#Headers],0))=1,SubsidieTabel!$J70,0),0)</f>
        <v>0</v>
      </c>
      <c r="P70" s="287">
        <f>IFERROR(IF(INDEX(Tb_Activiteiten[#All],MATCH(SubsidieTabel!$A70,Tb_Activiteiten[[#All],[Subsidiabele_Activiteit]],0),MATCH(SubsidieTabel!P$1,Tb_Activiteiten[#Headers],0))=1,SubsidieTabel!$K70,0),0)</f>
        <v>0</v>
      </c>
      <c r="Q70" s="287">
        <f>IFERROR(IF(INDEX(Tb_Activiteiten[#All],MATCH(SubsidieTabel!$A70,Tb_Activiteiten[[#All],[Subsidiabele_Activiteit]],0),MATCH(SubsidieTabel!Q$1,Tb_Activiteiten[#Headers],0))=1,SubsidieTabel!$J70,0),0)</f>
        <v>0</v>
      </c>
      <c r="R70" s="287">
        <f>IFERROR(IF(INDEX(Tb_Activiteiten[#All],MATCH(SubsidieTabel!$A70,Tb_Activiteiten[[#All],[Subsidiabele_Activiteit]],0),MATCH(SubsidieTabel!R$1,Tb_Activiteiten[#Headers],0))=1,SubsidieTabel!$K70,0),0)</f>
        <v>0</v>
      </c>
      <c r="S70" s="287">
        <f>IFERROR(IF(INDEX(Tb_Activiteiten[#All],MATCH(SubsidieTabel!$A70,Tb_Activiteiten[[#All],[Subsidiabele_Activiteit]],0),MATCH(SubsidieTabel!S$1,Tb_Activiteiten[#Headers],0))=1,SubsidieTabel!$J70,0),0)</f>
        <v>0</v>
      </c>
      <c r="T70" s="287">
        <f>IFERROR(IF(INDEX(Tb_Activiteiten[#All],MATCH(SubsidieTabel!$A70,Tb_Activiteiten[[#All],[Subsidiabele_Activiteit]],0),MATCH(SubsidieTabel!T$1,Tb_Activiteiten[#Headers],0))=1,SubsidieTabel!$K70,0),0)</f>
        <v>0</v>
      </c>
      <c r="U70" s="287">
        <f>IFERROR(IF(INDEX(Tb_Activiteiten[#All],MATCH(SubsidieTabel!$A70,Tb_Activiteiten[[#All],[Subsidiabele_Activiteit]],0),MATCH(SubsidieTabel!U$1,Tb_Activiteiten[#Headers],0))=1,SubsidieTabel!$J70,0),0)</f>
        <v>0</v>
      </c>
      <c r="V70" s="287">
        <f>IFERROR(IF(INDEX(Tb_Activiteiten[#All],MATCH(SubsidieTabel!$A70,Tb_Activiteiten[[#All],[Subsidiabele_Activiteit]],0),MATCH(SubsidieTabel!V$1,Tb_Activiteiten[#Headers],0))=1,SubsidieTabel!$K70,0),0)</f>
        <v>0</v>
      </c>
      <c r="W70" s="374">
        <f>IFERROR(IF(INDEX(Tb_Activiteiten[#All],MATCH(SubsidieTabel!$A70,Tb_Activiteiten[[#All],[Subsidiabele_Activiteit]],0),MATCH(SubsidieTabel!Q$1,Tb_Activiteiten[#Headers],0))=1,H70,0),0)</f>
        <v>0</v>
      </c>
      <c r="X70" s="374">
        <f>IFERROR(IF(INDEX(Tb_Activiteiten[#All],MATCH(SubsidieTabel!$A70,Tb_Activiteiten[[#All],[Subsidiabele_Activiteit]],0),MATCH(SubsidieTabel!Q$1,Tb_Activiteiten[#Headers],0))=1,I70,0),0)</f>
        <v>0</v>
      </c>
      <c r="Y70" s="374">
        <f>IFERROR(IF(INDEX(Tb_Activiteiten[#All],MATCH(SubsidieTabel!$A70,Tb_Activiteiten[[#All],[Subsidiabele_Activiteit]],0),MATCH(SubsidieTabel!S$1,Tb_Activiteiten[#Headers],0))=1,H70,0),0)</f>
        <v>0</v>
      </c>
      <c r="Z70" s="374">
        <f>IFERROR(IF(INDEX(Tb_Activiteiten[#All],MATCH(SubsidieTabel!$A70,Tb_Activiteiten[[#All],[Subsidiabele_Activiteit]],0),MATCH(SubsidieTabel!S$1,Tb_Activiteiten[#Headers],0))=1,I70,0),0)</f>
        <v>0</v>
      </c>
      <c r="AA70" s="374">
        <f>IFERROR(IF(INDEX(Tb_Activiteiten[#All],MATCH(SubsidieTabel!$A70,Tb_Activiteiten[[#All],[Subsidiabele_Activiteit]],0),MATCH(SubsidieTabel!O$1,Tb_Activiteiten[#Headers],0))=1,$F70,0),0)</f>
        <v>0</v>
      </c>
      <c r="AB70" s="374">
        <f>IFERROR(IF(INDEX(Tb_Activiteiten[#All],MATCH(SubsidieTabel!$A70,Tb_Activiteiten[[#All],[Subsidiabele_Activiteit]],0),MATCH(SubsidieTabel!O$1,Tb_Activiteiten[#Headers],0))=1,$G70,0),0)</f>
        <v>0</v>
      </c>
    </row>
    <row r="71" spans="1:28" x14ac:dyDescent="0.25">
      <c r="A71" s="12"/>
      <c r="B71" s="12"/>
      <c r="C71" s="12" t="str">
        <f>IFERROR(VLOOKUP($B71,Tb_ProjectKosten[],4,0),"")</f>
        <v/>
      </c>
      <c r="D71" s="12" t="str" cm="1">
        <f t="array" ref="D71">IFERROR(INDEX(Tb_KostenOpties[],MATCH(B71,Tb_KostenOpties[KostenOptie],0),IFERROR(MATCH(Methode_Keuze,Tb_KostenOpties[#Headers],0),2)),"")</f>
        <v/>
      </c>
      <c r="E71" s="284">
        <f>IFERROR(VLOOKUP(B71,Tb_ProjectKosten[[#All],[KostenOmschrijving]:[Forfait_Percentage]],6,0),0)</f>
        <v>0</v>
      </c>
      <c r="F71" s="285">
        <f>SUMIFS('5. Kosten uitvoering project'!P:P,'5. Kosten uitvoering project'!E:E,SubsidieTabel!A71,'5. Kosten uitvoering project'!F:F,SubsidieTabel!B71)</f>
        <v>0</v>
      </c>
      <c r="G71" s="285">
        <f>SUMIFS('5. Kosten uitvoering project'!Q:Q,'5. Kosten uitvoering project'!E:E,SubsidieTabel!A71,'5. Kosten uitvoering project'!F:F,SubsidieTabel!B71)</f>
        <v>0</v>
      </c>
      <c r="H71" s="285">
        <f>SUMIFS('5. Kosten uitvoering project'!R:R,'5. Kosten uitvoering project'!E:E,SubsidieTabel!A71,'5. Kosten uitvoering project'!F:F,SubsidieTabel!B71)</f>
        <v>0</v>
      </c>
      <c r="I71" s="285">
        <f>SUMIFS('5. Kosten uitvoering project'!S:S,'5. Kosten uitvoering project'!E:E,SubsidieTabel!A71,'5. Kosten uitvoering project'!F:F,SubsidieTabel!B71)</f>
        <v>0</v>
      </c>
      <c r="J71" s="285">
        <f t="shared" si="9"/>
        <v>0</v>
      </c>
      <c r="K71" s="285">
        <f t="shared" si="10"/>
        <v>0</v>
      </c>
      <c r="L71" s="284" t="str">
        <f>IFERROR(VLOOKUP(A71,Lijsten!$AK:$AL,2,0),"")</f>
        <v/>
      </c>
      <c r="M71" s="285">
        <f t="shared" si="11"/>
        <v>0</v>
      </c>
      <c r="N71" s="285">
        <f t="shared" si="12"/>
        <v>0</v>
      </c>
      <c r="O71" s="285">
        <f>IFERROR(IF(INDEX(Tb_Activiteiten[#All],MATCH(SubsidieTabel!$A71,Tb_Activiteiten[[#All],[Subsidiabele_Activiteit]],0),MATCH(SubsidieTabel!O$1,Tb_Activiteiten[#Headers],0))=1,SubsidieTabel!$J71,0),0)</f>
        <v>0</v>
      </c>
      <c r="P71" s="285">
        <f>IFERROR(IF(INDEX(Tb_Activiteiten[#All],MATCH(SubsidieTabel!$A71,Tb_Activiteiten[[#All],[Subsidiabele_Activiteit]],0),MATCH(SubsidieTabel!P$1,Tb_Activiteiten[#Headers],0))=1,SubsidieTabel!$K71,0),0)</f>
        <v>0</v>
      </c>
      <c r="Q71" s="285">
        <f>IFERROR(IF(INDEX(Tb_Activiteiten[#All],MATCH(SubsidieTabel!$A71,Tb_Activiteiten[[#All],[Subsidiabele_Activiteit]],0),MATCH(SubsidieTabel!Q$1,Tb_Activiteiten[#Headers],0))=1,SubsidieTabel!$J71,0),0)</f>
        <v>0</v>
      </c>
      <c r="R71" s="285">
        <f>IFERROR(IF(INDEX(Tb_Activiteiten[#All],MATCH(SubsidieTabel!$A71,Tb_Activiteiten[[#All],[Subsidiabele_Activiteit]],0),MATCH(SubsidieTabel!R$1,Tb_Activiteiten[#Headers],0))=1,SubsidieTabel!$K71,0),0)</f>
        <v>0</v>
      </c>
      <c r="S71" s="285">
        <f>IFERROR(IF(INDEX(Tb_Activiteiten[#All],MATCH(SubsidieTabel!$A71,Tb_Activiteiten[[#All],[Subsidiabele_Activiteit]],0),MATCH(SubsidieTabel!S$1,Tb_Activiteiten[#Headers],0))=1,SubsidieTabel!$J71,0),0)</f>
        <v>0</v>
      </c>
      <c r="T71" s="285">
        <f>IFERROR(IF(INDEX(Tb_Activiteiten[#All],MATCH(SubsidieTabel!$A71,Tb_Activiteiten[[#All],[Subsidiabele_Activiteit]],0),MATCH(SubsidieTabel!T$1,Tb_Activiteiten[#Headers],0))=1,SubsidieTabel!$K71,0),0)</f>
        <v>0</v>
      </c>
      <c r="U71" s="285">
        <f>IFERROR(IF(INDEX(Tb_Activiteiten[#All],MATCH(SubsidieTabel!$A71,Tb_Activiteiten[[#All],[Subsidiabele_Activiteit]],0),MATCH(SubsidieTabel!U$1,Tb_Activiteiten[#Headers],0))=1,SubsidieTabel!$J71,0),0)</f>
        <v>0</v>
      </c>
      <c r="V71" s="285">
        <f>IFERROR(IF(INDEX(Tb_Activiteiten[#All],MATCH(SubsidieTabel!$A71,Tb_Activiteiten[[#All],[Subsidiabele_Activiteit]],0),MATCH(SubsidieTabel!V$1,Tb_Activiteiten[#Headers],0))=1,SubsidieTabel!$K71,0),0)</f>
        <v>0</v>
      </c>
      <c r="W71" s="64">
        <f>IFERROR(IF(INDEX(Tb_Activiteiten[#All],MATCH(SubsidieTabel!$A71,Tb_Activiteiten[[#All],[Subsidiabele_Activiteit]],0),MATCH(SubsidieTabel!Q$1,Tb_Activiteiten[#Headers],0))=1,H71,0),0)</f>
        <v>0</v>
      </c>
      <c r="X71" s="64">
        <f>IFERROR(IF(INDEX(Tb_Activiteiten[#All],MATCH(SubsidieTabel!$A71,Tb_Activiteiten[[#All],[Subsidiabele_Activiteit]],0),MATCH(SubsidieTabel!Q$1,Tb_Activiteiten[#Headers],0))=1,I71,0),0)</f>
        <v>0</v>
      </c>
      <c r="Y71" s="64">
        <f>IFERROR(IF(INDEX(Tb_Activiteiten[#All],MATCH(SubsidieTabel!$A71,Tb_Activiteiten[[#All],[Subsidiabele_Activiteit]],0),MATCH(SubsidieTabel!S$1,Tb_Activiteiten[#Headers],0))=1,H71,0),0)</f>
        <v>0</v>
      </c>
      <c r="Z71" s="64">
        <f>IFERROR(IF(INDEX(Tb_Activiteiten[#All],MATCH(SubsidieTabel!$A71,Tb_Activiteiten[[#All],[Subsidiabele_Activiteit]],0),MATCH(SubsidieTabel!S$1,Tb_Activiteiten[#Headers],0))=1,I71,0),0)</f>
        <v>0</v>
      </c>
      <c r="AA71" s="64">
        <f>IFERROR(IF(INDEX(Tb_Activiteiten[#All],MATCH(SubsidieTabel!$A71,Tb_Activiteiten[[#All],[Subsidiabele_Activiteit]],0),MATCH(SubsidieTabel!O$1,Tb_Activiteiten[#Headers],0))=1,$F71,0),0)</f>
        <v>0</v>
      </c>
      <c r="AB71" s="64">
        <f>IFERROR(IF(INDEX(Tb_Activiteiten[#All],MATCH(SubsidieTabel!$A71,Tb_Activiteiten[[#All],[Subsidiabele_Activiteit]],0),MATCH(SubsidieTabel!O$1,Tb_Activiteiten[#Headers],0))=1,$G71,0),0)</f>
        <v>0</v>
      </c>
    </row>
    <row r="72" spans="1:28" x14ac:dyDescent="0.25">
      <c r="A72" s="63"/>
      <c r="B72" s="63"/>
      <c r="C72" s="63" t="str">
        <f>IFERROR(VLOOKUP($B72,Tb_ProjectKosten[],4,0),"")</f>
        <v/>
      </c>
      <c r="D72" s="63" t="str" cm="1">
        <f t="array" ref="D72">IFERROR(INDEX(Tb_KostenOpties[],MATCH(B72,Tb_KostenOpties[KostenOptie],0),IFERROR(MATCH(Methode_Keuze,Tb_KostenOpties[#Headers],0),2)),"")</f>
        <v/>
      </c>
      <c r="E72" s="286">
        <f>IFERROR(VLOOKUP(B72,Tb_ProjectKosten[[#All],[KostenOmschrijving]:[Forfait_Percentage]],6,0),0)</f>
        <v>0</v>
      </c>
      <c r="F72" s="287">
        <f>SUMIFS('5. Kosten uitvoering project'!P:P,'5. Kosten uitvoering project'!E:E,SubsidieTabel!A72,'5. Kosten uitvoering project'!F:F,SubsidieTabel!B72)</f>
        <v>0</v>
      </c>
      <c r="G72" s="287">
        <f>SUMIFS('5. Kosten uitvoering project'!Q:Q,'5. Kosten uitvoering project'!E:E,SubsidieTabel!A72,'5. Kosten uitvoering project'!F:F,SubsidieTabel!B72)</f>
        <v>0</v>
      </c>
      <c r="H72" s="287">
        <f>SUMIFS('5. Kosten uitvoering project'!R:R,'5. Kosten uitvoering project'!E:E,SubsidieTabel!A72,'5. Kosten uitvoering project'!F:F,SubsidieTabel!B72)</f>
        <v>0</v>
      </c>
      <c r="I72" s="287">
        <f>SUMIFS('5. Kosten uitvoering project'!S:S,'5. Kosten uitvoering project'!E:E,SubsidieTabel!A72,'5. Kosten uitvoering project'!F:F,SubsidieTabel!B72)</f>
        <v>0</v>
      </c>
      <c r="J72" s="287">
        <f t="shared" si="9"/>
        <v>0</v>
      </c>
      <c r="K72" s="287">
        <f t="shared" si="10"/>
        <v>0</v>
      </c>
      <c r="L72" s="286" t="str">
        <f>IFERROR(VLOOKUP(A72,Lijsten!$AK:$AL,2,0),"")</f>
        <v/>
      </c>
      <c r="M72" s="287">
        <f t="shared" si="11"/>
        <v>0</v>
      </c>
      <c r="N72" s="287">
        <f t="shared" si="12"/>
        <v>0</v>
      </c>
      <c r="O72" s="287">
        <f>IFERROR(IF(INDEX(Tb_Activiteiten[#All],MATCH(SubsidieTabel!$A72,Tb_Activiteiten[[#All],[Subsidiabele_Activiteit]],0),MATCH(SubsidieTabel!O$1,Tb_Activiteiten[#Headers],0))=1,SubsidieTabel!$J72,0),0)</f>
        <v>0</v>
      </c>
      <c r="P72" s="287">
        <f>IFERROR(IF(INDEX(Tb_Activiteiten[#All],MATCH(SubsidieTabel!$A72,Tb_Activiteiten[[#All],[Subsidiabele_Activiteit]],0),MATCH(SubsidieTabel!P$1,Tb_Activiteiten[#Headers],0))=1,SubsidieTabel!$K72,0),0)</f>
        <v>0</v>
      </c>
      <c r="Q72" s="287">
        <f>IFERROR(IF(INDEX(Tb_Activiteiten[#All],MATCH(SubsidieTabel!$A72,Tb_Activiteiten[[#All],[Subsidiabele_Activiteit]],0),MATCH(SubsidieTabel!Q$1,Tb_Activiteiten[#Headers],0))=1,SubsidieTabel!$J72,0),0)</f>
        <v>0</v>
      </c>
      <c r="R72" s="287">
        <f>IFERROR(IF(INDEX(Tb_Activiteiten[#All],MATCH(SubsidieTabel!$A72,Tb_Activiteiten[[#All],[Subsidiabele_Activiteit]],0),MATCH(SubsidieTabel!R$1,Tb_Activiteiten[#Headers],0))=1,SubsidieTabel!$K72,0),0)</f>
        <v>0</v>
      </c>
      <c r="S72" s="287">
        <f>IFERROR(IF(INDEX(Tb_Activiteiten[#All],MATCH(SubsidieTabel!$A72,Tb_Activiteiten[[#All],[Subsidiabele_Activiteit]],0),MATCH(SubsidieTabel!S$1,Tb_Activiteiten[#Headers],0))=1,SubsidieTabel!$J72,0),0)</f>
        <v>0</v>
      </c>
      <c r="T72" s="287">
        <f>IFERROR(IF(INDEX(Tb_Activiteiten[#All],MATCH(SubsidieTabel!$A72,Tb_Activiteiten[[#All],[Subsidiabele_Activiteit]],0),MATCH(SubsidieTabel!T$1,Tb_Activiteiten[#Headers],0))=1,SubsidieTabel!$K72,0),0)</f>
        <v>0</v>
      </c>
      <c r="U72" s="287">
        <f>IFERROR(IF(INDEX(Tb_Activiteiten[#All],MATCH(SubsidieTabel!$A72,Tb_Activiteiten[[#All],[Subsidiabele_Activiteit]],0),MATCH(SubsidieTabel!U$1,Tb_Activiteiten[#Headers],0))=1,SubsidieTabel!$J72,0),0)</f>
        <v>0</v>
      </c>
      <c r="V72" s="287">
        <f>IFERROR(IF(INDEX(Tb_Activiteiten[#All],MATCH(SubsidieTabel!$A72,Tb_Activiteiten[[#All],[Subsidiabele_Activiteit]],0),MATCH(SubsidieTabel!V$1,Tb_Activiteiten[#Headers],0))=1,SubsidieTabel!$K72,0),0)</f>
        <v>0</v>
      </c>
      <c r="W72" s="374">
        <f>IFERROR(IF(INDEX(Tb_Activiteiten[#All],MATCH(SubsidieTabel!$A72,Tb_Activiteiten[[#All],[Subsidiabele_Activiteit]],0),MATCH(SubsidieTabel!Q$1,Tb_Activiteiten[#Headers],0))=1,H72,0),0)</f>
        <v>0</v>
      </c>
      <c r="X72" s="374">
        <f>IFERROR(IF(INDEX(Tb_Activiteiten[#All],MATCH(SubsidieTabel!$A72,Tb_Activiteiten[[#All],[Subsidiabele_Activiteit]],0),MATCH(SubsidieTabel!Q$1,Tb_Activiteiten[#Headers],0))=1,I72,0),0)</f>
        <v>0</v>
      </c>
      <c r="Y72" s="374">
        <f>IFERROR(IF(INDEX(Tb_Activiteiten[#All],MATCH(SubsidieTabel!$A72,Tb_Activiteiten[[#All],[Subsidiabele_Activiteit]],0),MATCH(SubsidieTabel!S$1,Tb_Activiteiten[#Headers],0))=1,H72,0),0)</f>
        <v>0</v>
      </c>
      <c r="Z72" s="374">
        <f>IFERROR(IF(INDEX(Tb_Activiteiten[#All],MATCH(SubsidieTabel!$A72,Tb_Activiteiten[[#All],[Subsidiabele_Activiteit]],0),MATCH(SubsidieTabel!S$1,Tb_Activiteiten[#Headers],0))=1,I72,0),0)</f>
        <v>0</v>
      </c>
      <c r="AA72" s="374">
        <f>IFERROR(IF(INDEX(Tb_Activiteiten[#All],MATCH(SubsidieTabel!$A72,Tb_Activiteiten[[#All],[Subsidiabele_Activiteit]],0),MATCH(SubsidieTabel!O$1,Tb_Activiteiten[#Headers],0))=1,$F72,0),0)</f>
        <v>0</v>
      </c>
      <c r="AB72" s="374">
        <f>IFERROR(IF(INDEX(Tb_Activiteiten[#All],MATCH(SubsidieTabel!$A72,Tb_Activiteiten[[#All],[Subsidiabele_Activiteit]],0),MATCH(SubsidieTabel!O$1,Tb_Activiteiten[#Headers],0))=1,$G72,0),0)</f>
        <v>0</v>
      </c>
    </row>
    <row r="73" spans="1:28" x14ac:dyDescent="0.25">
      <c r="A73" s="12"/>
      <c r="B73" s="12"/>
      <c r="C73" s="12" t="str">
        <f>IFERROR(VLOOKUP($B73,Tb_ProjectKosten[],4,0),"")</f>
        <v/>
      </c>
      <c r="D73" s="12" t="str" cm="1">
        <f t="array" ref="D73">IFERROR(INDEX(Tb_KostenOpties[],MATCH(B73,Tb_KostenOpties[KostenOptie],0),IFERROR(MATCH(Methode_Keuze,Tb_KostenOpties[#Headers],0),2)),"")</f>
        <v/>
      </c>
      <c r="E73" s="284">
        <f>IFERROR(VLOOKUP(B73,Tb_ProjectKosten[[#All],[KostenOmschrijving]:[Forfait_Percentage]],6,0),0)</f>
        <v>0</v>
      </c>
      <c r="F73" s="285">
        <f>SUMIFS('5. Kosten uitvoering project'!P:P,'5. Kosten uitvoering project'!E:E,SubsidieTabel!A73,'5. Kosten uitvoering project'!F:F,SubsidieTabel!B73)</f>
        <v>0</v>
      </c>
      <c r="G73" s="285">
        <f>SUMIFS('5. Kosten uitvoering project'!Q:Q,'5. Kosten uitvoering project'!E:E,SubsidieTabel!A73,'5. Kosten uitvoering project'!F:F,SubsidieTabel!B73)</f>
        <v>0</v>
      </c>
      <c r="H73" s="285">
        <f>SUMIFS('5. Kosten uitvoering project'!R:R,'5. Kosten uitvoering project'!E:E,SubsidieTabel!A73,'5. Kosten uitvoering project'!F:F,SubsidieTabel!B73)</f>
        <v>0</v>
      </c>
      <c r="I73" s="285">
        <f>SUMIFS('5. Kosten uitvoering project'!S:S,'5. Kosten uitvoering project'!E:E,SubsidieTabel!A73,'5. Kosten uitvoering project'!F:F,SubsidieTabel!B73)</f>
        <v>0</v>
      </c>
      <c r="J73" s="285">
        <f t="shared" si="9"/>
        <v>0</v>
      </c>
      <c r="K73" s="285">
        <f t="shared" si="10"/>
        <v>0</v>
      </c>
      <c r="L73" s="284" t="str">
        <f>IFERROR(VLOOKUP(A73,Lijsten!$AK:$AL,2,0),"")</f>
        <v/>
      </c>
      <c r="M73" s="285">
        <f t="shared" si="11"/>
        <v>0</v>
      </c>
      <c r="N73" s="285">
        <f t="shared" si="12"/>
        <v>0</v>
      </c>
      <c r="O73" s="285">
        <f>IFERROR(IF(INDEX(Tb_Activiteiten[#All],MATCH(SubsidieTabel!$A73,Tb_Activiteiten[[#All],[Subsidiabele_Activiteit]],0),MATCH(SubsidieTabel!O$1,Tb_Activiteiten[#Headers],0))=1,SubsidieTabel!$J73,0),0)</f>
        <v>0</v>
      </c>
      <c r="P73" s="285">
        <f>IFERROR(IF(INDEX(Tb_Activiteiten[#All],MATCH(SubsidieTabel!$A73,Tb_Activiteiten[[#All],[Subsidiabele_Activiteit]],0),MATCH(SubsidieTabel!P$1,Tb_Activiteiten[#Headers],0))=1,SubsidieTabel!$K73,0),0)</f>
        <v>0</v>
      </c>
      <c r="Q73" s="285">
        <f>IFERROR(IF(INDEX(Tb_Activiteiten[#All],MATCH(SubsidieTabel!$A73,Tb_Activiteiten[[#All],[Subsidiabele_Activiteit]],0),MATCH(SubsidieTabel!Q$1,Tb_Activiteiten[#Headers],0))=1,SubsidieTabel!$J73,0),0)</f>
        <v>0</v>
      </c>
      <c r="R73" s="285">
        <f>IFERROR(IF(INDEX(Tb_Activiteiten[#All],MATCH(SubsidieTabel!$A73,Tb_Activiteiten[[#All],[Subsidiabele_Activiteit]],0),MATCH(SubsidieTabel!R$1,Tb_Activiteiten[#Headers],0))=1,SubsidieTabel!$K73,0),0)</f>
        <v>0</v>
      </c>
      <c r="S73" s="285">
        <f>IFERROR(IF(INDEX(Tb_Activiteiten[#All],MATCH(SubsidieTabel!$A73,Tb_Activiteiten[[#All],[Subsidiabele_Activiteit]],0),MATCH(SubsidieTabel!S$1,Tb_Activiteiten[#Headers],0))=1,SubsidieTabel!$J73,0),0)</f>
        <v>0</v>
      </c>
      <c r="T73" s="285">
        <f>IFERROR(IF(INDEX(Tb_Activiteiten[#All],MATCH(SubsidieTabel!$A73,Tb_Activiteiten[[#All],[Subsidiabele_Activiteit]],0),MATCH(SubsidieTabel!T$1,Tb_Activiteiten[#Headers],0))=1,SubsidieTabel!$K73,0),0)</f>
        <v>0</v>
      </c>
      <c r="U73" s="285">
        <f>IFERROR(IF(INDEX(Tb_Activiteiten[#All],MATCH(SubsidieTabel!$A73,Tb_Activiteiten[[#All],[Subsidiabele_Activiteit]],0),MATCH(SubsidieTabel!U$1,Tb_Activiteiten[#Headers],0))=1,SubsidieTabel!$J73,0),0)</f>
        <v>0</v>
      </c>
      <c r="V73" s="285">
        <f>IFERROR(IF(INDEX(Tb_Activiteiten[#All],MATCH(SubsidieTabel!$A73,Tb_Activiteiten[[#All],[Subsidiabele_Activiteit]],0),MATCH(SubsidieTabel!V$1,Tb_Activiteiten[#Headers],0))=1,SubsidieTabel!$K73,0),0)</f>
        <v>0</v>
      </c>
      <c r="W73" s="64">
        <f>IFERROR(IF(INDEX(Tb_Activiteiten[#All],MATCH(SubsidieTabel!$A73,Tb_Activiteiten[[#All],[Subsidiabele_Activiteit]],0),MATCH(SubsidieTabel!Q$1,Tb_Activiteiten[#Headers],0))=1,H73,0),0)</f>
        <v>0</v>
      </c>
      <c r="X73" s="64">
        <f>IFERROR(IF(INDEX(Tb_Activiteiten[#All],MATCH(SubsidieTabel!$A73,Tb_Activiteiten[[#All],[Subsidiabele_Activiteit]],0),MATCH(SubsidieTabel!Q$1,Tb_Activiteiten[#Headers],0))=1,I73,0),0)</f>
        <v>0</v>
      </c>
      <c r="Y73" s="64">
        <f>IFERROR(IF(INDEX(Tb_Activiteiten[#All],MATCH(SubsidieTabel!$A73,Tb_Activiteiten[[#All],[Subsidiabele_Activiteit]],0),MATCH(SubsidieTabel!S$1,Tb_Activiteiten[#Headers],0))=1,H73,0),0)</f>
        <v>0</v>
      </c>
      <c r="Z73" s="64">
        <f>IFERROR(IF(INDEX(Tb_Activiteiten[#All],MATCH(SubsidieTabel!$A73,Tb_Activiteiten[[#All],[Subsidiabele_Activiteit]],0),MATCH(SubsidieTabel!S$1,Tb_Activiteiten[#Headers],0))=1,I73,0),0)</f>
        <v>0</v>
      </c>
      <c r="AA73" s="64">
        <f>IFERROR(IF(INDEX(Tb_Activiteiten[#All],MATCH(SubsidieTabel!$A73,Tb_Activiteiten[[#All],[Subsidiabele_Activiteit]],0),MATCH(SubsidieTabel!O$1,Tb_Activiteiten[#Headers],0))=1,$F73,0),0)</f>
        <v>0</v>
      </c>
      <c r="AB73" s="64">
        <f>IFERROR(IF(INDEX(Tb_Activiteiten[#All],MATCH(SubsidieTabel!$A73,Tb_Activiteiten[[#All],[Subsidiabele_Activiteit]],0),MATCH(SubsidieTabel!O$1,Tb_Activiteiten[#Headers],0))=1,$G73,0),0)</f>
        <v>0</v>
      </c>
    </row>
    <row r="74" spans="1:28" x14ac:dyDescent="0.25">
      <c r="A74" s="63"/>
      <c r="B74" s="63"/>
      <c r="C74" s="63" t="str">
        <f>IFERROR(VLOOKUP($B74,Tb_ProjectKosten[],4,0),"")</f>
        <v/>
      </c>
      <c r="D74" s="63" t="str" cm="1">
        <f t="array" ref="D74">IFERROR(INDEX(Tb_KostenOpties[],MATCH(B74,Tb_KostenOpties[KostenOptie],0),IFERROR(MATCH(Methode_Keuze,Tb_KostenOpties[#Headers],0),2)),"")</f>
        <v/>
      </c>
      <c r="E74" s="286">
        <f>IFERROR(VLOOKUP(B74,Tb_ProjectKosten[[#All],[KostenOmschrijving]:[Forfait_Percentage]],6,0),0)</f>
        <v>0</v>
      </c>
      <c r="F74" s="287">
        <f>SUMIFS('5. Kosten uitvoering project'!P:P,'5. Kosten uitvoering project'!E:E,SubsidieTabel!A74,'5. Kosten uitvoering project'!F:F,SubsidieTabel!B74)</f>
        <v>0</v>
      </c>
      <c r="G74" s="287">
        <f>SUMIFS('5. Kosten uitvoering project'!Q:Q,'5. Kosten uitvoering project'!E:E,SubsidieTabel!A74,'5. Kosten uitvoering project'!F:F,SubsidieTabel!B74)</f>
        <v>0</v>
      </c>
      <c r="H74" s="287">
        <f>SUMIFS('5. Kosten uitvoering project'!R:R,'5. Kosten uitvoering project'!E:E,SubsidieTabel!A74,'5. Kosten uitvoering project'!F:F,SubsidieTabel!B74)</f>
        <v>0</v>
      </c>
      <c r="I74" s="287">
        <f>SUMIFS('5. Kosten uitvoering project'!S:S,'5. Kosten uitvoering project'!E:E,SubsidieTabel!A74,'5. Kosten uitvoering project'!F:F,SubsidieTabel!B74)</f>
        <v>0</v>
      </c>
      <c r="J74" s="287">
        <f t="shared" si="9"/>
        <v>0</v>
      </c>
      <c r="K74" s="287">
        <f t="shared" si="10"/>
        <v>0</v>
      </c>
      <c r="L74" s="286" t="str">
        <f>IFERROR(VLOOKUP(A74,Lijsten!$AK:$AL,2,0),"")</f>
        <v/>
      </c>
      <c r="M74" s="287">
        <f t="shared" si="11"/>
        <v>0</v>
      </c>
      <c r="N74" s="287">
        <f t="shared" si="12"/>
        <v>0</v>
      </c>
      <c r="O74" s="287">
        <f>IFERROR(IF(INDEX(Tb_Activiteiten[#All],MATCH(SubsidieTabel!$A74,Tb_Activiteiten[[#All],[Subsidiabele_Activiteit]],0),MATCH(SubsidieTabel!O$1,Tb_Activiteiten[#Headers],0))=1,SubsidieTabel!$J74,0),0)</f>
        <v>0</v>
      </c>
      <c r="P74" s="287">
        <f>IFERROR(IF(INDEX(Tb_Activiteiten[#All],MATCH(SubsidieTabel!$A74,Tb_Activiteiten[[#All],[Subsidiabele_Activiteit]],0),MATCH(SubsidieTabel!P$1,Tb_Activiteiten[#Headers],0))=1,SubsidieTabel!$K74,0),0)</f>
        <v>0</v>
      </c>
      <c r="Q74" s="287">
        <f>IFERROR(IF(INDEX(Tb_Activiteiten[#All],MATCH(SubsidieTabel!$A74,Tb_Activiteiten[[#All],[Subsidiabele_Activiteit]],0),MATCH(SubsidieTabel!Q$1,Tb_Activiteiten[#Headers],0))=1,SubsidieTabel!$J74,0),0)</f>
        <v>0</v>
      </c>
      <c r="R74" s="287">
        <f>IFERROR(IF(INDEX(Tb_Activiteiten[#All],MATCH(SubsidieTabel!$A74,Tb_Activiteiten[[#All],[Subsidiabele_Activiteit]],0),MATCH(SubsidieTabel!R$1,Tb_Activiteiten[#Headers],0))=1,SubsidieTabel!$K74,0),0)</f>
        <v>0</v>
      </c>
      <c r="S74" s="287">
        <f>IFERROR(IF(INDEX(Tb_Activiteiten[#All],MATCH(SubsidieTabel!$A74,Tb_Activiteiten[[#All],[Subsidiabele_Activiteit]],0),MATCH(SubsidieTabel!S$1,Tb_Activiteiten[#Headers],0))=1,SubsidieTabel!$J74,0),0)</f>
        <v>0</v>
      </c>
      <c r="T74" s="287">
        <f>IFERROR(IF(INDEX(Tb_Activiteiten[#All],MATCH(SubsidieTabel!$A74,Tb_Activiteiten[[#All],[Subsidiabele_Activiteit]],0),MATCH(SubsidieTabel!T$1,Tb_Activiteiten[#Headers],0))=1,SubsidieTabel!$K74,0),0)</f>
        <v>0</v>
      </c>
      <c r="U74" s="287">
        <f>IFERROR(IF(INDEX(Tb_Activiteiten[#All],MATCH(SubsidieTabel!$A74,Tb_Activiteiten[[#All],[Subsidiabele_Activiteit]],0),MATCH(SubsidieTabel!U$1,Tb_Activiteiten[#Headers],0))=1,SubsidieTabel!$J74,0),0)</f>
        <v>0</v>
      </c>
      <c r="V74" s="287">
        <f>IFERROR(IF(INDEX(Tb_Activiteiten[#All],MATCH(SubsidieTabel!$A74,Tb_Activiteiten[[#All],[Subsidiabele_Activiteit]],0),MATCH(SubsidieTabel!V$1,Tb_Activiteiten[#Headers],0))=1,SubsidieTabel!$K74,0),0)</f>
        <v>0</v>
      </c>
      <c r="W74" s="374">
        <f>IFERROR(IF(INDEX(Tb_Activiteiten[#All],MATCH(SubsidieTabel!$A74,Tb_Activiteiten[[#All],[Subsidiabele_Activiteit]],0),MATCH(SubsidieTabel!Q$1,Tb_Activiteiten[#Headers],0))=1,H74,0),0)</f>
        <v>0</v>
      </c>
      <c r="X74" s="374">
        <f>IFERROR(IF(INDEX(Tb_Activiteiten[#All],MATCH(SubsidieTabel!$A74,Tb_Activiteiten[[#All],[Subsidiabele_Activiteit]],0),MATCH(SubsidieTabel!Q$1,Tb_Activiteiten[#Headers],0))=1,I74,0),0)</f>
        <v>0</v>
      </c>
      <c r="Y74" s="374">
        <f>IFERROR(IF(INDEX(Tb_Activiteiten[#All],MATCH(SubsidieTabel!$A74,Tb_Activiteiten[[#All],[Subsidiabele_Activiteit]],0),MATCH(SubsidieTabel!S$1,Tb_Activiteiten[#Headers],0))=1,H74,0),0)</f>
        <v>0</v>
      </c>
      <c r="Z74" s="374">
        <f>IFERROR(IF(INDEX(Tb_Activiteiten[#All],MATCH(SubsidieTabel!$A74,Tb_Activiteiten[[#All],[Subsidiabele_Activiteit]],0),MATCH(SubsidieTabel!S$1,Tb_Activiteiten[#Headers],0))=1,I74,0),0)</f>
        <v>0</v>
      </c>
      <c r="AA74" s="374">
        <f>IFERROR(IF(INDEX(Tb_Activiteiten[#All],MATCH(SubsidieTabel!$A74,Tb_Activiteiten[[#All],[Subsidiabele_Activiteit]],0),MATCH(SubsidieTabel!O$1,Tb_Activiteiten[#Headers],0))=1,$F74,0),0)</f>
        <v>0</v>
      </c>
      <c r="AB74" s="374">
        <f>IFERROR(IF(INDEX(Tb_Activiteiten[#All],MATCH(SubsidieTabel!$A74,Tb_Activiteiten[[#All],[Subsidiabele_Activiteit]],0),MATCH(SubsidieTabel!O$1,Tb_Activiteiten[#Headers],0))=1,$G74,0),0)</f>
        <v>0</v>
      </c>
    </row>
    <row r="75" spans="1:28" x14ac:dyDescent="0.25">
      <c r="A75" s="12"/>
      <c r="B75" s="12"/>
      <c r="C75" s="12" t="str">
        <f>IFERROR(VLOOKUP($B75,Tb_ProjectKosten[],4,0),"")</f>
        <v/>
      </c>
      <c r="D75" s="12" t="str" cm="1">
        <f t="array" ref="D75">IFERROR(INDEX(Tb_KostenOpties[],MATCH(B75,Tb_KostenOpties[KostenOptie],0),IFERROR(MATCH(Methode_Keuze,Tb_KostenOpties[#Headers],0),2)),"")</f>
        <v/>
      </c>
      <c r="E75" s="284">
        <f>IFERROR(VLOOKUP(B75,Tb_ProjectKosten[[#All],[KostenOmschrijving]:[Forfait_Percentage]],6,0),0)</f>
        <v>0</v>
      </c>
      <c r="F75" s="285">
        <f>SUMIFS('5. Kosten uitvoering project'!P:P,'5. Kosten uitvoering project'!E:E,SubsidieTabel!A75,'5. Kosten uitvoering project'!F:F,SubsidieTabel!B75)</f>
        <v>0</v>
      </c>
      <c r="G75" s="285">
        <f>SUMIFS('5. Kosten uitvoering project'!Q:Q,'5. Kosten uitvoering project'!E:E,SubsidieTabel!A75,'5. Kosten uitvoering project'!F:F,SubsidieTabel!B75)</f>
        <v>0</v>
      </c>
      <c r="H75" s="285">
        <f>SUMIFS('5. Kosten uitvoering project'!R:R,'5. Kosten uitvoering project'!E:E,SubsidieTabel!A75,'5. Kosten uitvoering project'!F:F,SubsidieTabel!B75)</f>
        <v>0</v>
      </c>
      <c r="I75" s="285">
        <f>SUMIFS('5. Kosten uitvoering project'!S:S,'5. Kosten uitvoering project'!E:E,SubsidieTabel!A75,'5. Kosten uitvoering project'!F:F,SubsidieTabel!B75)</f>
        <v>0</v>
      </c>
      <c r="J75" s="285">
        <f t="shared" si="9"/>
        <v>0</v>
      </c>
      <c r="K75" s="285">
        <f t="shared" si="10"/>
        <v>0</v>
      </c>
      <c r="L75" s="284" t="str">
        <f>IFERROR(VLOOKUP(A75,Lijsten!$AK:$AL,2,0),"")</f>
        <v/>
      </c>
      <c r="M75" s="285">
        <f t="shared" si="11"/>
        <v>0</v>
      </c>
      <c r="N75" s="285">
        <f t="shared" si="12"/>
        <v>0</v>
      </c>
      <c r="O75" s="285">
        <f>IFERROR(IF(INDEX(Tb_Activiteiten[#All],MATCH(SubsidieTabel!$A75,Tb_Activiteiten[[#All],[Subsidiabele_Activiteit]],0),MATCH(SubsidieTabel!O$1,Tb_Activiteiten[#Headers],0))=1,SubsidieTabel!$J75,0),0)</f>
        <v>0</v>
      </c>
      <c r="P75" s="285">
        <f>IFERROR(IF(INDEX(Tb_Activiteiten[#All],MATCH(SubsidieTabel!$A75,Tb_Activiteiten[[#All],[Subsidiabele_Activiteit]],0),MATCH(SubsidieTabel!P$1,Tb_Activiteiten[#Headers],0))=1,SubsidieTabel!$K75,0),0)</f>
        <v>0</v>
      </c>
      <c r="Q75" s="285">
        <f>IFERROR(IF(INDEX(Tb_Activiteiten[#All],MATCH(SubsidieTabel!$A75,Tb_Activiteiten[[#All],[Subsidiabele_Activiteit]],0),MATCH(SubsidieTabel!Q$1,Tb_Activiteiten[#Headers],0))=1,SubsidieTabel!$J75,0),0)</f>
        <v>0</v>
      </c>
      <c r="R75" s="285">
        <f>IFERROR(IF(INDEX(Tb_Activiteiten[#All],MATCH(SubsidieTabel!$A75,Tb_Activiteiten[[#All],[Subsidiabele_Activiteit]],0),MATCH(SubsidieTabel!R$1,Tb_Activiteiten[#Headers],0))=1,SubsidieTabel!$K75,0),0)</f>
        <v>0</v>
      </c>
      <c r="S75" s="285">
        <f>IFERROR(IF(INDEX(Tb_Activiteiten[#All],MATCH(SubsidieTabel!$A75,Tb_Activiteiten[[#All],[Subsidiabele_Activiteit]],0),MATCH(SubsidieTabel!S$1,Tb_Activiteiten[#Headers],0))=1,SubsidieTabel!$J75,0),0)</f>
        <v>0</v>
      </c>
      <c r="T75" s="285">
        <f>IFERROR(IF(INDEX(Tb_Activiteiten[#All],MATCH(SubsidieTabel!$A75,Tb_Activiteiten[[#All],[Subsidiabele_Activiteit]],0),MATCH(SubsidieTabel!T$1,Tb_Activiteiten[#Headers],0))=1,SubsidieTabel!$K75,0),0)</f>
        <v>0</v>
      </c>
      <c r="U75" s="285">
        <f>IFERROR(IF(INDEX(Tb_Activiteiten[#All],MATCH(SubsidieTabel!$A75,Tb_Activiteiten[[#All],[Subsidiabele_Activiteit]],0),MATCH(SubsidieTabel!U$1,Tb_Activiteiten[#Headers],0))=1,SubsidieTabel!$J75,0),0)</f>
        <v>0</v>
      </c>
      <c r="V75" s="285">
        <f>IFERROR(IF(INDEX(Tb_Activiteiten[#All],MATCH(SubsidieTabel!$A75,Tb_Activiteiten[[#All],[Subsidiabele_Activiteit]],0),MATCH(SubsidieTabel!V$1,Tb_Activiteiten[#Headers],0))=1,SubsidieTabel!$K75,0),0)</f>
        <v>0</v>
      </c>
      <c r="W75" s="64">
        <f>IFERROR(IF(INDEX(Tb_Activiteiten[#All],MATCH(SubsidieTabel!$A75,Tb_Activiteiten[[#All],[Subsidiabele_Activiteit]],0),MATCH(SubsidieTabel!Q$1,Tb_Activiteiten[#Headers],0))=1,H75,0),0)</f>
        <v>0</v>
      </c>
      <c r="X75" s="64">
        <f>IFERROR(IF(INDEX(Tb_Activiteiten[#All],MATCH(SubsidieTabel!$A75,Tb_Activiteiten[[#All],[Subsidiabele_Activiteit]],0),MATCH(SubsidieTabel!Q$1,Tb_Activiteiten[#Headers],0))=1,I75,0),0)</f>
        <v>0</v>
      </c>
      <c r="Y75" s="64">
        <f>IFERROR(IF(INDEX(Tb_Activiteiten[#All],MATCH(SubsidieTabel!$A75,Tb_Activiteiten[[#All],[Subsidiabele_Activiteit]],0),MATCH(SubsidieTabel!S$1,Tb_Activiteiten[#Headers],0))=1,H75,0),0)</f>
        <v>0</v>
      </c>
      <c r="Z75" s="64">
        <f>IFERROR(IF(INDEX(Tb_Activiteiten[#All],MATCH(SubsidieTabel!$A75,Tb_Activiteiten[[#All],[Subsidiabele_Activiteit]],0),MATCH(SubsidieTabel!S$1,Tb_Activiteiten[#Headers],0))=1,I75,0),0)</f>
        <v>0</v>
      </c>
      <c r="AA75" s="64">
        <f>IFERROR(IF(INDEX(Tb_Activiteiten[#All],MATCH(SubsidieTabel!$A75,Tb_Activiteiten[[#All],[Subsidiabele_Activiteit]],0),MATCH(SubsidieTabel!O$1,Tb_Activiteiten[#Headers],0))=1,$F75,0),0)</f>
        <v>0</v>
      </c>
      <c r="AB75" s="64">
        <f>IFERROR(IF(INDEX(Tb_Activiteiten[#All],MATCH(SubsidieTabel!$A75,Tb_Activiteiten[[#All],[Subsidiabele_Activiteit]],0),MATCH(SubsidieTabel!O$1,Tb_Activiteiten[#Headers],0))=1,$G75,0),0)</f>
        <v>0</v>
      </c>
    </row>
    <row r="76" spans="1:28" x14ac:dyDescent="0.25">
      <c r="A76" s="63"/>
      <c r="B76" s="63"/>
      <c r="C76" s="63" t="str">
        <f>IFERROR(VLOOKUP($B76,Tb_ProjectKosten[],4,0),"")</f>
        <v/>
      </c>
      <c r="D76" s="63" t="str" cm="1">
        <f t="array" ref="D76">IFERROR(INDEX(Tb_KostenOpties[],MATCH(B76,Tb_KostenOpties[KostenOptie],0),IFERROR(MATCH(Methode_Keuze,Tb_KostenOpties[#Headers],0),2)),"")</f>
        <v/>
      </c>
      <c r="E76" s="286">
        <f>IFERROR(VLOOKUP(B76,Tb_ProjectKosten[[#All],[KostenOmschrijving]:[Forfait_Percentage]],6,0),0)</f>
        <v>0</v>
      </c>
      <c r="F76" s="287">
        <f>SUMIFS('5. Kosten uitvoering project'!P:P,'5. Kosten uitvoering project'!E:E,SubsidieTabel!A76,'5. Kosten uitvoering project'!F:F,SubsidieTabel!B76)</f>
        <v>0</v>
      </c>
      <c r="G76" s="287">
        <f>SUMIFS('5. Kosten uitvoering project'!Q:Q,'5. Kosten uitvoering project'!E:E,SubsidieTabel!A76,'5. Kosten uitvoering project'!F:F,SubsidieTabel!B76)</f>
        <v>0</v>
      </c>
      <c r="H76" s="287">
        <f>SUMIFS('5. Kosten uitvoering project'!R:R,'5. Kosten uitvoering project'!E:E,SubsidieTabel!A76,'5. Kosten uitvoering project'!F:F,SubsidieTabel!B76)</f>
        <v>0</v>
      </c>
      <c r="I76" s="287">
        <f>SUMIFS('5. Kosten uitvoering project'!S:S,'5. Kosten uitvoering project'!E:E,SubsidieTabel!A76,'5. Kosten uitvoering project'!F:F,SubsidieTabel!B76)</f>
        <v>0</v>
      </c>
      <c r="J76" s="287">
        <f t="shared" si="9"/>
        <v>0</v>
      </c>
      <c r="K76" s="287">
        <f t="shared" si="10"/>
        <v>0</v>
      </c>
      <c r="L76" s="286" t="str">
        <f>IFERROR(VLOOKUP(A76,Lijsten!$AK:$AL,2,0),"")</f>
        <v/>
      </c>
      <c r="M76" s="287">
        <f t="shared" si="11"/>
        <v>0</v>
      </c>
      <c r="N76" s="287">
        <f t="shared" si="12"/>
        <v>0</v>
      </c>
      <c r="O76" s="287">
        <f>IFERROR(IF(INDEX(Tb_Activiteiten[#All],MATCH(SubsidieTabel!$A76,Tb_Activiteiten[[#All],[Subsidiabele_Activiteit]],0),MATCH(SubsidieTabel!O$1,Tb_Activiteiten[#Headers],0))=1,SubsidieTabel!$J76,0),0)</f>
        <v>0</v>
      </c>
      <c r="P76" s="287">
        <f>IFERROR(IF(INDEX(Tb_Activiteiten[#All],MATCH(SubsidieTabel!$A76,Tb_Activiteiten[[#All],[Subsidiabele_Activiteit]],0),MATCH(SubsidieTabel!P$1,Tb_Activiteiten[#Headers],0))=1,SubsidieTabel!$K76,0),0)</f>
        <v>0</v>
      </c>
      <c r="Q76" s="287">
        <f>IFERROR(IF(INDEX(Tb_Activiteiten[#All],MATCH(SubsidieTabel!$A76,Tb_Activiteiten[[#All],[Subsidiabele_Activiteit]],0),MATCH(SubsidieTabel!Q$1,Tb_Activiteiten[#Headers],0))=1,SubsidieTabel!$J76,0),0)</f>
        <v>0</v>
      </c>
      <c r="R76" s="287">
        <f>IFERROR(IF(INDEX(Tb_Activiteiten[#All],MATCH(SubsidieTabel!$A76,Tb_Activiteiten[[#All],[Subsidiabele_Activiteit]],0),MATCH(SubsidieTabel!R$1,Tb_Activiteiten[#Headers],0))=1,SubsidieTabel!$K76,0),0)</f>
        <v>0</v>
      </c>
      <c r="S76" s="287">
        <f>IFERROR(IF(INDEX(Tb_Activiteiten[#All],MATCH(SubsidieTabel!$A76,Tb_Activiteiten[[#All],[Subsidiabele_Activiteit]],0),MATCH(SubsidieTabel!S$1,Tb_Activiteiten[#Headers],0))=1,SubsidieTabel!$J76,0),0)</f>
        <v>0</v>
      </c>
      <c r="T76" s="287">
        <f>IFERROR(IF(INDEX(Tb_Activiteiten[#All],MATCH(SubsidieTabel!$A76,Tb_Activiteiten[[#All],[Subsidiabele_Activiteit]],0),MATCH(SubsidieTabel!T$1,Tb_Activiteiten[#Headers],0))=1,SubsidieTabel!$K76,0),0)</f>
        <v>0</v>
      </c>
      <c r="U76" s="287">
        <f>IFERROR(IF(INDEX(Tb_Activiteiten[#All],MATCH(SubsidieTabel!$A76,Tb_Activiteiten[[#All],[Subsidiabele_Activiteit]],0),MATCH(SubsidieTabel!U$1,Tb_Activiteiten[#Headers],0))=1,SubsidieTabel!$J76,0),0)</f>
        <v>0</v>
      </c>
      <c r="V76" s="287">
        <f>IFERROR(IF(INDEX(Tb_Activiteiten[#All],MATCH(SubsidieTabel!$A76,Tb_Activiteiten[[#All],[Subsidiabele_Activiteit]],0),MATCH(SubsidieTabel!V$1,Tb_Activiteiten[#Headers],0))=1,SubsidieTabel!$K76,0),0)</f>
        <v>0</v>
      </c>
      <c r="W76" s="374">
        <f>IFERROR(IF(INDEX(Tb_Activiteiten[#All],MATCH(SubsidieTabel!$A76,Tb_Activiteiten[[#All],[Subsidiabele_Activiteit]],0),MATCH(SubsidieTabel!Q$1,Tb_Activiteiten[#Headers],0))=1,H76,0),0)</f>
        <v>0</v>
      </c>
      <c r="X76" s="374">
        <f>IFERROR(IF(INDEX(Tb_Activiteiten[#All],MATCH(SubsidieTabel!$A76,Tb_Activiteiten[[#All],[Subsidiabele_Activiteit]],0),MATCH(SubsidieTabel!Q$1,Tb_Activiteiten[#Headers],0))=1,I76,0),0)</f>
        <v>0</v>
      </c>
      <c r="Y76" s="374">
        <f>IFERROR(IF(INDEX(Tb_Activiteiten[#All],MATCH(SubsidieTabel!$A76,Tb_Activiteiten[[#All],[Subsidiabele_Activiteit]],0),MATCH(SubsidieTabel!S$1,Tb_Activiteiten[#Headers],0))=1,H76,0),0)</f>
        <v>0</v>
      </c>
      <c r="Z76" s="374">
        <f>IFERROR(IF(INDEX(Tb_Activiteiten[#All],MATCH(SubsidieTabel!$A76,Tb_Activiteiten[[#All],[Subsidiabele_Activiteit]],0),MATCH(SubsidieTabel!S$1,Tb_Activiteiten[#Headers],0))=1,I76,0),0)</f>
        <v>0</v>
      </c>
      <c r="AA76" s="374">
        <f>IFERROR(IF(INDEX(Tb_Activiteiten[#All],MATCH(SubsidieTabel!$A76,Tb_Activiteiten[[#All],[Subsidiabele_Activiteit]],0),MATCH(SubsidieTabel!O$1,Tb_Activiteiten[#Headers],0))=1,$F76,0),0)</f>
        <v>0</v>
      </c>
      <c r="AB76" s="374">
        <f>IFERROR(IF(INDEX(Tb_Activiteiten[#All],MATCH(SubsidieTabel!$A76,Tb_Activiteiten[[#All],[Subsidiabele_Activiteit]],0),MATCH(SubsidieTabel!O$1,Tb_Activiteiten[#Headers],0))=1,$G76,0),0)</f>
        <v>0</v>
      </c>
    </row>
    <row r="77" spans="1:28" x14ac:dyDescent="0.25">
      <c r="A77" s="12"/>
      <c r="B77" s="12"/>
      <c r="C77" s="12" t="str">
        <f>IFERROR(VLOOKUP($B77,Tb_ProjectKosten[],4,0),"")</f>
        <v/>
      </c>
      <c r="D77" s="12" t="str" cm="1">
        <f t="array" ref="D77">IFERROR(INDEX(Tb_KostenOpties[],MATCH(B77,Tb_KostenOpties[KostenOptie],0),IFERROR(MATCH(Methode_Keuze,Tb_KostenOpties[#Headers],0),2)),"")</f>
        <v/>
      </c>
      <c r="E77" s="284">
        <f>IFERROR(VLOOKUP(B77,Tb_ProjectKosten[[#All],[KostenOmschrijving]:[Forfait_Percentage]],6,0),0)</f>
        <v>0</v>
      </c>
      <c r="F77" s="285">
        <f>SUMIFS('5. Kosten uitvoering project'!P:P,'5. Kosten uitvoering project'!E:E,SubsidieTabel!A77,'5. Kosten uitvoering project'!F:F,SubsidieTabel!B77)</f>
        <v>0</v>
      </c>
      <c r="G77" s="285">
        <f>SUMIFS('5. Kosten uitvoering project'!Q:Q,'5. Kosten uitvoering project'!E:E,SubsidieTabel!A77,'5. Kosten uitvoering project'!F:F,SubsidieTabel!B77)</f>
        <v>0</v>
      </c>
      <c r="H77" s="285">
        <f>SUMIFS('5. Kosten uitvoering project'!R:R,'5. Kosten uitvoering project'!E:E,SubsidieTabel!A77,'5. Kosten uitvoering project'!F:F,SubsidieTabel!B77)</f>
        <v>0</v>
      </c>
      <c r="I77" s="285">
        <f>SUMIFS('5. Kosten uitvoering project'!S:S,'5. Kosten uitvoering project'!E:E,SubsidieTabel!A77,'5. Kosten uitvoering project'!F:F,SubsidieTabel!B77)</f>
        <v>0</v>
      </c>
      <c r="J77" s="285">
        <f t="shared" si="9"/>
        <v>0</v>
      </c>
      <c r="K77" s="285">
        <f t="shared" si="10"/>
        <v>0</v>
      </c>
      <c r="L77" s="284" t="str">
        <f>IFERROR(VLOOKUP(A77,Lijsten!$AK:$AL,2,0),"")</f>
        <v/>
      </c>
      <c r="M77" s="285">
        <f t="shared" si="11"/>
        <v>0</v>
      </c>
      <c r="N77" s="285">
        <f t="shared" si="12"/>
        <v>0</v>
      </c>
      <c r="O77" s="285">
        <f>IFERROR(IF(INDEX(Tb_Activiteiten[#All],MATCH(SubsidieTabel!$A77,Tb_Activiteiten[[#All],[Subsidiabele_Activiteit]],0),MATCH(SubsidieTabel!O$1,Tb_Activiteiten[#Headers],0))=1,SubsidieTabel!$J77,0),0)</f>
        <v>0</v>
      </c>
      <c r="P77" s="285">
        <f>IFERROR(IF(INDEX(Tb_Activiteiten[#All],MATCH(SubsidieTabel!$A77,Tb_Activiteiten[[#All],[Subsidiabele_Activiteit]],0),MATCH(SubsidieTabel!P$1,Tb_Activiteiten[#Headers],0))=1,SubsidieTabel!$K77,0),0)</f>
        <v>0</v>
      </c>
      <c r="Q77" s="285">
        <f>IFERROR(IF(INDEX(Tb_Activiteiten[#All],MATCH(SubsidieTabel!$A77,Tb_Activiteiten[[#All],[Subsidiabele_Activiteit]],0),MATCH(SubsidieTabel!Q$1,Tb_Activiteiten[#Headers],0))=1,SubsidieTabel!$J77,0),0)</f>
        <v>0</v>
      </c>
      <c r="R77" s="285">
        <f>IFERROR(IF(INDEX(Tb_Activiteiten[#All],MATCH(SubsidieTabel!$A77,Tb_Activiteiten[[#All],[Subsidiabele_Activiteit]],0),MATCH(SubsidieTabel!R$1,Tb_Activiteiten[#Headers],0))=1,SubsidieTabel!$K77,0),0)</f>
        <v>0</v>
      </c>
      <c r="S77" s="285">
        <f>IFERROR(IF(INDEX(Tb_Activiteiten[#All],MATCH(SubsidieTabel!$A77,Tb_Activiteiten[[#All],[Subsidiabele_Activiteit]],0),MATCH(SubsidieTabel!S$1,Tb_Activiteiten[#Headers],0))=1,SubsidieTabel!$J77,0),0)</f>
        <v>0</v>
      </c>
      <c r="T77" s="285">
        <f>IFERROR(IF(INDEX(Tb_Activiteiten[#All],MATCH(SubsidieTabel!$A77,Tb_Activiteiten[[#All],[Subsidiabele_Activiteit]],0),MATCH(SubsidieTabel!T$1,Tb_Activiteiten[#Headers],0))=1,SubsidieTabel!$K77,0),0)</f>
        <v>0</v>
      </c>
      <c r="U77" s="285">
        <f>IFERROR(IF(INDEX(Tb_Activiteiten[#All],MATCH(SubsidieTabel!$A77,Tb_Activiteiten[[#All],[Subsidiabele_Activiteit]],0),MATCH(SubsidieTabel!U$1,Tb_Activiteiten[#Headers],0))=1,SubsidieTabel!$J77,0),0)</f>
        <v>0</v>
      </c>
      <c r="V77" s="285">
        <f>IFERROR(IF(INDEX(Tb_Activiteiten[#All],MATCH(SubsidieTabel!$A77,Tb_Activiteiten[[#All],[Subsidiabele_Activiteit]],0),MATCH(SubsidieTabel!V$1,Tb_Activiteiten[#Headers],0))=1,SubsidieTabel!$K77,0),0)</f>
        <v>0</v>
      </c>
      <c r="W77" s="64">
        <f>IFERROR(IF(INDEX(Tb_Activiteiten[#All],MATCH(SubsidieTabel!$A77,Tb_Activiteiten[[#All],[Subsidiabele_Activiteit]],0),MATCH(SubsidieTabel!Q$1,Tb_Activiteiten[#Headers],0))=1,H77,0),0)</f>
        <v>0</v>
      </c>
      <c r="X77" s="64">
        <f>IFERROR(IF(INDEX(Tb_Activiteiten[#All],MATCH(SubsidieTabel!$A77,Tb_Activiteiten[[#All],[Subsidiabele_Activiteit]],0),MATCH(SubsidieTabel!Q$1,Tb_Activiteiten[#Headers],0))=1,I77,0),0)</f>
        <v>0</v>
      </c>
      <c r="Y77" s="64">
        <f>IFERROR(IF(INDEX(Tb_Activiteiten[#All],MATCH(SubsidieTabel!$A77,Tb_Activiteiten[[#All],[Subsidiabele_Activiteit]],0),MATCH(SubsidieTabel!S$1,Tb_Activiteiten[#Headers],0))=1,H77,0),0)</f>
        <v>0</v>
      </c>
      <c r="Z77" s="64">
        <f>IFERROR(IF(INDEX(Tb_Activiteiten[#All],MATCH(SubsidieTabel!$A77,Tb_Activiteiten[[#All],[Subsidiabele_Activiteit]],0),MATCH(SubsidieTabel!S$1,Tb_Activiteiten[#Headers],0))=1,I77,0),0)</f>
        <v>0</v>
      </c>
      <c r="AA77" s="64">
        <f>IFERROR(IF(INDEX(Tb_Activiteiten[#All],MATCH(SubsidieTabel!$A77,Tb_Activiteiten[[#All],[Subsidiabele_Activiteit]],0),MATCH(SubsidieTabel!O$1,Tb_Activiteiten[#Headers],0))=1,$F77,0),0)</f>
        <v>0</v>
      </c>
      <c r="AB77" s="64">
        <f>IFERROR(IF(INDEX(Tb_Activiteiten[#All],MATCH(SubsidieTabel!$A77,Tb_Activiteiten[[#All],[Subsidiabele_Activiteit]],0),MATCH(SubsidieTabel!O$1,Tb_Activiteiten[#Headers],0))=1,$G77,0),0)</f>
        <v>0</v>
      </c>
    </row>
    <row r="78" spans="1:28" x14ac:dyDescent="0.25">
      <c r="A78" s="63"/>
      <c r="B78" s="63"/>
      <c r="C78" s="63" t="str">
        <f>IFERROR(VLOOKUP($B78,Tb_ProjectKosten[],4,0),"")</f>
        <v/>
      </c>
      <c r="D78" s="63" t="str" cm="1">
        <f t="array" ref="D78">IFERROR(INDEX(Tb_KostenOpties[],MATCH(B78,Tb_KostenOpties[KostenOptie],0),IFERROR(MATCH(Methode_Keuze,Tb_KostenOpties[#Headers],0),2)),"")</f>
        <v/>
      </c>
      <c r="E78" s="286">
        <f>IFERROR(VLOOKUP(B78,Tb_ProjectKosten[[#All],[KostenOmschrijving]:[Forfait_Percentage]],6,0),0)</f>
        <v>0</v>
      </c>
      <c r="F78" s="287">
        <f>SUMIFS('5. Kosten uitvoering project'!P:P,'5. Kosten uitvoering project'!E:E,SubsidieTabel!A78,'5. Kosten uitvoering project'!F:F,SubsidieTabel!B78)</f>
        <v>0</v>
      </c>
      <c r="G78" s="287">
        <f>SUMIFS('5. Kosten uitvoering project'!Q:Q,'5. Kosten uitvoering project'!E:E,SubsidieTabel!A78,'5. Kosten uitvoering project'!F:F,SubsidieTabel!B78)</f>
        <v>0</v>
      </c>
      <c r="H78" s="287">
        <f>SUMIFS('5. Kosten uitvoering project'!R:R,'5. Kosten uitvoering project'!E:E,SubsidieTabel!A78,'5. Kosten uitvoering project'!F:F,SubsidieTabel!B78)</f>
        <v>0</v>
      </c>
      <c r="I78" s="287">
        <f>SUMIFS('5. Kosten uitvoering project'!S:S,'5. Kosten uitvoering project'!E:E,SubsidieTabel!A78,'5. Kosten uitvoering project'!F:F,SubsidieTabel!B78)</f>
        <v>0</v>
      </c>
      <c r="J78" s="287">
        <f t="shared" si="9"/>
        <v>0</v>
      </c>
      <c r="K78" s="287">
        <f t="shared" si="10"/>
        <v>0</v>
      </c>
      <c r="L78" s="286" t="str">
        <f>IFERROR(VLOOKUP(A78,Lijsten!$AK:$AL,2,0),"")</f>
        <v/>
      </c>
      <c r="M78" s="287">
        <f t="shared" si="11"/>
        <v>0</v>
      </c>
      <c r="N78" s="287">
        <f t="shared" si="12"/>
        <v>0</v>
      </c>
      <c r="O78" s="287">
        <f>IFERROR(IF(INDEX(Tb_Activiteiten[#All],MATCH(SubsidieTabel!$A78,Tb_Activiteiten[[#All],[Subsidiabele_Activiteit]],0),MATCH(SubsidieTabel!O$1,Tb_Activiteiten[#Headers],0))=1,SubsidieTabel!$J78,0),0)</f>
        <v>0</v>
      </c>
      <c r="P78" s="287">
        <f>IFERROR(IF(INDEX(Tb_Activiteiten[#All],MATCH(SubsidieTabel!$A78,Tb_Activiteiten[[#All],[Subsidiabele_Activiteit]],0),MATCH(SubsidieTabel!P$1,Tb_Activiteiten[#Headers],0))=1,SubsidieTabel!$K78,0),0)</f>
        <v>0</v>
      </c>
      <c r="Q78" s="287">
        <f>IFERROR(IF(INDEX(Tb_Activiteiten[#All],MATCH(SubsidieTabel!$A78,Tb_Activiteiten[[#All],[Subsidiabele_Activiteit]],0),MATCH(SubsidieTabel!Q$1,Tb_Activiteiten[#Headers],0))=1,SubsidieTabel!$J78,0),0)</f>
        <v>0</v>
      </c>
      <c r="R78" s="287">
        <f>IFERROR(IF(INDEX(Tb_Activiteiten[#All],MATCH(SubsidieTabel!$A78,Tb_Activiteiten[[#All],[Subsidiabele_Activiteit]],0),MATCH(SubsidieTabel!R$1,Tb_Activiteiten[#Headers],0))=1,SubsidieTabel!$K78,0),0)</f>
        <v>0</v>
      </c>
      <c r="S78" s="287">
        <f>IFERROR(IF(INDEX(Tb_Activiteiten[#All],MATCH(SubsidieTabel!$A78,Tb_Activiteiten[[#All],[Subsidiabele_Activiteit]],0),MATCH(SubsidieTabel!S$1,Tb_Activiteiten[#Headers],0))=1,SubsidieTabel!$J78,0),0)</f>
        <v>0</v>
      </c>
      <c r="T78" s="287">
        <f>IFERROR(IF(INDEX(Tb_Activiteiten[#All],MATCH(SubsidieTabel!$A78,Tb_Activiteiten[[#All],[Subsidiabele_Activiteit]],0),MATCH(SubsidieTabel!T$1,Tb_Activiteiten[#Headers],0))=1,SubsidieTabel!$K78,0),0)</f>
        <v>0</v>
      </c>
      <c r="U78" s="287">
        <f>IFERROR(IF(INDEX(Tb_Activiteiten[#All],MATCH(SubsidieTabel!$A78,Tb_Activiteiten[[#All],[Subsidiabele_Activiteit]],0),MATCH(SubsidieTabel!U$1,Tb_Activiteiten[#Headers],0))=1,SubsidieTabel!$J78,0),0)</f>
        <v>0</v>
      </c>
      <c r="V78" s="287">
        <f>IFERROR(IF(INDEX(Tb_Activiteiten[#All],MATCH(SubsidieTabel!$A78,Tb_Activiteiten[[#All],[Subsidiabele_Activiteit]],0),MATCH(SubsidieTabel!V$1,Tb_Activiteiten[#Headers],0))=1,SubsidieTabel!$K78,0),0)</f>
        <v>0</v>
      </c>
      <c r="W78" s="374">
        <f>IFERROR(IF(INDEX(Tb_Activiteiten[#All],MATCH(SubsidieTabel!$A78,Tb_Activiteiten[[#All],[Subsidiabele_Activiteit]],0),MATCH(SubsidieTabel!Q$1,Tb_Activiteiten[#Headers],0))=1,H78,0),0)</f>
        <v>0</v>
      </c>
      <c r="X78" s="374">
        <f>IFERROR(IF(INDEX(Tb_Activiteiten[#All],MATCH(SubsidieTabel!$A78,Tb_Activiteiten[[#All],[Subsidiabele_Activiteit]],0),MATCH(SubsidieTabel!Q$1,Tb_Activiteiten[#Headers],0))=1,I78,0),0)</f>
        <v>0</v>
      </c>
      <c r="Y78" s="374">
        <f>IFERROR(IF(INDEX(Tb_Activiteiten[#All],MATCH(SubsidieTabel!$A78,Tb_Activiteiten[[#All],[Subsidiabele_Activiteit]],0),MATCH(SubsidieTabel!S$1,Tb_Activiteiten[#Headers],0))=1,H78,0),0)</f>
        <v>0</v>
      </c>
      <c r="Z78" s="374">
        <f>IFERROR(IF(INDEX(Tb_Activiteiten[#All],MATCH(SubsidieTabel!$A78,Tb_Activiteiten[[#All],[Subsidiabele_Activiteit]],0),MATCH(SubsidieTabel!S$1,Tb_Activiteiten[#Headers],0))=1,I78,0),0)</f>
        <v>0</v>
      </c>
      <c r="AA78" s="374">
        <f>IFERROR(IF(INDEX(Tb_Activiteiten[#All],MATCH(SubsidieTabel!$A78,Tb_Activiteiten[[#All],[Subsidiabele_Activiteit]],0),MATCH(SubsidieTabel!O$1,Tb_Activiteiten[#Headers],0))=1,$F78,0),0)</f>
        <v>0</v>
      </c>
      <c r="AB78" s="374">
        <f>IFERROR(IF(INDEX(Tb_Activiteiten[#All],MATCH(SubsidieTabel!$A78,Tb_Activiteiten[[#All],[Subsidiabele_Activiteit]],0),MATCH(SubsidieTabel!O$1,Tb_Activiteiten[#Headers],0))=1,$G78,0),0)</f>
        <v>0</v>
      </c>
    </row>
    <row r="79" spans="1:28" x14ac:dyDescent="0.25">
      <c r="A79" s="12"/>
      <c r="B79" s="12"/>
      <c r="C79" s="12" t="str">
        <f>IFERROR(VLOOKUP($B79,Tb_ProjectKosten[],4,0),"")</f>
        <v/>
      </c>
      <c r="D79" s="12" t="str" cm="1">
        <f t="array" ref="D79">IFERROR(INDEX(Tb_KostenOpties[],MATCH(B79,Tb_KostenOpties[KostenOptie],0),IFERROR(MATCH(Methode_Keuze,Tb_KostenOpties[#Headers],0),2)),"")</f>
        <v/>
      </c>
      <c r="E79" s="284">
        <f>IFERROR(VLOOKUP(B79,Tb_ProjectKosten[[#All],[KostenOmschrijving]:[Forfait_Percentage]],6,0),0)</f>
        <v>0</v>
      </c>
      <c r="F79" s="285">
        <f>SUMIFS('5. Kosten uitvoering project'!P:P,'5. Kosten uitvoering project'!E:E,SubsidieTabel!A79,'5. Kosten uitvoering project'!F:F,SubsidieTabel!B79)</f>
        <v>0</v>
      </c>
      <c r="G79" s="285">
        <f>SUMIFS('5. Kosten uitvoering project'!Q:Q,'5. Kosten uitvoering project'!E:E,SubsidieTabel!A79,'5. Kosten uitvoering project'!F:F,SubsidieTabel!B79)</f>
        <v>0</v>
      </c>
      <c r="H79" s="285">
        <f>SUMIFS('5. Kosten uitvoering project'!R:R,'5. Kosten uitvoering project'!E:E,SubsidieTabel!A79,'5. Kosten uitvoering project'!F:F,SubsidieTabel!B79)</f>
        <v>0</v>
      </c>
      <c r="I79" s="285">
        <f>SUMIFS('5. Kosten uitvoering project'!S:S,'5. Kosten uitvoering project'!E:E,SubsidieTabel!A79,'5. Kosten uitvoering project'!F:F,SubsidieTabel!B79)</f>
        <v>0</v>
      </c>
      <c r="J79" s="285">
        <f t="shared" si="9"/>
        <v>0</v>
      </c>
      <c r="K79" s="285">
        <f t="shared" si="10"/>
        <v>0</v>
      </c>
      <c r="L79" s="284" t="str">
        <f>IFERROR(VLOOKUP(A79,Lijsten!$AK:$AL,2,0),"")</f>
        <v/>
      </c>
      <c r="M79" s="285">
        <f t="shared" si="11"/>
        <v>0</v>
      </c>
      <c r="N79" s="285">
        <f t="shared" si="12"/>
        <v>0</v>
      </c>
      <c r="O79" s="285">
        <f>IFERROR(IF(INDEX(Tb_Activiteiten[#All],MATCH(SubsidieTabel!$A79,Tb_Activiteiten[[#All],[Subsidiabele_Activiteit]],0),MATCH(SubsidieTabel!O$1,Tb_Activiteiten[#Headers],0))=1,SubsidieTabel!$J79,0),0)</f>
        <v>0</v>
      </c>
      <c r="P79" s="285">
        <f>IFERROR(IF(INDEX(Tb_Activiteiten[#All],MATCH(SubsidieTabel!$A79,Tb_Activiteiten[[#All],[Subsidiabele_Activiteit]],0),MATCH(SubsidieTabel!P$1,Tb_Activiteiten[#Headers],0))=1,SubsidieTabel!$K79,0),0)</f>
        <v>0</v>
      </c>
      <c r="Q79" s="285">
        <f>IFERROR(IF(INDEX(Tb_Activiteiten[#All],MATCH(SubsidieTabel!$A79,Tb_Activiteiten[[#All],[Subsidiabele_Activiteit]],0),MATCH(SubsidieTabel!Q$1,Tb_Activiteiten[#Headers],0))=1,SubsidieTabel!$J79,0),0)</f>
        <v>0</v>
      </c>
      <c r="R79" s="285">
        <f>IFERROR(IF(INDEX(Tb_Activiteiten[#All],MATCH(SubsidieTabel!$A79,Tb_Activiteiten[[#All],[Subsidiabele_Activiteit]],0),MATCH(SubsidieTabel!R$1,Tb_Activiteiten[#Headers],0))=1,SubsidieTabel!$K79,0),0)</f>
        <v>0</v>
      </c>
      <c r="S79" s="285">
        <f>IFERROR(IF(INDEX(Tb_Activiteiten[#All],MATCH(SubsidieTabel!$A79,Tb_Activiteiten[[#All],[Subsidiabele_Activiteit]],0),MATCH(SubsidieTabel!S$1,Tb_Activiteiten[#Headers],0))=1,SubsidieTabel!$J79,0),0)</f>
        <v>0</v>
      </c>
      <c r="T79" s="285">
        <f>IFERROR(IF(INDEX(Tb_Activiteiten[#All],MATCH(SubsidieTabel!$A79,Tb_Activiteiten[[#All],[Subsidiabele_Activiteit]],0),MATCH(SubsidieTabel!T$1,Tb_Activiteiten[#Headers],0))=1,SubsidieTabel!$K79,0),0)</f>
        <v>0</v>
      </c>
      <c r="U79" s="285">
        <f>IFERROR(IF(INDEX(Tb_Activiteiten[#All],MATCH(SubsidieTabel!$A79,Tb_Activiteiten[[#All],[Subsidiabele_Activiteit]],0),MATCH(SubsidieTabel!U$1,Tb_Activiteiten[#Headers],0))=1,SubsidieTabel!$J79,0),0)</f>
        <v>0</v>
      </c>
      <c r="V79" s="285">
        <f>IFERROR(IF(INDEX(Tb_Activiteiten[#All],MATCH(SubsidieTabel!$A79,Tb_Activiteiten[[#All],[Subsidiabele_Activiteit]],0),MATCH(SubsidieTabel!V$1,Tb_Activiteiten[#Headers],0))=1,SubsidieTabel!$K79,0),0)</f>
        <v>0</v>
      </c>
      <c r="W79" s="64">
        <f>IFERROR(IF(INDEX(Tb_Activiteiten[#All],MATCH(SubsidieTabel!$A79,Tb_Activiteiten[[#All],[Subsidiabele_Activiteit]],0),MATCH(SubsidieTabel!Q$1,Tb_Activiteiten[#Headers],0))=1,H79,0),0)</f>
        <v>0</v>
      </c>
      <c r="X79" s="64">
        <f>IFERROR(IF(INDEX(Tb_Activiteiten[#All],MATCH(SubsidieTabel!$A79,Tb_Activiteiten[[#All],[Subsidiabele_Activiteit]],0),MATCH(SubsidieTabel!Q$1,Tb_Activiteiten[#Headers],0))=1,I79,0),0)</f>
        <v>0</v>
      </c>
      <c r="Y79" s="64">
        <f>IFERROR(IF(INDEX(Tb_Activiteiten[#All],MATCH(SubsidieTabel!$A79,Tb_Activiteiten[[#All],[Subsidiabele_Activiteit]],0),MATCH(SubsidieTabel!S$1,Tb_Activiteiten[#Headers],0))=1,H79,0),0)</f>
        <v>0</v>
      </c>
      <c r="Z79" s="64">
        <f>IFERROR(IF(INDEX(Tb_Activiteiten[#All],MATCH(SubsidieTabel!$A79,Tb_Activiteiten[[#All],[Subsidiabele_Activiteit]],0),MATCH(SubsidieTabel!S$1,Tb_Activiteiten[#Headers],0))=1,I79,0),0)</f>
        <v>0</v>
      </c>
      <c r="AA79" s="64">
        <f>IFERROR(IF(INDEX(Tb_Activiteiten[#All],MATCH(SubsidieTabel!$A79,Tb_Activiteiten[[#All],[Subsidiabele_Activiteit]],0),MATCH(SubsidieTabel!O$1,Tb_Activiteiten[#Headers],0))=1,$F79,0),0)</f>
        <v>0</v>
      </c>
      <c r="AB79" s="64">
        <f>IFERROR(IF(INDEX(Tb_Activiteiten[#All],MATCH(SubsidieTabel!$A79,Tb_Activiteiten[[#All],[Subsidiabele_Activiteit]],0),MATCH(SubsidieTabel!O$1,Tb_Activiteiten[#Headers],0))=1,$G79,0),0)</f>
        <v>0</v>
      </c>
    </row>
    <row r="80" spans="1:28" x14ac:dyDescent="0.25">
      <c r="A80" s="63"/>
      <c r="B80" s="63"/>
      <c r="C80" s="63" t="str">
        <f>IFERROR(VLOOKUP($B80,Tb_ProjectKosten[],4,0),"")</f>
        <v/>
      </c>
      <c r="D80" s="63" t="str" cm="1">
        <f t="array" ref="D80">IFERROR(INDEX(Tb_KostenOpties[],MATCH(B80,Tb_KostenOpties[KostenOptie],0),IFERROR(MATCH(Methode_Keuze,Tb_KostenOpties[#Headers],0),2)),"")</f>
        <v/>
      </c>
      <c r="E80" s="286">
        <f>IFERROR(VLOOKUP(B80,Tb_ProjectKosten[[#All],[KostenOmschrijving]:[Forfait_Percentage]],6,0),0)</f>
        <v>0</v>
      </c>
      <c r="F80" s="287">
        <f>SUMIFS('5. Kosten uitvoering project'!P:P,'5. Kosten uitvoering project'!E:E,SubsidieTabel!A80,'5. Kosten uitvoering project'!F:F,SubsidieTabel!B80)</f>
        <v>0</v>
      </c>
      <c r="G80" s="287">
        <f>SUMIFS('5. Kosten uitvoering project'!Q:Q,'5. Kosten uitvoering project'!E:E,SubsidieTabel!A80,'5. Kosten uitvoering project'!F:F,SubsidieTabel!B80)</f>
        <v>0</v>
      </c>
      <c r="H80" s="287">
        <f>SUMIFS('5. Kosten uitvoering project'!R:R,'5. Kosten uitvoering project'!E:E,SubsidieTabel!A80,'5. Kosten uitvoering project'!F:F,SubsidieTabel!B80)</f>
        <v>0</v>
      </c>
      <c r="I80" s="287">
        <f>SUMIFS('5. Kosten uitvoering project'!S:S,'5. Kosten uitvoering project'!E:E,SubsidieTabel!A80,'5. Kosten uitvoering project'!F:F,SubsidieTabel!B80)</f>
        <v>0</v>
      </c>
      <c r="J80" s="287">
        <f t="shared" si="9"/>
        <v>0</v>
      </c>
      <c r="K80" s="287">
        <f t="shared" si="10"/>
        <v>0</v>
      </c>
      <c r="L80" s="286" t="str">
        <f>IFERROR(VLOOKUP(A80,Lijsten!$AK:$AL,2,0),"")</f>
        <v/>
      </c>
      <c r="M80" s="287">
        <f t="shared" si="11"/>
        <v>0</v>
      </c>
      <c r="N80" s="287">
        <f t="shared" si="12"/>
        <v>0</v>
      </c>
      <c r="O80" s="287">
        <f>IFERROR(IF(INDEX(Tb_Activiteiten[#All],MATCH(SubsidieTabel!$A80,Tb_Activiteiten[[#All],[Subsidiabele_Activiteit]],0),MATCH(SubsidieTabel!O$1,Tb_Activiteiten[#Headers],0))=1,SubsidieTabel!$J80,0),0)</f>
        <v>0</v>
      </c>
      <c r="P80" s="287">
        <f>IFERROR(IF(INDEX(Tb_Activiteiten[#All],MATCH(SubsidieTabel!$A80,Tb_Activiteiten[[#All],[Subsidiabele_Activiteit]],0),MATCH(SubsidieTabel!P$1,Tb_Activiteiten[#Headers],0))=1,SubsidieTabel!$K80,0),0)</f>
        <v>0</v>
      </c>
      <c r="Q80" s="287">
        <f>IFERROR(IF(INDEX(Tb_Activiteiten[#All],MATCH(SubsidieTabel!$A80,Tb_Activiteiten[[#All],[Subsidiabele_Activiteit]],0),MATCH(SubsidieTabel!Q$1,Tb_Activiteiten[#Headers],0))=1,SubsidieTabel!$J80,0),0)</f>
        <v>0</v>
      </c>
      <c r="R80" s="287">
        <f>IFERROR(IF(INDEX(Tb_Activiteiten[#All],MATCH(SubsidieTabel!$A80,Tb_Activiteiten[[#All],[Subsidiabele_Activiteit]],0),MATCH(SubsidieTabel!R$1,Tb_Activiteiten[#Headers],0))=1,SubsidieTabel!$K80,0),0)</f>
        <v>0</v>
      </c>
      <c r="S80" s="287">
        <f>IFERROR(IF(INDEX(Tb_Activiteiten[#All],MATCH(SubsidieTabel!$A80,Tb_Activiteiten[[#All],[Subsidiabele_Activiteit]],0),MATCH(SubsidieTabel!S$1,Tb_Activiteiten[#Headers],0))=1,SubsidieTabel!$J80,0),0)</f>
        <v>0</v>
      </c>
      <c r="T80" s="287">
        <f>IFERROR(IF(INDEX(Tb_Activiteiten[#All],MATCH(SubsidieTabel!$A80,Tb_Activiteiten[[#All],[Subsidiabele_Activiteit]],0),MATCH(SubsidieTabel!T$1,Tb_Activiteiten[#Headers],0))=1,SubsidieTabel!$K80,0),0)</f>
        <v>0</v>
      </c>
      <c r="U80" s="287">
        <f>IFERROR(IF(INDEX(Tb_Activiteiten[#All],MATCH(SubsidieTabel!$A80,Tb_Activiteiten[[#All],[Subsidiabele_Activiteit]],0),MATCH(SubsidieTabel!U$1,Tb_Activiteiten[#Headers],0))=1,SubsidieTabel!$J80,0),0)</f>
        <v>0</v>
      </c>
      <c r="V80" s="287">
        <f>IFERROR(IF(INDEX(Tb_Activiteiten[#All],MATCH(SubsidieTabel!$A80,Tb_Activiteiten[[#All],[Subsidiabele_Activiteit]],0),MATCH(SubsidieTabel!V$1,Tb_Activiteiten[#Headers],0))=1,SubsidieTabel!$K80,0),0)</f>
        <v>0</v>
      </c>
      <c r="W80" s="374">
        <f>IFERROR(IF(INDEX(Tb_Activiteiten[#All],MATCH(SubsidieTabel!$A80,Tb_Activiteiten[[#All],[Subsidiabele_Activiteit]],0),MATCH(SubsidieTabel!Q$1,Tb_Activiteiten[#Headers],0))=1,H80,0),0)</f>
        <v>0</v>
      </c>
      <c r="X80" s="374">
        <f>IFERROR(IF(INDEX(Tb_Activiteiten[#All],MATCH(SubsidieTabel!$A80,Tb_Activiteiten[[#All],[Subsidiabele_Activiteit]],0),MATCH(SubsidieTabel!Q$1,Tb_Activiteiten[#Headers],0))=1,I80,0),0)</f>
        <v>0</v>
      </c>
      <c r="Y80" s="374">
        <f>IFERROR(IF(INDEX(Tb_Activiteiten[#All],MATCH(SubsidieTabel!$A80,Tb_Activiteiten[[#All],[Subsidiabele_Activiteit]],0),MATCH(SubsidieTabel!S$1,Tb_Activiteiten[#Headers],0))=1,H80,0),0)</f>
        <v>0</v>
      </c>
      <c r="Z80" s="374">
        <f>IFERROR(IF(INDEX(Tb_Activiteiten[#All],MATCH(SubsidieTabel!$A80,Tb_Activiteiten[[#All],[Subsidiabele_Activiteit]],0),MATCH(SubsidieTabel!S$1,Tb_Activiteiten[#Headers],0))=1,I80,0),0)</f>
        <v>0</v>
      </c>
      <c r="AA80" s="374">
        <f>IFERROR(IF(INDEX(Tb_Activiteiten[#All],MATCH(SubsidieTabel!$A80,Tb_Activiteiten[[#All],[Subsidiabele_Activiteit]],0),MATCH(SubsidieTabel!O$1,Tb_Activiteiten[#Headers],0))=1,$F80,0),0)</f>
        <v>0</v>
      </c>
      <c r="AB80" s="374">
        <f>IFERROR(IF(INDEX(Tb_Activiteiten[#All],MATCH(SubsidieTabel!$A80,Tb_Activiteiten[[#All],[Subsidiabele_Activiteit]],0),MATCH(SubsidieTabel!O$1,Tb_Activiteiten[#Headers],0))=1,$G80,0),0)</f>
        <v>0</v>
      </c>
    </row>
    <row r="81" spans="1:28" x14ac:dyDescent="0.25">
      <c r="A81" s="12"/>
      <c r="B81" s="12"/>
      <c r="C81" s="12" t="str">
        <f>IFERROR(VLOOKUP($B81,Tb_ProjectKosten[],4,0),"")</f>
        <v/>
      </c>
      <c r="D81" s="12" t="str" cm="1">
        <f t="array" ref="D81">IFERROR(INDEX(Tb_KostenOpties[],MATCH(B81,Tb_KostenOpties[KostenOptie],0),IFERROR(MATCH(Methode_Keuze,Tb_KostenOpties[#Headers],0),2)),"")</f>
        <v/>
      </c>
      <c r="E81" s="284">
        <f>IFERROR(VLOOKUP(B81,Tb_ProjectKosten[[#All],[KostenOmschrijving]:[Forfait_Percentage]],6,0),0)</f>
        <v>0</v>
      </c>
      <c r="F81" s="285">
        <f>SUMIFS('5. Kosten uitvoering project'!P:P,'5. Kosten uitvoering project'!E:E,SubsidieTabel!A81,'5. Kosten uitvoering project'!F:F,SubsidieTabel!B81)</f>
        <v>0</v>
      </c>
      <c r="G81" s="285">
        <f>SUMIFS('5. Kosten uitvoering project'!Q:Q,'5. Kosten uitvoering project'!E:E,SubsidieTabel!A81,'5. Kosten uitvoering project'!F:F,SubsidieTabel!B81)</f>
        <v>0</v>
      </c>
      <c r="H81" s="285">
        <f>SUMIFS('5. Kosten uitvoering project'!R:R,'5. Kosten uitvoering project'!E:E,SubsidieTabel!A81,'5. Kosten uitvoering project'!F:F,SubsidieTabel!B81)</f>
        <v>0</v>
      </c>
      <c r="I81" s="285">
        <f>SUMIFS('5. Kosten uitvoering project'!S:S,'5. Kosten uitvoering project'!E:E,SubsidieTabel!A81,'5. Kosten uitvoering project'!F:F,SubsidieTabel!B81)</f>
        <v>0</v>
      </c>
      <c r="J81" s="285">
        <f t="shared" si="9"/>
        <v>0</v>
      </c>
      <c r="K81" s="285">
        <f t="shared" si="10"/>
        <v>0</v>
      </c>
      <c r="L81" s="284" t="str">
        <f>IFERROR(VLOOKUP(A81,Lijsten!$AK:$AL,2,0),"")</f>
        <v/>
      </c>
      <c r="M81" s="285">
        <f t="shared" si="11"/>
        <v>0</v>
      </c>
      <c r="N81" s="285">
        <f t="shared" si="12"/>
        <v>0</v>
      </c>
      <c r="O81" s="285">
        <f>IFERROR(IF(INDEX(Tb_Activiteiten[#All],MATCH(SubsidieTabel!$A81,Tb_Activiteiten[[#All],[Subsidiabele_Activiteit]],0),MATCH(SubsidieTabel!O$1,Tb_Activiteiten[#Headers],0))=1,SubsidieTabel!$J81,0),0)</f>
        <v>0</v>
      </c>
      <c r="P81" s="285">
        <f>IFERROR(IF(INDEX(Tb_Activiteiten[#All],MATCH(SubsidieTabel!$A81,Tb_Activiteiten[[#All],[Subsidiabele_Activiteit]],0),MATCH(SubsidieTabel!P$1,Tb_Activiteiten[#Headers],0))=1,SubsidieTabel!$K81,0),0)</f>
        <v>0</v>
      </c>
      <c r="Q81" s="285">
        <f>IFERROR(IF(INDEX(Tb_Activiteiten[#All],MATCH(SubsidieTabel!$A81,Tb_Activiteiten[[#All],[Subsidiabele_Activiteit]],0),MATCH(SubsidieTabel!Q$1,Tb_Activiteiten[#Headers],0))=1,SubsidieTabel!$J81,0),0)</f>
        <v>0</v>
      </c>
      <c r="R81" s="285">
        <f>IFERROR(IF(INDEX(Tb_Activiteiten[#All],MATCH(SubsidieTabel!$A81,Tb_Activiteiten[[#All],[Subsidiabele_Activiteit]],0),MATCH(SubsidieTabel!R$1,Tb_Activiteiten[#Headers],0))=1,SubsidieTabel!$K81,0),0)</f>
        <v>0</v>
      </c>
      <c r="S81" s="285">
        <f>IFERROR(IF(INDEX(Tb_Activiteiten[#All],MATCH(SubsidieTabel!$A81,Tb_Activiteiten[[#All],[Subsidiabele_Activiteit]],0),MATCH(SubsidieTabel!S$1,Tb_Activiteiten[#Headers],0))=1,SubsidieTabel!$J81,0),0)</f>
        <v>0</v>
      </c>
      <c r="T81" s="285">
        <f>IFERROR(IF(INDEX(Tb_Activiteiten[#All],MATCH(SubsidieTabel!$A81,Tb_Activiteiten[[#All],[Subsidiabele_Activiteit]],0),MATCH(SubsidieTabel!T$1,Tb_Activiteiten[#Headers],0))=1,SubsidieTabel!$K81,0),0)</f>
        <v>0</v>
      </c>
      <c r="U81" s="285">
        <f>IFERROR(IF(INDEX(Tb_Activiteiten[#All],MATCH(SubsidieTabel!$A81,Tb_Activiteiten[[#All],[Subsidiabele_Activiteit]],0),MATCH(SubsidieTabel!U$1,Tb_Activiteiten[#Headers],0))=1,SubsidieTabel!$J81,0),0)</f>
        <v>0</v>
      </c>
      <c r="V81" s="285">
        <f>IFERROR(IF(INDEX(Tb_Activiteiten[#All],MATCH(SubsidieTabel!$A81,Tb_Activiteiten[[#All],[Subsidiabele_Activiteit]],0),MATCH(SubsidieTabel!V$1,Tb_Activiteiten[#Headers],0))=1,SubsidieTabel!$K81,0),0)</f>
        <v>0</v>
      </c>
      <c r="W81" s="64">
        <f>IFERROR(IF(INDEX(Tb_Activiteiten[#All],MATCH(SubsidieTabel!$A81,Tb_Activiteiten[[#All],[Subsidiabele_Activiteit]],0),MATCH(SubsidieTabel!Q$1,Tb_Activiteiten[#Headers],0))=1,H81,0),0)</f>
        <v>0</v>
      </c>
      <c r="X81" s="64">
        <f>IFERROR(IF(INDEX(Tb_Activiteiten[#All],MATCH(SubsidieTabel!$A81,Tb_Activiteiten[[#All],[Subsidiabele_Activiteit]],0),MATCH(SubsidieTabel!Q$1,Tb_Activiteiten[#Headers],0))=1,I81,0),0)</f>
        <v>0</v>
      </c>
      <c r="Y81" s="64">
        <f>IFERROR(IF(INDEX(Tb_Activiteiten[#All],MATCH(SubsidieTabel!$A81,Tb_Activiteiten[[#All],[Subsidiabele_Activiteit]],0),MATCH(SubsidieTabel!S$1,Tb_Activiteiten[#Headers],0))=1,H81,0),0)</f>
        <v>0</v>
      </c>
      <c r="Z81" s="64">
        <f>IFERROR(IF(INDEX(Tb_Activiteiten[#All],MATCH(SubsidieTabel!$A81,Tb_Activiteiten[[#All],[Subsidiabele_Activiteit]],0),MATCH(SubsidieTabel!S$1,Tb_Activiteiten[#Headers],0))=1,I81,0),0)</f>
        <v>0</v>
      </c>
      <c r="AA81" s="64">
        <f>IFERROR(IF(INDEX(Tb_Activiteiten[#All],MATCH(SubsidieTabel!$A81,Tb_Activiteiten[[#All],[Subsidiabele_Activiteit]],0),MATCH(SubsidieTabel!O$1,Tb_Activiteiten[#Headers],0))=1,$F81,0),0)</f>
        <v>0</v>
      </c>
      <c r="AB81" s="64">
        <f>IFERROR(IF(INDEX(Tb_Activiteiten[#All],MATCH(SubsidieTabel!$A81,Tb_Activiteiten[[#All],[Subsidiabele_Activiteit]],0),MATCH(SubsidieTabel!O$1,Tb_Activiteiten[#Headers],0))=1,$G81,0),0)</f>
        <v>0</v>
      </c>
    </row>
    <row r="82" spans="1:28" x14ac:dyDescent="0.25">
      <c r="A82" s="63"/>
      <c r="B82" s="63"/>
      <c r="C82" s="63" t="str">
        <f>IFERROR(VLOOKUP($B82,Tb_ProjectKosten[],4,0),"")</f>
        <v/>
      </c>
      <c r="D82" s="63" t="str" cm="1">
        <f t="array" ref="D82">IFERROR(INDEX(Tb_KostenOpties[],MATCH(B82,Tb_KostenOpties[KostenOptie],0),IFERROR(MATCH(Methode_Keuze,Tb_KostenOpties[#Headers],0),2)),"")</f>
        <v/>
      </c>
      <c r="E82" s="286">
        <f>IFERROR(VLOOKUP(B82,Tb_ProjectKosten[[#All],[KostenOmschrijving]:[Forfait_Percentage]],6,0),0)</f>
        <v>0</v>
      </c>
      <c r="F82" s="287">
        <f>SUMIFS('5. Kosten uitvoering project'!P:P,'5. Kosten uitvoering project'!E:E,SubsidieTabel!A82,'5. Kosten uitvoering project'!F:F,SubsidieTabel!B82)</f>
        <v>0</v>
      </c>
      <c r="G82" s="287">
        <f>SUMIFS('5. Kosten uitvoering project'!Q:Q,'5. Kosten uitvoering project'!E:E,SubsidieTabel!A82,'5. Kosten uitvoering project'!F:F,SubsidieTabel!B82)</f>
        <v>0</v>
      </c>
      <c r="H82" s="287">
        <f>SUMIFS('5. Kosten uitvoering project'!R:R,'5. Kosten uitvoering project'!E:E,SubsidieTabel!A82,'5. Kosten uitvoering project'!F:F,SubsidieTabel!B82)</f>
        <v>0</v>
      </c>
      <c r="I82" s="287">
        <f>SUMIFS('5. Kosten uitvoering project'!S:S,'5. Kosten uitvoering project'!E:E,SubsidieTabel!A82,'5. Kosten uitvoering project'!F:F,SubsidieTabel!B82)</f>
        <v>0</v>
      </c>
      <c r="J82" s="287">
        <f t="shared" si="9"/>
        <v>0</v>
      </c>
      <c r="K82" s="287">
        <f t="shared" si="10"/>
        <v>0</v>
      </c>
      <c r="L82" s="286" t="str">
        <f>IFERROR(VLOOKUP(A82,Lijsten!$AK:$AL,2,0),"")</f>
        <v/>
      </c>
      <c r="M82" s="287">
        <f t="shared" si="11"/>
        <v>0</v>
      </c>
      <c r="N82" s="287">
        <f t="shared" si="12"/>
        <v>0</v>
      </c>
      <c r="O82" s="287">
        <f>IFERROR(IF(INDEX(Tb_Activiteiten[#All],MATCH(SubsidieTabel!$A82,Tb_Activiteiten[[#All],[Subsidiabele_Activiteit]],0),MATCH(SubsidieTabel!O$1,Tb_Activiteiten[#Headers],0))=1,SubsidieTabel!$J82,0),0)</f>
        <v>0</v>
      </c>
      <c r="P82" s="287">
        <f>IFERROR(IF(INDEX(Tb_Activiteiten[#All],MATCH(SubsidieTabel!$A82,Tb_Activiteiten[[#All],[Subsidiabele_Activiteit]],0),MATCH(SubsidieTabel!P$1,Tb_Activiteiten[#Headers],0))=1,SubsidieTabel!$K82,0),0)</f>
        <v>0</v>
      </c>
      <c r="Q82" s="287">
        <f>IFERROR(IF(INDEX(Tb_Activiteiten[#All],MATCH(SubsidieTabel!$A82,Tb_Activiteiten[[#All],[Subsidiabele_Activiteit]],0),MATCH(SubsidieTabel!Q$1,Tb_Activiteiten[#Headers],0))=1,SubsidieTabel!$J82,0),0)</f>
        <v>0</v>
      </c>
      <c r="R82" s="287">
        <f>IFERROR(IF(INDEX(Tb_Activiteiten[#All],MATCH(SubsidieTabel!$A82,Tb_Activiteiten[[#All],[Subsidiabele_Activiteit]],0),MATCH(SubsidieTabel!R$1,Tb_Activiteiten[#Headers],0))=1,SubsidieTabel!$K82,0),0)</f>
        <v>0</v>
      </c>
      <c r="S82" s="287">
        <f>IFERROR(IF(INDEX(Tb_Activiteiten[#All],MATCH(SubsidieTabel!$A82,Tb_Activiteiten[[#All],[Subsidiabele_Activiteit]],0),MATCH(SubsidieTabel!S$1,Tb_Activiteiten[#Headers],0))=1,SubsidieTabel!$J82,0),0)</f>
        <v>0</v>
      </c>
      <c r="T82" s="287">
        <f>IFERROR(IF(INDEX(Tb_Activiteiten[#All],MATCH(SubsidieTabel!$A82,Tb_Activiteiten[[#All],[Subsidiabele_Activiteit]],0),MATCH(SubsidieTabel!T$1,Tb_Activiteiten[#Headers],0))=1,SubsidieTabel!$K82,0),0)</f>
        <v>0</v>
      </c>
      <c r="U82" s="287">
        <f>IFERROR(IF(INDEX(Tb_Activiteiten[#All],MATCH(SubsidieTabel!$A82,Tb_Activiteiten[[#All],[Subsidiabele_Activiteit]],0),MATCH(SubsidieTabel!U$1,Tb_Activiteiten[#Headers],0))=1,SubsidieTabel!$J82,0),0)</f>
        <v>0</v>
      </c>
      <c r="V82" s="287">
        <f>IFERROR(IF(INDEX(Tb_Activiteiten[#All],MATCH(SubsidieTabel!$A82,Tb_Activiteiten[[#All],[Subsidiabele_Activiteit]],0),MATCH(SubsidieTabel!V$1,Tb_Activiteiten[#Headers],0))=1,SubsidieTabel!$K82,0),0)</f>
        <v>0</v>
      </c>
      <c r="W82" s="374">
        <f>IFERROR(IF(INDEX(Tb_Activiteiten[#All],MATCH(SubsidieTabel!$A82,Tb_Activiteiten[[#All],[Subsidiabele_Activiteit]],0),MATCH(SubsidieTabel!Q$1,Tb_Activiteiten[#Headers],0))=1,H82,0),0)</f>
        <v>0</v>
      </c>
      <c r="X82" s="374">
        <f>IFERROR(IF(INDEX(Tb_Activiteiten[#All],MATCH(SubsidieTabel!$A82,Tb_Activiteiten[[#All],[Subsidiabele_Activiteit]],0),MATCH(SubsidieTabel!Q$1,Tb_Activiteiten[#Headers],0))=1,I82,0),0)</f>
        <v>0</v>
      </c>
      <c r="Y82" s="374">
        <f>IFERROR(IF(INDEX(Tb_Activiteiten[#All],MATCH(SubsidieTabel!$A82,Tb_Activiteiten[[#All],[Subsidiabele_Activiteit]],0),MATCH(SubsidieTabel!S$1,Tb_Activiteiten[#Headers],0))=1,H82,0),0)</f>
        <v>0</v>
      </c>
      <c r="Z82" s="374">
        <f>IFERROR(IF(INDEX(Tb_Activiteiten[#All],MATCH(SubsidieTabel!$A82,Tb_Activiteiten[[#All],[Subsidiabele_Activiteit]],0),MATCH(SubsidieTabel!S$1,Tb_Activiteiten[#Headers],0))=1,I82,0),0)</f>
        <v>0</v>
      </c>
      <c r="AA82" s="374">
        <f>IFERROR(IF(INDEX(Tb_Activiteiten[#All],MATCH(SubsidieTabel!$A82,Tb_Activiteiten[[#All],[Subsidiabele_Activiteit]],0),MATCH(SubsidieTabel!O$1,Tb_Activiteiten[#Headers],0))=1,$F82,0),0)</f>
        <v>0</v>
      </c>
      <c r="AB82" s="374">
        <f>IFERROR(IF(INDEX(Tb_Activiteiten[#All],MATCH(SubsidieTabel!$A82,Tb_Activiteiten[[#All],[Subsidiabele_Activiteit]],0),MATCH(SubsidieTabel!O$1,Tb_Activiteiten[#Headers],0))=1,$G82,0),0)</f>
        <v>0</v>
      </c>
    </row>
    <row r="83" spans="1:28" x14ac:dyDescent="0.25">
      <c r="A83" s="12"/>
      <c r="B83" s="12"/>
      <c r="C83" s="12" t="str">
        <f>IFERROR(VLOOKUP($B83,Tb_ProjectKosten[],4,0),"")</f>
        <v/>
      </c>
      <c r="D83" s="12" t="str" cm="1">
        <f t="array" ref="D83">IFERROR(INDEX(Tb_KostenOpties[],MATCH(B83,Tb_KostenOpties[KostenOptie],0),IFERROR(MATCH(Methode_Keuze,Tb_KostenOpties[#Headers],0),2)),"")</f>
        <v/>
      </c>
      <c r="E83" s="284">
        <f>IFERROR(VLOOKUP(B83,Tb_ProjectKosten[[#All],[KostenOmschrijving]:[Forfait_Percentage]],6,0),0)</f>
        <v>0</v>
      </c>
      <c r="F83" s="285">
        <f>SUMIFS('5. Kosten uitvoering project'!P:P,'5. Kosten uitvoering project'!E:E,SubsidieTabel!A83,'5. Kosten uitvoering project'!F:F,SubsidieTabel!B83)</f>
        <v>0</v>
      </c>
      <c r="G83" s="285">
        <f>SUMIFS('5. Kosten uitvoering project'!Q:Q,'5. Kosten uitvoering project'!E:E,SubsidieTabel!A83,'5. Kosten uitvoering project'!F:F,SubsidieTabel!B83)</f>
        <v>0</v>
      </c>
      <c r="H83" s="285">
        <f>SUMIFS('5. Kosten uitvoering project'!R:R,'5. Kosten uitvoering project'!E:E,SubsidieTabel!A83,'5. Kosten uitvoering project'!F:F,SubsidieTabel!B83)</f>
        <v>0</v>
      </c>
      <c r="I83" s="285">
        <f>SUMIFS('5. Kosten uitvoering project'!S:S,'5. Kosten uitvoering project'!E:E,SubsidieTabel!A83,'5. Kosten uitvoering project'!F:F,SubsidieTabel!B83)</f>
        <v>0</v>
      </c>
      <c r="J83" s="285">
        <f t="shared" si="9"/>
        <v>0</v>
      </c>
      <c r="K83" s="285">
        <f t="shared" si="10"/>
        <v>0</v>
      </c>
      <c r="L83" s="284" t="str">
        <f>IFERROR(VLOOKUP(A83,Lijsten!$AK:$AL,2,0),"")</f>
        <v/>
      </c>
      <c r="M83" s="285">
        <f t="shared" si="11"/>
        <v>0</v>
      </c>
      <c r="N83" s="285">
        <f t="shared" si="12"/>
        <v>0</v>
      </c>
      <c r="O83" s="285">
        <f>IFERROR(IF(INDEX(Tb_Activiteiten[#All],MATCH(SubsidieTabel!$A83,Tb_Activiteiten[[#All],[Subsidiabele_Activiteit]],0),MATCH(SubsidieTabel!O$1,Tb_Activiteiten[#Headers],0))=1,SubsidieTabel!$J83,0),0)</f>
        <v>0</v>
      </c>
      <c r="P83" s="285">
        <f>IFERROR(IF(INDEX(Tb_Activiteiten[#All],MATCH(SubsidieTabel!$A83,Tb_Activiteiten[[#All],[Subsidiabele_Activiteit]],0),MATCH(SubsidieTabel!P$1,Tb_Activiteiten[#Headers],0))=1,SubsidieTabel!$K83,0),0)</f>
        <v>0</v>
      </c>
      <c r="Q83" s="285">
        <f>IFERROR(IF(INDEX(Tb_Activiteiten[#All],MATCH(SubsidieTabel!$A83,Tb_Activiteiten[[#All],[Subsidiabele_Activiteit]],0),MATCH(SubsidieTabel!Q$1,Tb_Activiteiten[#Headers],0))=1,SubsidieTabel!$J83,0),0)</f>
        <v>0</v>
      </c>
      <c r="R83" s="285">
        <f>IFERROR(IF(INDEX(Tb_Activiteiten[#All],MATCH(SubsidieTabel!$A83,Tb_Activiteiten[[#All],[Subsidiabele_Activiteit]],0),MATCH(SubsidieTabel!R$1,Tb_Activiteiten[#Headers],0))=1,SubsidieTabel!$K83,0),0)</f>
        <v>0</v>
      </c>
      <c r="S83" s="285">
        <f>IFERROR(IF(INDEX(Tb_Activiteiten[#All],MATCH(SubsidieTabel!$A83,Tb_Activiteiten[[#All],[Subsidiabele_Activiteit]],0),MATCH(SubsidieTabel!S$1,Tb_Activiteiten[#Headers],0))=1,SubsidieTabel!$J83,0),0)</f>
        <v>0</v>
      </c>
      <c r="T83" s="285">
        <f>IFERROR(IF(INDEX(Tb_Activiteiten[#All],MATCH(SubsidieTabel!$A83,Tb_Activiteiten[[#All],[Subsidiabele_Activiteit]],0),MATCH(SubsidieTabel!T$1,Tb_Activiteiten[#Headers],0))=1,SubsidieTabel!$K83,0),0)</f>
        <v>0</v>
      </c>
      <c r="U83" s="285">
        <f>IFERROR(IF(INDEX(Tb_Activiteiten[#All],MATCH(SubsidieTabel!$A83,Tb_Activiteiten[[#All],[Subsidiabele_Activiteit]],0),MATCH(SubsidieTabel!U$1,Tb_Activiteiten[#Headers],0))=1,SubsidieTabel!$J83,0),0)</f>
        <v>0</v>
      </c>
      <c r="V83" s="285">
        <f>IFERROR(IF(INDEX(Tb_Activiteiten[#All],MATCH(SubsidieTabel!$A83,Tb_Activiteiten[[#All],[Subsidiabele_Activiteit]],0),MATCH(SubsidieTabel!V$1,Tb_Activiteiten[#Headers],0))=1,SubsidieTabel!$K83,0),0)</f>
        <v>0</v>
      </c>
      <c r="W83" s="64">
        <f>IFERROR(IF(INDEX(Tb_Activiteiten[#All],MATCH(SubsidieTabel!$A83,Tb_Activiteiten[[#All],[Subsidiabele_Activiteit]],0),MATCH(SubsidieTabel!Q$1,Tb_Activiteiten[#Headers],0))=1,H83,0),0)</f>
        <v>0</v>
      </c>
      <c r="X83" s="64">
        <f>IFERROR(IF(INDEX(Tb_Activiteiten[#All],MATCH(SubsidieTabel!$A83,Tb_Activiteiten[[#All],[Subsidiabele_Activiteit]],0),MATCH(SubsidieTabel!Q$1,Tb_Activiteiten[#Headers],0))=1,I83,0),0)</f>
        <v>0</v>
      </c>
      <c r="Y83" s="64">
        <f>IFERROR(IF(INDEX(Tb_Activiteiten[#All],MATCH(SubsidieTabel!$A83,Tb_Activiteiten[[#All],[Subsidiabele_Activiteit]],0),MATCH(SubsidieTabel!S$1,Tb_Activiteiten[#Headers],0))=1,H83,0),0)</f>
        <v>0</v>
      </c>
      <c r="Z83" s="64">
        <f>IFERROR(IF(INDEX(Tb_Activiteiten[#All],MATCH(SubsidieTabel!$A83,Tb_Activiteiten[[#All],[Subsidiabele_Activiteit]],0),MATCH(SubsidieTabel!S$1,Tb_Activiteiten[#Headers],0))=1,I83,0),0)</f>
        <v>0</v>
      </c>
      <c r="AA83" s="64">
        <f>IFERROR(IF(INDEX(Tb_Activiteiten[#All],MATCH(SubsidieTabel!$A83,Tb_Activiteiten[[#All],[Subsidiabele_Activiteit]],0),MATCH(SubsidieTabel!O$1,Tb_Activiteiten[#Headers],0))=1,$F83,0),0)</f>
        <v>0</v>
      </c>
      <c r="AB83" s="64">
        <f>IFERROR(IF(INDEX(Tb_Activiteiten[#All],MATCH(SubsidieTabel!$A83,Tb_Activiteiten[[#All],[Subsidiabele_Activiteit]],0),MATCH(SubsidieTabel!O$1,Tb_Activiteiten[#Headers],0))=1,$G83,0),0)</f>
        <v>0</v>
      </c>
    </row>
    <row r="84" spans="1:28" x14ac:dyDescent="0.25">
      <c r="A84" s="63"/>
      <c r="B84" s="63"/>
      <c r="C84" s="63" t="str">
        <f>IFERROR(VLOOKUP($B84,Tb_ProjectKosten[],4,0),"")</f>
        <v/>
      </c>
      <c r="D84" s="63" t="str" cm="1">
        <f t="array" ref="D84">IFERROR(INDEX(Tb_KostenOpties[],MATCH(B84,Tb_KostenOpties[KostenOptie],0),IFERROR(MATCH(Methode_Keuze,Tb_KostenOpties[#Headers],0),2)),"")</f>
        <v/>
      </c>
      <c r="E84" s="286">
        <f>IFERROR(VLOOKUP(B84,Tb_ProjectKosten[[#All],[KostenOmschrijving]:[Forfait_Percentage]],6,0),0)</f>
        <v>0</v>
      </c>
      <c r="F84" s="287">
        <f>SUMIFS('5. Kosten uitvoering project'!P:P,'5. Kosten uitvoering project'!E:E,SubsidieTabel!A84,'5. Kosten uitvoering project'!F:F,SubsidieTabel!B84)</f>
        <v>0</v>
      </c>
      <c r="G84" s="287">
        <f>SUMIFS('5. Kosten uitvoering project'!Q:Q,'5. Kosten uitvoering project'!E:E,SubsidieTabel!A84,'5. Kosten uitvoering project'!F:F,SubsidieTabel!B84)</f>
        <v>0</v>
      </c>
      <c r="H84" s="287">
        <f>SUMIFS('5. Kosten uitvoering project'!R:R,'5. Kosten uitvoering project'!E:E,SubsidieTabel!A84,'5. Kosten uitvoering project'!F:F,SubsidieTabel!B84)</f>
        <v>0</v>
      </c>
      <c r="I84" s="287">
        <f>SUMIFS('5. Kosten uitvoering project'!S:S,'5. Kosten uitvoering project'!E:E,SubsidieTabel!A84,'5. Kosten uitvoering project'!F:F,SubsidieTabel!B84)</f>
        <v>0</v>
      </c>
      <c r="J84" s="287">
        <f t="shared" si="9"/>
        <v>0</v>
      </c>
      <c r="K84" s="287">
        <f t="shared" si="10"/>
        <v>0</v>
      </c>
      <c r="L84" s="286" t="str">
        <f>IFERROR(VLOOKUP(A84,Lijsten!$AK:$AL,2,0),"")</f>
        <v/>
      </c>
      <c r="M84" s="287">
        <f t="shared" si="11"/>
        <v>0</v>
      </c>
      <c r="N84" s="287">
        <f t="shared" si="12"/>
        <v>0</v>
      </c>
      <c r="O84" s="287">
        <f>IFERROR(IF(INDEX(Tb_Activiteiten[#All],MATCH(SubsidieTabel!$A84,Tb_Activiteiten[[#All],[Subsidiabele_Activiteit]],0),MATCH(SubsidieTabel!O$1,Tb_Activiteiten[#Headers],0))=1,SubsidieTabel!$J84,0),0)</f>
        <v>0</v>
      </c>
      <c r="P84" s="287">
        <f>IFERROR(IF(INDEX(Tb_Activiteiten[#All],MATCH(SubsidieTabel!$A84,Tb_Activiteiten[[#All],[Subsidiabele_Activiteit]],0),MATCH(SubsidieTabel!P$1,Tb_Activiteiten[#Headers],0))=1,SubsidieTabel!$K84,0),0)</f>
        <v>0</v>
      </c>
      <c r="Q84" s="287">
        <f>IFERROR(IF(INDEX(Tb_Activiteiten[#All],MATCH(SubsidieTabel!$A84,Tb_Activiteiten[[#All],[Subsidiabele_Activiteit]],0),MATCH(SubsidieTabel!Q$1,Tb_Activiteiten[#Headers],0))=1,SubsidieTabel!$J84,0),0)</f>
        <v>0</v>
      </c>
      <c r="R84" s="287">
        <f>IFERROR(IF(INDEX(Tb_Activiteiten[#All],MATCH(SubsidieTabel!$A84,Tb_Activiteiten[[#All],[Subsidiabele_Activiteit]],0),MATCH(SubsidieTabel!R$1,Tb_Activiteiten[#Headers],0))=1,SubsidieTabel!$K84,0),0)</f>
        <v>0</v>
      </c>
      <c r="S84" s="287">
        <f>IFERROR(IF(INDEX(Tb_Activiteiten[#All],MATCH(SubsidieTabel!$A84,Tb_Activiteiten[[#All],[Subsidiabele_Activiteit]],0),MATCH(SubsidieTabel!S$1,Tb_Activiteiten[#Headers],0))=1,SubsidieTabel!$J84,0),0)</f>
        <v>0</v>
      </c>
      <c r="T84" s="287">
        <f>IFERROR(IF(INDEX(Tb_Activiteiten[#All],MATCH(SubsidieTabel!$A84,Tb_Activiteiten[[#All],[Subsidiabele_Activiteit]],0),MATCH(SubsidieTabel!T$1,Tb_Activiteiten[#Headers],0))=1,SubsidieTabel!$K84,0),0)</f>
        <v>0</v>
      </c>
      <c r="U84" s="287">
        <f>IFERROR(IF(INDEX(Tb_Activiteiten[#All],MATCH(SubsidieTabel!$A84,Tb_Activiteiten[[#All],[Subsidiabele_Activiteit]],0),MATCH(SubsidieTabel!U$1,Tb_Activiteiten[#Headers],0))=1,SubsidieTabel!$J84,0),0)</f>
        <v>0</v>
      </c>
      <c r="V84" s="287">
        <f>IFERROR(IF(INDEX(Tb_Activiteiten[#All],MATCH(SubsidieTabel!$A84,Tb_Activiteiten[[#All],[Subsidiabele_Activiteit]],0),MATCH(SubsidieTabel!V$1,Tb_Activiteiten[#Headers],0))=1,SubsidieTabel!$K84,0),0)</f>
        <v>0</v>
      </c>
      <c r="W84" s="374">
        <f>IFERROR(IF(INDEX(Tb_Activiteiten[#All],MATCH(SubsidieTabel!$A84,Tb_Activiteiten[[#All],[Subsidiabele_Activiteit]],0),MATCH(SubsidieTabel!Q$1,Tb_Activiteiten[#Headers],0))=1,H84,0),0)</f>
        <v>0</v>
      </c>
      <c r="X84" s="374">
        <f>IFERROR(IF(INDEX(Tb_Activiteiten[#All],MATCH(SubsidieTabel!$A84,Tb_Activiteiten[[#All],[Subsidiabele_Activiteit]],0),MATCH(SubsidieTabel!Q$1,Tb_Activiteiten[#Headers],0))=1,I84,0),0)</f>
        <v>0</v>
      </c>
      <c r="Y84" s="374">
        <f>IFERROR(IF(INDEX(Tb_Activiteiten[#All],MATCH(SubsidieTabel!$A84,Tb_Activiteiten[[#All],[Subsidiabele_Activiteit]],0),MATCH(SubsidieTabel!S$1,Tb_Activiteiten[#Headers],0))=1,H84,0),0)</f>
        <v>0</v>
      </c>
      <c r="Z84" s="374">
        <f>IFERROR(IF(INDEX(Tb_Activiteiten[#All],MATCH(SubsidieTabel!$A84,Tb_Activiteiten[[#All],[Subsidiabele_Activiteit]],0),MATCH(SubsidieTabel!S$1,Tb_Activiteiten[#Headers],0))=1,I84,0),0)</f>
        <v>0</v>
      </c>
      <c r="AA84" s="374">
        <f>IFERROR(IF(INDEX(Tb_Activiteiten[#All],MATCH(SubsidieTabel!$A84,Tb_Activiteiten[[#All],[Subsidiabele_Activiteit]],0),MATCH(SubsidieTabel!O$1,Tb_Activiteiten[#Headers],0))=1,$F84,0),0)</f>
        <v>0</v>
      </c>
      <c r="AB84" s="374">
        <f>IFERROR(IF(INDEX(Tb_Activiteiten[#All],MATCH(SubsidieTabel!$A84,Tb_Activiteiten[[#All],[Subsidiabele_Activiteit]],0),MATCH(SubsidieTabel!O$1,Tb_Activiteiten[#Headers],0))=1,$G84,0),0)</f>
        <v>0</v>
      </c>
    </row>
    <row r="85" spans="1:28" x14ac:dyDescent="0.25">
      <c r="A85" s="12"/>
      <c r="B85" s="12"/>
      <c r="C85" s="12" t="str">
        <f>IFERROR(VLOOKUP($B85,Tb_ProjectKosten[],4,0),"")</f>
        <v/>
      </c>
      <c r="D85" s="12" t="str" cm="1">
        <f t="array" ref="D85">IFERROR(INDEX(Tb_KostenOpties[],MATCH(B85,Tb_KostenOpties[KostenOptie],0),IFERROR(MATCH(Methode_Keuze,Tb_KostenOpties[#Headers],0),2)),"")</f>
        <v/>
      </c>
      <c r="E85" s="284">
        <f>IFERROR(VLOOKUP(B85,Tb_ProjectKosten[[#All],[KostenOmschrijving]:[Forfait_Percentage]],6,0),0)</f>
        <v>0</v>
      </c>
      <c r="F85" s="285">
        <f>SUMIFS('5. Kosten uitvoering project'!P:P,'5. Kosten uitvoering project'!E:E,SubsidieTabel!A85,'5. Kosten uitvoering project'!F:F,SubsidieTabel!B85)</f>
        <v>0</v>
      </c>
      <c r="G85" s="285">
        <f>SUMIFS('5. Kosten uitvoering project'!Q:Q,'5. Kosten uitvoering project'!E:E,SubsidieTabel!A85,'5. Kosten uitvoering project'!F:F,SubsidieTabel!B85)</f>
        <v>0</v>
      </c>
      <c r="H85" s="285">
        <f>SUMIFS('5. Kosten uitvoering project'!R:R,'5. Kosten uitvoering project'!E:E,SubsidieTabel!A85,'5. Kosten uitvoering project'!F:F,SubsidieTabel!B85)</f>
        <v>0</v>
      </c>
      <c r="I85" s="285">
        <f>SUMIFS('5. Kosten uitvoering project'!S:S,'5. Kosten uitvoering project'!E:E,SubsidieTabel!A85,'5. Kosten uitvoering project'!F:F,SubsidieTabel!B85)</f>
        <v>0</v>
      </c>
      <c r="J85" s="285">
        <f t="shared" si="9"/>
        <v>0</v>
      </c>
      <c r="K85" s="285">
        <f t="shared" si="10"/>
        <v>0</v>
      </c>
      <c r="L85" s="284" t="str">
        <f>IFERROR(VLOOKUP(A85,Lijsten!$AK:$AL,2,0),"")</f>
        <v/>
      </c>
      <c r="M85" s="285">
        <f t="shared" si="11"/>
        <v>0</v>
      </c>
      <c r="N85" s="285">
        <f t="shared" si="12"/>
        <v>0</v>
      </c>
      <c r="O85" s="285">
        <f>IFERROR(IF(INDEX(Tb_Activiteiten[#All],MATCH(SubsidieTabel!$A85,Tb_Activiteiten[[#All],[Subsidiabele_Activiteit]],0),MATCH(SubsidieTabel!O$1,Tb_Activiteiten[#Headers],0))=1,SubsidieTabel!$J85,0),0)</f>
        <v>0</v>
      </c>
      <c r="P85" s="285">
        <f>IFERROR(IF(INDEX(Tb_Activiteiten[#All],MATCH(SubsidieTabel!$A85,Tb_Activiteiten[[#All],[Subsidiabele_Activiteit]],0),MATCH(SubsidieTabel!P$1,Tb_Activiteiten[#Headers],0))=1,SubsidieTabel!$K85,0),0)</f>
        <v>0</v>
      </c>
      <c r="Q85" s="285">
        <f>IFERROR(IF(INDEX(Tb_Activiteiten[#All],MATCH(SubsidieTabel!$A85,Tb_Activiteiten[[#All],[Subsidiabele_Activiteit]],0),MATCH(SubsidieTabel!Q$1,Tb_Activiteiten[#Headers],0))=1,SubsidieTabel!$J85,0),0)</f>
        <v>0</v>
      </c>
      <c r="R85" s="285">
        <f>IFERROR(IF(INDEX(Tb_Activiteiten[#All],MATCH(SubsidieTabel!$A85,Tb_Activiteiten[[#All],[Subsidiabele_Activiteit]],0),MATCH(SubsidieTabel!R$1,Tb_Activiteiten[#Headers],0))=1,SubsidieTabel!$K85,0),0)</f>
        <v>0</v>
      </c>
      <c r="S85" s="285">
        <f>IFERROR(IF(INDEX(Tb_Activiteiten[#All],MATCH(SubsidieTabel!$A85,Tb_Activiteiten[[#All],[Subsidiabele_Activiteit]],0),MATCH(SubsidieTabel!S$1,Tb_Activiteiten[#Headers],0))=1,SubsidieTabel!$J85,0),0)</f>
        <v>0</v>
      </c>
      <c r="T85" s="285">
        <f>IFERROR(IF(INDEX(Tb_Activiteiten[#All],MATCH(SubsidieTabel!$A85,Tb_Activiteiten[[#All],[Subsidiabele_Activiteit]],0),MATCH(SubsidieTabel!T$1,Tb_Activiteiten[#Headers],0))=1,SubsidieTabel!$K85,0),0)</f>
        <v>0</v>
      </c>
      <c r="U85" s="285">
        <f>IFERROR(IF(INDEX(Tb_Activiteiten[#All],MATCH(SubsidieTabel!$A85,Tb_Activiteiten[[#All],[Subsidiabele_Activiteit]],0),MATCH(SubsidieTabel!U$1,Tb_Activiteiten[#Headers],0))=1,SubsidieTabel!$J85,0),0)</f>
        <v>0</v>
      </c>
      <c r="V85" s="285">
        <f>IFERROR(IF(INDEX(Tb_Activiteiten[#All],MATCH(SubsidieTabel!$A85,Tb_Activiteiten[[#All],[Subsidiabele_Activiteit]],0),MATCH(SubsidieTabel!V$1,Tb_Activiteiten[#Headers],0))=1,SubsidieTabel!$K85,0),0)</f>
        <v>0</v>
      </c>
      <c r="W85" s="64">
        <f>IFERROR(IF(INDEX(Tb_Activiteiten[#All],MATCH(SubsidieTabel!$A85,Tb_Activiteiten[[#All],[Subsidiabele_Activiteit]],0),MATCH(SubsidieTabel!Q$1,Tb_Activiteiten[#Headers],0))=1,H85,0),0)</f>
        <v>0</v>
      </c>
      <c r="X85" s="64">
        <f>IFERROR(IF(INDEX(Tb_Activiteiten[#All],MATCH(SubsidieTabel!$A85,Tb_Activiteiten[[#All],[Subsidiabele_Activiteit]],0),MATCH(SubsidieTabel!Q$1,Tb_Activiteiten[#Headers],0))=1,I85,0),0)</f>
        <v>0</v>
      </c>
      <c r="Y85" s="64">
        <f>IFERROR(IF(INDEX(Tb_Activiteiten[#All],MATCH(SubsidieTabel!$A85,Tb_Activiteiten[[#All],[Subsidiabele_Activiteit]],0),MATCH(SubsidieTabel!S$1,Tb_Activiteiten[#Headers],0))=1,H85,0),0)</f>
        <v>0</v>
      </c>
      <c r="Z85" s="64">
        <f>IFERROR(IF(INDEX(Tb_Activiteiten[#All],MATCH(SubsidieTabel!$A85,Tb_Activiteiten[[#All],[Subsidiabele_Activiteit]],0),MATCH(SubsidieTabel!S$1,Tb_Activiteiten[#Headers],0))=1,I85,0),0)</f>
        <v>0</v>
      </c>
      <c r="AA85" s="64">
        <f>IFERROR(IF(INDEX(Tb_Activiteiten[#All],MATCH(SubsidieTabel!$A85,Tb_Activiteiten[[#All],[Subsidiabele_Activiteit]],0),MATCH(SubsidieTabel!O$1,Tb_Activiteiten[#Headers],0))=1,$F85,0),0)</f>
        <v>0</v>
      </c>
      <c r="AB85" s="64">
        <f>IFERROR(IF(INDEX(Tb_Activiteiten[#All],MATCH(SubsidieTabel!$A85,Tb_Activiteiten[[#All],[Subsidiabele_Activiteit]],0),MATCH(SubsidieTabel!O$1,Tb_Activiteiten[#Headers],0))=1,$G85,0),0)</f>
        <v>0</v>
      </c>
    </row>
    <row r="86" spans="1:28" x14ac:dyDescent="0.25">
      <c r="A86" s="63"/>
      <c r="B86" s="63"/>
      <c r="C86" s="63" t="str">
        <f>IFERROR(VLOOKUP($B86,Tb_ProjectKosten[],4,0),"")</f>
        <v/>
      </c>
      <c r="D86" s="63" t="str" cm="1">
        <f t="array" ref="D86">IFERROR(INDEX(Tb_KostenOpties[],MATCH(B86,Tb_KostenOpties[KostenOptie],0),IFERROR(MATCH(Methode_Keuze,Tb_KostenOpties[#Headers],0),2)),"")</f>
        <v/>
      </c>
      <c r="E86" s="286">
        <f>IFERROR(VLOOKUP(B86,Tb_ProjectKosten[[#All],[KostenOmschrijving]:[Forfait_Percentage]],6,0),0)</f>
        <v>0</v>
      </c>
      <c r="F86" s="287">
        <f>SUMIFS('5. Kosten uitvoering project'!P:P,'5. Kosten uitvoering project'!E:E,SubsidieTabel!A86,'5. Kosten uitvoering project'!F:F,SubsidieTabel!B86)</f>
        <v>0</v>
      </c>
      <c r="G86" s="287">
        <f>SUMIFS('5. Kosten uitvoering project'!Q:Q,'5. Kosten uitvoering project'!E:E,SubsidieTabel!A86,'5. Kosten uitvoering project'!F:F,SubsidieTabel!B86)</f>
        <v>0</v>
      </c>
      <c r="H86" s="287">
        <f>SUMIFS('5. Kosten uitvoering project'!R:R,'5. Kosten uitvoering project'!E:E,SubsidieTabel!A86,'5. Kosten uitvoering project'!F:F,SubsidieTabel!B86)</f>
        <v>0</v>
      </c>
      <c r="I86" s="287">
        <f>SUMIFS('5. Kosten uitvoering project'!S:S,'5. Kosten uitvoering project'!E:E,SubsidieTabel!A86,'5. Kosten uitvoering project'!F:F,SubsidieTabel!B86)</f>
        <v>0</v>
      </c>
      <c r="J86" s="287">
        <f t="shared" si="9"/>
        <v>0</v>
      </c>
      <c r="K86" s="287">
        <f t="shared" si="10"/>
        <v>0</v>
      </c>
      <c r="L86" s="286" t="str">
        <f>IFERROR(VLOOKUP(A86,Lijsten!$AK:$AL,2,0),"")</f>
        <v/>
      </c>
      <c r="M86" s="287">
        <f t="shared" si="11"/>
        <v>0</v>
      </c>
      <c r="N86" s="287">
        <f t="shared" si="12"/>
        <v>0</v>
      </c>
      <c r="O86" s="287">
        <f>IFERROR(IF(INDEX(Tb_Activiteiten[#All],MATCH(SubsidieTabel!$A86,Tb_Activiteiten[[#All],[Subsidiabele_Activiteit]],0),MATCH(SubsidieTabel!O$1,Tb_Activiteiten[#Headers],0))=1,SubsidieTabel!$J86,0),0)</f>
        <v>0</v>
      </c>
      <c r="P86" s="287">
        <f>IFERROR(IF(INDEX(Tb_Activiteiten[#All],MATCH(SubsidieTabel!$A86,Tb_Activiteiten[[#All],[Subsidiabele_Activiteit]],0),MATCH(SubsidieTabel!P$1,Tb_Activiteiten[#Headers],0))=1,SubsidieTabel!$K86,0),0)</f>
        <v>0</v>
      </c>
      <c r="Q86" s="287">
        <f>IFERROR(IF(INDEX(Tb_Activiteiten[#All],MATCH(SubsidieTabel!$A86,Tb_Activiteiten[[#All],[Subsidiabele_Activiteit]],0),MATCH(SubsidieTabel!Q$1,Tb_Activiteiten[#Headers],0))=1,SubsidieTabel!$J86,0),0)</f>
        <v>0</v>
      </c>
      <c r="R86" s="287">
        <f>IFERROR(IF(INDEX(Tb_Activiteiten[#All],MATCH(SubsidieTabel!$A86,Tb_Activiteiten[[#All],[Subsidiabele_Activiteit]],0),MATCH(SubsidieTabel!R$1,Tb_Activiteiten[#Headers],0))=1,SubsidieTabel!$K86,0),0)</f>
        <v>0</v>
      </c>
      <c r="S86" s="287">
        <f>IFERROR(IF(INDEX(Tb_Activiteiten[#All],MATCH(SubsidieTabel!$A86,Tb_Activiteiten[[#All],[Subsidiabele_Activiteit]],0),MATCH(SubsidieTabel!S$1,Tb_Activiteiten[#Headers],0))=1,SubsidieTabel!$J86,0),0)</f>
        <v>0</v>
      </c>
      <c r="T86" s="287">
        <f>IFERROR(IF(INDEX(Tb_Activiteiten[#All],MATCH(SubsidieTabel!$A86,Tb_Activiteiten[[#All],[Subsidiabele_Activiteit]],0),MATCH(SubsidieTabel!T$1,Tb_Activiteiten[#Headers],0))=1,SubsidieTabel!$K86,0),0)</f>
        <v>0</v>
      </c>
      <c r="U86" s="287">
        <f>IFERROR(IF(INDEX(Tb_Activiteiten[#All],MATCH(SubsidieTabel!$A86,Tb_Activiteiten[[#All],[Subsidiabele_Activiteit]],0),MATCH(SubsidieTabel!U$1,Tb_Activiteiten[#Headers],0))=1,SubsidieTabel!$J86,0),0)</f>
        <v>0</v>
      </c>
      <c r="V86" s="287">
        <f>IFERROR(IF(INDEX(Tb_Activiteiten[#All],MATCH(SubsidieTabel!$A86,Tb_Activiteiten[[#All],[Subsidiabele_Activiteit]],0),MATCH(SubsidieTabel!V$1,Tb_Activiteiten[#Headers],0))=1,SubsidieTabel!$K86,0),0)</f>
        <v>0</v>
      </c>
      <c r="W86" s="374">
        <f>IFERROR(IF(INDEX(Tb_Activiteiten[#All],MATCH(SubsidieTabel!$A86,Tb_Activiteiten[[#All],[Subsidiabele_Activiteit]],0),MATCH(SubsidieTabel!Q$1,Tb_Activiteiten[#Headers],0))=1,H86,0),0)</f>
        <v>0</v>
      </c>
      <c r="X86" s="374">
        <f>IFERROR(IF(INDEX(Tb_Activiteiten[#All],MATCH(SubsidieTabel!$A86,Tb_Activiteiten[[#All],[Subsidiabele_Activiteit]],0),MATCH(SubsidieTabel!Q$1,Tb_Activiteiten[#Headers],0))=1,I86,0),0)</f>
        <v>0</v>
      </c>
      <c r="Y86" s="374">
        <f>IFERROR(IF(INDEX(Tb_Activiteiten[#All],MATCH(SubsidieTabel!$A86,Tb_Activiteiten[[#All],[Subsidiabele_Activiteit]],0),MATCH(SubsidieTabel!S$1,Tb_Activiteiten[#Headers],0))=1,H86,0),0)</f>
        <v>0</v>
      </c>
      <c r="Z86" s="374">
        <f>IFERROR(IF(INDEX(Tb_Activiteiten[#All],MATCH(SubsidieTabel!$A86,Tb_Activiteiten[[#All],[Subsidiabele_Activiteit]],0),MATCH(SubsidieTabel!S$1,Tb_Activiteiten[#Headers],0))=1,I86,0),0)</f>
        <v>0</v>
      </c>
      <c r="AA86" s="374">
        <f>IFERROR(IF(INDEX(Tb_Activiteiten[#All],MATCH(SubsidieTabel!$A86,Tb_Activiteiten[[#All],[Subsidiabele_Activiteit]],0),MATCH(SubsidieTabel!O$1,Tb_Activiteiten[#Headers],0))=1,$F86,0),0)</f>
        <v>0</v>
      </c>
      <c r="AB86" s="374">
        <f>IFERROR(IF(INDEX(Tb_Activiteiten[#All],MATCH(SubsidieTabel!$A86,Tb_Activiteiten[[#All],[Subsidiabele_Activiteit]],0),MATCH(SubsidieTabel!O$1,Tb_Activiteiten[#Headers],0))=1,$G86,0),0)</f>
        <v>0</v>
      </c>
    </row>
    <row r="87" spans="1:28" x14ac:dyDescent="0.25">
      <c r="A87" s="12"/>
      <c r="B87" s="12"/>
      <c r="C87" s="12" t="str">
        <f>IFERROR(VLOOKUP($B87,Tb_ProjectKosten[],4,0),"")</f>
        <v/>
      </c>
      <c r="D87" s="12" t="str" cm="1">
        <f t="array" ref="D87">IFERROR(INDEX(Tb_KostenOpties[],MATCH(B87,Tb_KostenOpties[KostenOptie],0),IFERROR(MATCH(Methode_Keuze,Tb_KostenOpties[#Headers],0),2)),"")</f>
        <v/>
      </c>
      <c r="E87" s="284">
        <f>IFERROR(VLOOKUP(B87,Tb_ProjectKosten[[#All],[KostenOmschrijving]:[Forfait_Percentage]],6,0),0)</f>
        <v>0</v>
      </c>
      <c r="F87" s="285">
        <f>SUMIFS('5. Kosten uitvoering project'!P:P,'5. Kosten uitvoering project'!E:E,SubsidieTabel!A87,'5. Kosten uitvoering project'!F:F,SubsidieTabel!B87)</f>
        <v>0</v>
      </c>
      <c r="G87" s="285">
        <f>SUMIFS('5. Kosten uitvoering project'!Q:Q,'5. Kosten uitvoering project'!E:E,SubsidieTabel!A87,'5. Kosten uitvoering project'!F:F,SubsidieTabel!B87)</f>
        <v>0</v>
      </c>
      <c r="H87" s="285">
        <f>SUMIFS('5. Kosten uitvoering project'!R:R,'5. Kosten uitvoering project'!E:E,SubsidieTabel!A87,'5. Kosten uitvoering project'!F:F,SubsidieTabel!B87)</f>
        <v>0</v>
      </c>
      <c r="I87" s="285">
        <f>SUMIFS('5. Kosten uitvoering project'!S:S,'5. Kosten uitvoering project'!E:E,SubsidieTabel!A87,'5. Kosten uitvoering project'!F:F,SubsidieTabel!B87)</f>
        <v>0</v>
      </c>
      <c r="J87" s="285">
        <f t="shared" si="9"/>
        <v>0</v>
      </c>
      <c r="K87" s="285">
        <f t="shared" si="10"/>
        <v>0</v>
      </c>
      <c r="L87" s="284" t="str">
        <f>IFERROR(VLOOKUP(A87,Lijsten!$AK:$AL,2,0),"")</f>
        <v/>
      </c>
      <c r="M87" s="285">
        <f t="shared" si="11"/>
        <v>0</v>
      </c>
      <c r="N87" s="285">
        <f t="shared" si="12"/>
        <v>0</v>
      </c>
      <c r="O87" s="285">
        <f>IFERROR(IF(INDEX(Tb_Activiteiten[#All],MATCH(SubsidieTabel!$A87,Tb_Activiteiten[[#All],[Subsidiabele_Activiteit]],0),MATCH(SubsidieTabel!O$1,Tb_Activiteiten[#Headers],0))=1,SubsidieTabel!$J87,0),0)</f>
        <v>0</v>
      </c>
      <c r="P87" s="285">
        <f>IFERROR(IF(INDEX(Tb_Activiteiten[#All],MATCH(SubsidieTabel!$A87,Tb_Activiteiten[[#All],[Subsidiabele_Activiteit]],0),MATCH(SubsidieTabel!P$1,Tb_Activiteiten[#Headers],0))=1,SubsidieTabel!$K87,0),0)</f>
        <v>0</v>
      </c>
      <c r="Q87" s="285">
        <f>IFERROR(IF(INDEX(Tb_Activiteiten[#All],MATCH(SubsidieTabel!$A87,Tb_Activiteiten[[#All],[Subsidiabele_Activiteit]],0),MATCH(SubsidieTabel!Q$1,Tb_Activiteiten[#Headers],0))=1,SubsidieTabel!$J87,0),0)</f>
        <v>0</v>
      </c>
      <c r="R87" s="285">
        <f>IFERROR(IF(INDEX(Tb_Activiteiten[#All],MATCH(SubsidieTabel!$A87,Tb_Activiteiten[[#All],[Subsidiabele_Activiteit]],0),MATCH(SubsidieTabel!R$1,Tb_Activiteiten[#Headers],0))=1,SubsidieTabel!$K87,0),0)</f>
        <v>0</v>
      </c>
      <c r="S87" s="285">
        <f>IFERROR(IF(INDEX(Tb_Activiteiten[#All],MATCH(SubsidieTabel!$A87,Tb_Activiteiten[[#All],[Subsidiabele_Activiteit]],0),MATCH(SubsidieTabel!S$1,Tb_Activiteiten[#Headers],0))=1,SubsidieTabel!$J87,0),0)</f>
        <v>0</v>
      </c>
      <c r="T87" s="285">
        <f>IFERROR(IF(INDEX(Tb_Activiteiten[#All],MATCH(SubsidieTabel!$A87,Tb_Activiteiten[[#All],[Subsidiabele_Activiteit]],0),MATCH(SubsidieTabel!T$1,Tb_Activiteiten[#Headers],0))=1,SubsidieTabel!$K87,0),0)</f>
        <v>0</v>
      </c>
      <c r="U87" s="285">
        <f>IFERROR(IF(INDEX(Tb_Activiteiten[#All],MATCH(SubsidieTabel!$A87,Tb_Activiteiten[[#All],[Subsidiabele_Activiteit]],0),MATCH(SubsidieTabel!U$1,Tb_Activiteiten[#Headers],0))=1,SubsidieTabel!$J87,0),0)</f>
        <v>0</v>
      </c>
      <c r="V87" s="285">
        <f>IFERROR(IF(INDEX(Tb_Activiteiten[#All],MATCH(SubsidieTabel!$A87,Tb_Activiteiten[[#All],[Subsidiabele_Activiteit]],0),MATCH(SubsidieTabel!V$1,Tb_Activiteiten[#Headers],0))=1,SubsidieTabel!$K87,0),0)</f>
        <v>0</v>
      </c>
      <c r="W87" s="64">
        <f>IFERROR(IF(INDEX(Tb_Activiteiten[#All],MATCH(SubsidieTabel!$A87,Tb_Activiteiten[[#All],[Subsidiabele_Activiteit]],0),MATCH(SubsidieTabel!Q$1,Tb_Activiteiten[#Headers],0))=1,H87,0),0)</f>
        <v>0</v>
      </c>
      <c r="X87" s="64">
        <f>IFERROR(IF(INDEX(Tb_Activiteiten[#All],MATCH(SubsidieTabel!$A87,Tb_Activiteiten[[#All],[Subsidiabele_Activiteit]],0),MATCH(SubsidieTabel!Q$1,Tb_Activiteiten[#Headers],0))=1,I87,0),0)</f>
        <v>0</v>
      </c>
      <c r="Y87" s="64">
        <f>IFERROR(IF(INDEX(Tb_Activiteiten[#All],MATCH(SubsidieTabel!$A87,Tb_Activiteiten[[#All],[Subsidiabele_Activiteit]],0),MATCH(SubsidieTabel!S$1,Tb_Activiteiten[#Headers],0))=1,H87,0),0)</f>
        <v>0</v>
      </c>
      <c r="Z87" s="64">
        <f>IFERROR(IF(INDEX(Tb_Activiteiten[#All],MATCH(SubsidieTabel!$A87,Tb_Activiteiten[[#All],[Subsidiabele_Activiteit]],0),MATCH(SubsidieTabel!S$1,Tb_Activiteiten[#Headers],0))=1,I87,0),0)</f>
        <v>0</v>
      </c>
      <c r="AA87" s="64">
        <f>IFERROR(IF(INDEX(Tb_Activiteiten[#All],MATCH(SubsidieTabel!$A87,Tb_Activiteiten[[#All],[Subsidiabele_Activiteit]],0),MATCH(SubsidieTabel!O$1,Tb_Activiteiten[#Headers],0))=1,$F87,0),0)</f>
        <v>0</v>
      </c>
      <c r="AB87" s="64">
        <f>IFERROR(IF(INDEX(Tb_Activiteiten[#All],MATCH(SubsidieTabel!$A87,Tb_Activiteiten[[#All],[Subsidiabele_Activiteit]],0),MATCH(SubsidieTabel!O$1,Tb_Activiteiten[#Headers],0))=1,$G87,0),0)</f>
        <v>0</v>
      </c>
    </row>
    <row r="88" spans="1:28" x14ac:dyDescent="0.25">
      <c r="A88" s="63"/>
      <c r="B88" s="63"/>
      <c r="C88" s="63" t="str">
        <f>IFERROR(VLOOKUP($B88,Tb_ProjectKosten[],4,0),"")</f>
        <v/>
      </c>
      <c r="D88" s="63" t="str" cm="1">
        <f t="array" ref="D88">IFERROR(INDEX(Tb_KostenOpties[],MATCH(B88,Tb_KostenOpties[KostenOptie],0),IFERROR(MATCH(Methode_Keuze,Tb_KostenOpties[#Headers],0),2)),"")</f>
        <v/>
      </c>
      <c r="E88" s="286">
        <f>IFERROR(VLOOKUP(B88,Tb_ProjectKosten[[#All],[KostenOmschrijving]:[Forfait_Percentage]],6,0),0)</f>
        <v>0</v>
      </c>
      <c r="F88" s="287">
        <f>SUMIFS('5. Kosten uitvoering project'!P:P,'5. Kosten uitvoering project'!E:E,SubsidieTabel!A88,'5. Kosten uitvoering project'!F:F,SubsidieTabel!B88)</f>
        <v>0</v>
      </c>
      <c r="G88" s="287">
        <f>SUMIFS('5. Kosten uitvoering project'!Q:Q,'5. Kosten uitvoering project'!E:E,SubsidieTabel!A88,'5. Kosten uitvoering project'!F:F,SubsidieTabel!B88)</f>
        <v>0</v>
      </c>
      <c r="H88" s="287">
        <f>SUMIFS('5. Kosten uitvoering project'!R:R,'5. Kosten uitvoering project'!E:E,SubsidieTabel!A88,'5. Kosten uitvoering project'!F:F,SubsidieTabel!B88)</f>
        <v>0</v>
      </c>
      <c r="I88" s="287">
        <f>SUMIFS('5. Kosten uitvoering project'!S:S,'5. Kosten uitvoering project'!E:E,SubsidieTabel!A88,'5. Kosten uitvoering project'!F:F,SubsidieTabel!B88)</f>
        <v>0</v>
      </c>
      <c r="J88" s="287">
        <f t="shared" si="9"/>
        <v>0</v>
      </c>
      <c r="K88" s="287">
        <f t="shared" si="10"/>
        <v>0</v>
      </c>
      <c r="L88" s="286" t="str">
        <f>IFERROR(VLOOKUP(A88,Lijsten!$AK:$AL,2,0),"")</f>
        <v/>
      </c>
      <c r="M88" s="287">
        <f t="shared" si="11"/>
        <v>0</v>
      </c>
      <c r="N88" s="287">
        <f t="shared" si="12"/>
        <v>0</v>
      </c>
      <c r="O88" s="287">
        <f>IFERROR(IF(INDEX(Tb_Activiteiten[#All],MATCH(SubsidieTabel!$A88,Tb_Activiteiten[[#All],[Subsidiabele_Activiteit]],0),MATCH(SubsidieTabel!O$1,Tb_Activiteiten[#Headers],0))=1,SubsidieTabel!$J88,0),0)</f>
        <v>0</v>
      </c>
      <c r="P88" s="287">
        <f>IFERROR(IF(INDEX(Tb_Activiteiten[#All],MATCH(SubsidieTabel!$A88,Tb_Activiteiten[[#All],[Subsidiabele_Activiteit]],0),MATCH(SubsidieTabel!P$1,Tb_Activiteiten[#Headers],0))=1,SubsidieTabel!$K88,0),0)</f>
        <v>0</v>
      </c>
      <c r="Q88" s="287">
        <f>IFERROR(IF(INDEX(Tb_Activiteiten[#All],MATCH(SubsidieTabel!$A88,Tb_Activiteiten[[#All],[Subsidiabele_Activiteit]],0),MATCH(SubsidieTabel!Q$1,Tb_Activiteiten[#Headers],0))=1,SubsidieTabel!$J88,0),0)</f>
        <v>0</v>
      </c>
      <c r="R88" s="287">
        <f>IFERROR(IF(INDEX(Tb_Activiteiten[#All],MATCH(SubsidieTabel!$A88,Tb_Activiteiten[[#All],[Subsidiabele_Activiteit]],0),MATCH(SubsidieTabel!R$1,Tb_Activiteiten[#Headers],0))=1,SubsidieTabel!$K88,0),0)</f>
        <v>0</v>
      </c>
      <c r="S88" s="287">
        <f>IFERROR(IF(INDEX(Tb_Activiteiten[#All],MATCH(SubsidieTabel!$A88,Tb_Activiteiten[[#All],[Subsidiabele_Activiteit]],0),MATCH(SubsidieTabel!S$1,Tb_Activiteiten[#Headers],0))=1,SubsidieTabel!$J88,0),0)</f>
        <v>0</v>
      </c>
      <c r="T88" s="287">
        <f>IFERROR(IF(INDEX(Tb_Activiteiten[#All],MATCH(SubsidieTabel!$A88,Tb_Activiteiten[[#All],[Subsidiabele_Activiteit]],0),MATCH(SubsidieTabel!T$1,Tb_Activiteiten[#Headers],0))=1,SubsidieTabel!$K88,0),0)</f>
        <v>0</v>
      </c>
      <c r="U88" s="287">
        <f>IFERROR(IF(INDEX(Tb_Activiteiten[#All],MATCH(SubsidieTabel!$A88,Tb_Activiteiten[[#All],[Subsidiabele_Activiteit]],0),MATCH(SubsidieTabel!U$1,Tb_Activiteiten[#Headers],0))=1,SubsidieTabel!$J88,0),0)</f>
        <v>0</v>
      </c>
      <c r="V88" s="287">
        <f>IFERROR(IF(INDEX(Tb_Activiteiten[#All],MATCH(SubsidieTabel!$A88,Tb_Activiteiten[[#All],[Subsidiabele_Activiteit]],0),MATCH(SubsidieTabel!V$1,Tb_Activiteiten[#Headers],0))=1,SubsidieTabel!$K88,0),0)</f>
        <v>0</v>
      </c>
      <c r="W88" s="374">
        <f>IFERROR(IF(INDEX(Tb_Activiteiten[#All],MATCH(SubsidieTabel!$A88,Tb_Activiteiten[[#All],[Subsidiabele_Activiteit]],0),MATCH(SubsidieTabel!Q$1,Tb_Activiteiten[#Headers],0))=1,H88,0),0)</f>
        <v>0</v>
      </c>
      <c r="X88" s="374">
        <f>IFERROR(IF(INDEX(Tb_Activiteiten[#All],MATCH(SubsidieTabel!$A88,Tb_Activiteiten[[#All],[Subsidiabele_Activiteit]],0),MATCH(SubsidieTabel!Q$1,Tb_Activiteiten[#Headers],0))=1,I88,0),0)</f>
        <v>0</v>
      </c>
      <c r="Y88" s="374">
        <f>IFERROR(IF(INDEX(Tb_Activiteiten[#All],MATCH(SubsidieTabel!$A88,Tb_Activiteiten[[#All],[Subsidiabele_Activiteit]],0),MATCH(SubsidieTabel!S$1,Tb_Activiteiten[#Headers],0))=1,H88,0),0)</f>
        <v>0</v>
      </c>
      <c r="Z88" s="374">
        <f>IFERROR(IF(INDEX(Tb_Activiteiten[#All],MATCH(SubsidieTabel!$A88,Tb_Activiteiten[[#All],[Subsidiabele_Activiteit]],0),MATCH(SubsidieTabel!S$1,Tb_Activiteiten[#Headers],0))=1,I88,0),0)</f>
        <v>0</v>
      </c>
      <c r="AA88" s="374">
        <f>IFERROR(IF(INDEX(Tb_Activiteiten[#All],MATCH(SubsidieTabel!$A88,Tb_Activiteiten[[#All],[Subsidiabele_Activiteit]],0),MATCH(SubsidieTabel!O$1,Tb_Activiteiten[#Headers],0))=1,$F88,0),0)</f>
        <v>0</v>
      </c>
      <c r="AB88" s="374">
        <f>IFERROR(IF(INDEX(Tb_Activiteiten[#All],MATCH(SubsidieTabel!$A88,Tb_Activiteiten[[#All],[Subsidiabele_Activiteit]],0),MATCH(SubsidieTabel!O$1,Tb_Activiteiten[#Headers],0))=1,$G88,0),0)</f>
        <v>0</v>
      </c>
    </row>
    <row r="89" spans="1:28" x14ac:dyDescent="0.25">
      <c r="A89" s="12"/>
      <c r="B89" s="12"/>
      <c r="C89" s="12" t="str">
        <f>IFERROR(VLOOKUP($B89,Tb_ProjectKosten[],4,0),"")</f>
        <v/>
      </c>
      <c r="D89" s="12" t="str" cm="1">
        <f t="array" ref="D89">IFERROR(INDEX(Tb_KostenOpties[],MATCH(B89,Tb_KostenOpties[KostenOptie],0),IFERROR(MATCH(Methode_Keuze,Tb_KostenOpties[#Headers],0),2)),"")</f>
        <v/>
      </c>
      <c r="E89" s="284">
        <f>IFERROR(VLOOKUP(B89,Tb_ProjectKosten[[#All],[KostenOmschrijving]:[Forfait_Percentage]],6,0),0)</f>
        <v>0</v>
      </c>
      <c r="F89" s="285">
        <f>SUMIFS('5. Kosten uitvoering project'!P:P,'5. Kosten uitvoering project'!E:E,SubsidieTabel!A89,'5. Kosten uitvoering project'!F:F,SubsidieTabel!B89)</f>
        <v>0</v>
      </c>
      <c r="G89" s="285">
        <f>SUMIFS('5. Kosten uitvoering project'!Q:Q,'5. Kosten uitvoering project'!E:E,SubsidieTabel!A89,'5. Kosten uitvoering project'!F:F,SubsidieTabel!B89)</f>
        <v>0</v>
      </c>
      <c r="H89" s="285">
        <f>SUMIFS('5. Kosten uitvoering project'!R:R,'5. Kosten uitvoering project'!E:E,SubsidieTabel!A89,'5. Kosten uitvoering project'!F:F,SubsidieTabel!B89)</f>
        <v>0</v>
      </c>
      <c r="I89" s="285">
        <f>SUMIFS('5. Kosten uitvoering project'!S:S,'5. Kosten uitvoering project'!E:E,SubsidieTabel!A89,'5. Kosten uitvoering project'!F:F,SubsidieTabel!B89)</f>
        <v>0</v>
      </c>
      <c r="J89" s="285">
        <f t="shared" si="9"/>
        <v>0</v>
      </c>
      <c r="K89" s="285">
        <f t="shared" si="10"/>
        <v>0</v>
      </c>
      <c r="L89" s="284" t="str">
        <f>IFERROR(VLOOKUP(A89,Lijsten!$AK:$AL,2,0),"")</f>
        <v/>
      </c>
      <c r="M89" s="285">
        <f t="shared" si="11"/>
        <v>0</v>
      </c>
      <c r="N89" s="285">
        <f t="shared" si="12"/>
        <v>0</v>
      </c>
      <c r="O89" s="285">
        <f>IFERROR(IF(INDEX(Tb_Activiteiten[#All],MATCH(SubsidieTabel!$A89,Tb_Activiteiten[[#All],[Subsidiabele_Activiteit]],0),MATCH(SubsidieTabel!O$1,Tb_Activiteiten[#Headers],0))=1,SubsidieTabel!$J89,0),0)</f>
        <v>0</v>
      </c>
      <c r="P89" s="285">
        <f>IFERROR(IF(INDEX(Tb_Activiteiten[#All],MATCH(SubsidieTabel!$A89,Tb_Activiteiten[[#All],[Subsidiabele_Activiteit]],0),MATCH(SubsidieTabel!P$1,Tb_Activiteiten[#Headers],0))=1,SubsidieTabel!$K89,0),0)</f>
        <v>0</v>
      </c>
      <c r="Q89" s="285">
        <f>IFERROR(IF(INDEX(Tb_Activiteiten[#All],MATCH(SubsidieTabel!$A89,Tb_Activiteiten[[#All],[Subsidiabele_Activiteit]],0),MATCH(SubsidieTabel!Q$1,Tb_Activiteiten[#Headers],0))=1,SubsidieTabel!$J89,0),0)</f>
        <v>0</v>
      </c>
      <c r="R89" s="285">
        <f>IFERROR(IF(INDEX(Tb_Activiteiten[#All],MATCH(SubsidieTabel!$A89,Tb_Activiteiten[[#All],[Subsidiabele_Activiteit]],0),MATCH(SubsidieTabel!R$1,Tb_Activiteiten[#Headers],0))=1,SubsidieTabel!$K89,0),0)</f>
        <v>0</v>
      </c>
      <c r="S89" s="285">
        <f>IFERROR(IF(INDEX(Tb_Activiteiten[#All],MATCH(SubsidieTabel!$A89,Tb_Activiteiten[[#All],[Subsidiabele_Activiteit]],0),MATCH(SubsidieTabel!S$1,Tb_Activiteiten[#Headers],0))=1,SubsidieTabel!$J89,0),0)</f>
        <v>0</v>
      </c>
      <c r="T89" s="285">
        <f>IFERROR(IF(INDEX(Tb_Activiteiten[#All],MATCH(SubsidieTabel!$A89,Tb_Activiteiten[[#All],[Subsidiabele_Activiteit]],0),MATCH(SubsidieTabel!T$1,Tb_Activiteiten[#Headers],0))=1,SubsidieTabel!$K89,0),0)</f>
        <v>0</v>
      </c>
      <c r="U89" s="285">
        <f>IFERROR(IF(INDEX(Tb_Activiteiten[#All],MATCH(SubsidieTabel!$A89,Tb_Activiteiten[[#All],[Subsidiabele_Activiteit]],0),MATCH(SubsidieTabel!U$1,Tb_Activiteiten[#Headers],0))=1,SubsidieTabel!$J89,0),0)</f>
        <v>0</v>
      </c>
      <c r="V89" s="285">
        <f>IFERROR(IF(INDEX(Tb_Activiteiten[#All],MATCH(SubsidieTabel!$A89,Tb_Activiteiten[[#All],[Subsidiabele_Activiteit]],0),MATCH(SubsidieTabel!V$1,Tb_Activiteiten[#Headers],0))=1,SubsidieTabel!$K89,0),0)</f>
        <v>0</v>
      </c>
      <c r="W89" s="64">
        <f>IFERROR(IF(INDEX(Tb_Activiteiten[#All],MATCH(SubsidieTabel!$A89,Tb_Activiteiten[[#All],[Subsidiabele_Activiteit]],0),MATCH(SubsidieTabel!Q$1,Tb_Activiteiten[#Headers],0))=1,H89,0),0)</f>
        <v>0</v>
      </c>
      <c r="X89" s="64">
        <f>IFERROR(IF(INDEX(Tb_Activiteiten[#All],MATCH(SubsidieTabel!$A89,Tb_Activiteiten[[#All],[Subsidiabele_Activiteit]],0),MATCH(SubsidieTabel!Q$1,Tb_Activiteiten[#Headers],0))=1,I89,0),0)</f>
        <v>0</v>
      </c>
      <c r="Y89" s="64">
        <f>IFERROR(IF(INDEX(Tb_Activiteiten[#All],MATCH(SubsidieTabel!$A89,Tb_Activiteiten[[#All],[Subsidiabele_Activiteit]],0),MATCH(SubsidieTabel!S$1,Tb_Activiteiten[#Headers],0))=1,H89,0),0)</f>
        <v>0</v>
      </c>
      <c r="Z89" s="64">
        <f>IFERROR(IF(INDEX(Tb_Activiteiten[#All],MATCH(SubsidieTabel!$A89,Tb_Activiteiten[[#All],[Subsidiabele_Activiteit]],0),MATCH(SubsidieTabel!S$1,Tb_Activiteiten[#Headers],0))=1,I89,0),0)</f>
        <v>0</v>
      </c>
      <c r="AA89" s="64">
        <f>IFERROR(IF(INDEX(Tb_Activiteiten[#All],MATCH(SubsidieTabel!$A89,Tb_Activiteiten[[#All],[Subsidiabele_Activiteit]],0),MATCH(SubsidieTabel!O$1,Tb_Activiteiten[#Headers],0))=1,$F89,0),0)</f>
        <v>0</v>
      </c>
      <c r="AB89" s="64">
        <f>IFERROR(IF(INDEX(Tb_Activiteiten[#All],MATCH(SubsidieTabel!$A89,Tb_Activiteiten[[#All],[Subsidiabele_Activiteit]],0),MATCH(SubsidieTabel!O$1,Tb_Activiteiten[#Headers],0))=1,$G89,0),0)</f>
        <v>0</v>
      </c>
    </row>
    <row r="90" spans="1:28" x14ac:dyDescent="0.25">
      <c r="A90" s="63"/>
      <c r="B90" s="63"/>
      <c r="C90" s="63" t="str">
        <f>IFERROR(VLOOKUP($B90,Tb_ProjectKosten[],4,0),"")</f>
        <v/>
      </c>
      <c r="D90" s="63" t="str" cm="1">
        <f t="array" ref="D90">IFERROR(INDEX(Tb_KostenOpties[],MATCH(B90,Tb_KostenOpties[KostenOptie],0),IFERROR(MATCH(Methode_Keuze,Tb_KostenOpties[#Headers],0),2)),"")</f>
        <v/>
      </c>
      <c r="E90" s="286">
        <f>IFERROR(VLOOKUP(B90,Tb_ProjectKosten[[#All],[KostenOmschrijving]:[Forfait_Percentage]],6,0),0)</f>
        <v>0</v>
      </c>
      <c r="F90" s="287">
        <f>SUMIFS('5. Kosten uitvoering project'!P:P,'5. Kosten uitvoering project'!E:E,SubsidieTabel!A90,'5. Kosten uitvoering project'!F:F,SubsidieTabel!B90)</f>
        <v>0</v>
      </c>
      <c r="G90" s="287">
        <f>SUMIFS('5. Kosten uitvoering project'!Q:Q,'5. Kosten uitvoering project'!E:E,SubsidieTabel!A90,'5. Kosten uitvoering project'!F:F,SubsidieTabel!B90)</f>
        <v>0</v>
      </c>
      <c r="H90" s="287">
        <f>SUMIFS('5. Kosten uitvoering project'!R:R,'5. Kosten uitvoering project'!E:E,SubsidieTabel!A90,'5. Kosten uitvoering project'!F:F,SubsidieTabel!B90)</f>
        <v>0</v>
      </c>
      <c r="I90" s="287">
        <f>SUMIFS('5. Kosten uitvoering project'!S:S,'5. Kosten uitvoering project'!E:E,SubsidieTabel!A90,'5. Kosten uitvoering project'!F:F,SubsidieTabel!B90)</f>
        <v>0</v>
      </c>
      <c r="J90" s="287">
        <f t="shared" si="9"/>
        <v>0</v>
      </c>
      <c r="K90" s="287">
        <f t="shared" si="10"/>
        <v>0</v>
      </c>
      <c r="L90" s="286" t="str">
        <f>IFERROR(VLOOKUP(A90,Lijsten!$AK:$AL,2,0),"")</f>
        <v/>
      </c>
      <c r="M90" s="287">
        <f t="shared" si="11"/>
        <v>0</v>
      </c>
      <c r="N90" s="287">
        <f t="shared" si="12"/>
        <v>0</v>
      </c>
      <c r="O90" s="287">
        <f>IFERROR(IF(INDEX(Tb_Activiteiten[#All],MATCH(SubsidieTabel!$A90,Tb_Activiteiten[[#All],[Subsidiabele_Activiteit]],0),MATCH(SubsidieTabel!O$1,Tb_Activiteiten[#Headers],0))=1,SubsidieTabel!$J90,0),0)</f>
        <v>0</v>
      </c>
      <c r="P90" s="287">
        <f>IFERROR(IF(INDEX(Tb_Activiteiten[#All],MATCH(SubsidieTabel!$A90,Tb_Activiteiten[[#All],[Subsidiabele_Activiteit]],0),MATCH(SubsidieTabel!P$1,Tb_Activiteiten[#Headers],0))=1,SubsidieTabel!$K90,0),0)</f>
        <v>0</v>
      </c>
      <c r="Q90" s="287">
        <f>IFERROR(IF(INDEX(Tb_Activiteiten[#All],MATCH(SubsidieTabel!$A90,Tb_Activiteiten[[#All],[Subsidiabele_Activiteit]],0),MATCH(SubsidieTabel!Q$1,Tb_Activiteiten[#Headers],0))=1,SubsidieTabel!$J90,0),0)</f>
        <v>0</v>
      </c>
      <c r="R90" s="287">
        <f>IFERROR(IF(INDEX(Tb_Activiteiten[#All],MATCH(SubsidieTabel!$A90,Tb_Activiteiten[[#All],[Subsidiabele_Activiteit]],0),MATCH(SubsidieTabel!R$1,Tb_Activiteiten[#Headers],0))=1,SubsidieTabel!$K90,0),0)</f>
        <v>0</v>
      </c>
      <c r="S90" s="287">
        <f>IFERROR(IF(INDEX(Tb_Activiteiten[#All],MATCH(SubsidieTabel!$A90,Tb_Activiteiten[[#All],[Subsidiabele_Activiteit]],0),MATCH(SubsidieTabel!S$1,Tb_Activiteiten[#Headers],0))=1,SubsidieTabel!$J90,0),0)</f>
        <v>0</v>
      </c>
      <c r="T90" s="287">
        <f>IFERROR(IF(INDEX(Tb_Activiteiten[#All],MATCH(SubsidieTabel!$A90,Tb_Activiteiten[[#All],[Subsidiabele_Activiteit]],0),MATCH(SubsidieTabel!T$1,Tb_Activiteiten[#Headers],0))=1,SubsidieTabel!$K90,0),0)</f>
        <v>0</v>
      </c>
      <c r="U90" s="287">
        <f>IFERROR(IF(INDEX(Tb_Activiteiten[#All],MATCH(SubsidieTabel!$A90,Tb_Activiteiten[[#All],[Subsidiabele_Activiteit]],0),MATCH(SubsidieTabel!U$1,Tb_Activiteiten[#Headers],0))=1,SubsidieTabel!$J90,0),0)</f>
        <v>0</v>
      </c>
      <c r="V90" s="287">
        <f>IFERROR(IF(INDEX(Tb_Activiteiten[#All],MATCH(SubsidieTabel!$A90,Tb_Activiteiten[[#All],[Subsidiabele_Activiteit]],0),MATCH(SubsidieTabel!V$1,Tb_Activiteiten[#Headers],0))=1,SubsidieTabel!$K90,0),0)</f>
        <v>0</v>
      </c>
      <c r="W90" s="374">
        <f>IFERROR(IF(INDEX(Tb_Activiteiten[#All],MATCH(SubsidieTabel!$A90,Tb_Activiteiten[[#All],[Subsidiabele_Activiteit]],0),MATCH(SubsidieTabel!Q$1,Tb_Activiteiten[#Headers],0))=1,H90,0),0)</f>
        <v>0</v>
      </c>
      <c r="X90" s="374">
        <f>IFERROR(IF(INDEX(Tb_Activiteiten[#All],MATCH(SubsidieTabel!$A90,Tb_Activiteiten[[#All],[Subsidiabele_Activiteit]],0),MATCH(SubsidieTabel!Q$1,Tb_Activiteiten[#Headers],0))=1,I90,0),0)</f>
        <v>0</v>
      </c>
      <c r="Y90" s="374">
        <f>IFERROR(IF(INDEX(Tb_Activiteiten[#All],MATCH(SubsidieTabel!$A90,Tb_Activiteiten[[#All],[Subsidiabele_Activiteit]],0),MATCH(SubsidieTabel!S$1,Tb_Activiteiten[#Headers],0))=1,H90,0),0)</f>
        <v>0</v>
      </c>
      <c r="Z90" s="374">
        <f>IFERROR(IF(INDEX(Tb_Activiteiten[#All],MATCH(SubsidieTabel!$A90,Tb_Activiteiten[[#All],[Subsidiabele_Activiteit]],0),MATCH(SubsidieTabel!S$1,Tb_Activiteiten[#Headers],0))=1,I90,0),0)</f>
        <v>0</v>
      </c>
      <c r="AA90" s="374">
        <f>IFERROR(IF(INDEX(Tb_Activiteiten[#All],MATCH(SubsidieTabel!$A90,Tb_Activiteiten[[#All],[Subsidiabele_Activiteit]],0),MATCH(SubsidieTabel!O$1,Tb_Activiteiten[#Headers],0))=1,$F90,0),0)</f>
        <v>0</v>
      </c>
      <c r="AB90" s="374">
        <f>IFERROR(IF(INDEX(Tb_Activiteiten[#All],MATCH(SubsidieTabel!$A90,Tb_Activiteiten[[#All],[Subsidiabele_Activiteit]],0),MATCH(SubsidieTabel!O$1,Tb_Activiteiten[#Headers],0))=1,$G90,0),0)</f>
        <v>0</v>
      </c>
    </row>
    <row r="91" spans="1:28" x14ac:dyDescent="0.25">
      <c r="A91" s="12"/>
      <c r="B91" s="12"/>
      <c r="C91" s="12" t="str">
        <f>IFERROR(VLOOKUP($B91,Tb_ProjectKosten[],4,0),"")</f>
        <v/>
      </c>
      <c r="D91" s="12" t="str" cm="1">
        <f t="array" ref="D91">IFERROR(INDEX(Tb_KostenOpties[],MATCH(B91,Tb_KostenOpties[KostenOptie],0),IFERROR(MATCH(Methode_Keuze,Tb_KostenOpties[#Headers],0),2)),"")</f>
        <v/>
      </c>
      <c r="E91" s="284">
        <f>IFERROR(VLOOKUP(B91,Tb_ProjectKosten[[#All],[KostenOmschrijving]:[Forfait_Percentage]],6,0),0)</f>
        <v>0</v>
      </c>
      <c r="F91" s="285">
        <f>SUMIFS('5. Kosten uitvoering project'!P:P,'5. Kosten uitvoering project'!E:E,SubsidieTabel!A91,'5. Kosten uitvoering project'!F:F,SubsidieTabel!B91)</f>
        <v>0</v>
      </c>
      <c r="G91" s="285">
        <f>SUMIFS('5. Kosten uitvoering project'!Q:Q,'5. Kosten uitvoering project'!E:E,SubsidieTabel!A91,'5. Kosten uitvoering project'!F:F,SubsidieTabel!B91)</f>
        <v>0</v>
      </c>
      <c r="H91" s="285">
        <f>SUMIFS('5. Kosten uitvoering project'!R:R,'5. Kosten uitvoering project'!E:E,SubsidieTabel!A91,'5. Kosten uitvoering project'!F:F,SubsidieTabel!B91)</f>
        <v>0</v>
      </c>
      <c r="I91" s="285">
        <f>SUMIFS('5. Kosten uitvoering project'!S:S,'5. Kosten uitvoering project'!E:E,SubsidieTabel!A91,'5. Kosten uitvoering project'!F:F,SubsidieTabel!B91)</f>
        <v>0</v>
      </c>
      <c r="J91" s="285">
        <f t="shared" si="9"/>
        <v>0</v>
      </c>
      <c r="K91" s="285">
        <f t="shared" si="10"/>
        <v>0</v>
      </c>
      <c r="L91" s="284" t="str">
        <f>IFERROR(VLOOKUP(A91,Lijsten!$AK:$AL,2,0),"")</f>
        <v/>
      </c>
      <c r="M91" s="285">
        <f t="shared" si="11"/>
        <v>0</v>
      </c>
      <c r="N91" s="285">
        <f t="shared" si="12"/>
        <v>0</v>
      </c>
      <c r="O91" s="285">
        <f>IFERROR(IF(INDEX(Tb_Activiteiten[#All],MATCH(SubsidieTabel!$A91,Tb_Activiteiten[[#All],[Subsidiabele_Activiteit]],0),MATCH(SubsidieTabel!O$1,Tb_Activiteiten[#Headers],0))=1,SubsidieTabel!$J91,0),0)</f>
        <v>0</v>
      </c>
      <c r="P91" s="285">
        <f>IFERROR(IF(INDEX(Tb_Activiteiten[#All],MATCH(SubsidieTabel!$A91,Tb_Activiteiten[[#All],[Subsidiabele_Activiteit]],0),MATCH(SubsidieTabel!P$1,Tb_Activiteiten[#Headers],0))=1,SubsidieTabel!$K91,0),0)</f>
        <v>0</v>
      </c>
      <c r="Q91" s="285">
        <f>IFERROR(IF(INDEX(Tb_Activiteiten[#All],MATCH(SubsidieTabel!$A91,Tb_Activiteiten[[#All],[Subsidiabele_Activiteit]],0),MATCH(SubsidieTabel!Q$1,Tb_Activiteiten[#Headers],0))=1,SubsidieTabel!$J91,0),0)</f>
        <v>0</v>
      </c>
      <c r="R91" s="285">
        <f>IFERROR(IF(INDEX(Tb_Activiteiten[#All],MATCH(SubsidieTabel!$A91,Tb_Activiteiten[[#All],[Subsidiabele_Activiteit]],0),MATCH(SubsidieTabel!R$1,Tb_Activiteiten[#Headers],0))=1,SubsidieTabel!$K91,0),0)</f>
        <v>0</v>
      </c>
      <c r="S91" s="285">
        <f>IFERROR(IF(INDEX(Tb_Activiteiten[#All],MATCH(SubsidieTabel!$A91,Tb_Activiteiten[[#All],[Subsidiabele_Activiteit]],0),MATCH(SubsidieTabel!S$1,Tb_Activiteiten[#Headers],0))=1,SubsidieTabel!$J91,0),0)</f>
        <v>0</v>
      </c>
      <c r="T91" s="285">
        <f>IFERROR(IF(INDEX(Tb_Activiteiten[#All],MATCH(SubsidieTabel!$A91,Tb_Activiteiten[[#All],[Subsidiabele_Activiteit]],0),MATCH(SubsidieTabel!T$1,Tb_Activiteiten[#Headers],0))=1,SubsidieTabel!$K91,0),0)</f>
        <v>0</v>
      </c>
      <c r="U91" s="285">
        <f>IFERROR(IF(INDEX(Tb_Activiteiten[#All],MATCH(SubsidieTabel!$A91,Tb_Activiteiten[[#All],[Subsidiabele_Activiteit]],0),MATCH(SubsidieTabel!U$1,Tb_Activiteiten[#Headers],0))=1,SubsidieTabel!$J91,0),0)</f>
        <v>0</v>
      </c>
      <c r="V91" s="285">
        <f>IFERROR(IF(INDEX(Tb_Activiteiten[#All],MATCH(SubsidieTabel!$A91,Tb_Activiteiten[[#All],[Subsidiabele_Activiteit]],0),MATCH(SubsidieTabel!V$1,Tb_Activiteiten[#Headers],0))=1,SubsidieTabel!$K91,0),0)</f>
        <v>0</v>
      </c>
      <c r="W91" s="64">
        <f>IFERROR(IF(INDEX(Tb_Activiteiten[#All],MATCH(SubsidieTabel!$A91,Tb_Activiteiten[[#All],[Subsidiabele_Activiteit]],0),MATCH(SubsidieTabel!Q$1,Tb_Activiteiten[#Headers],0))=1,H91,0),0)</f>
        <v>0</v>
      </c>
      <c r="X91" s="64">
        <f>IFERROR(IF(INDEX(Tb_Activiteiten[#All],MATCH(SubsidieTabel!$A91,Tb_Activiteiten[[#All],[Subsidiabele_Activiteit]],0),MATCH(SubsidieTabel!Q$1,Tb_Activiteiten[#Headers],0))=1,I91,0),0)</f>
        <v>0</v>
      </c>
      <c r="Y91" s="64">
        <f>IFERROR(IF(INDEX(Tb_Activiteiten[#All],MATCH(SubsidieTabel!$A91,Tb_Activiteiten[[#All],[Subsidiabele_Activiteit]],0),MATCH(SubsidieTabel!S$1,Tb_Activiteiten[#Headers],0))=1,H91,0),0)</f>
        <v>0</v>
      </c>
      <c r="Z91" s="64">
        <f>IFERROR(IF(INDEX(Tb_Activiteiten[#All],MATCH(SubsidieTabel!$A91,Tb_Activiteiten[[#All],[Subsidiabele_Activiteit]],0),MATCH(SubsidieTabel!S$1,Tb_Activiteiten[#Headers],0))=1,I91,0),0)</f>
        <v>0</v>
      </c>
      <c r="AA91" s="64">
        <f>IFERROR(IF(INDEX(Tb_Activiteiten[#All],MATCH(SubsidieTabel!$A91,Tb_Activiteiten[[#All],[Subsidiabele_Activiteit]],0),MATCH(SubsidieTabel!O$1,Tb_Activiteiten[#Headers],0))=1,$F91,0),0)</f>
        <v>0</v>
      </c>
      <c r="AB91" s="64">
        <f>IFERROR(IF(INDEX(Tb_Activiteiten[#All],MATCH(SubsidieTabel!$A91,Tb_Activiteiten[[#All],[Subsidiabele_Activiteit]],0),MATCH(SubsidieTabel!O$1,Tb_Activiteiten[#Headers],0))=1,$G91,0),0)</f>
        <v>0</v>
      </c>
    </row>
    <row r="92" spans="1:28" x14ac:dyDescent="0.25">
      <c r="A92" s="63"/>
      <c r="B92" s="63"/>
      <c r="C92" s="63" t="str">
        <f>IFERROR(VLOOKUP($B92,Tb_ProjectKosten[],4,0),"")</f>
        <v/>
      </c>
      <c r="D92" s="63" t="str" cm="1">
        <f t="array" ref="D92">IFERROR(INDEX(Tb_KostenOpties[],MATCH(B92,Tb_KostenOpties[KostenOptie],0),IFERROR(MATCH(Methode_Keuze,Tb_KostenOpties[#Headers],0),2)),"")</f>
        <v/>
      </c>
      <c r="E92" s="286">
        <f>IFERROR(VLOOKUP(B92,Tb_ProjectKosten[[#All],[KostenOmschrijving]:[Forfait_Percentage]],6,0),0)</f>
        <v>0</v>
      </c>
      <c r="F92" s="287">
        <f>SUMIFS('5. Kosten uitvoering project'!P:P,'5. Kosten uitvoering project'!E:E,SubsidieTabel!A92,'5. Kosten uitvoering project'!F:F,SubsidieTabel!B92)</f>
        <v>0</v>
      </c>
      <c r="G92" s="287">
        <f>SUMIFS('5. Kosten uitvoering project'!Q:Q,'5. Kosten uitvoering project'!E:E,SubsidieTabel!A92,'5. Kosten uitvoering project'!F:F,SubsidieTabel!B92)</f>
        <v>0</v>
      </c>
      <c r="H92" s="287">
        <f>SUMIFS('5. Kosten uitvoering project'!R:R,'5. Kosten uitvoering project'!E:E,SubsidieTabel!A92,'5. Kosten uitvoering project'!F:F,SubsidieTabel!B92)</f>
        <v>0</v>
      </c>
      <c r="I92" s="287">
        <f>SUMIFS('5. Kosten uitvoering project'!S:S,'5. Kosten uitvoering project'!E:E,SubsidieTabel!A92,'5. Kosten uitvoering project'!F:F,SubsidieTabel!B92)</f>
        <v>0</v>
      </c>
      <c r="J92" s="287">
        <f t="shared" si="9"/>
        <v>0</v>
      </c>
      <c r="K92" s="287">
        <f t="shared" si="10"/>
        <v>0</v>
      </c>
      <c r="L92" s="286" t="str">
        <f>IFERROR(VLOOKUP(A92,Lijsten!$AK:$AL,2,0),"")</f>
        <v/>
      </c>
      <c r="M92" s="287">
        <f t="shared" si="11"/>
        <v>0</v>
      </c>
      <c r="N92" s="287">
        <f t="shared" si="12"/>
        <v>0</v>
      </c>
      <c r="O92" s="287">
        <f>IFERROR(IF(INDEX(Tb_Activiteiten[#All],MATCH(SubsidieTabel!$A92,Tb_Activiteiten[[#All],[Subsidiabele_Activiteit]],0),MATCH(SubsidieTabel!O$1,Tb_Activiteiten[#Headers],0))=1,SubsidieTabel!$J92,0),0)</f>
        <v>0</v>
      </c>
      <c r="P92" s="287">
        <f>IFERROR(IF(INDEX(Tb_Activiteiten[#All],MATCH(SubsidieTabel!$A92,Tb_Activiteiten[[#All],[Subsidiabele_Activiteit]],0),MATCH(SubsidieTabel!P$1,Tb_Activiteiten[#Headers],0))=1,SubsidieTabel!$K92,0),0)</f>
        <v>0</v>
      </c>
      <c r="Q92" s="287">
        <f>IFERROR(IF(INDEX(Tb_Activiteiten[#All],MATCH(SubsidieTabel!$A92,Tb_Activiteiten[[#All],[Subsidiabele_Activiteit]],0),MATCH(SubsidieTabel!Q$1,Tb_Activiteiten[#Headers],0))=1,SubsidieTabel!$J92,0),0)</f>
        <v>0</v>
      </c>
      <c r="R92" s="287">
        <f>IFERROR(IF(INDEX(Tb_Activiteiten[#All],MATCH(SubsidieTabel!$A92,Tb_Activiteiten[[#All],[Subsidiabele_Activiteit]],0),MATCH(SubsidieTabel!R$1,Tb_Activiteiten[#Headers],0))=1,SubsidieTabel!$K92,0),0)</f>
        <v>0</v>
      </c>
      <c r="S92" s="287">
        <f>IFERROR(IF(INDEX(Tb_Activiteiten[#All],MATCH(SubsidieTabel!$A92,Tb_Activiteiten[[#All],[Subsidiabele_Activiteit]],0),MATCH(SubsidieTabel!S$1,Tb_Activiteiten[#Headers],0))=1,SubsidieTabel!$J92,0),0)</f>
        <v>0</v>
      </c>
      <c r="T92" s="287">
        <f>IFERROR(IF(INDEX(Tb_Activiteiten[#All],MATCH(SubsidieTabel!$A92,Tb_Activiteiten[[#All],[Subsidiabele_Activiteit]],0),MATCH(SubsidieTabel!T$1,Tb_Activiteiten[#Headers],0))=1,SubsidieTabel!$K92,0),0)</f>
        <v>0</v>
      </c>
      <c r="U92" s="287">
        <f>IFERROR(IF(INDEX(Tb_Activiteiten[#All],MATCH(SubsidieTabel!$A92,Tb_Activiteiten[[#All],[Subsidiabele_Activiteit]],0),MATCH(SubsidieTabel!U$1,Tb_Activiteiten[#Headers],0))=1,SubsidieTabel!$J92,0),0)</f>
        <v>0</v>
      </c>
      <c r="V92" s="287">
        <f>IFERROR(IF(INDEX(Tb_Activiteiten[#All],MATCH(SubsidieTabel!$A92,Tb_Activiteiten[[#All],[Subsidiabele_Activiteit]],0),MATCH(SubsidieTabel!V$1,Tb_Activiteiten[#Headers],0))=1,SubsidieTabel!$K92,0),0)</f>
        <v>0</v>
      </c>
      <c r="W92" s="374">
        <f>IFERROR(IF(INDEX(Tb_Activiteiten[#All],MATCH(SubsidieTabel!$A92,Tb_Activiteiten[[#All],[Subsidiabele_Activiteit]],0),MATCH(SubsidieTabel!Q$1,Tb_Activiteiten[#Headers],0))=1,H92,0),0)</f>
        <v>0</v>
      </c>
      <c r="X92" s="374">
        <f>IFERROR(IF(INDEX(Tb_Activiteiten[#All],MATCH(SubsidieTabel!$A92,Tb_Activiteiten[[#All],[Subsidiabele_Activiteit]],0),MATCH(SubsidieTabel!Q$1,Tb_Activiteiten[#Headers],0))=1,I92,0),0)</f>
        <v>0</v>
      </c>
      <c r="Y92" s="374">
        <f>IFERROR(IF(INDEX(Tb_Activiteiten[#All],MATCH(SubsidieTabel!$A92,Tb_Activiteiten[[#All],[Subsidiabele_Activiteit]],0),MATCH(SubsidieTabel!S$1,Tb_Activiteiten[#Headers],0))=1,H92,0),0)</f>
        <v>0</v>
      </c>
      <c r="Z92" s="374">
        <f>IFERROR(IF(INDEX(Tb_Activiteiten[#All],MATCH(SubsidieTabel!$A92,Tb_Activiteiten[[#All],[Subsidiabele_Activiteit]],0),MATCH(SubsidieTabel!S$1,Tb_Activiteiten[#Headers],0))=1,I92,0),0)</f>
        <v>0</v>
      </c>
      <c r="AA92" s="374">
        <f>IFERROR(IF(INDEX(Tb_Activiteiten[#All],MATCH(SubsidieTabel!$A92,Tb_Activiteiten[[#All],[Subsidiabele_Activiteit]],0),MATCH(SubsidieTabel!O$1,Tb_Activiteiten[#Headers],0))=1,$F92,0),0)</f>
        <v>0</v>
      </c>
      <c r="AB92" s="374">
        <f>IFERROR(IF(INDEX(Tb_Activiteiten[#All],MATCH(SubsidieTabel!$A92,Tb_Activiteiten[[#All],[Subsidiabele_Activiteit]],0),MATCH(SubsidieTabel!O$1,Tb_Activiteiten[#Headers],0))=1,$G92,0),0)</f>
        <v>0</v>
      </c>
    </row>
    <row r="93" spans="1:28" x14ac:dyDescent="0.25">
      <c r="A93" s="12"/>
      <c r="B93" s="12"/>
      <c r="C93" s="12" t="str">
        <f>IFERROR(VLOOKUP($B93,Tb_ProjectKosten[],4,0),"")</f>
        <v/>
      </c>
      <c r="D93" s="12" t="str" cm="1">
        <f t="array" ref="D93">IFERROR(INDEX(Tb_KostenOpties[],MATCH(B93,Tb_KostenOpties[KostenOptie],0),IFERROR(MATCH(Methode_Keuze,Tb_KostenOpties[#Headers],0),2)),"")</f>
        <v/>
      </c>
      <c r="E93" s="284">
        <f>IFERROR(VLOOKUP(B93,Tb_ProjectKosten[[#All],[KostenOmschrijving]:[Forfait_Percentage]],6,0),0)</f>
        <v>0</v>
      </c>
      <c r="F93" s="285">
        <f>SUMIFS('5. Kosten uitvoering project'!P:P,'5. Kosten uitvoering project'!E:E,SubsidieTabel!A93,'5. Kosten uitvoering project'!F:F,SubsidieTabel!B93)</f>
        <v>0</v>
      </c>
      <c r="G93" s="285">
        <f>SUMIFS('5. Kosten uitvoering project'!Q:Q,'5. Kosten uitvoering project'!E:E,SubsidieTabel!A93,'5. Kosten uitvoering project'!F:F,SubsidieTabel!B93)</f>
        <v>0</v>
      </c>
      <c r="H93" s="285">
        <f>SUMIFS('5. Kosten uitvoering project'!R:R,'5. Kosten uitvoering project'!E:E,SubsidieTabel!A93,'5. Kosten uitvoering project'!F:F,SubsidieTabel!B93)</f>
        <v>0</v>
      </c>
      <c r="I93" s="285">
        <f>SUMIFS('5. Kosten uitvoering project'!S:S,'5. Kosten uitvoering project'!E:E,SubsidieTabel!A93,'5. Kosten uitvoering project'!F:F,SubsidieTabel!B93)</f>
        <v>0</v>
      </c>
      <c r="J93" s="285">
        <f t="shared" si="9"/>
        <v>0</v>
      </c>
      <c r="K93" s="285">
        <f t="shared" si="10"/>
        <v>0</v>
      </c>
      <c r="L93" s="284" t="str">
        <f>IFERROR(VLOOKUP(A93,Lijsten!$AK:$AL,2,0),"")</f>
        <v/>
      </c>
      <c r="M93" s="285">
        <f t="shared" si="11"/>
        <v>0</v>
      </c>
      <c r="N93" s="285">
        <f t="shared" si="12"/>
        <v>0</v>
      </c>
      <c r="O93" s="285">
        <f>IFERROR(IF(INDEX(Tb_Activiteiten[#All],MATCH(SubsidieTabel!$A93,Tb_Activiteiten[[#All],[Subsidiabele_Activiteit]],0),MATCH(SubsidieTabel!O$1,Tb_Activiteiten[#Headers],0))=1,SubsidieTabel!$J93,0),0)</f>
        <v>0</v>
      </c>
      <c r="P93" s="285">
        <f>IFERROR(IF(INDEX(Tb_Activiteiten[#All],MATCH(SubsidieTabel!$A93,Tb_Activiteiten[[#All],[Subsidiabele_Activiteit]],0),MATCH(SubsidieTabel!P$1,Tb_Activiteiten[#Headers],0))=1,SubsidieTabel!$K93,0),0)</f>
        <v>0</v>
      </c>
      <c r="Q93" s="285">
        <f>IFERROR(IF(INDEX(Tb_Activiteiten[#All],MATCH(SubsidieTabel!$A93,Tb_Activiteiten[[#All],[Subsidiabele_Activiteit]],0),MATCH(SubsidieTabel!Q$1,Tb_Activiteiten[#Headers],0))=1,SubsidieTabel!$J93,0),0)</f>
        <v>0</v>
      </c>
      <c r="R93" s="285">
        <f>IFERROR(IF(INDEX(Tb_Activiteiten[#All],MATCH(SubsidieTabel!$A93,Tb_Activiteiten[[#All],[Subsidiabele_Activiteit]],0),MATCH(SubsidieTabel!R$1,Tb_Activiteiten[#Headers],0))=1,SubsidieTabel!$K93,0),0)</f>
        <v>0</v>
      </c>
      <c r="S93" s="285">
        <f>IFERROR(IF(INDEX(Tb_Activiteiten[#All],MATCH(SubsidieTabel!$A93,Tb_Activiteiten[[#All],[Subsidiabele_Activiteit]],0),MATCH(SubsidieTabel!S$1,Tb_Activiteiten[#Headers],0))=1,SubsidieTabel!$J93,0),0)</f>
        <v>0</v>
      </c>
      <c r="T93" s="285">
        <f>IFERROR(IF(INDEX(Tb_Activiteiten[#All],MATCH(SubsidieTabel!$A93,Tb_Activiteiten[[#All],[Subsidiabele_Activiteit]],0),MATCH(SubsidieTabel!T$1,Tb_Activiteiten[#Headers],0))=1,SubsidieTabel!$K93,0),0)</f>
        <v>0</v>
      </c>
      <c r="U93" s="285">
        <f>IFERROR(IF(INDEX(Tb_Activiteiten[#All],MATCH(SubsidieTabel!$A93,Tb_Activiteiten[[#All],[Subsidiabele_Activiteit]],0),MATCH(SubsidieTabel!U$1,Tb_Activiteiten[#Headers],0))=1,SubsidieTabel!$J93,0),0)</f>
        <v>0</v>
      </c>
      <c r="V93" s="285">
        <f>IFERROR(IF(INDEX(Tb_Activiteiten[#All],MATCH(SubsidieTabel!$A93,Tb_Activiteiten[[#All],[Subsidiabele_Activiteit]],0),MATCH(SubsidieTabel!V$1,Tb_Activiteiten[#Headers],0))=1,SubsidieTabel!$K93,0),0)</f>
        <v>0</v>
      </c>
      <c r="W93" s="64">
        <f>IFERROR(IF(INDEX(Tb_Activiteiten[#All],MATCH(SubsidieTabel!$A93,Tb_Activiteiten[[#All],[Subsidiabele_Activiteit]],0),MATCH(SubsidieTabel!Q$1,Tb_Activiteiten[#Headers],0))=1,H93,0),0)</f>
        <v>0</v>
      </c>
      <c r="X93" s="64">
        <f>IFERROR(IF(INDEX(Tb_Activiteiten[#All],MATCH(SubsidieTabel!$A93,Tb_Activiteiten[[#All],[Subsidiabele_Activiteit]],0),MATCH(SubsidieTabel!Q$1,Tb_Activiteiten[#Headers],0))=1,I93,0),0)</f>
        <v>0</v>
      </c>
      <c r="Y93" s="64">
        <f>IFERROR(IF(INDEX(Tb_Activiteiten[#All],MATCH(SubsidieTabel!$A93,Tb_Activiteiten[[#All],[Subsidiabele_Activiteit]],0),MATCH(SubsidieTabel!S$1,Tb_Activiteiten[#Headers],0))=1,H93,0),0)</f>
        <v>0</v>
      </c>
      <c r="Z93" s="64">
        <f>IFERROR(IF(INDEX(Tb_Activiteiten[#All],MATCH(SubsidieTabel!$A93,Tb_Activiteiten[[#All],[Subsidiabele_Activiteit]],0),MATCH(SubsidieTabel!S$1,Tb_Activiteiten[#Headers],0))=1,I93,0),0)</f>
        <v>0</v>
      </c>
      <c r="AA93" s="64">
        <f>IFERROR(IF(INDEX(Tb_Activiteiten[#All],MATCH(SubsidieTabel!$A93,Tb_Activiteiten[[#All],[Subsidiabele_Activiteit]],0),MATCH(SubsidieTabel!O$1,Tb_Activiteiten[#Headers],0))=1,$F93,0),0)</f>
        <v>0</v>
      </c>
      <c r="AB93" s="64">
        <f>IFERROR(IF(INDEX(Tb_Activiteiten[#All],MATCH(SubsidieTabel!$A93,Tb_Activiteiten[[#All],[Subsidiabele_Activiteit]],0),MATCH(SubsidieTabel!O$1,Tb_Activiteiten[#Headers],0))=1,$G93,0),0)</f>
        <v>0</v>
      </c>
    </row>
    <row r="94" spans="1:28" x14ac:dyDescent="0.25">
      <c r="A94" s="63"/>
      <c r="B94" s="63"/>
      <c r="C94" s="63" t="str">
        <f>IFERROR(VLOOKUP($B94,Tb_ProjectKosten[],4,0),"")</f>
        <v/>
      </c>
      <c r="D94" s="63" t="str" cm="1">
        <f t="array" ref="D94">IFERROR(INDEX(Tb_KostenOpties[],MATCH(B94,Tb_KostenOpties[KostenOptie],0),IFERROR(MATCH(Methode_Keuze,Tb_KostenOpties[#Headers],0),2)),"")</f>
        <v/>
      </c>
      <c r="E94" s="286">
        <f>IFERROR(VLOOKUP(B94,Tb_ProjectKosten[[#All],[KostenOmschrijving]:[Forfait_Percentage]],6,0),0)</f>
        <v>0</v>
      </c>
      <c r="F94" s="287">
        <f>SUMIFS('5. Kosten uitvoering project'!P:P,'5. Kosten uitvoering project'!E:E,SubsidieTabel!A94,'5. Kosten uitvoering project'!F:F,SubsidieTabel!B94)</f>
        <v>0</v>
      </c>
      <c r="G94" s="287">
        <f>SUMIFS('5. Kosten uitvoering project'!Q:Q,'5. Kosten uitvoering project'!E:E,SubsidieTabel!A94,'5. Kosten uitvoering project'!F:F,SubsidieTabel!B94)</f>
        <v>0</v>
      </c>
      <c r="H94" s="287">
        <f>SUMIFS('5. Kosten uitvoering project'!R:R,'5. Kosten uitvoering project'!E:E,SubsidieTabel!A94,'5. Kosten uitvoering project'!F:F,SubsidieTabel!B94)</f>
        <v>0</v>
      </c>
      <c r="I94" s="287">
        <f>SUMIFS('5. Kosten uitvoering project'!S:S,'5. Kosten uitvoering project'!E:E,SubsidieTabel!A94,'5. Kosten uitvoering project'!F:F,SubsidieTabel!B94)</f>
        <v>0</v>
      </c>
      <c r="J94" s="287">
        <f t="shared" si="9"/>
        <v>0</v>
      </c>
      <c r="K94" s="287">
        <f t="shared" si="10"/>
        <v>0</v>
      </c>
      <c r="L94" s="286" t="str">
        <f>IFERROR(VLOOKUP(A94,Lijsten!$AK:$AL,2,0),"")</f>
        <v/>
      </c>
      <c r="M94" s="287">
        <f t="shared" si="11"/>
        <v>0</v>
      </c>
      <c r="N94" s="287">
        <f t="shared" si="12"/>
        <v>0</v>
      </c>
      <c r="O94" s="287">
        <f>IFERROR(IF(INDEX(Tb_Activiteiten[#All],MATCH(SubsidieTabel!$A94,Tb_Activiteiten[[#All],[Subsidiabele_Activiteit]],0),MATCH(SubsidieTabel!O$1,Tb_Activiteiten[#Headers],0))=1,SubsidieTabel!$J94,0),0)</f>
        <v>0</v>
      </c>
      <c r="P94" s="287">
        <f>IFERROR(IF(INDEX(Tb_Activiteiten[#All],MATCH(SubsidieTabel!$A94,Tb_Activiteiten[[#All],[Subsidiabele_Activiteit]],0),MATCH(SubsidieTabel!P$1,Tb_Activiteiten[#Headers],0))=1,SubsidieTabel!$K94,0),0)</f>
        <v>0</v>
      </c>
      <c r="Q94" s="287">
        <f>IFERROR(IF(INDEX(Tb_Activiteiten[#All],MATCH(SubsidieTabel!$A94,Tb_Activiteiten[[#All],[Subsidiabele_Activiteit]],0),MATCH(SubsidieTabel!Q$1,Tb_Activiteiten[#Headers],0))=1,SubsidieTabel!$J94,0),0)</f>
        <v>0</v>
      </c>
      <c r="R94" s="287">
        <f>IFERROR(IF(INDEX(Tb_Activiteiten[#All],MATCH(SubsidieTabel!$A94,Tb_Activiteiten[[#All],[Subsidiabele_Activiteit]],0),MATCH(SubsidieTabel!R$1,Tb_Activiteiten[#Headers],0))=1,SubsidieTabel!$K94,0),0)</f>
        <v>0</v>
      </c>
      <c r="S94" s="287">
        <f>IFERROR(IF(INDEX(Tb_Activiteiten[#All],MATCH(SubsidieTabel!$A94,Tb_Activiteiten[[#All],[Subsidiabele_Activiteit]],0),MATCH(SubsidieTabel!S$1,Tb_Activiteiten[#Headers],0))=1,SubsidieTabel!$J94,0),0)</f>
        <v>0</v>
      </c>
      <c r="T94" s="287">
        <f>IFERROR(IF(INDEX(Tb_Activiteiten[#All],MATCH(SubsidieTabel!$A94,Tb_Activiteiten[[#All],[Subsidiabele_Activiteit]],0),MATCH(SubsidieTabel!T$1,Tb_Activiteiten[#Headers],0))=1,SubsidieTabel!$K94,0),0)</f>
        <v>0</v>
      </c>
      <c r="U94" s="287">
        <f>IFERROR(IF(INDEX(Tb_Activiteiten[#All],MATCH(SubsidieTabel!$A94,Tb_Activiteiten[[#All],[Subsidiabele_Activiteit]],0),MATCH(SubsidieTabel!U$1,Tb_Activiteiten[#Headers],0))=1,SubsidieTabel!$J94,0),0)</f>
        <v>0</v>
      </c>
      <c r="V94" s="287">
        <f>IFERROR(IF(INDEX(Tb_Activiteiten[#All],MATCH(SubsidieTabel!$A94,Tb_Activiteiten[[#All],[Subsidiabele_Activiteit]],0),MATCH(SubsidieTabel!V$1,Tb_Activiteiten[#Headers],0))=1,SubsidieTabel!$K94,0),0)</f>
        <v>0</v>
      </c>
      <c r="W94" s="374">
        <f>IFERROR(IF(INDEX(Tb_Activiteiten[#All],MATCH(SubsidieTabel!$A94,Tb_Activiteiten[[#All],[Subsidiabele_Activiteit]],0),MATCH(SubsidieTabel!Q$1,Tb_Activiteiten[#Headers],0))=1,H94,0),0)</f>
        <v>0</v>
      </c>
      <c r="X94" s="374">
        <f>IFERROR(IF(INDEX(Tb_Activiteiten[#All],MATCH(SubsidieTabel!$A94,Tb_Activiteiten[[#All],[Subsidiabele_Activiteit]],0),MATCH(SubsidieTabel!Q$1,Tb_Activiteiten[#Headers],0))=1,I94,0),0)</f>
        <v>0</v>
      </c>
      <c r="Y94" s="374">
        <f>IFERROR(IF(INDEX(Tb_Activiteiten[#All],MATCH(SubsidieTabel!$A94,Tb_Activiteiten[[#All],[Subsidiabele_Activiteit]],0),MATCH(SubsidieTabel!S$1,Tb_Activiteiten[#Headers],0))=1,H94,0),0)</f>
        <v>0</v>
      </c>
      <c r="Z94" s="374">
        <f>IFERROR(IF(INDEX(Tb_Activiteiten[#All],MATCH(SubsidieTabel!$A94,Tb_Activiteiten[[#All],[Subsidiabele_Activiteit]],0),MATCH(SubsidieTabel!S$1,Tb_Activiteiten[#Headers],0))=1,I94,0),0)</f>
        <v>0</v>
      </c>
      <c r="AA94" s="374">
        <f>IFERROR(IF(INDEX(Tb_Activiteiten[#All],MATCH(SubsidieTabel!$A94,Tb_Activiteiten[[#All],[Subsidiabele_Activiteit]],0),MATCH(SubsidieTabel!O$1,Tb_Activiteiten[#Headers],0))=1,$F94,0),0)</f>
        <v>0</v>
      </c>
      <c r="AB94" s="374">
        <f>IFERROR(IF(INDEX(Tb_Activiteiten[#All],MATCH(SubsidieTabel!$A94,Tb_Activiteiten[[#All],[Subsidiabele_Activiteit]],0),MATCH(SubsidieTabel!O$1,Tb_Activiteiten[#Headers],0))=1,$G94,0),0)</f>
        <v>0</v>
      </c>
    </row>
    <row r="95" spans="1:28" x14ac:dyDescent="0.25">
      <c r="A95" s="12"/>
      <c r="B95" s="12"/>
      <c r="C95" s="12" t="str">
        <f>IFERROR(VLOOKUP($B95,Tb_ProjectKosten[],4,0),"")</f>
        <v/>
      </c>
      <c r="D95" s="12" t="str" cm="1">
        <f t="array" ref="D95">IFERROR(INDEX(Tb_KostenOpties[],MATCH(B95,Tb_KostenOpties[KostenOptie],0),IFERROR(MATCH(Methode_Keuze,Tb_KostenOpties[#Headers],0),2)),"")</f>
        <v/>
      </c>
      <c r="E95" s="284">
        <f>IFERROR(VLOOKUP(B95,Tb_ProjectKosten[[#All],[KostenOmschrijving]:[Forfait_Percentage]],6,0),0)</f>
        <v>0</v>
      </c>
      <c r="F95" s="285">
        <f>SUMIFS('5. Kosten uitvoering project'!P:P,'5. Kosten uitvoering project'!E:E,SubsidieTabel!A95,'5. Kosten uitvoering project'!F:F,SubsidieTabel!B95)</f>
        <v>0</v>
      </c>
      <c r="G95" s="285">
        <f>SUMIFS('5. Kosten uitvoering project'!Q:Q,'5. Kosten uitvoering project'!E:E,SubsidieTabel!A95,'5. Kosten uitvoering project'!F:F,SubsidieTabel!B95)</f>
        <v>0</v>
      </c>
      <c r="H95" s="285">
        <f>SUMIFS('5. Kosten uitvoering project'!R:R,'5. Kosten uitvoering project'!E:E,SubsidieTabel!A95,'5. Kosten uitvoering project'!F:F,SubsidieTabel!B95)</f>
        <v>0</v>
      </c>
      <c r="I95" s="285">
        <f>SUMIFS('5. Kosten uitvoering project'!S:S,'5. Kosten uitvoering project'!E:E,SubsidieTabel!A95,'5. Kosten uitvoering project'!F:F,SubsidieTabel!B95)</f>
        <v>0</v>
      </c>
      <c r="J95" s="285">
        <f t="shared" si="9"/>
        <v>0</v>
      </c>
      <c r="K95" s="285">
        <f t="shared" si="10"/>
        <v>0</v>
      </c>
      <c r="L95" s="284" t="str">
        <f>IFERROR(VLOOKUP(A95,Lijsten!$AK:$AL,2,0),"")</f>
        <v/>
      </c>
      <c r="M95" s="285">
        <f t="shared" si="11"/>
        <v>0</v>
      </c>
      <c r="N95" s="285">
        <f t="shared" si="12"/>
        <v>0</v>
      </c>
      <c r="O95" s="285">
        <f>IFERROR(IF(INDEX(Tb_Activiteiten[#All],MATCH(SubsidieTabel!$A95,Tb_Activiteiten[[#All],[Subsidiabele_Activiteit]],0),MATCH(SubsidieTabel!O$1,Tb_Activiteiten[#Headers],0))=1,SubsidieTabel!$J95,0),0)</f>
        <v>0</v>
      </c>
      <c r="P95" s="285">
        <f>IFERROR(IF(INDEX(Tb_Activiteiten[#All],MATCH(SubsidieTabel!$A95,Tb_Activiteiten[[#All],[Subsidiabele_Activiteit]],0),MATCH(SubsidieTabel!P$1,Tb_Activiteiten[#Headers],0))=1,SubsidieTabel!$K95,0),0)</f>
        <v>0</v>
      </c>
      <c r="Q95" s="285">
        <f>IFERROR(IF(INDEX(Tb_Activiteiten[#All],MATCH(SubsidieTabel!$A95,Tb_Activiteiten[[#All],[Subsidiabele_Activiteit]],0),MATCH(SubsidieTabel!Q$1,Tb_Activiteiten[#Headers],0))=1,SubsidieTabel!$J95,0),0)</f>
        <v>0</v>
      </c>
      <c r="R95" s="285">
        <f>IFERROR(IF(INDEX(Tb_Activiteiten[#All],MATCH(SubsidieTabel!$A95,Tb_Activiteiten[[#All],[Subsidiabele_Activiteit]],0),MATCH(SubsidieTabel!R$1,Tb_Activiteiten[#Headers],0))=1,SubsidieTabel!$K95,0),0)</f>
        <v>0</v>
      </c>
      <c r="S95" s="285">
        <f>IFERROR(IF(INDEX(Tb_Activiteiten[#All],MATCH(SubsidieTabel!$A95,Tb_Activiteiten[[#All],[Subsidiabele_Activiteit]],0),MATCH(SubsidieTabel!S$1,Tb_Activiteiten[#Headers],0))=1,SubsidieTabel!$J95,0),0)</f>
        <v>0</v>
      </c>
      <c r="T95" s="285">
        <f>IFERROR(IF(INDEX(Tb_Activiteiten[#All],MATCH(SubsidieTabel!$A95,Tb_Activiteiten[[#All],[Subsidiabele_Activiteit]],0),MATCH(SubsidieTabel!T$1,Tb_Activiteiten[#Headers],0))=1,SubsidieTabel!$K95,0),0)</f>
        <v>0</v>
      </c>
      <c r="U95" s="285">
        <f>IFERROR(IF(INDEX(Tb_Activiteiten[#All],MATCH(SubsidieTabel!$A95,Tb_Activiteiten[[#All],[Subsidiabele_Activiteit]],0),MATCH(SubsidieTabel!U$1,Tb_Activiteiten[#Headers],0))=1,SubsidieTabel!$J95,0),0)</f>
        <v>0</v>
      </c>
      <c r="V95" s="285">
        <f>IFERROR(IF(INDEX(Tb_Activiteiten[#All],MATCH(SubsidieTabel!$A95,Tb_Activiteiten[[#All],[Subsidiabele_Activiteit]],0),MATCH(SubsidieTabel!V$1,Tb_Activiteiten[#Headers],0))=1,SubsidieTabel!$K95,0),0)</f>
        <v>0</v>
      </c>
      <c r="W95" s="64">
        <f>IFERROR(IF(INDEX(Tb_Activiteiten[#All],MATCH(SubsidieTabel!$A95,Tb_Activiteiten[[#All],[Subsidiabele_Activiteit]],0),MATCH(SubsidieTabel!Q$1,Tb_Activiteiten[#Headers],0))=1,H95,0),0)</f>
        <v>0</v>
      </c>
      <c r="X95" s="64">
        <f>IFERROR(IF(INDEX(Tb_Activiteiten[#All],MATCH(SubsidieTabel!$A95,Tb_Activiteiten[[#All],[Subsidiabele_Activiteit]],0),MATCH(SubsidieTabel!Q$1,Tb_Activiteiten[#Headers],0))=1,I95,0),0)</f>
        <v>0</v>
      </c>
      <c r="Y95" s="64">
        <f>IFERROR(IF(INDEX(Tb_Activiteiten[#All],MATCH(SubsidieTabel!$A95,Tb_Activiteiten[[#All],[Subsidiabele_Activiteit]],0),MATCH(SubsidieTabel!S$1,Tb_Activiteiten[#Headers],0))=1,H95,0),0)</f>
        <v>0</v>
      </c>
      <c r="Z95" s="64">
        <f>IFERROR(IF(INDEX(Tb_Activiteiten[#All],MATCH(SubsidieTabel!$A95,Tb_Activiteiten[[#All],[Subsidiabele_Activiteit]],0),MATCH(SubsidieTabel!S$1,Tb_Activiteiten[#Headers],0))=1,I95,0),0)</f>
        <v>0</v>
      </c>
      <c r="AA95" s="64">
        <f>IFERROR(IF(INDEX(Tb_Activiteiten[#All],MATCH(SubsidieTabel!$A95,Tb_Activiteiten[[#All],[Subsidiabele_Activiteit]],0),MATCH(SubsidieTabel!O$1,Tb_Activiteiten[#Headers],0))=1,$F95,0),0)</f>
        <v>0</v>
      </c>
      <c r="AB95" s="64">
        <f>IFERROR(IF(INDEX(Tb_Activiteiten[#All],MATCH(SubsidieTabel!$A95,Tb_Activiteiten[[#All],[Subsidiabele_Activiteit]],0),MATCH(SubsidieTabel!O$1,Tb_Activiteiten[#Headers],0))=1,$G95,0),0)</f>
        <v>0</v>
      </c>
    </row>
    <row r="96" spans="1:28" x14ac:dyDescent="0.25">
      <c r="A96" s="63"/>
      <c r="B96" s="63"/>
      <c r="C96" s="63" t="str">
        <f>IFERROR(VLOOKUP($B96,Tb_ProjectKosten[],4,0),"")</f>
        <v/>
      </c>
      <c r="D96" s="63" t="str" cm="1">
        <f t="array" ref="D96">IFERROR(INDEX(Tb_KostenOpties[],MATCH(B96,Tb_KostenOpties[KostenOptie],0),IFERROR(MATCH(Methode_Keuze,Tb_KostenOpties[#Headers],0),2)),"")</f>
        <v/>
      </c>
      <c r="E96" s="286">
        <f>IFERROR(VLOOKUP(B96,Tb_ProjectKosten[[#All],[KostenOmschrijving]:[Forfait_Percentage]],6,0),0)</f>
        <v>0</v>
      </c>
      <c r="F96" s="287">
        <f>SUMIFS('5. Kosten uitvoering project'!P:P,'5. Kosten uitvoering project'!E:E,SubsidieTabel!A96,'5. Kosten uitvoering project'!F:F,SubsidieTabel!B96)</f>
        <v>0</v>
      </c>
      <c r="G96" s="287">
        <f>SUMIFS('5. Kosten uitvoering project'!Q:Q,'5. Kosten uitvoering project'!E:E,SubsidieTabel!A96,'5. Kosten uitvoering project'!F:F,SubsidieTabel!B96)</f>
        <v>0</v>
      </c>
      <c r="H96" s="287">
        <f>SUMIFS('5. Kosten uitvoering project'!R:R,'5. Kosten uitvoering project'!E:E,SubsidieTabel!A96,'5. Kosten uitvoering project'!F:F,SubsidieTabel!B96)</f>
        <v>0</v>
      </c>
      <c r="I96" s="287">
        <f>SUMIFS('5. Kosten uitvoering project'!S:S,'5. Kosten uitvoering project'!E:E,SubsidieTabel!A96,'5. Kosten uitvoering project'!F:F,SubsidieTabel!B96)</f>
        <v>0</v>
      </c>
      <c r="J96" s="287">
        <f t="shared" si="9"/>
        <v>0</v>
      </c>
      <c r="K96" s="287">
        <f t="shared" si="10"/>
        <v>0</v>
      </c>
      <c r="L96" s="286" t="str">
        <f>IFERROR(VLOOKUP(A96,Lijsten!$AK:$AL,2,0),"")</f>
        <v/>
      </c>
      <c r="M96" s="287">
        <f t="shared" si="11"/>
        <v>0</v>
      </c>
      <c r="N96" s="287">
        <f t="shared" si="12"/>
        <v>0</v>
      </c>
      <c r="O96" s="287">
        <f>IFERROR(IF(INDEX(Tb_Activiteiten[#All],MATCH(SubsidieTabel!$A96,Tb_Activiteiten[[#All],[Subsidiabele_Activiteit]],0),MATCH(SubsidieTabel!O$1,Tb_Activiteiten[#Headers],0))=1,SubsidieTabel!$J96,0),0)</f>
        <v>0</v>
      </c>
      <c r="P96" s="287">
        <f>IFERROR(IF(INDEX(Tb_Activiteiten[#All],MATCH(SubsidieTabel!$A96,Tb_Activiteiten[[#All],[Subsidiabele_Activiteit]],0),MATCH(SubsidieTabel!P$1,Tb_Activiteiten[#Headers],0))=1,SubsidieTabel!$K96,0),0)</f>
        <v>0</v>
      </c>
      <c r="Q96" s="287">
        <f>IFERROR(IF(INDEX(Tb_Activiteiten[#All],MATCH(SubsidieTabel!$A96,Tb_Activiteiten[[#All],[Subsidiabele_Activiteit]],0),MATCH(SubsidieTabel!Q$1,Tb_Activiteiten[#Headers],0))=1,SubsidieTabel!$J96,0),0)</f>
        <v>0</v>
      </c>
      <c r="R96" s="287">
        <f>IFERROR(IF(INDEX(Tb_Activiteiten[#All],MATCH(SubsidieTabel!$A96,Tb_Activiteiten[[#All],[Subsidiabele_Activiteit]],0),MATCH(SubsidieTabel!R$1,Tb_Activiteiten[#Headers],0))=1,SubsidieTabel!$K96,0),0)</f>
        <v>0</v>
      </c>
      <c r="S96" s="287">
        <f>IFERROR(IF(INDEX(Tb_Activiteiten[#All],MATCH(SubsidieTabel!$A96,Tb_Activiteiten[[#All],[Subsidiabele_Activiteit]],0),MATCH(SubsidieTabel!S$1,Tb_Activiteiten[#Headers],0))=1,SubsidieTabel!$J96,0),0)</f>
        <v>0</v>
      </c>
      <c r="T96" s="287">
        <f>IFERROR(IF(INDEX(Tb_Activiteiten[#All],MATCH(SubsidieTabel!$A96,Tb_Activiteiten[[#All],[Subsidiabele_Activiteit]],0),MATCH(SubsidieTabel!T$1,Tb_Activiteiten[#Headers],0))=1,SubsidieTabel!$K96,0),0)</f>
        <v>0</v>
      </c>
      <c r="U96" s="287">
        <f>IFERROR(IF(INDEX(Tb_Activiteiten[#All],MATCH(SubsidieTabel!$A96,Tb_Activiteiten[[#All],[Subsidiabele_Activiteit]],0),MATCH(SubsidieTabel!U$1,Tb_Activiteiten[#Headers],0))=1,SubsidieTabel!$J96,0),0)</f>
        <v>0</v>
      </c>
      <c r="V96" s="287">
        <f>IFERROR(IF(INDEX(Tb_Activiteiten[#All],MATCH(SubsidieTabel!$A96,Tb_Activiteiten[[#All],[Subsidiabele_Activiteit]],0),MATCH(SubsidieTabel!V$1,Tb_Activiteiten[#Headers],0))=1,SubsidieTabel!$K96,0),0)</f>
        <v>0</v>
      </c>
      <c r="W96" s="374">
        <f>IFERROR(IF(INDEX(Tb_Activiteiten[#All],MATCH(SubsidieTabel!$A96,Tb_Activiteiten[[#All],[Subsidiabele_Activiteit]],0),MATCH(SubsidieTabel!Q$1,Tb_Activiteiten[#Headers],0))=1,H96,0),0)</f>
        <v>0</v>
      </c>
      <c r="X96" s="374">
        <f>IFERROR(IF(INDEX(Tb_Activiteiten[#All],MATCH(SubsidieTabel!$A96,Tb_Activiteiten[[#All],[Subsidiabele_Activiteit]],0),MATCH(SubsidieTabel!Q$1,Tb_Activiteiten[#Headers],0))=1,I96,0),0)</f>
        <v>0</v>
      </c>
      <c r="Y96" s="374">
        <f>IFERROR(IF(INDEX(Tb_Activiteiten[#All],MATCH(SubsidieTabel!$A96,Tb_Activiteiten[[#All],[Subsidiabele_Activiteit]],0),MATCH(SubsidieTabel!S$1,Tb_Activiteiten[#Headers],0))=1,H96,0),0)</f>
        <v>0</v>
      </c>
      <c r="Z96" s="374">
        <f>IFERROR(IF(INDEX(Tb_Activiteiten[#All],MATCH(SubsidieTabel!$A96,Tb_Activiteiten[[#All],[Subsidiabele_Activiteit]],0),MATCH(SubsidieTabel!S$1,Tb_Activiteiten[#Headers],0))=1,I96,0),0)</f>
        <v>0</v>
      </c>
      <c r="AA96" s="374">
        <f>IFERROR(IF(INDEX(Tb_Activiteiten[#All],MATCH(SubsidieTabel!$A96,Tb_Activiteiten[[#All],[Subsidiabele_Activiteit]],0),MATCH(SubsidieTabel!O$1,Tb_Activiteiten[#Headers],0))=1,$F96,0),0)</f>
        <v>0</v>
      </c>
      <c r="AB96" s="374">
        <f>IFERROR(IF(INDEX(Tb_Activiteiten[#All],MATCH(SubsidieTabel!$A96,Tb_Activiteiten[[#All],[Subsidiabele_Activiteit]],0),MATCH(SubsidieTabel!O$1,Tb_Activiteiten[#Headers],0))=1,$G96,0),0)</f>
        <v>0</v>
      </c>
    </row>
    <row r="97" spans="1:28" x14ac:dyDescent="0.25">
      <c r="A97" s="12"/>
      <c r="B97" s="12"/>
      <c r="C97" s="12" t="str">
        <f>IFERROR(VLOOKUP($B97,Tb_ProjectKosten[],4,0),"")</f>
        <v/>
      </c>
      <c r="D97" s="12" t="str" cm="1">
        <f t="array" ref="D97">IFERROR(INDEX(Tb_KostenOpties[],MATCH(B97,Tb_KostenOpties[KostenOptie],0),IFERROR(MATCH(Methode_Keuze,Tb_KostenOpties[#Headers],0),2)),"")</f>
        <v/>
      </c>
      <c r="E97" s="284">
        <f>IFERROR(VLOOKUP(B97,Tb_ProjectKosten[[#All],[KostenOmschrijving]:[Forfait_Percentage]],6,0),0)</f>
        <v>0</v>
      </c>
      <c r="F97" s="285">
        <f>SUMIFS('5. Kosten uitvoering project'!P:P,'5. Kosten uitvoering project'!E:E,SubsidieTabel!A97,'5. Kosten uitvoering project'!F:F,SubsidieTabel!B97)</f>
        <v>0</v>
      </c>
      <c r="G97" s="285">
        <f>SUMIFS('5. Kosten uitvoering project'!Q:Q,'5. Kosten uitvoering project'!E:E,SubsidieTabel!A97,'5. Kosten uitvoering project'!F:F,SubsidieTabel!B97)</f>
        <v>0</v>
      </c>
      <c r="H97" s="285">
        <f>SUMIFS('5. Kosten uitvoering project'!R:R,'5. Kosten uitvoering project'!E:E,SubsidieTabel!A97,'5. Kosten uitvoering project'!F:F,SubsidieTabel!B97)</f>
        <v>0</v>
      </c>
      <c r="I97" s="285">
        <f>SUMIFS('5. Kosten uitvoering project'!S:S,'5. Kosten uitvoering project'!E:E,SubsidieTabel!A97,'5. Kosten uitvoering project'!F:F,SubsidieTabel!B97)</f>
        <v>0</v>
      </c>
      <c r="J97" s="285">
        <f t="shared" si="9"/>
        <v>0</v>
      </c>
      <c r="K97" s="285">
        <f t="shared" si="10"/>
        <v>0</v>
      </c>
      <c r="L97" s="284" t="str">
        <f>IFERROR(VLOOKUP(A97,Lijsten!$AK:$AL,2,0),"")</f>
        <v/>
      </c>
      <c r="M97" s="285">
        <f t="shared" si="11"/>
        <v>0</v>
      </c>
      <c r="N97" s="285">
        <f t="shared" si="12"/>
        <v>0</v>
      </c>
      <c r="O97" s="285">
        <f>IFERROR(IF(INDEX(Tb_Activiteiten[#All],MATCH(SubsidieTabel!$A97,Tb_Activiteiten[[#All],[Subsidiabele_Activiteit]],0),MATCH(SubsidieTabel!O$1,Tb_Activiteiten[#Headers],0))=1,SubsidieTabel!$J97,0),0)</f>
        <v>0</v>
      </c>
      <c r="P97" s="285">
        <f>IFERROR(IF(INDEX(Tb_Activiteiten[#All],MATCH(SubsidieTabel!$A97,Tb_Activiteiten[[#All],[Subsidiabele_Activiteit]],0),MATCH(SubsidieTabel!P$1,Tb_Activiteiten[#Headers],0))=1,SubsidieTabel!$K97,0),0)</f>
        <v>0</v>
      </c>
      <c r="Q97" s="285">
        <f>IFERROR(IF(INDEX(Tb_Activiteiten[#All],MATCH(SubsidieTabel!$A97,Tb_Activiteiten[[#All],[Subsidiabele_Activiteit]],0),MATCH(SubsidieTabel!Q$1,Tb_Activiteiten[#Headers],0))=1,SubsidieTabel!$J97,0),0)</f>
        <v>0</v>
      </c>
      <c r="R97" s="285">
        <f>IFERROR(IF(INDEX(Tb_Activiteiten[#All],MATCH(SubsidieTabel!$A97,Tb_Activiteiten[[#All],[Subsidiabele_Activiteit]],0),MATCH(SubsidieTabel!R$1,Tb_Activiteiten[#Headers],0))=1,SubsidieTabel!$K97,0),0)</f>
        <v>0</v>
      </c>
      <c r="S97" s="285">
        <f>IFERROR(IF(INDEX(Tb_Activiteiten[#All],MATCH(SubsidieTabel!$A97,Tb_Activiteiten[[#All],[Subsidiabele_Activiteit]],0),MATCH(SubsidieTabel!S$1,Tb_Activiteiten[#Headers],0))=1,SubsidieTabel!$J97,0),0)</f>
        <v>0</v>
      </c>
      <c r="T97" s="285">
        <f>IFERROR(IF(INDEX(Tb_Activiteiten[#All],MATCH(SubsidieTabel!$A97,Tb_Activiteiten[[#All],[Subsidiabele_Activiteit]],0),MATCH(SubsidieTabel!T$1,Tb_Activiteiten[#Headers],0))=1,SubsidieTabel!$K97,0),0)</f>
        <v>0</v>
      </c>
      <c r="U97" s="285">
        <f>IFERROR(IF(INDEX(Tb_Activiteiten[#All],MATCH(SubsidieTabel!$A97,Tb_Activiteiten[[#All],[Subsidiabele_Activiteit]],0),MATCH(SubsidieTabel!U$1,Tb_Activiteiten[#Headers],0))=1,SubsidieTabel!$J97,0),0)</f>
        <v>0</v>
      </c>
      <c r="V97" s="285">
        <f>IFERROR(IF(INDEX(Tb_Activiteiten[#All],MATCH(SubsidieTabel!$A97,Tb_Activiteiten[[#All],[Subsidiabele_Activiteit]],0),MATCH(SubsidieTabel!V$1,Tb_Activiteiten[#Headers],0))=1,SubsidieTabel!$K97,0),0)</f>
        <v>0</v>
      </c>
      <c r="W97" s="64">
        <f>IFERROR(IF(INDEX(Tb_Activiteiten[#All],MATCH(SubsidieTabel!$A97,Tb_Activiteiten[[#All],[Subsidiabele_Activiteit]],0),MATCH(SubsidieTabel!Q$1,Tb_Activiteiten[#Headers],0))=1,H97,0),0)</f>
        <v>0</v>
      </c>
      <c r="X97" s="64">
        <f>IFERROR(IF(INDEX(Tb_Activiteiten[#All],MATCH(SubsidieTabel!$A97,Tb_Activiteiten[[#All],[Subsidiabele_Activiteit]],0),MATCH(SubsidieTabel!Q$1,Tb_Activiteiten[#Headers],0))=1,I97,0),0)</f>
        <v>0</v>
      </c>
      <c r="Y97" s="64">
        <f>IFERROR(IF(INDEX(Tb_Activiteiten[#All],MATCH(SubsidieTabel!$A97,Tb_Activiteiten[[#All],[Subsidiabele_Activiteit]],0),MATCH(SubsidieTabel!S$1,Tb_Activiteiten[#Headers],0))=1,H97,0),0)</f>
        <v>0</v>
      </c>
      <c r="Z97" s="64">
        <f>IFERROR(IF(INDEX(Tb_Activiteiten[#All],MATCH(SubsidieTabel!$A97,Tb_Activiteiten[[#All],[Subsidiabele_Activiteit]],0),MATCH(SubsidieTabel!S$1,Tb_Activiteiten[#Headers],0))=1,I97,0),0)</f>
        <v>0</v>
      </c>
      <c r="AA97" s="64">
        <f>IFERROR(IF(INDEX(Tb_Activiteiten[#All],MATCH(SubsidieTabel!$A97,Tb_Activiteiten[[#All],[Subsidiabele_Activiteit]],0),MATCH(SubsidieTabel!O$1,Tb_Activiteiten[#Headers],0))=1,$F97,0),0)</f>
        <v>0</v>
      </c>
      <c r="AB97" s="64">
        <f>IFERROR(IF(INDEX(Tb_Activiteiten[#All],MATCH(SubsidieTabel!$A97,Tb_Activiteiten[[#All],[Subsidiabele_Activiteit]],0),MATCH(SubsidieTabel!O$1,Tb_Activiteiten[#Headers],0))=1,$G97,0),0)</f>
        <v>0</v>
      </c>
    </row>
    <row r="98" spans="1:28" x14ac:dyDescent="0.25">
      <c r="A98" s="63"/>
      <c r="B98" s="63"/>
      <c r="C98" s="63" t="str">
        <f>IFERROR(VLOOKUP($B98,Tb_ProjectKosten[],4,0),"")</f>
        <v/>
      </c>
      <c r="D98" s="63" t="str" cm="1">
        <f t="array" ref="D98">IFERROR(INDEX(Tb_KostenOpties[],MATCH(B98,Tb_KostenOpties[KostenOptie],0),IFERROR(MATCH(Methode_Keuze,Tb_KostenOpties[#Headers],0),2)),"")</f>
        <v/>
      </c>
      <c r="E98" s="286">
        <f>IFERROR(VLOOKUP(B98,Tb_ProjectKosten[[#All],[KostenOmschrijving]:[Forfait_Percentage]],6,0),0)</f>
        <v>0</v>
      </c>
      <c r="F98" s="287">
        <f>SUMIFS('5. Kosten uitvoering project'!P:P,'5. Kosten uitvoering project'!E:E,SubsidieTabel!A98,'5. Kosten uitvoering project'!F:F,SubsidieTabel!B98)</f>
        <v>0</v>
      </c>
      <c r="G98" s="287">
        <f>SUMIFS('5. Kosten uitvoering project'!Q:Q,'5. Kosten uitvoering project'!E:E,SubsidieTabel!A98,'5. Kosten uitvoering project'!F:F,SubsidieTabel!B98)</f>
        <v>0</v>
      </c>
      <c r="H98" s="287">
        <f>SUMIFS('5. Kosten uitvoering project'!R:R,'5. Kosten uitvoering project'!E:E,SubsidieTabel!A98,'5. Kosten uitvoering project'!F:F,SubsidieTabel!B98)</f>
        <v>0</v>
      </c>
      <c r="I98" s="287">
        <f>SUMIFS('5. Kosten uitvoering project'!S:S,'5. Kosten uitvoering project'!E:E,SubsidieTabel!A98,'5. Kosten uitvoering project'!F:F,SubsidieTabel!B98)</f>
        <v>0</v>
      </c>
      <c r="J98" s="287">
        <f t="shared" si="9"/>
        <v>0</v>
      </c>
      <c r="K98" s="287">
        <f t="shared" si="10"/>
        <v>0</v>
      </c>
      <c r="L98" s="286" t="str">
        <f>IFERROR(VLOOKUP(A98,Lijsten!$AK:$AL,2,0),"")</f>
        <v/>
      </c>
      <c r="M98" s="287">
        <f t="shared" si="11"/>
        <v>0</v>
      </c>
      <c r="N98" s="287">
        <f t="shared" si="12"/>
        <v>0</v>
      </c>
      <c r="O98" s="287">
        <f>IFERROR(IF(INDEX(Tb_Activiteiten[#All],MATCH(SubsidieTabel!$A98,Tb_Activiteiten[[#All],[Subsidiabele_Activiteit]],0),MATCH(SubsidieTabel!O$1,Tb_Activiteiten[#Headers],0))=1,SubsidieTabel!$J98,0),0)</f>
        <v>0</v>
      </c>
      <c r="P98" s="287">
        <f>IFERROR(IF(INDEX(Tb_Activiteiten[#All],MATCH(SubsidieTabel!$A98,Tb_Activiteiten[[#All],[Subsidiabele_Activiteit]],0),MATCH(SubsidieTabel!P$1,Tb_Activiteiten[#Headers],0))=1,SubsidieTabel!$K98,0),0)</f>
        <v>0</v>
      </c>
      <c r="Q98" s="287">
        <f>IFERROR(IF(INDEX(Tb_Activiteiten[#All],MATCH(SubsidieTabel!$A98,Tb_Activiteiten[[#All],[Subsidiabele_Activiteit]],0),MATCH(SubsidieTabel!Q$1,Tb_Activiteiten[#Headers],0))=1,SubsidieTabel!$J98,0),0)</f>
        <v>0</v>
      </c>
      <c r="R98" s="287">
        <f>IFERROR(IF(INDEX(Tb_Activiteiten[#All],MATCH(SubsidieTabel!$A98,Tb_Activiteiten[[#All],[Subsidiabele_Activiteit]],0),MATCH(SubsidieTabel!R$1,Tb_Activiteiten[#Headers],0))=1,SubsidieTabel!$K98,0),0)</f>
        <v>0</v>
      </c>
      <c r="S98" s="287">
        <f>IFERROR(IF(INDEX(Tb_Activiteiten[#All],MATCH(SubsidieTabel!$A98,Tb_Activiteiten[[#All],[Subsidiabele_Activiteit]],0),MATCH(SubsidieTabel!S$1,Tb_Activiteiten[#Headers],0))=1,SubsidieTabel!$J98,0),0)</f>
        <v>0</v>
      </c>
      <c r="T98" s="287">
        <f>IFERROR(IF(INDEX(Tb_Activiteiten[#All],MATCH(SubsidieTabel!$A98,Tb_Activiteiten[[#All],[Subsidiabele_Activiteit]],0),MATCH(SubsidieTabel!T$1,Tb_Activiteiten[#Headers],0))=1,SubsidieTabel!$K98,0),0)</f>
        <v>0</v>
      </c>
      <c r="U98" s="287">
        <f>IFERROR(IF(INDEX(Tb_Activiteiten[#All],MATCH(SubsidieTabel!$A98,Tb_Activiteiten[[#All],[Subsidiabele_Activiteit]],0),MATCH(SubsidieTabel!U$1,Tb_Activiteiten[#Headers],0))=1,SubsidieTabel!$J98,0),0)</f>
        <v>0</v>
      </c>
      <c r="V98" s="287">
        <f>IFERROR(IF(INDEX(Tb_Activiteiten[#All],MATCH(SubsidieTabel!$A98,Tb_Activiteiten[[#All],[Subsidiabele_Activiteit]],0),MATCH(SubsidieTabel!V$1,Tb_Activiteiten[#Headers],0))=1,SubsidieTabel!$K98,0),0)</f>
        <v>0</v>
      </c>
      <c r="W98" s="374">
        <f>IFERROR(IF(INDEX(Tb_Activiteiten[#All],MATCH(SubsidieTabel!$A98,Tb_Activiteiten[[#All],[Subsidiabele_Activiteit]],0),MATCH(SubsidieTabel!Q$1,Tb_Activiteiten[#Headers],0))=1,H98,0),0)</f>
        <v>0</v>
      </c>
      <c r="X98" s="374">
        <f>IFERROR(IF(INDEX(Tb_Activiteiten[#All],MATCH(SubsidieTabel!$A98,Tb_Activiteiten[[#All],[Subsidiabele_Activiteit]],0),MATCH(SubsidieTabel!Q$1,Tb_Activiteiten[#Headers],0))=1,I98,0),0)</f>
        <v>0</v>
      </c>
      <c r="Y98" s="374">
        <f>IFERROR(IF(INDEX(Tb_Activiteiten[#All],MATCH(SubsidieTabel!$A98,Tb_Activiteiten[[#All],[Subsidiabele_Activiteit]],0),MATCH(SubsidieTabel!S$1,Tb_Activiteiten[#Headers],0))=1,H98,0),0)</f>
        <v>0</v>
      </c>
      <c r="Z98" s="374">
        <f>IFERROR(IF(INDEX(Tb_Activiteiten[#All],MATCH(SubsidieTabel!$A98,Tb_Activiteiten[[#All],[Subsidiabele_Activiteit]],0),MATCH(SubsidieTabel!S$1,Tb_Activiteiten[#Headers],0))=1,I98,0),0)</f>
        <v>0</v>
      </c>
      <c r="AA98" s="374">
        <f>IFERROR(IF(INDEX(Tb_Activiteiten[#All],MATCH(SubsidieTabel!$A98,Tb_Activiteiten[[#All],[Subsidiabele_Activiteit]],0),MATCH(SubsidieTabel!O$1,Tb_Activiteiten[#Headers],0))=1,$F98,0),0)</f>
        <v>0</v>
      </c>
      <c r="AB98" s="374">
        <f>IFERROR(IF(INDEX(Tb_Activiteiten[#All],MATCH(SubsidieTabel!$A98,Tb_Activiteiten[[#All],[Subsidiabele_Activiteit]],0),MATCH(SubsidieTabel!O$1,Tb_Activiteiten[#Headers],0))=1,$G98,0),0)</f>
        <v>0</v>
      </c>
    </row>
    <row r="99" spans="1:28" x14ac:dyDescent="0.25">
      <c r="A99" s="12"/>
      <c r="B99" s="12"/>
      <c r="C99" s="12" t="str">
        <f>IFERROR(VLOOKUP($B99,Tb_ProjectKosten[],4,0),"")</f>
        <v/>
      </c>
      <c r="D99" s="12" t="str" cm="1">
        <f t="array" ref="D99">IFERROR(INDEX(Tb_KostenOpties[],MATCH(B99,Tb_KostenOpties[KostenOptie],0),IFERROR(MATCH(Methode_Keuze,Tb_KostenOpties[#Headers],0),2)),"")</f>
        <v/>
      </c>
      <c r="E99" s="284">
        <f>IFERROR(VLOOKUP(B99,Tb_ProjectKosten[[#All],[KostenOmschrijving]:[Forfait_Percentage]],6,0),0)</f>
        <v>0</v>
      </c>
      <c r="F99" s="285">
        <f>SUMIFS('5. Kosten uitvoering project'!P:P,'5. Kosten uitvoering project'!E:E,SubsidieTabel!A99,'5. Kosten uitvoering project'!F:F,SubsidieTabel!B99)</f>
        <v>0</v>
      </c>
      <c r="G99" s="285">
        <f>SUMIFS('5. Kosten uitvoering project'!Q:Q,'5. Kosten uitvoering project'!E:E,SubsidieTabel!A99,'5. Kosten uitvoering project'!F:F,SubsidieTabel!B99)</f>
        <v>0</v>
      </c>
      <c r="H99" s="285">
        <f>SUMIFS('5. Kosten uitvoering project'!R:R,'5. Kosten uitvoering project'!E:E,SubsidieTabel!A99,'5. Kosten uitvoering project'!F:F,SubsidieTabel!B99)</f>
        <v>0</v>
      </c>
      <c r="I99" s="285">
        <f>SUMIFS('5. Kosten uitvoering project'!S:S,'5. Kosten uitvoering project'!E:E,SubsidieTabel!A99,'5. Kosten uitvoering project'!F:F,SubsidieTabel!B99)</f>
        <v>0</v>
      </c>
      <c r="J99" s="285">
        <f t="shared" si="9"/>
        <v>0</v>
      </c>
      <c r="K99" s="285">
        <f t="shared" si="10"/>
        <v>0</v>
      </c>
      <c r="L99" s="284" t="str">
        <f>IFERROR(VLOOKUP(A99,Lijsten!$AK:$AL,2,0),"")</f>
        <v/>
      </c>
      <c r="M99" s="285">
        <f t="shared" si="11"/>
        <v>0</v>
      </c>
      <c r="N99" s="285">
        <f t="shared" si="12"/>
        <v>0</v>
      </c>
      <c r="O99" s="285">
        <f>IFERROR(IF(INDEX(Tb_Activiteiten[#All],MATCH(SubsidieTabel!$A99,Tb_Activiteiten[[#All],[Subsidiabele_Activiteit]],0),MATCH(SubsidieTabel!O$1,Tb_Activiteiten[#Headers],0))=1,SubsidieTabel!$J99,0),0)</f>
        <v>0</v>
      </c>
      <c r="P99" s="285">
        <f>IFERROR(IF(INDEX(Tb_Activiteiten[#All],MATCH(SubsidieTabel!$A99,Tb_Activiteiten[[#All],[Subsidiabele_Activiteit]],0),MATCH(SubsidieTabel!P$1,Tb_Activiteiten[#Headers],0))=1,SubsidieTabel!$K99,0),0)</f>
        <v>0</v>
      </c>
      <c r="Q99" s="285">
        <f>IFERROR(IF(INDEX(Tb_Activiteiten[#All],MATCH(SubsidieTabel!$A99,Tb_Activiteiten[[#All],[Subsidiabele_Activiteit]],0),MATCH(SubsidieTabel!Q$1,Tb_Activiteiten[#Headers],0))=1,SubsidieTabel!$J99,0),0)</f>
        <v>0</v>
      </c>
      <c r="R99" s="285">
        <f>IFERROR(IF(INDEX(Tb_Activiteiten[#All],MATCH(SubsidieTabel!$A99,Tb_Activiteiten[[#All],[Subsidiabele_Activiteit]],0),MATCH(SubsidieTabel!R$1,Tb_Activiteiten[#Headers],0))=1,SubsidieTabel!$K99,0),0)</f>
        <v>0</v>
      </c>
      <c r="S99" s="285">
        <f>IFERROR(IF(INDEX(Tb_Activiteiten[#All],MATCH(SubsidieTabel!$A99,Tb_Activiteiten[[#All],[Subsidiabele_Activiteit]],0),MATCH(SubsidieTabel!S$1,Tb_Activiteiten[#Headers],0))=1,SubsidieTabel!$J99,0),0)</f>
        <v>0</v>
      </c>
      <c r="T99" s="285">
        <f>IFERROR(IF(INDEX(Tb_Activiteiten[#All],MATCH(SubsidieTabel!$A99,Tb_Activiteiten[[#All],[Subsidiabele_Activiteit]],0),MATCH(SubsidieTabel!T$1,Tb_Activiteiten[#Headers],0))=1,SubsidieTabel!$K99,0),0)</f>
        <v>0</v>
      </c>
      <c r="U99" s="285">
        <f>IFERROR(IF(INDEX(Tb_Activiteiten[#All],MATCH(SubsidieTabel!$A99,Tb_Activiteiten[[#All],[Subsidiabele_Activiteit]],0),MATCH(SubsidieTabel!U$1,Tb_Activiteiten[#Headers],0))=1,SubsidieTabel!$J99,0),0)</f>
        <v>0</v>
      </c>
      <c r="V99" s="285">
        <f>IFERROR(IF(INDEX(Tb_Activiteiten[#All],MATCH(SubsidieTabel!$A99,Tb_Activiteiten[[#All],[Subsidiabele_Activiteit]],0),MATCH(SubsidieTabel!V$1,Tb_Activiteiten[#Headers],0))=1,SubsidieTabel!$K99,0),0)</f>
        <v>0</v>
      </c>
      <c r="W99" s="64">
        <f>IFERROR(IF(INDEX(Tb_Activiteiten[#All],MATCH(SubsidieTabel!$A99,Tb_Activiteiten[[#All],[Subsidiabele_Activiteit]],0),MATCH(SubsidieTabel!Q$1,Tb_Activiteiten[#Headers],0))=1,H99,0),0)</f>
        <v>0</v>
      </c>
      <c r="X99" s="64">
        <f>IFERROR(IF(INDEX(Tb_Activiteiten[#All],MATCH(SubsidieTabel!$A99,Tb_Activiteiten[[#All],[Subsidiabele_Activiteit]],0),MATCH(SubsidieTabel!Q$1,Tb_Activiteiten[#Headers],0))=1,I99,0),0)</f>
        <v>0</v>
      </c>
      <c r="Y99" s="64">
        <f>IFERROR(IF(INDEX(Tb_Activiteiten[#All],MATCH(SubsidieTabel!$A99,Tb_Activiteiten[[#All],[Subsidiabele_Activiteit]],0),MATCH(SubsidieTabel!S$1,Tb_Activiteiten[#Headers],0))=1,H99,0),0)</f>
        <v>0</v>
      </c>
      <c r="Z99" s="64">
        <f>IFERROR(IF(INDEX(Tb_Activiteiten[#All],MATCH(SubsidieTabel!$A99,Tb_Activiteiten[[#All],[Subsidiabele_Activiteit]],0),MATCH(SubsidieTabel!S$1,Tb_Activiteiten[#Headers],0))=1,I99,0),0)</f>
        <v>0</v>
      </c>
      <c r="AA99" s="64">
        <f>IFERROR(IF(INDEX(Tb_Activiteiten[#All],MATCH(SubsidieTabel!$A99,Tb_Activiteiten[[#All],[Subsidiabele_Activiteit]],0),MATCH(SubsidieTabel!O$1,Tb_Activiteiten[#Headers],0))=1,$F99,0),0)</f>
        <v>0</v>
      </c>
      <c r="AB99" s="64">
        <f>IFERROR(IF(INDEX(Tb_Activiteiten[#All],MATCH(SubsidieTabel!$A99,Tb_Activiteiten[[#All],[Subsidiabele_Activiteit]],0),MATCH(SubsidieTabel!O$1,Tb_Activiteiten[#Headers],0))=1,$G99,0),0)</f>
        <v>0</v>
      </c>
    </row>
    <row r="100" spans="1:28" x14ac:dyDescent="0.25">
      <c r="A100" s="63"/>
      <c r="B100" s="63"/>
      <c r="C100" s="63" t="str">
        <f>IFERROR(VLOOKUP($B100,Tb_ProjectKosten[],4,0),"")</f>
        <v/>
      </c>
      <c r="D100" s="63" t="str" cm="1">
        <f t="array" ref="D100">IFERROR(INDEX(Tb_KostenOpties[],MATCH(B100,Tb_KostenOpties[KostenOptie],0),IFERROR(MATCH(Methode_Keuze,Tb_KostenOpties[#Headers],0),2)),"")</f>
        <v/>
      </c>
      <c r="E100" s="286">
        <f>IFERROR(VLOOKUP(B100,Tb_ProjectKosten[[#All],[KostenOmschrijving]:[Forfait_Percentage]],6,0),0)</f>
        <v>0</v>
      </c>
      <c r="F100" s="287">
        <f>SUMIFS('5. Kosten uitvoering project'!P:P,'5. Kosten uitvoering project'!E:E,SubsidieTabel!A100,'5. Kosten uitvoering project'!F:F,SubsidieTabel!B100)</f>
        <v>0</v>
      </c>
      <c r="G100" s="287">
        <f>SUMIFS('5. Kosten uitvoering project'!Q:Q,'5. Kosten uitvoering project'!E:E,SubsidieTabel!A100,'5. Kosten uitvoering project'!F:F,SubsidieTabel!B100)</f>
        <v>0</v>
      </c>
      <c r="H100" s="287">
        <f>SUMIFS('5. Kosten uitvoering project'!R:R,'5. Kosten uitvoering project'!E:E,SubsidieTabel!A100,'5. Kosten uitvoering project'!F:F,SubsidieTabel!B100)</f>
        <v>0</v>
      </c>
      <c r="I100" s="287">
        <f>SUMIFS('5. Kosten uitvoering project'!S:S,'5. Kosten uitvoering project'!E:E,SubsidieTabel!A100,'5. Kosten uitvoering project'!F:F,SubsidieTabel!B100)</f>
        <v>0</v>
      </c>
      <c r="J100" s="287">
        <f t="shared" si="9"/>
        <v>0</v>
      </c>
      <c r="K100" s="287">
        <f t="shared" si="10"/>
        <v>0</v>
      </c>
      <c r="L100" s="286" t="str">
        <f>IFERROR(VLOOKUP(A100,Lijsten!$AK:$AL,2,0),"")</f>
        <v/>
      </c>
      <c r="M100" s="287">
        <f t="shared" si="11"/>
        <v>0</v>
      </c>
      <c r="N100" s="287">
        <f t="shared" si="12"/>
        <v>0</v>
      </c>
      <c r="O100" s="287">
        <f>IFERROR(IF(INDEX(Tb_Activiteiten[#All],MATCH(SubsidieTabel!$A100,Tb_Activiteiten[[#All],[Subsidiabele_Activiteit]],0),MATCH(SubsidieTabel!O$1,Tb_Activiteiten[#Headers],0))=1,SubsidieTabel!$J100,0),0)</f>
        <v>0</v>
      </c>
      <c r="P100" s="287">
        <f>IFERROR(IF(INDEX(Tb_Activiteiten[#All],MATCH(SubsidieTabel!$A100,Tb_Activiteiten[[#All],[Subsidiabele_Activiteit]],0),MATCH(SubsidieTabel!P$1,Tb_Activiteiten[#Headers],0))=1,SubsidieTabel!$K100,0),0)</f>
        <v>0</v>
      </c>
      <c r="Q100" s="287">
        <f>IFERROR(IF(INDEX(Tb_Activiteiten[#All],MATCH(SubsidieTabel!$A100,Tb_Activiteiten[[#All],[Subsidiabele_Activiteit]],0),MATCH(SubsidieTabel!Q$1,Tb_Activiteiten[#Headers],0))=1,SubsidieTabel!$J100,0),0)</f>
        <v>0</v>
      </c>
      <c r="R100" s="287">
        <f>IFERROR(IF(INDEX(Tb_Activiteiten[#All],MATCH(SubsidieTabel!$A100,Tb_Activiteiten[[#All],[Subsidiabele_Activiteit]],0),MATCH(SubsidieTabel!R$1,Tb_Activiteiten[#Headers],0))=1,SubsidieTabel!$K100,0),0)</f>
        <v>0</v>
      </c>
      <c r="S100" s="287">
        <f>IFERROR(IF(INDEX(Tb_Activiteiten[#All],MATCH(SubsidieTabel!$A100,Tb_Activiteiten[[#All],[Subsidiabele_Activiteit]],0),MATCH(SubsidieTabel!S$1,Tb_Activiteiten[#Headers],0))=1,SubsidieTabel!$J100,0),0)</f>
        <v>0</v>
      </c>
      <c r="T100" s="287">
        <f>IFERROR(IF(INDEX(Tb_Activiteiten[#All],MATCH(SubsidieTabel!$A100,Tb_Activiteiten[[#All],[Subsidiabele_Activiteit]],0),MATCH(SubsidieTabel!T$1,Tb_Activiteiten[#Headers],0))=1,SubsidieTabel!$K100,0),0)</f>
        <v>0</v>
      </c>
      <c r="U100" s="287">
        <f>IFERROR(IF(INDEX(Tb_Activiteiten[#All],MATCH(SubsidieTabel!$A100,Tb_Activiteiten[[#All],[Subsidiabele_Activiteit]],0),MATCH(SubsidieTabel!U$1,Tb_Activiteiten[#Headers],0))=1,SubsidieTabel!$J100,0),0)</f>
        <v>0</v>
      </c>
      <c r="V100" s="287">
        <f>IFERROR(IF(INDEX(Tb_Activiteiten[#All],MATCH(SubsidieTabel!$A100,Tb_Activiteiten[[#All],[Subsidiabele_Activiteit]],0),MATCH(SubsidieTabel!V$1,Tb_Activiteiten[#Headers],0))=1,SubsidieTabel!$K100,0),0)</f>
        <v>0</v>
      </c>
      <c r="W100" s="374">
        <f>IFERROR(IF(INDEX(Tb_Activiteiten[#All],MATCH(SubsidieTabel!$A100,Tb_Activiteiten[[#All],[Subsidiabele_Activiteit]],0),MATCH(SubsidieTabel!Q$1,Tb_Activiteiten[#Headers],0))=1,H100,0),0)</f>
        <v>0</v>
      </c>
      <c r="X100" s="374">
        <f>IFERROR(IF(INDEX(Tb_Activiteiten[#All],MATCH(SubsidieTabel!$A100,Tb_Activiteiten[[#All],[Subsidiabele_Activiteit]],0),MATCH(SubsidieTabel!Q$1,Tb_Activiteiten[#Headers],0))=1,I100,0),0)</f>
        <v>0</v>
      </c>
      <c r="Y100" s="374">
        <f>IFERROR(IF(INDEX(Tb_Activiteiten[#All],MATCH(SubsidieTabel!$A100,Tb_Activiteiten[[#All],[Subsidiabele_Activiteit]],0),MATCH(SubsidieTabel!S$1,Tb_Activiteiten[#Headers],0))=1,H100,0),0)</f>
        <v>0</v>
      </c>
      <c r="Z100" s="374">
        <f>IFERROR(IF(INDEX(Tb_Activiteiten[#All],MATCH(SubsidieTabel!$A100,Tb_Activiteiten[[#All],[Subsidiabele_Activiteit]],0),MATCH(SubsidieTabel!S$1,Tb_Activiteiten[#Headers],0))=1,I100,0),0)</f>
        <v>0</v>
      </c>
      <c r="AA100" s="374">
        <f>IFERROR(IF(INDEX(Tb_Activiteiten[#All],MATCH(SubsidieTabel!$A100,Tb_Activiteiten[[#All],[Subsidiabele_Activiteit]],0),MATCH(SubsidieTabel!O$1,Tb_Activiteiten[#Headers],0))=1,$F100,0),0)</f>
        <v>0</v>
      </c>
      <c r="AB100" s="374">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152</v>
      </c>
      <c r="B1" s="85" t="s">
        <v>83</v>
      </c>
      <c r="C1" s="85" t="s">
        <v>40</v>
      </c>
      <c r="D1" s="85" t="s">
        <v>123</v>
      </c>
      <c r="E1" s="85" t="s">
        <v>161</v>
      </c>
      <c r="F1" s="85" t="s">
        <v>162</v>
      </c>
      <c r="G1" s="85" t="s">
        <v>87</v>
      </c>
      <c r="H1" s="85" t="s">
        <v>88</v>
      </c>
      <c r="I1" s="85" t="s">
        <v>124</v>
      </c>
      <c r="J1" s="85" t="s">
        <v>126</v>
      </c>
      <c r="K1" s="85" t="s">
        <v>125</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IFERROR($I100*(L100+N100),0)</f>
        <v>0</v>
      </c>
      <c r="Q100" s="96">
        <f>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L2" sqref="L2"/>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35.710937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76</v>
      </c>
      <c r="C1" s="58" t="s">
        <v>77</v>
      </c>
      <c r="E1" s="58" t="s">
        <v>93</v>
      </c>
      <c r="F1" s="58" t="s">
        <v>97</v>
      </c>
      <c r="H1" s="58" t="s">
        <v>94</v>
      </c>
      <c r="I1" s="66" t="s">
        <v>89</v>
      </c>
      <c r="J1" s="58" t="s">
        <v>48</v>
      </c>
      <c r="L1" s="58" t="s">
        <v>0</v>
      </c>
      <c r="M1" s="58" t="s">
        <v>98</v>
      </c>
      <c r="N1" s="58" t="s">
        <v>40</v>
      </c>
      <c r="O1" s="58"/>
      <c r="P1" s="58" t="str">
        <f>IF(Gebied1_2&lt;&gt;"",Gebied1_2,Berekeningsmethode!$B$2)</f>
        <v>Geen vereenvoudigde kostenoptie</v>
      </c>
      <c r="R1" s="58" t="s">
        <v>333</v>
      </c>
      <c r="T1" s="58" t="s">
        <v>100</v>
      </c>
      <c r="V1" s="58" t="s">
        <v>116</v>
      </c>
      <c r="X1" s="58" t="s">
        <v>121</v>
      </c>
      <c r="Y1" s="58" t="s">
        <v>345</v>
      </c>
      <c r="AA1" s="58" t="s">
        <v>121</v>
      </c>
      <c r="AB1" s="58" t="s">
        <v>345</v>
      </c>
      <c r="AD1" s="58" t="s">
        <v>73</v>
      </c>
      <c r="AE1" s="58" t="s">
        <v>74</v>
      </c>
      <c r="AG1" s="58" t="s">
        <v>151</v>
      </c>
      <c r="AH1" s="58" t="s">
        <v>75</v>
      </c>
      <c r="AJ1" s="58" t="s">
        <v>80</v>
      </c>
      <c r="AK1" s="58" t="s">
        <v>228</v>
      </c>
      <c r="AL1" s="92" t="s">
        <v>254</v>
      </c>
      <c r="AM1" s="58" t="s">
        <v>8</v>
      </c>
      <c r="AN1" s="58" t="s">
        <v>82</v>
      </c>
      <c r="AO1" s="58" t="s">
        <v>28</v>
      </c>
      <c r="AP1" s="58" t="s">
        <v>27</v>
      </c>
      <c r="AQ1" s="58" t="s">
        <v>11</v>
      </c>
      <c r="AR1" s="58" t="s">
        <v>96</v>
      </c>
      <c r="AS1" s="58" t="s">
        <v>95</v>
      </c>
      <c r="AT1" s="58" t="s">
        <v>3</v>
      </c>
      <c r="AU1" s="58" t="s">
        <v>309</v>
      </c>
      <c r="AV1" s="58" t="s">
        <v>319</v>
      </c>
      <c r="AW1" s="58" t="s">
        <v>50</v>
      </c>
      <c r="AX1" s="58" t="s">
        <v>7</v>
      </c>
      <c r="AY1" s="58" t="s">
        <v>5</v>
      </c>
      <c r="AZ1" s="58" t="s">
        <v>52</v>
      </c>
      <c r="BA1" s="58" t="s">
        <v>242</v>
      </c>
      <c r="BB1" s="58" t="s">
        <v>53</v>
      </c>
      <c r="BC1" s="58" t="s">
        <v>43</v>
      </c>
      <c r="BD1" s="58" t="s">
        <v>344</v>
      </c>
      <c r="BE1" s="58" t="s">
        <v>338</v>
      </c>
      <c r="BF1" s="58" t="s">
        <v>339</v>
      </c>
      <c r="BG1" s="58" t="s">
        <v>342</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306</v>
      </c>
      <c r="BW1" s="58" t="s">
        <v>307</v>
      </c>
      <c r="BX1" s="58" t="s">
        <v>308</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cm="1">
        <f t="array" aca="1" ref="E2:F6" ca="1">IFERROR(_xlfn._xlws.FILTER('6. Begrotingsoverzicht'!B11:C21,'6. Begrotingsoverzicht'!C11:C21&gt;0),"")</f>
        <v>0</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4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68</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125000</v>
      </c>
      <c r="AE2" s="95">
        <f>IFERROR(VLOOKUP(Openstelling_Keuze,Subsidie_Tabel,MATCH(AE1,Tb_Openstelling[#Headers],0),0),0)</f>
        <v>500000</v>
      </c>
      <c r="AG2" s="91" t="str" cm="1">
        <f t="array" ref="AG2">IFERROR(_xlfn._xlws.FILTER('4. Rekenhulp loonkosten aanvr.'!A5:B54,'4. Rekenhulp loonkosten aanvr.'!A5:A54&lt;&gt;""),"")</f>
        <v/>
      </c>
      <c r="AH2" s="91"/>
      <c r="AJ2" s="91" t="str" cm="1">
        <f t="array" ref="AJ2:BX4">IFERROR(IF(Openstelling_Keuze&lt;&gt;"",_xlfn._xlws.FILTER(Tb_Activiteiten[],Tb_Activiteiten[Openstelling]=Openstelling_Keuze,""),""),"")</f>
        <v>Samenwerken aan innovatie (EIP) Digitalisering en Robotisering</v>
      </c>
      <c r="AK2" s="91" t="str">
        <v>Voorbereiding samenwerkingsproject</v>
      </c>
      <c r="AL2" s="93">
        <v>1</v>
      </c>
      <c r="AM2" s="91">
        <v>1</v>
      </c>
      <c r="AN2" s="91">
        <v>1</v>
      </c>
      <c r="AO2" s="91">
        <v>1</v>
      </c>
      <c r="AP2" s="91">
        <v>1</v>
      </c>
      <c r="AQ2" s="91">
        <v>0</v>
      </c>
      <c r="AR2" s="91">
        <v>1</v>
      </c>
      <c r="AS2" s="91">
        <v>0</v>
      </c>
      <c r="AT2" s="91">
        <v>0</v>
      </c>
      <c r="AU2" s="91">
        <v>0</v>
      </c>
      <c r="AV2" s="91">
        <v>0</v>
      </c>
      <c r="AW2" s="91">
        <v>0</v>
      </c>
      <c r="AX2" s="91">
        <v>1</v>
      </c>
      <c r="AY2" s="91">
        <v>1</v>
      </c>
      <c r="AZ2" s="91">
        <v>0</v>
      </c>
      <c r="BA2" s="91">
        <v>0</v>
      </c>
      <c r="BB2" s="91">
        <v>0</v>
      </c>
      <c r="BC2" s="91">
        <v>0</v>
      </c>
      <c r="BD2" s="91">
        <v>0</v>
      </c>
      <c r="BE2" s="91">
        <v>0</v>
      </c>
      <c r="BF2" s="91">
        <v>0</v>
      </c>
      <c r="BG2" s="91">
        <v>0</v>
      </c>
      <c r="BH2" s="91" t="str">
        <v>Loonkosten</v>
      </c>
      <c r="BI2" s="91" t="str">
        <v>Eigen arbeid</v>
      </c>
      <c r="BJ2" s="91" t="str">
        <v/>
      </c>
      <c r="BK2" s="91" t="str">
        <v/>
      </c>
      <c r="BL2" s="91" t="str">
        <v/>
      </c>
      <c r="BM2" s="91" t="str">
        <v/>
      </c>
      <c r="BN2" s="91" t="str">
        <v>Arbeidskosten</v>
      </c>
      <c r="BO2" s="91" t="str">
        <v>Arbeidskosten op basis van IKS</v>
      </c>
      <c r="BP2" s="91" t="str">
        <v>Kosten derden exclusief btw</v>
      </c>
      <c r="BQ2" s="91" t="str">
        <v>Niet verrekenbare btw</v>
      </c>
      <c r="BR2" s="91" t="str">
        <v/>
      </c>
      <c r="BS2" s="91" t="str">
        <v>Bijdrage in natura (overige)</v>
      </c>
      <c r="BT2" s="91" t="str">
        <v/>
      </c>
      <c r="BU2" s="91" t="str">
        <v/>
      </c>
      <c r="BV2" s="91" t="str">
        <v/>
      </c>
      <c r="BW2" s="91" t="str">
        <v/>
      </c>
      <c r="BX2" s="91" t="str">
        <v/>
      </c>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t="str">
        <v>Samenwerken aan innovatie (EIP) Digitalisering en Robotisering</v>
      </c>
      <c r="AK3" s="91" t="str">
        <v>Uitvoering samenwerkingsproject</v>
      </c>
      <c r="AL3" s="93">
        <v>1</v>
      </c>
      <c r="AM3" s="91">
        <v>1</v>
      </c>
      <c r="AN3" s="91">
        <v>1</v>
      </c>
      <c r="AO3" s="91">
        <v>1</v>
      </c>
      <c r="AP3" s="91">
        <v>1</v>
      </c>
      <c r="AQ3" s="91">
        <v>0</v>
      </c>
      <c r="AR3" s="91">
        <v>1</v>
      </c>
      <c r="AS3" s="91">
        <v>0</v>
      </c>
      <c r="AT3" s="91">
        <v>0</v>
      </c>
      <c r="AU3" s="91">
        <v>0</v>
      </c>
      <c r="AV3" s="91">
        <v>0</v>
      </c>
      <c r="AW3" s="91">
        <v>0</v>
      </c>
      <c r="AX3" s="91">
        <v>1</v>
      </c>
      <c r="AY3" s="91">
        <v>1</v>
      </c>
      <c r="AZ3" s="91">
        <v>0</v>
      </c>
      <c r="BA3" s="91">
        <v>0</v>
      </c>
      <c r="BB3" s="91">
        <v>0</v>
      </c>
      <c r="BC3" s="91">
        <v>0</v>
      </c>
      <c r="BD3" s="91">
        <v>0</v>
      </c>
      <c r="BE3" s="91">
        <v>0</v>
      </c>
      <c r="BF3" s="91">
        <v>0</v>
      </c>
      <c r="BG3" s="91">
        <v>0</v>
      </c>
      <c r="BH3" s="91" t="str">
        <v>Loonkosten</v>
      </c>
      <c r="BI3" s="91" t="str">
        <v>Eigen arbeid</v>
      </c>
      <c r="BJ3" s="91" t="str">
        <v/>
      </c>
      <c r="BK3" s="91" t="str">
        <v/>
      </c>
      <c r="BL3" s="91" t="str">
        <v/>
      </c>
      <c r="BM3" s="91" t="str">
        <v/>
      </c>
      <c r="BN3" s="91" t="str">
        <v>Arbeidskosten</v>
      </c>
      <c r="BO3" s="91" t="str">
        <v>Arbeidskosten op basis van IKS</v>
      </c>
      <c r="BP3" s="91" t="str">
        <v>Kosten derden exclusief btw</v>
      </c>
      <c r="BQ3" s="91" t="str">
        <v>Niet verrekenbare btw</v>
      </c>
      <c r="BR3" s="91" t="str">
        <v/>
      </c>
      <c r="BS3" s="91" t="str">
        <v>Bijdrage in natura (overige)</v>
      </c>
      <c r="BT3" s="91" t="str">
        <v/>
      </c>
      <c r="BU3" s="91" t="str">
        <v/>
      </c>
      <c r="BV3" s="91" t="str">
        <v/>
      </c>
      <c r="BW3" s="91" t="str">
        <v/>
      </c>
      <c r="BX3" s="91" t="str">
        <v/>
      </c>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R3+1</f>
        <v>2027</v>
      </c>
      <c r="T4" s="57"/>
      <c r="X4" s="91"/>
      <c r="Y4" s="91" t="str">
        <f>IFERROR(MATCH(X4,Tb_Activiteiten[Subsidiabele_Activiteit],0),"")</f>
        <v/>
      </c>
      <c r="AA4" s="91"/>
      <c r="AB4" s="91"/>
      <c r="AG4" s="91"/>
      <c r="AH4" s="91"/>
      <c r="AJ4" s="91" t="str">
        <v>Samenwerken aan innovatie (EIP) Digitalisering en Robotisering</v>
      </c>
      <c r="AK4" s="91" t="str">
        <v>Investeringen</v>
      </c>
      <c r="AL4" s="93">
        <v>0.4</v>
      </c>
      <c r="AM4" s="91">
        <v>1</v>
      </c>
      <c r="AN4" s="91">
        <v>1</v>
      </c>
      <c r="AO4" s="91">
        <v>1</v>
      </c>
      <c r="AP4" s="91">
        <v>1</v>
      </c>
      <c r="AQ4" s="91">
        <v>0</v>
      </c>
      <c r="AR4" s="91">
        <v>1</v>
      </c>
      <c r="AS4" s="91">
        <v>0</v>
      </c>
      <c r="AT4" s="91">
        <v>1</v>
      </c>
      <c r="AU4" s="91">
        <v>0</v>
      </c>
      <c r="AV4" s="91">
        <v>0</v>
      </c>
      <c r="AW4" s="91">
        <v>0</v>
      </c>
      <c r="AX4" s="91">
        <v>1</v>
      </c>
      <c r="AY4" s="91">
        <v>1</v>
      </c>
      <c r="AZ4" s="91">
        <v>0</v>
      </c>
      <c r="BA4" s="91">
        <v>0</v>
      </c>
      <c r="BB4" s="91">
        <v>0</v>
      </c>
      <c r="BC4" s="91">
        <v>0</v>
      </c>
      <c r="BD4" s="91">
        <v>0</v>
      </c>
      <c r="BE4" s="91">
        <v>0</v>
      </c>
      <c r="BF4" s="91">
        <v>0</v>
      </c>
      <c r="BG4" s="91">
        <v>0</v>
      </c>
      <c r="BH4" s="91" t="str">
        <v>Loonkosten</v>
      </c>
      <c r="BI4" s="91" t="str">
        <v>Eigen arbeid</v>
      </c>
      <c r="BJ4" s="91" t="str">
        <v/>
      </c>
      <c r="BK4" s="91" t="str">
        <v/>
      </c>
      <c r="BL4" s="91" t="str">
        <v/>
      </c>
      <c r="BM4" s="91" t="str">
        <v/>
      </c>
      <c r="BN4" s="91" t="str">
        <v>Arbeidskosten</v>
      </c>
      <c r="BO4" s="91" t="str">
        <v>Arbeidskosten op basis van IKS</v>
      </c>
      <c r="BP4" s="91" t="str">
        <v>Kosten derden exclusief btw</v>
      </c>
      <c r="BQ4" s="91" t="str">
        <v>Niet verrekenbare btw</v>
      </c>
      <c r="BR4" s="91" t="str">
        <v/>
      </c>
      <c r="BS4" s="91" t="str">
        <v>Bijdrage in natura (overige)</v>
      </c>
      <c r="BT4" s="91" t="str">
        <v/>
      </c>
      <c r="BU4" s="91" t="str">
        <v>Afschrijvingskosten</v>
      </c>
      <c r="BV4" s="91" t="str">
        <v/>
      </c>
      <c r="BW4" s="91" t="str">
        <v/>
      </c>
      <c r="BX4" s="91" t="str">
        <v/>
      </c>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R4+1</f>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c r="F7" s="57"/>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c r="F8" s="57"/>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c r="F9" s="57"/>
      <c r="H9" s="57"/>
      <c r="I9" s="57" t="str">
        <f>IFERROR(INDEX(DB_Loonkosten,MATCH(H9,'7. Rekenhulp loonkosten bet.vz.'!$C$5:$C$54,0),1),"")</f>
        <v/>
      </c>
      <c r="J9" s="67">
        <f>IFERROR(INDEX(DB_Loonkosten,MATCH(I9,[0]!LoonkostenNr,0),24),"")</f>
        <v>0</v>
      </c>
      <c r="L9" s="57" t="str">
        <v>Max. 150 kg N dierextrectie/ha</v>
      </c>
      <c r="M9" s="57" t="str">
        <v>Vast tarief</v>
      </c>
      <c r="N9" s="57">
        <v>0</v>
      </c>
      <c r="O9" s="57" t="str">
        <v>Overige kosten</v>
      </c>
      <c r="P9" s="67">
        <f>IF(L9&lt;&gt;"",IFERROR(VLOOKUP(L9,Tb_KostenTypen[],MATCH($P$1,Tb_KostenTypen[#Headers],0),0),0),"")</f>
        <v>1680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c r="F10" s="57"/>
      <c r="H10" s="57"/>
      <c r="I10" s="57" t="str">
        <f>IFERROR(INDEX(DB_Loonkosten,MATCH(H10,'7. Rekenhulp loonkosten bet.vz.'!$C$5:$C$54,0),1),"")</f>
        <v/>
      </c>
      <c r="J10" s="67">
        <f>IFERROR(INDEX(DB_Loonkosten,MATCH(I10,[0]!LoonkostenNr,0),24),"")</f>
        <v>0</v>
      </c>
      <c r="L10" s="57" t="str">
        <v>Max. 100 kg N dierextrectie/ha</v>
      </c>
      <c r="M10" s="57" t="str">
        <v>Vast tarief</v>
      </c>
      <c r="N10" s="57">
        <v>0</v>
      </c>
      <c r="O10" s="57" t="str">
        <v>Overige kosten</v>
      </c>
      <c r="P10" s="67">
        <f>IF(L10&lt;&gt;"",IFERROR(VLOOKUP(L10,Tb_KostenTypen[],MATCH($P$1,Tb_KostenTypen[#Headers],0),0),0),"")</f>
        <v>2430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c r="F11" s="57"/>
      <c r="H11" s="57"/>
      <c r="I11" s="57" t="str">
        <f>IFERROR(INDEX(DB_Loonkosten,MATCH(H11,'7. Rekenhulp loonkosten bet.vz.'!$C$5:$C$54,0),1),"")</f>
        <v/>
      </c>
      <c r="J11" s="67">
        <f>IFERROR(INDEX(DB_Loonkosten,MATCH(I11,[0]!LoonkostenNr,0),24),"")</f>
        <v>0</v>
      </c>
      <c r="L11" s="57" t="str">
        <v>Drooglegging max. 40 cm</v>
      </c>
      <c r="M11" s="57" t="str">
        <v>Vast tarief</v>
      </c>
      <c r="N11" s="57">
        <v>0</v>
      </c>
      <c r="O11" s="57" t="str">
        <v>Overige kosten</v>
      </c>
      <c r="P11" s="67">
        <f>IF(L11&lt;&gt;"",IFERROR(VLOOKUP(L11,Tb_KostenTypen[],MATCH($P$1,Tb_KostenTypen[#Headers],0),0),0),"")</f>
        <v>545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c r="F12" s="57"/>
      <c r="H12" s="57"/>
      <c r="I12" s="57" t="str">
        <f>IFERROR(INDEX(DB_Loonkosten,MATCH(H12,'7. Rekenhulp loonkosten bet.vz.'!$C$5:$C$54,0),1),"")</f>
        <v/>
      </c>
      <c r="J12" s="67">
        <f>IFERROR(INDEX(DB_Loonkosten,MATCH(I12,[0]!LoonkostenNr,0),24),"")</f>
        <v>0</v>
      </c>
      <c r="L12" s="57" t="str">
        <v>Drooglegging max. 30 cm</v>
      </c>
      <c r="M12" s="57" t="str">
        <v>Vast tarief</v>
      </c>
      <c r="N12" s="57">
        <v>0</v>
      </c>
      <c r="O12" s="57" t="str">
        <v>Overige kosten</v>
      </c>
      <c r="P12" s="67">
        <f>IF(L12&lt;&gt;"",IFERROR(VLOOKUP(L12,Tb_KostenTypen[],MATCH($P$1,Tb_KostenTypen[#Headers],0),0),0),"")</f>
        <v>790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Drooglegging max. 20 cm</v>
      </c>
      <c r="M13" s="57" t="str">
        <v>Vast tarief</v>
      </c>
      <c r="N13" s="57">
        <v>0</v>
      </c>
      <c r="O13" s="57" t="str">
        <v>Overige kosten</v>
      </c>
      <c r="P13" s="67">
        <f>IF(L13&lt;&gt;"",IFERROR(VLOOKUP(L13,Tb_KostenTypen[],MATCH($P$1,Tb_KostenTypen[#Headers],0),0),0),"")</f>
        <v>1355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Max. 150 kg N dierextrectie/ha + Drooglegging max. 40 cm</v>
      </c>
      <c r="M14" s="57" t="str">
        <v>Vast tarief</v>
      </c>
      <c r="N14" s="57">
        <v>0</v>
      </c>
      <c r="O14" s="57" t="str">
        <v>Overige kosten</v>
      </c>
      <c r="P14" s="67">
        <f>IF(L14&lt;&gt;"",IFERROR(VLOOKUP(L14,Tb_KostenTypen[],MATCH($P$1,Tb_KostenTypen[#Headers],0),0),0),"")</f>
        <v>2130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Max. 150 kg N dierextrectie/ha + Drooglegging max. 30 cm</v>
      </c>
      <c r="M15" s="57" t="str">
        <v>Vast tarief</v>
      </c>
      <c r="N15" s="57">
        <v>0</v>
      </c>
      <c r="O15" s="57" t="str">
        <v>Overige kosten</v>
      </c>
      <c r="P15" s="67">
        <f>IF(L15&lt;&gt;"",IFERROR(VLOOKUP(L15,Tb_KostenTypen[],MATCH($P$1,Tb_KostenTypen[#Headers],0),0),0),"")</f>
        <v>2325</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Max. 150 kg N dierextrectie/ha + Drooglegging max. 20 cm</v>
      </c>
      <c r="M16" s="57" t="str">
        <v>Vast tarief</v>
      </c>
      <c r="N16" s="57">
        <v>0</v>
      </c>
      <c r="O16" s="57" t="str">
        <v>Overige kosten</v>
      </c>
      <c r="P16" s="67">
        <f>IF(L16&lt;&gt;"",IFERROR(VLOOKUP(L16,Tb_KostenTypen[],MATCH($P$1,Tb_KostenTypen[#Headers],0),0),0),"")</f>
        <v>2785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Max. 100 kg N dierextrectie/ha + Drooglegging max. 40 cm</v>
      </c>
      <c r="M17" s="57" t="str">
        <v>Vast tarief</v>
      </c>
      <c r="N17" s="57">
        <v>0</v>
      </c>
      <c r="O17" s="57" t="str">
        <v>Overige kosten</v>
      </c>
      <c r="P17" s="67">
        <f>IF(L17&lt;&gt;"",IFERROR(VLOOKUP(L17,Tb_KostenTypen[],MATCH($P$1,Tb_KostenTypen[#Headers],0),0),0),"")</f>
        <v>2840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Max. 100 kg N dierextrectie/ha + Drooglegging max. 30 cm</v>
      </c>
      <c r="M18" s="57" t="str">
        <v>Vast tarief</v>
      </c>
      <c r="N18" s="57">
        <v>0</v>
      </c>
      <c r="O18" s="57" t="str">
        <v>Overige kosten</v>
      </c>
      <c r="P18" s="67">
        <f>IF(L18&lt;&gt;"",IFERROR(VLOOKUP(L18,Tb_KostenTypen[],MATCH($P$1,Tb_KostenTypen[#Headers],0),0),0),"")</f>
        <v>3015</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Max. 100 kg N dierextrectie/ha + Drooglegging max. 20 cm</v>
      </c>
      <c r="M19" s="57" t="str">
        <v>Vast tarief</v>
      </c>
      <c r="N19" s="57">
        <v>0</v>
      </c>
      <c r="O19" s="57" t="str">
        <v>Overige kosten</v>
      </c>
      <c r="P19" s="67">
        <f>IF(L19&lt;&gt;"",IFERROR(VLOOKUP(L19,Tb_KostenTypen[],MATCH($P$1,Tb_KostenTypen[#Headers],0),0),0),"")</f>
        <v>3425</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Max. 150 kg N dierextrectie/ha (10/12)</v>
      </c>
      <c r="M20" s="57" t="str">
        <v>Vast tarief</v>
      </c>
      <c r="N20" s="57">
        <v>0</v>
      </c>
      <c r="O20" s="57" t="str">
        <v>Overige kosten</v>
      </c>
      <c r="P20" s="67">
        <f>IF(L20&lt;&gt;"",IFERROR(VLOOKUP(L20,Tb_KostenTypen[],MATCH($P$1,Tb_KostenTypen[#Headers],0),0),0),"")</f>
        <v>1408</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Max. 100 kg N dierextrectie/ha (10/12)</v>
      </c>
      <c r="M21" s="57" t="str">
        <v>Vast tarief</v>
      </c>
      <c r="N21" s="57">
        <v>0</v>
      </c>
      <c r="O21" s="57" t="str">
        <v>Overige kosten</v>
      </c>
      <c r="P21" s="67">
        <f>IF(L21&lt;&gt;"",IFERROR(VLOOKUP(L21,Tb_KostenTypen[],MATCH($P$1,Tb_KostenTypen[#Headers],0),0),0),"")</f>
        <v>2037</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Max. 150 kg N dierextrectie/ha (10/12) + Drooglegging max. 40 cm</v>
      </c>
      <c r="M22" s="57" t="str">
        <v>Vast tarief</v>
      </c>
      <c r="N22" s="57">
        <v>0</v>
      </c>
      <c r="O22" s="57" t="str">
        <v>Overige kosten</v>
      </c>
      <c r="P22" s="67">
        <f>IF(L22&lt;&gt;"",IFERROR(VLOOKUP(L22,Tb_KostenTypen[],MATCH($P$1,Tb_KostenTypen[#Headers],0),0),0),"")</f>
        <v>1858</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t="str">
        <v>Max. 150 kg N dierextrectie/ha (10/12) + Drooglegging max. 30 cm</v>
      </c>
      <c r="M23" s="57" t="str">
        <v>Vast tarief</v>
      </c>
      <c r="N23" s="57">
        <v>0</v>
      </c>
      <c r="O23" s="57" t="str">
        <v>Overige kosten</v>
      </c>
      <c r="P23" s="67">
        <f>IF(L23&lt;&gt;"",IFERROR(VLOOKUP(L23,Tb_KostenTypen[],MATCH($P$1,Tb_KostenTypen[#Headers],0),0),0),"")</f>
        <v>2053</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t="str">
        <v>Max. 150 kg N dierextrectie/ha (10/12) + Drooglegging max. 20 cm</v>
      </c>
      <c r="M24" s="57" t="str">
        <v>Vast tarief</v>
      </c>
      <c r="N24" s="57">
        <v>0</v>
      </c>
      <c r="O24" s="57" t="str">
        <v>Overige kosten</v>
      </c>
      <c r="P24" s="67">
        <f>IF(L24&lt;&gt;"",IFERROR(VLOOKUP(L24,Tb_KostenTypen[],MATCH($P$1,Tb_KostenTypen[#Headers],0),0),0),"")</f>
        <v>2513</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t="str">
        <v>Max. 100 kg N dierextrectie/ha (10/12) + Drooglegging max. 40 cm</v>
      </c>
      <c r="M25" s="57" t="str">
        <v>Vast tarief</v>
      </c>
      <c r="N25" s="57">
        <v>0</v>
      </c>
      <c r="O25" s="57" t="str">
        <v>Overige kosten</v>
      </c>
      <c r="P25" s="67">
        <f>IF(L25&lt;&gt;"",IFERROR(VLOOKUP(L25,Tb_KostenTypen[],MATCH($P$1,Tb_KostenTypen[#Headers],0),0),0),"")</f>
        <v>2447</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t="str">
        <v>Max. 100 kg N dierextrectie/ha (10/12) + Drooglegging max. 30 cm</v>
      </c>
      <c r="M26" s="57" t="str">
        <v>Vast tarief</v>
      </c>
      <c r="N26" s="57">
        <v>0</v>
      </c>
      <c r="O26" s="57" t="str">
        <v>Overige kosten</v>
      </c>
      <c r="P26" s="67">
        <f>IF(L26&lt;&gt;"",IFERROR(VLOOKUP(L26,Tb_KostenTypen[],MATCH($P$1,Tb_KostenTypen[#Headers],0),0),0),"")</f>
        <v>2622</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t="str">
        <v>Max. 100 kg N dierextrectie/ha (10/12) + Drooglegging max. 20 cm</v>
      </c>
      <c r="M27" s="57" t="str">
        <v>Vast tarief</v>
      </c>
      <c r="N27" s="57">
        <v>0</v>
      </c>
      <c r="O27" s="57" t="str">
        <v>Overige kosten</v>
      </c>
      <c r="P27" s="67">
        <f>IF(L27&lt;&gt;"",IFERROR(VLOOKUP(L27,Tb_KostenTypen[],MATCH($P$1,Tb_KostenTypen[#Headers],0),0),0),"")</f>
        <v>3032</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t="str">
        <v>Drooglegging max. 40 cm (verlaging ANLB)</v>
      </c>
      <c r="M28" s="57" t="str">
        <v>Vast tarief</v>
      </c>
      <c r="N28" s="57">
        <v>0</v>
      </c>
      <c r="O28" s="57" t="str">
        <v>Overige kosten</v>
      </c>
      <c r="P28" s="67">
        <f>IF(L28&lt;&gt;"",IFERROR(VLOOKUP(L28,Tb_KostenTypen[],MATCH($P$1,Tb_KostenTypen[#Headers],0),0),0),"")</f>
        <v>0</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t="str">
        <v>Drooglegging max. 30 cm (verlaging ANLB)</v>
      </c>
      <c r="M29" s="57" t="str">
        <v>Vast tarief</v>
      </c>
      <c r="N29" s="57">
        <v>0</v>
      </c>
      <c r="O29" s="57" t="str">
        <v>Overige kosten</v>
      </c>
      <c r="P29" s="67">
        <f>IF(L29&lt;&gt;"",IFERROR(VLOOKUP(L29,Tb_KostenTypen[],MATCH($P$1,Tb_KostenTypen[#Headers],0),0),0),"")</f>
        <v>0</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t="str">
        <v>Drooglegging max. 20 cm (verlaging ANLB)</v>
      </c>
      <c r="M30" s="57" t="str">
        <v>Vast tarief</v>
      </c>
      <c r="N30" s="57">
        <v>0</v>
      </c>
      <c r="O30" s="57" t="str">
        <v>Overige kosten</v>
      </c>
      <c r="P30" s="67">
        <f>IF(L30&lt;&gt;"",IFERROR(VLOOKUP(L30,Tb_KostenTypen[],MATCH($P$1,Tb_KostenTypen[#Headers],0),0),0),"")</f>
        <v>0</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t="str">
        <v>Max. 150 kg N dierextrectie/ha + Drooglegging max. 40 cm (verlaging ANLB)</v>
      </c>
      <c r="M31" s="57" t="str">
        <v>Vast tarief</v>
      </c>
      <c r="N31" s="57">
        <v>0</v>
      </c>
      <c r="O31" s="57" t="str">
        <v>Overige kosten</v>
      </c>
      <c r="P31" s="67">
        <f>IF(L31&lt;&gt;"",IFERROR(VLOOKUP(L31,Tb_KostenTypen[],MATCH($P$1,Tb_KostenTypen[#Headers],0),0),0),"")</f>
        <v>0</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t="str">
        <v>Max. 150 kg N dierextrectie/ha + Drooglegging max. 30 cm (verlaging ANLB)</v>
      </c>
      <c r="M32" s="57" t="str">
        <v>Vast tarief</v>
      </c>
      <c r="N32" s="57">
        <v>0</v>
      </c>
      <c r="O32" s="57" t="str">
        <v>Overige kosten</v>
      </c>
      <c r="P32" s="67">
        <f>IF(L32&lt;&gt;"",IFERROR(VLOOKUP(L32,Tb_KostenTypen[],MATCH($P$1,Tb_KostenTypen[#Headers],0),0),0),"")</f>
        <v>0</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L33" s="57" t="str">
        <v>Max. 150 kg N dierextrectie/ha + Drooglegging max. 20 cm (verlaging ANLB)</v>
      </c>
      <c r="M33" s="57" t="str">
        <v>Vast tarief</v>
      </c>
      <c r="N33" s="57">
        <v>0</v>
      </c>
      <c r="O33" s="57" t="str">
        <v>Overige kosten</v>
      </c>
      <c r="P33" s="67">
        <f>IF(L33&lt;&gt;"",IFERROR(VLOOKUP(L33,Tb_KostenTypen[],MATCH($P$1,Tb_KostenTypen[#Headers],0),0),0),"")</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L34" s="57" t="str">
        <v>Max. 100 kg N dierextrectie/ha + Drooglegging max. 40 cm (verlaging ANLB)</v>
      </c>
      <c r="M34" s="57" t="str">
        <v>Vast tarief</v>
      </c>
      <c r="N34" s="57">
        <v>0</v>
      </c>
      <c r="O34" s="57" t="str">
        <v>Overige kosten</v>
      </c>
      <c r="P34" s="67">
        <f>IF(L34&lt;&gt;"",IFERROR(VLOOKUP(L34,Tb_KostenTypen[],MATCH($P$1,Tb_KostenTypen[#Headers],0),0),0),"")</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L35" s="57" t="str">
        <v>Max. 100 kg N dierextrectie/ha + Drooglegging max. 30 cm (verlaging ANLB)</v>
      </c>
      <c r="M35" s="57" t="str">
        <v>Vast tarief</v>
      </c>
      <c r="N35" s="57">
        <v>0</v>
      </c>
      <c r="O35" s="57" t="str">
        <v>Overige kosten</v>
      </c>
      <c r="P35" s="67">
        <f>IF(L35&lt;&gt;"",IFERROR(VLOOKUP(L35,Tb_KostenTypen[],MATCH($P$1,Tb_KostenTypen[#Headers],0),0),0),"")</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L36" s="57" t="str">
        <v>Max. 100 kg N dierextrectie/ha + Drooglegging max. 20 cm (verlaging ANLB)</v>
      </c>
      <c r="M36" s="57" t="str">
        <v>Vast tarief</v>
      </c>
      <c r="N36" s="57">
        <v>0</v>
      </c>
      <c r="O36" s="57" t="str">
        <v>Overige kosten</v>
      </c>
      <c r="P36" s="67">
        <f>IF(L36&lt;&gt;"",IFERROR(VLOOKUP(L36,Tb_KostenTypen[],MATCH($P$1,Tb_KostenTypen[#Headers],0),0),0),"")</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L37" s="57" t="str">
        <v>Max. 150 kg N dierextrectie/ha (10/12) + Drooglegging max. 40 cm (verlaging ANLB)</v>
      </c>
      <c r="M37" s="57" t="str">
        <v>Vast tarief</v>
      </c>
      <c r="N37" s="57">
        <v>0</v>
      </c>
      <c r="O37" s="57" t="str">
        <v>Overige kosten</v>
      </c>
      <c r="P37" s="67">
        <f>IF(L37&lt;&gt;"",IFERROR(VLOOKUP(L37,Tb_KostenTypen[],MATCH($P$1,Tb_KostenTypen[#Headers],0),0),0),"")</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L38" s="57" t="str">
        <v>Max. 150 kg N dierextrectie/ha (10/12) + Drooglegging max. 30 cm (verlaging ANLB)</v>
      </c>
      <c r="M38" s="57" t="str">
        <v>Vast tarief</v>
      </c>
      <c r="N38" s="57">
        <v>0</v>
      </c>
      <c r="O38" s="57" t="str">
        <v>Overige kosten</v>
      </c>
      <c r="P38" s="67">
        <f>IF(L38&lt;&gt;"",IFERROR(VLOOKUP(L38,Tb_KostenTypen[],MATCH($P$1,Tb_KostenTypen[#Headers],0),0),0),"")</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L39" s="57" t="str">
        <v>Max. 150 kg N dierextrectie/ha (10/12) + Drooglegging max. 20 cm (verlaging ANLB)</v>
      </c>
      <c r="M39" s="57" t="str">
        <v>Vast tarief</v>
      </c>
      <c r="N39" s="57">
        <v>0</v>
      </c>
      <c r="O39" s="57" t="str">
        <v>Overige kosten</v>
      </c>
      <c r="P39" s="67">
        <f>IF(L39&lt;&gt;"",IFERROR(VLOOKUP(L39,Tb_KostenTypen[],MATCH($P$1,Tb_KostenTypen[#Headers],0),0),0),"")</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L40" s="57" t="str">
        <v>Max. 100 kg N dierextrectie/ha (10/12) + Drooglegging max. 40 cm (verlaging ANLB)</v>
      </c>
      <c r="M40" s="57" t="str">
        <v>Vast tarief</v>
      </c>
      <c r="N40" s="57">
        <v>0</v>
      </c>
      <c r="O40" s="57" t="str">
        <v>Overige kosten</v>
      </c>
      <c r="P40" s="67">
        <f>IF(L40&lt;&gt;"",IFERROR(VLOOKUP(L40,Tb_KostenTypen[],MATCH($P$1,Tb_KostenTypen[#Headers],0),0),0),"")</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L41" s="57" t="str">
        <v>Max. 100 kg N dierextrectie/ha (10/12) + Drooglegging max. 30 cm (verlaging ANLB)</v>
      </c>
      <c r="M41" s="57" t="str">
        <v>Vast tarief</v>
      </c>
      <c r="N41" s="57">
        <v>0</v>
      </c>
      <c r="O41" s="57" t="str">
        <v>Overige kosten</v>
      </c>
      <c r="P41" s="67">
        <f>IF(L41&lt;&gt;"",IFERROR(VLOOKUP(L41,Tb_KostenTypen[],MATCH($P$1,Tb_KostenTypen[#Headers],0),0),0),"")</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L42" s="57" t="str">
        <v>Max. 100 kg N dierextrectie/ha (10/12) + Drooglegging max. 20 cm (verlaging ANLB)</v>
      </c>
      <c r="M42" s="57" t="str">
        <v>Vast tarief</v>
      </c>
      <c r="N42" s="57">
        <v>0</v>
      </c>
      <c r="O42" s="57" t="str">
        <v>Overige kosten</v>
      </c>
      <c r="P42" s="67">
        <f>IF(L42&lt;&gt;"",IFERROR(VLOOKUP(L42,Tb_KostenTypen[],MATCH($P$1,Tb_KostenTypen[#Headers],0),0),0),"")</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L43" s="57"/>
      <c r="M43" s="57"/>
      <c r="N43" s="57"/>
      <c r="O43" s="57"/>
      <c r="P43" s="67" t="str">
        <f>IF(L43&lt;&gt;"",IFERROR(VLOOKUP(L43,Tb_KostenTypen[],MATCH($P$1,Tb_KostenTypen[#Headers],0),0),0),"")</f>
        <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L44" s="57"/>
      <c r="M44" s="57"/>
      <c r="N44" s="57"/>
      <c r="O44" s="57"/>
      <c r="P44" s="67" t="str">
        <f>IF(L44&lt;&gt;"",IFERROR(VLOOKUP(L44,Tb_KostenTypen[],MATCH($P$1,Tb_KostenTypen[#Headers],0),0),0),"")</f>
        <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L45" s="57"/>
      <c r="M45" s="57"/>
      <c r="N45" s="57"/>
      <c r="O45" s="57"/>
      <c r="P45" s="67" t="str">
        <f>IF(L45&lt;&gt;"",IFERROR(VLOOKUP(L45,Tb_KostenTypen[],MATCH($P$1,Tb_KostenTypen[#Headers],0),0),0),"")</f>
        <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L46" s="57"/>
      <c r="M46" s="57"/>
      <c r="N46" s="57"/>
      <c r="O46" s="57"/>
      <c r="P46" s="67" t="str">
        <f>IF(L46&lt;&gt;"",IFERROR(VLOOKUP(L46,Tb_KostenTypen[],MATCH($P$1,Tb_KostenTypen[#Headers],0),0),0),"")</f>
        <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L47" s="57"/>
      <c r="M47" s="57"/>
      <c r="N47" s="57"/>
      <c r="O47" s="57"/>
      <c r="P47" s="67" t="str">
        <f>IF(L47&lt;&gt;"",IFERROR(VLOOKUP(L47,Tb_KostenTypen[],MATCH($P$1,Tb_KostenTypen[#Headers],0),0),0),"")</f>
        <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L48" s="57"/>
      <c r="M48" s="57"/>
      <c r="N48" s="57"/>
      <c r="O48" s="57"/>
      <c r="P48" s="67" t="str">
        <f>IF(L48&lt;&gt;"",IFERROR(VLOOKUP(L48,Tb_KostenTypen[],MATCH($P$1,Tb_KostenTypen[#Headers],0),0),0),"")</f>
        <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L49" s="57"/>
      <c r="M49" s="57"/>
      <c r="N49" s="57"/>
      <c r="O49" s="57"/>
      <c r="P49" s="67" t="str">
        <f>IF(L49&lt;&gt;"",IFERROR(VLOOKUP(L49,Tb_KostenTypen[],MATCH($P$1,Tb_KostenTypen[#Headers],0),0),0),"")</f>
        <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L50" s="57"/>
      <c r="M50" s="57"/>
      <c r="N50" s="57"/>
      <c r="O50" s="57"/>
      <c r="P50" s="67" t="str">
        <f>IF(L50&lt;&gt;"",IFERROR(VLOOKUP(L50,Tb_KostenTypen[],MATCH($P$1,Tb_KostenTypen[#Headers],0),0),0),"")</f>
        <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L51" s="57"/>
      <c r="M51" s="57"/>
      <c r="N51" s="57"/>
      <c r="O51" s="57"/>
      <c r="P51" s="67" t="str">
        <f>IF(L51&lt;&gt;"",IFERROR(VLOOKUP(L51,Tb_KostenTypen[],MATCH($P$1,Tb_KostenTypen[#Headers],0),0),0),"")</f>
        <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L52" s="57"/>
      <c r="M52" s="57"/>
      <c r="N52" s="57"/>
      <c r="O52" s="57"/>
      <c r="P52" s="67" t="str">
        <f>IF(L52&lt;&gt;"",IFERROR(VLOOKUP(L52,Tb_KostenTypen[],MATCH($P$1,Tb_KostenTypen[#Headers],0),0),0),"")</f>
        <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3YP8mTg/CfFxfcLU6X0ua5BFZjUWslonic1pLhbv40xFMJXZaH4GW4gi3HHK+tuGCWRAbXgiav1MOFJGvrkywg==" saltValue="x9STj/QqNLkTgomOydcAUQ==" spinCount="100000" sheet="1" objects="1" scenarios="1"/>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3" sqref="C3:D3"/>
    </sheetView>
  </sheetViews>
  <sheetFormatPr defaultColWidth="0" defaultRowHeight="15" customHeight="1" zeroHeight="1" x14ac:dyDescent="0.25"/>
  <cols>
    <col min="1" max="1" width="2.85546875" style="37" customWidth="1"/>
    <col min="2" max="2" width="61.7109375" style="37" customWidth="1"/>
    <col min="3" max="3" width="33.140625" style="37" customWidth="1"/>
    <col min="4" max="4" width="39.28515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88"/>
      <c r="C1" s="230" t="str">
        <f>IF($C$2="","Kies hieronder openstelling:","")</f>
        <v/>
      </c>
      <c r="D1" s="188"/>
    </row>
    <row r="2" spans="1:5" ht="28.5" customHeight="1" x14ac:dyDescent="0.25">
      <c r="A2" s="25"/>
      <c r="B2" s="17" t="s">
        <v>71</v>
      </c>
      <c r="C2" s="391" t="s">
        <v>548</v>
      </c>
      <c r="D2" s="391"/>
      <c r="E2" s="25"/>
    </row>
    <row r="3" spans="1:5" ht="15" customHeight="1" x14ac:dyDescent="0.25">
      <c r="A3" s="25"/>
      <c r="B3" s="17" t="s">
        <v>16</v>
      </c>
      <c r="C3" s="393"/>
      <c r="D3" s="393"/>
      <c r="E3" s="25"/>
    </row>
    <row r="4" spans="1:5" ht="15" customHeight="1" x14ac:dyDescent="0.25">
      <c r="A4" s="25"/>
      <c r="B4" s="17" t="s">
        <v>17</v>
      </c>
      <c r="C4" s="393"/>
      <c r="D4" s="393"/>
      <c r="E4" s="25"/>
    </row>
    <row r="5" spans="1:5" x14ac:dyDescent="0.25">
      <c r="A5" s="25"/>
      <c r="B5" s="17" t="s">
        <v>18</v>
      </c>
      <c r="C5" s="393"/>
      <c r="D5" s="393"/>
      <c r="E5" s="25"/>
    </row>
    <row r="6" spans="1:5" ht="40.5" customHeight="1" x14ac:dyDescent="0.25">
      <c r="A6" s="25"/>
      <c r="B6" s="5"/>
      <c r="C6" s="394" t="s">
        <v>552</v>
      </c>
      <c r="D6" s="395"/>
      <c r="E6" s="25"/>
    </row>
    <row r="7" spans="1:5" ht="15" customHeight="1" x14ac:dyDescent="0.25">
      <c r="B7" s="188"/>
      <c r="C7" s="230" t="str">
        <f>IF($C$8="","Kies hieronder methode:","")</f>
        <v>Kies hieronder methode:</v>
      </c>
      <c r="D7" s="188"/>
    </row>
    <row r="8" spans="1:5" ht="15" customHeight="1" x14ac:dyDescent="0.25">
      <c r="A8" s="25"/>
      <c r="B8" s="149" t="s">
        <v>19</v>
      </c>
      <c r="C8" s="392"/>
      <c r="D8" s="392"/>
      <c r="E8" s="25"/>
    </row>
    <row r="9" spans="1:5" ht="15" customHeight="1" x14ac:dyDescent="0.25">
      <c r="B9" s="228"/>
      <c r="C9" s="228"/>
      <c r="D9" s="229"/>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QpBouTLOqHlfXEHijUJ86hqkdLsrodxempHKzUMq4+xAqJIvgN/8jp6SKKhtp6uh4Q5o7DDlxtGIx4PEEKUPhQ==" saltValue="lhopGXWLVIcLGmTznOVZAQ=="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hyperlinks>
    <hyperlink ref="C6:E6" r:id="rId1" display="https://abs.techletes.ai/subsidie-buddy-eip/" xr:uid="{427B5654-A076-47E1-B592-D00BD891C835}"/>
    <hyperlink ref="C6:D6" r:id="rId2" display="https://abs.techletes.ai/subsidie-buddy-eip/?ref=bsnomg74jlcu" xr:uid="{A0E8E5D0-E2A0-470D-AC63-1DCC0E7E2F74}"/>
  </hyperlinks>
  <pageMargins left="0.70866141732283472" right="0.70866141732283472" top="0.74803149606299213" bottom="0.74803149606299213" header="0.31496062992125984" footer="0.31496062992125984"/>
  <pageSetup paperSize="9" orientation="landscape" r:id="rId3"/>
  <headerFooter>
    <oddFooter>&amp;LVersie: september 2023&amp;C&amp;A&amp;R&amp;P van &amp;N</oddFooter>
  </headerFooter>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155</v>
      </c>
      <c r="B1" s="58" t="s">
        <v>345</v>
      </c>
      <c r="D1" s="58" t="s">
        <v>121</v>
      </c>
      <c r="E1" s="58" t="s">
        <v>345</v>
      </c>
      <c r="G1" s="58" t="s">
        <v>366</v>
      </c>
      <c r="H1" s="58" t="s">
        <v>345</v>
      </c>
      <c r="J1" s="58" t="s">
        <v>366</v>
      </c>
      <c r="K1" s="58" t="s">
        <v>345</v>
      </c>
      <c r="M1" s="58" t="s">
        <v>186</v>
      </c>
      <c r="N1" s="58" t="s">
        <v>187</v>
      </c>
      <c r="P1" s="58" t="s">
        <v>156</v>
      </c>
      <c r="Q1" s="58" t="s">
        <v>139</v>
      </c>
      <c r="R1" s="58" t="s">
        <v>140</v>
      </c>
      <c r="S1" s="58" t="s">
        <v>141</v>
      </c>
      <c r="T1" s="58" t="s">
        <v>142</v>
      </c>
      <c r="U1" s="58" t="s">
        <v>143</v>
      </c>
      <c r="V1" s="58" t="s">
        <v>144</v>
      </c>
      <c r="W1" s="58" t="s">
        <v>145</v>
      </c>
      <c r="X1" s="58" t="s">
        <v>146</v>
      </c>
      <c r="Y1" s="58" t="s">
        <v>306</v>
      </c>
      <c r="Z1" s="58" t="s">
        <v>307</v>
      </c>
      <c r="AA1" s="58" t="s">
        <v>308</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3">
        <f ca="1">'Beoordeeld begrotingsoverzicht'!C54</f>
        <v>0</v>
      </c>
      <c r="N2" s="153">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3">
        <f ca="1">$M$2-(SUMIFS('8. Uitgaven betaalverzoek'!U:U,'8. Uitgaven betaalverzoek'!F:F,"=Bijdrage*",'8. Uitgaven betaalverzoek'!A:A,"&lt;&gt;""")-SUMIF(Tb_DBKosten[],"=Bijdrage*",Tb_DBKosten[Deelbetaling_Aanvraag]))</f>
        <v>0</v>
      </c>
      <c r="N3" s="153">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3">
        <f ca="1">$M$2-(SUMIFS('8. Uitgaven betaalverzoek'!V:V,'8. Uitgaven betaalverzoek'!F:F,"=Bijdrage*",'8. Uitgaven betaalverzoek'!A:A,"&lt;&gt;""")-SUMIF(Tb_DBKosten[],"=Bijdrage*",Tb_DBKosten[Deelbetaling_Beoordeeld]))</f>
        <v>0</v>
      </c>
      <c r="N4" s="153">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4"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BR14"/>
  <sheetViews>
    <sheetView workbookViewId="0">
      <selection activeCell="A2" sqref="A2"/>
    </sheetView>
  </sheetViews>
  <sheetFormatPr defaultRowHeight="15" x14ac:dyDescent="0.25"/>
  <cols>
    <col min="1" max="13" width="39" customWidth="1"/>
    <col min="14" max="36" width="20.140625" customWidth="1"/>
  </cols>
  <sheetData>
    <row r="1" spans="1:70" ht="75" x14ac:dyDescent="0.25">
      <c r="A1" s="263" t="str">
        <f>Spec_Activiteit!A1</f>
        <v>Openstelling</v>
      </c>
      <c r="B1" s="263" t="str">
        <f>Spec_Activiteit!B1</f>
        <v>Subsidiabele_Activiteit</v>
      </c>
      <c r="C1" s="263" t="str">
        <f ca="1">Spec_Activiteit!C1</f>
        <v>Max. 150 kg N dierextrectie/ha</v>
      </c>
      <c r="D1" s="263" t="str">
        <f ca="1">Spec_Activiteit!D1</f>
        <v>Max. 100 kg N dierextrectie/ha</v>
      </c>
      <c r="E1" s="263" t="str">
        <f ca="1">Spec_Activiteit!E1</f>
        <v>Drooglegging max. 40 cm</v>
      </c>
      <c r="F1" s="263" t="str">
        <f ca="1">Spec_Activiteit!F1</f>
        <v>Drooglegging max. 30 cm</v>
      </c>
      <c r="G1" s="263" t="str">
        <f ca="1">Spec_Activiteit!G1</f>
        <v>Drooglegging max. 20 cm</v>
      </c>
      <c r="H1" s="263" t="str">
        <f ca="1">Spec_Activiteit!H1</f>
        <v>Max. 150 kg N dierextrectie/ha + Drooglegging max. 40 cm</v>
      </c>
      <c r="I1" s="263" t="str">
        <f ca="1">Spec_Activiteit!I1</f>
        <v>Max. 150 kg N dierextrectie/ha + Drooglegging max. 30 cm</v>
      </c>
      <c r="J1" s="263" t="str">
        <f ca="1">Spec_Activiteit!J1</f>
        <v>Max. 150 kg N dierextrectie/ha + Drooglegging max. 20 cm</v>
      </c>
      <c r="K1" s="263" t="str">
        <f ca="1">Spec_Activiteit!K1</f>
        <v>Max. 100 kg N dierextrectie/ha + Drooglegging max. 40 cm</v>
      </c>
      <c r="L1" s="263" t="str">
        <f ca="1">Spec_Activiteit!L1</f>
        <v>Max. 100 kg N dierextrectie/ha + Drooglegging max. 30 cm</v>
      </c>
      <c r="M1" s="263" t="str">
        <f ca="1">Spec_Activiteit!M1</f>
        <v>Max. 100 kg N dierextrectie/ha + Drooglegging max. 20 cm</v>
      </c>
      <c r="N1" s="263" t="str">
        <f ca="1">Spec_Activiteit!N1</f>
        <v>Max. 150 kg N dierextrectie/ha (10/12)</v>
      </c>
      <c r="O1" s="263" t="str">
        <f ca="1">Spec_Activiteit!O1</f>
        <v>Max. 100 kg N dierextrectie/ha (10/12)</v>
      </c>
      <c r="P1" s="263" t="str">
        <f ca="1">Spec_Activiteit!P1</f>
        <v>Max. 150 kg N dierextrectie/ha (10/12) + Drooglegging max. 40 cm</v>
      </c>
      <c r="Q1" s="263" t="str">
        <f ca="1">Spec_Activiteit!Q1</f>
        <v>Max. 150 kg N dierextrectie/ha (10/12) + Drooglegging max. 30 cm</v>
      </c>
      <c r="R1" s="263" t="str">
        <f ca="1">Spec_Activiteit!R1</f>
        <v>Max. 150 kg N dierextrectie/ha (10/12) + Drooglegging max. 20 cm</v>
      </c>
      <c r="S1" s="263" t="str">
        <f ca="1">Spec_Activiteit!S1</f>
        <v>Max. 100 kg N dierextrectie/ha (10/12) + Drooglegging max. 40 cm</v>
      </c>
      <c r="T1" s="263" t="str">
        <f ca="1">Spec_Activiteit!T1</f>
        <v>Max. 100 kg N dierextrectie/ha (10/12) + Drooglegging max. 30 cm</v>
      </c>
      <c r="U1" s="263" t="str">
        <f ca="1">Spec_Activiteit!U1</f>
        <v>Max. 100 kg N dierextrectie/ha (10/12) + Drooglegging max. 20 cm</v>
      </c>
      <c r="V1" s="263" t="str">
        <f ca="1">Spec_Activiteit!V1</f>
        <v>Drooglegging max. 40 cm (verlaging ANLB)</v>
      </c>
      <c r="W1" s="263" t="str">
        <f ca="1">Spec_Activiteit!W1</f>
        <v>Drooglegging max. 30 cm (verlaging ANLB)</v>
      </c>
      <c r="X1" s="263" t="str">
        <f ca="1">Spec_Activiteit!X1</f>
        <v>Drooglegging max. 20 cm (verlaging ANLB)</v>
      </c>
      <c r="Y1" s="263" t="str">
        <f ca="1">Spec_Activiteit!Y1</f>
        <v>Max. 150 kg N dierextrectie/ha + Drooglegging max. 40 cm (verlaging ANLB)</v>
      </c>
      <c r="Z1" s="263" t="str">
        <f ca="1">Spec_Activiteit!Z1</f>
        <v>Max. 150 kg N dierextrectie/ha + Drooglegging max. 30 cm (verlaging ANLB)</v>
      </c>
      <c r="AA1" s="263" t="str">
        <f ca="1">Spec_Activiteit!AA1</f>
        <v>Max. 150 kg N dierextrectie/ha + Drooglegging max. 20 cm (verlaging ANLB)</v>
      </c>
      <c r="AB1" s="263" t="str">
        <f ca="1">Spec_Activiteit!AB1</f>
        <v>Max. 100 kg N dierextrectie/ha + Drooglegging max. 40 cm (verlaging ANLB)</v>
      </c>
      <c r="AC1" s="263" t="str">
        <f ca="1">Spec_Activiteit!AC1</f>
        <v>Max. 100 kg N dierextrectie/ha + Drooglegging max. 30 cm (verlaging ANLB)</v>
      </c>
      <c r="AD1" s="263" t="str">
        <f ca="1">Spec_Activiteit!AD1</f>
        <v>Max. 100 kg N dierextrectie/ha + Drooglegging max. 20 cm (verlaging ANLB)</v>
      </c>
      <c r="AE1" s="263" t="str">
        <f ca="1">Spec_Activiteit!AE1</f>
        <v>Max. 150 kg N dierextrectie/ha (10/12) + Drooglegging max. 40 cm (verlaging ANLB)</v>
      </c>
      <c r="AF1" s="263" t="str">
        <f ca="1">Spec_Activiteit!AF1</f>
        <v>Max. 150 kg N dierextrectie/ha (10/12) + Drooglegging max. 30 cm (verlaging ANLB)</v>
      </c>
      <c r="AG1" s="263" t="str">
        <f ca="1">Spec_Activiteit!AG1</f>
        <v>Max. 150 kg N dierextrectie/ha (10/12) + Drooglegging max. 20 cm (verlaging ANLB)</v>
      </c>
      <c r="AH1" s="263" t="str">
        <f ca="1">Spec_Activiteit!AH1</f>
        <v>Max. 100 kg N dierextrectie/ha (10/12) + Drooglegging max. 40 cm (verlaging ANLB)</v>
      </c>
      <c r="AI1" s="263" t="str">
        <f ca="1">Spec_Activiteit!AI1</f>
        <v>Max. 100 kg N dierextrectie/ha (10/12) + Drooglegging max. 30 cm (verlaging ANLB)</v>
      </c>
      <c r="AJ1" s="263" t="str">
        <f ca="1">Spec_Activiteit!AJ1</f>
        <v>Max. 100 kg N dierextrectie/ha (10/12) + Drooglegging max. 20 cm (verlaging ANLB)</v>
      </c>
      <c r="AK1" s="268" t="s">
        <v>322</v>
      </c>
      <c r="AL1" s="268" t="s">
        <v>323</v>
      </c>
      <c r="AM1" s="268" t="s">
        <v>324</v>
      </c>
      <c r="AN1" s="268" t="s">
        <v>325</v>
      </c>
      <c r="AO1" s="268" t="s">
        <v>326</v>
      </c>
      <c r="AP1" s="268" t="s">
        <v>327</v>
      </c>
      <c r="AQ1" s="268" t="s">
        <v>328</v>
      </c>
      <c r="AR1" s="268" t="s">
        <v>329</v>
      </c>
      <c r="AS1" s="268" t="s">
        <v>330</v>
      </c>
      <c r="AT1" s="268" t="s">
        <v>331</v>
      </c>
      <c r="AU1" s="268" t="s">
        <v>332</v>
      </c>
      <c r="AV1" s="268" t="s">
        <v>363</v>
      </c>
      <c r="AW1" s="268" t="s">
        <v>364</v>
      </c>
      <c r="AX1" s="268" t="s">
        <v>365</v>
      </c>
      <c r="AY1" s="268" t="s">
        <v>499</v>
      </c>
      <c r="AZ1" s="268" t="s">
        <v>500</v>
      </c>
      <c r="BA1" s="268" t="s">
        <v>501</v>
      </c>
      <c r="BB1" s="268" t="s">
        <v>502</v>
      </c>
      <c r="BC1" s="268" t="s">
        <v>503</v>
      </c>
      <c r="BD1" s="268" t="s">
        <v>504</v>
      </c>
      <c r="BE1" s="268" t="s">
        <v>505</v>
      </c>
      <c r="BF1" s="268" t="s">
        <v>506</v>
      </c>
      <c r="BG1" s="268" t="s">
        <v>507</v>
      </c>
      <c r="BH1" s="268" t="s">
        <v>508</v>
      </c>
      <c r="BI1" s="268" t="s">
        <v>509</v>
      </c>
      <c r="BJ1" s="268" t="s">
        <v>510</v>
      </c>
      <c r="BK1" s="268" t="s">
        <v>511</v>
      </c>
      <c r="BL1" s="268" t="s">
        <v>512</v>
      </c>
      <c r="BM1" s="268" t="s">
        <v>513</v>
      </c>
      <c r="BN1" s="268" t="s">
        <v>514</v>
      </c>
      <c r="BO1" s="268" t="s">
        <v>515</v>
      </c>
      <c r="BP1" s="268" t="s">
        <v>516</v>
      </c>
      <c r="BQ1" s="268" t="s">
        <v>517</v>
      </c>
      <c r="BR1" s="268" t="s">
        <v>518</v>
      </c>
    </row>
    <row r="2" spans="1:70" x14ac:dyDescent="0.25">
      <c r="A2" s="91" t="str" cm="1">
        <f t="array" ref="A2:AJ4">IFERROR(IF(Openstelling_Keuze&lt;&gt;"",_xlfn._xlws.FILTER(Spec_Activiteit!$A$2:$AJ$1500,Spec_Activiteit!$A$2:$A$1500=Openstelling_Keuze,""),""),"")</f>
        <v>Samenwerken aan innovatie (EIP) Digitalisering en Robotisering</v>
      </c>
      <c r="B2" s="91" t="str">
        <v>Voorbereiding samenwerkingsproject</v>
      </c>
      <c r="C2" s="327">
        <v>0</v>
      </c>
      <c r="D2" s="327">
        <v>0</v>
      </c>
      <c r="E2" s="327">
        <v>0</v>
      </c>
      <c r="F2" s="327">
        <v>0</v>
      </c>
      <c r="G2" s="327">
        <v>0</v>
      </c>
      <c r="H2" s="327">
        <v>0</v>
      </c>
      <c r="I2" s="327">
        <v>0</v>
      </c>
      <c r="J2" s="327">
        <v>0</v>
      </c>
      <c r="K2" s="327">
        <v>0</v>
      </c>
      <c r="L2" s="327">
        <v>0</v>
      </c>
      <c r="M2" s="327">
        <v>0</v>
      </c>
      <c r="N2" s="327">
        <v>0</v>
      </c>
      <c r="O2" s="327">
        <v>0</v>
      </c>
      <c r="P2" s="327">
        <v>0</v>
      </c>
      <c r="Q2" s="327">
        <v>0</v>
      </c>
      <c r="R2" s="327">
        <v>0</v>
      </c>
      <c r="S2" s="327">
        <v>0</v>
      </c>
      <c r="T2" s="327">
        <v>0</v>
      </c>
      <c r="U2" s="327">
        <v>0</v>
      </c>
      <c r="V2" s="327">
        <v>0</v>
      </c>
      <c r="W2" s="327">
        <v>0</v>
      </c>
      <c r="X2" s="327">
        <v>0</v>
      </c>
      <c r="Y2" s="327">
        <v>0</v>
      </c>
      <c r="Z2" s="327">
        <v>0</v>
      </c>
      <c r="AA2" s="327">
        <v>0</v>
      </c>
      <c r="AB2" s="327">
        <v>0</v>
      </c>
      <c r="AC2" s="327">
        <v>0</v>
      </c>
      <c r="AD2" s="327">
        <v>0</v>
      </c>
      <c r="AE2" s="327">
        <v>0</v>
      </c>
      <c r="AF2" s="327">
        <v>0</v>
      </c>
      <c r="AG2" s="327">
        <v>0</v>
      </c>
      <c r="AH2" s="327">
        <v>0</v>
      </c>
      <c r="AI2" s="327">
        <v>0</v>
      </c>
      <c r="AJ2" s="327">
        <v>0</v>
      </c>
      <c r="AK2" s="327" t="str">
        <f>IF(C2=1,C$1,"")</f>
        <v/>
      </c>
      <c r="AL2" s="327" t="str">
        <f t="shared" ref="AL2:AX14" si="0">IF(D2=1,D$1,"")</f>
        <v/>
      </c>
      <c r="AM2" s="327" t="str">
        <f t="shared" si="0"/>
        <v/>
      </c>
      <c r="AN2" s="327" t="str">
        <f t="shared" si="0"/>
        <v/>
      </c>
      <c r="AO2" s="327" t="str">
        <f t="shared" si="0"/>
        <v/>
      </c>
      <c r="AP2" s="327" t="str">
        <f t="shared" si="0"/>
        <v/>
      </c>
      <c r="AQ2" s="327" t="str">
        <f t="shared" si="0"/>
        <v/>
      </c>
      <c r="AR2" s="327" t="str">
        <f t="shared" si="0"/>
        <v/>
      </c>
      <c r="AS2" s="327" t="str">
        <f t="shared" si="0"/>
        <v/>
      </c>
      <c r="AT2" s="327" t="str">
        <f t="shared" si="0"/>
        <v/>
      </c>
      <c r="AU2" s="327" t="str">
        <f t="shared" si="0"/>
        <v/>
      </c>
      <c r="AV2" s="327" t="str">
        <f t="shared" si="0"/>
        <v/>
      </c>
      <c r="AW2" s="327" t="str">
        <f>IF(O2=1,O$1,"")</f>
        <v/>
      </c>
      <c r="AX2" s="327" t="str">
        <f>IF(P2=1,P$1,"")</f>
        <v/>
      </c>
      <c r="AY2" s="327" t="str">
        <f t="shared" ref="AY2:BR14" si="1">IF(Q2=1,Q$1,"")</f>
        <v/>
      </c>
      <c r="AZ2" s="327" t="str">
        <f t="shared" si="1"/>
        <v/>
      </c>
      <c r="BA2" s="327" t="str">
        <f t="shared" si="1"/>
        <v/>
      </c>
      <c r="BB2" s="327" t="str">
        <f t="shared" si="1"/>
        <v/>
      </c>
      <c r="BC2" s="327" t="str">
        <f t="shared" si="1"/>
        <v/>
      </c>
      <c r="BD2" s="327" t="str">
        <f t="shared" si="1"/>
        <v/>
      </c>
      <c r="BE2" s="327" t="str">
        <f t="shared" si="1"/>
        <v/>
      </c>
      <c r="BF2" s="327" t="str">
        <f t="shared" si="1"/>
        <v/>
      </c>
      <c r="BG2" s="327" t="str">
        <f t="shared" si="1"/>
        <v/>
      </c>
      <c r="BH2" s="327" t="str">
        <f t="shared" si="1"/>
        <v/>
      </c>
      <c r="BI2" s="327" t="str">
        <f t="shared" si="1"/>
        <v/>
      </c>
      <c r="BJ2" s="327" t="str">
        <f t="shared" si="1"/>
        <v/>
      </c>
      <c r="BK2" s="327" t="str">
        <f t="shared" si="1"/>
        <v/>
      </c>
      <c r="BL2" s="327" t="str">
        <f t="shared" si="1"/>
        <v/>
      </c>
      <c r="BM2" s="327" t="str">
        <f t="shared" si="1"/>
        <v/>
      </c>
      <c r="BN2" s="327" t="str">
        <f t="shared" si="1"/>
        <v/>
      </c>
      <c r="BO2" s="327" t="str">
        <f t="shared" si="1"/>
        <v/>
      </c>
      <c r="BP2" s="327" t="str">
        <f t="shared" si="1"/>
        <v/>
      </c>
      <c r="BQ2" s="327" t="str">
        <f t="shared" si="1"/>
        <v/>
      </c>
      <c r="BR2" s="327" t="str">
        <f t="shared" si="1"/>
        <v/>
      </c>
    </row>
    <row r="3" spans="1:70" x14ac:dyDescent="0.25">
      <c r="A3" s="91" t="str">
        <v>Samenwerken aan innovatie (EIP) Digitalisering en Robotisering</v>
      </c>
      <c r="B3" s="91" t="str">
        <v>Uitvoering samenwerkingsproject</v>
      </c>
      <c r="C3" s="327">
        <v>0</v>
      </c>
      <c r="D3" s="327">
        <v>0</v>
      </c>
      <c r="E3" s="327">
        <v>0</v>
      </c>
      <c r="F3" s="327">
        <v>0</v>
      </c>
      <c r="G3" s="327">
        <v>0</v>
      </c>
      <c r="H3" s="327">
        <v>0</v>
      </c>
      <c r="I3" s="327">
        <v>0</v>
      </c>
      <c r="J3" s="327">
        <v>0</v>
      </c>
      <c r="K3" s="327">
        <v>0</v>
      </c>
      <c r="L3" s="327">
        <v>0</v>
      </c>
      <c r="M3" s="327">
        <v>0</v>
      </c>
      <c r="N3" s="327">
        <v>0</v>
      </c>
      <c r="O3" s="327">
        <v>0</v>
      </c>
      <c r="P3" s="327">
        <v>0</v>
      </c>
      <c r="Q3" s="327">
        <v>0</v>
      </c>
      <c r="R3" s="327">
        <v>0</v>
      </c>
      <c r="S3" s="327">
        <v>0</v>
      </c>
      <c r="T3" s="327">
        <v>0</v>
      </c>
      <c r="U3" s="327">
        <v>0</v>
      </c>
      <c r="V3" s="327">
        <v>0</v>
      </c>
      <c r="W3" s="327">
        <v>0</v>
      </c>
      <c r="X3" s="327">
        <v>0</v>
      </c>
      <c r="Y3" s="327">
        <v>0</v>
      </c>
      <c r="Z3" s="327">
        <v>0</v>
      </c>
      <c r="AA3" s="327">
        <v>0</v>
      </c>
      <c r="AB3" s="327">
        <v>0</v>
      </c>
      <c r="AC3" s="327">
        <v>0</v>
      </c>
      <c r="AD3" s="327">
        <v>0</v>
      </c>
      <c r="AE3" s="327">
        <v>0</v>
      </c>
      <c r="AF3" s="327">
        <v>0</v>
      </c>
      <c r="AG3" s="327">
        <v>0</v>
      </c>
      <c r="AH3" s="327">
        <v>0</v>
      </c>
      <c r="AI3" s="327">
        <v>0</v>
      </c>
      <c r="AJ3" s="327">
        <v>0</v>
      </c>
      <c r="AK3" s="327" t="str">
        <f t="shared" ref="AK3:AK14" si="2">IF(C3=1,C$1,"")</f>
        <v/>
      </c>
      <c r="AL3" s="327" t="str">
        <f t="shared" si="0"/>
        <v/>
      </c>
      <c r="AM3" s="327" t="str">
        <f t="shared" si="0"/>
        <v/>
      </c>
      <c r="AN3" s="327" t="str">
        <f t="shared" si="0"/>
        <v/>
      </c>
      <c r="AO3" s="327" t="str">
        <f t="shared" si="0"/>
        <v/>
      </c>
      <c r="AP3" s="327" t="str">
        <f t="shared" si="0"/>
        <v/>
      </c>
      <c r="AQ3" s="327" t="str">
        <f t="shared" si="0"/>
        <v/>
      </c>
      <c r="AR3" s="327" t="str">
        <f t="shared" si="0"/>
        <v/>
      </c>
      <c r="AS3" s="327" t="str">
        <f t="shared" si="0"/>
        <v/>
      </c>
      <c r="AT3" s="327" t="str">
        <f t="shared" si="0"/>
        <v/>
      </c>
      <c r="AU3" s="327" t="str">
        <f t="shared" si="0"/>
        <v/>
      </c>
      <c r="AV3" s="327" t="str">
        <f t="shared" si="0"/>
        <v/>
      </c>
      <c r="AW3" s="327" t="str">
        <f t="shared" si="0"/>
        <v/>
      </c>
      <c r="AX3" s="327" t="str">
        <f>IF(P3=1,P$1,"")</f>
        <v/>
      </c>
      <c r="AY3" s="327" t="str">
        <f t="shared" si="1"/>
        <v/>
      </c>
      <c r="AZ3" s="327" t="str">
        <f t="shared" si="1"/>
        <v/>
      </c>
      <c r="BA3" s="327" t="str">
        <f t="shared" si="1"/>
        <v/>
      </c>
      <c r="BB3" s="327" t="str">
        <f t="shared" si="1"/>
        <v/>
      </c>
      <c r="BC3" s="327" t="str">
        <f t="shared" si="1"/>
        <v/>
      </c>
      <c r="BD3" s="327" t="str">
        <f t="shared" si="1"/>
        <v/>
      </c>
      <c r="BE3" s="327" t="str">
        <f t="shared" si="1"/>
        <v/>
      </c>
      <c r="BF3" s="327" t="str">
        <f t="shared" si="1"/>
        <v/>
      </c>
      <c r="BG3" s="327" t="str">
        <f t="shared" si="1"/>
        <v/>
      </c>
      <c r="BH3" s="327" t="str">
        <f t="shared" si="1"/>
        <v/>
      </c>
      <c r="BI3" s="327" t="str">
        <f t="shared" si="1"/>
        <v/>
      </c>
      <c r="BJ3" s="327" t="str">
        <f t="shared" si="1"/>
        <v/>
      </c>
      <c r="BK3" s="327" t="str">
        <f t="shared" si="1"/>
        <v/>
      </c>
      <c r="BL3" s="327" t="str">
        <f t="shared" si="1"/>
        <v/>
      </c>
      <c r="BM3" s="327" t="str">
        <f t="shared" si="1"/>
        <v/>
      </c>
      <c r="BN3" s="327" t="str">
        <f t="shared" si="1"/>
        <v/>
      </c>
      <c r="BO3" s="327" t="str">
        <f t="shared" si="1"/>
        <v/>
      </c>
      <c r="BP3" s="327" t="str">
        <f t="shared" si="1"/>
        <v/>
      </c>
      <c r="BQ3" s="327" t="str">
        <f t="shared" si="1"/>
        <v/>
      </c>
      <c r="BR3" s="327" t="str">
        <f t="shared" si="1"/>
        <v/>
      </c>
    </row>
    <row r="4" spans="1:70" x14ac:dyDescent="0.25">
      <c r="A4" s="91" t="str">
        <v>Samenwerken aan innovatie (EIP) Digitalisering en Robotisering</v>
      </c>
      <c r="B4" s="91" t="str">
        <v>Investeringen</v>
      </c>
      <c r="C4" s="327">
        <v>0</v>
      </c>
      <c r="D4" s="327">
        <v>0</v>
      </c>
      <c r="E4" s="327">
        <v>0</v>
      </c>
      <c r="F4" s="327">
        <v>0</v>
      </c>
      <c r="G4" s="327">
        <v>0</v>
      </c>
      <c r="H4" s="327">
        <v>0</v>
      </c>
      <c r="I4" s="327">
        <v>0</v>
      </c>
      <c r="J4" s="327">
        <v>0</v>
      </c>
      <c r="K4" s="327">
        <v>0</v>
      </c>
      <c r="L4" s="327">
        <v>0</v>
      </c>
      <c r="M4" s="327">
        <v>0</v>
      </c>
      <c r="N4" s="327">
        <v>0</v>
      </c>
      <c r="O4" s="327">
        <v>0</v>
      </c>
      <c r="P4" s="327">
        <v>0</v>
      </c>
      <c r="Q4" s="327">
        <v>0</v>
      </c>
      <c r="R4" s="327">
        <v>0</v>
      </c>
      <c r="S4" s="327">
        <v>0</v>
      </c>
      <c r="T4" s="327">
        <v>0</v>
      </c>
      <c r="U4" s="327">
        <v>0</v>
      </c>
      <c r="V4" s="327">
        <v>0</v>
      </c>
      <c r="W4" s="327">
        <v>0</v>
      </c>
      <c r="X4" s="327">
        <v>0</v>
      </c>
      <c r="Y4" s="327">
        <v>0</v>
      </c>
      <c r="Z4" s="327">
        <v>0</v>
      </c>
      <c r="AA4" s="327">
        <v>0</v>
      </c>
      <c r="AB4" s="327">
        <v>0</v>
      </c>
      <c r="AC4" s="327">
        <v>0</v>
      </c>
      <c r="AD4" s="327">
        <v>0</v>
      </c>
      <c r="AE4" s="327">
        <v>0</v>
      </c>
      <c r="AF4" s="327">
        <v>0</v>
      </c>
      <c r="AG4" s="327">
        <v>0</v>
      </c>
      <c r="AH4" s="327">
        <v>0</v>
      </c>
      <c r="AI4" s="327">
        <v>0</v>
      </c>
      <c r="AJ4" s="327">
        <v>0</v>
      </c>
      <c r="AK4" s="327" t="str">
        <f t="shared" si="2"/>
        <v/>
      </c>
      <c r="AL4" s="327" t="str">
        <f t="shared" si="0"/>
        <v/>
      </c>
      <c r="AM4" s="327" t="str">
        <f t="shared" si="0"/>
        <v/>
      </c>
      <c r="AN4" s="327" t="str">
        <f t="shared" si="0"/>
        <v/>
      </c>
      <c r="AO4" s="327" t="str">
        <f t="shared" si="0"/>
        <v/>
      </c>
      <c r="AP4" s="327" t="str">
        <f t="shared" si="0"/>
        <v/>
      </c>
      <c r="AQ4" s="327" t="str">
        <f t="shared" si="0"/>
        <v/>
      </c>
      <c r="AR4" s="327" t="str">
        <f t="shared" si="0"/>
        <v/>
      </c>
      <c r="AS4" s="327" t="str">
        <f t="shared" si="0"/>
        <v/>
      </c>
      <c r="AT4" s="327" t="str">
        <f t="shared" si="0"/>
        <v/>
      </c>
      <c r="AU4" s="327" t="str">
        <f t="shared" si="0"/>
        <v/>
      </c>
      <c r="AV4" s="327" t="str">
        <f t="shared" si="0"/>
        <v/>
      </c>
      <c r="AW4" s="327" t="str">
        <f t="shared" si="0"/>
        <v/>
      </c>
      <c r="AX4" s="327" t="str">
        <f>IF(P4=1,P$1,"")</f>
        <v/>
      </c>
      <c r="AY4" s="327" t="str">
        <f t="shared" si="1"/>
        <v/>
      </c>
      <c r="AZ4" s="327" t="str">
        <f t="shared" si="1"/>
        <v/>
      </c>
      <c r="BA4" s="327" t="str">
        <f t="shared" si="1"/>
        <v/>
      </c>
      <c r="BB4" s="327" t="str">
        <f t="shared" si="1"/>
        <v/>
      </c>
      <c r="BC4" s="327" t="str">
        <f t="shared" si="1"/>
        <v/>
      </c>
      <c r="BD4" s="327" t="str">
        <f t="shared" si="1"/>
        <v/>
      </c>
      <c r="BE4" s="327" t="str">
        <f t="shared" si="1"/>
        <v/>
      </c>
      <c r="BF4" s="327" t="str">
        <f t="shared" si="1"/>
        <v/>
      </c>
      <c r="BG4" s="327" t="str">
        <f t="shared" si="1"/>
        <v/>
      </c>
      <c r="BH4" s="327" t="str">
        <f t="shared" si="1"/>
        <v/>
      </c>
      <c r="BI4" s="327" t="str">
        <f t="shared" si="1"/>
        <v/>
      </c>
      <c r="BJ4" s="327" t="str">
        <f t="shared" si="1"/>
        <v/>
      </c>
      <c r="BK4" s="327" t="str">
        <f t="shared" si="1"/>
        <v/>
      </c>
      <c r="BL4" s="327" t="str">
        <f t="shared" si="1"/>
        <v/>
      </c>
      <c r="BM4" s="327" t="str">
        <f t="shared" si="1"/>
        <v/>
      </c>
      <c r="BN4" s="327" t="str">
        <f t="shared" si="1"/>
        <v/>
      </c>
      <c r="BO4" s="327" t="str">
        <f t="shared" si="1"/>
        <v/>
      </c>
      <c r="BP4" s="327" t="str">
        <f t="shared" si="1"/>
        <v/>
      </c>
      <c r="BQ4" s="327" t="str">
        <f t="shared" si="1"/>
        <v/>
      </c>
      <c r="BR4" s="327" t="str">
        <f t="shared" si="1"/>
        <v/>
      </c>
    </row>
    <row r="5" spans="1:70" x14ac:dyDescent="0.25">
      <c r="A5" s="91"/>
      <c r="B5" s="91"/>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t="str">
        <f t="shared" si="2"/>
        <v/>
      </c>
      <c r="AL5" s="327" t="str">
        <f t="shared" si="0"/>
        <v/>
      </c>
      <c r="AM5" s="327" t="str">
        <f t="shared" si="0"/>
        <v/>
      </c>
      <c r="AN5" s="327" t="str">
        <f t="shared" si="0"/>
        <v/>
      </c>
      <c r="AO5" s="327" t="str">
        <f t="shared" si="0"/>
        <v/>
      </c>
      <c r="AP5" s="327" t="str">
        <f t="shared" si="0"/>
        <v/>
      </c>
      <c r="AQ5" s="327" t="str">
        <f t="shared" si="0"/>
        <v/>
      </c>
      <c r="AR5" s="327" t="str">
        <f t="shared" si="0"/>
        <v/>
      </c>
      <c r="AS5" s="327" t="str">
        <f t="shared" si="0"/>
        <v/>
      </c>
      <c r="AT5" s="327" t="str">
        <f t="shared" si="0"/>
        <v/>
      </c>
      <c r="AU5" s="327" t="str">
        <f t="shared" si="0"/>
        <v/>
      </c>
      <c r="AV5" s="327" t="str">
        <f t="shared" si="0"/>
        <v/>
      </c>
      <c r="AW5" s="327" t="str">
        <f t="shared" si="0"/>
        <v/>
      </c>
      <c r="AX5" s="327" t="str">
        <f t="shared" si="0"/>
        <v/>
      </c>
      <c r="AY5" s="327" t="str">
        <f t="shared" si="1"/>
        <v/>
      </c>
      <c r="AZ5" s="327" t="str">
        <f t="shared" si="1"/>
        <v/>
      </c>
      <c r="BA5" s="327" t="str">
        <f t="shared" si="1"/>
        <v/>
      </c>
      <c r="BB5" s="327" t="str">
        <f t="shared" si="1"/>
        <v/>
      </c>
      <c r="BC5" s="327" t="str">
        <f t="shared" si="1"/>
        <v/>
      </c>
      <c r="BD5" s="327" t="str">
        <f t="shared" si="1"/>
        <v/>
      </c>
      <c r="BE5" s="327" t="str">
        <f t="shared" si="1"/>
        <v/>
      </c>
      <c r="BF5" s="327" t="str">
        <f t="shared" si="1"/>
        <v/>
      </c>
      <c r="BG5" s="327" t="str">
        <f t="shared" si="1"/>
        <v/>
      </c>
      <c r="BH5" s="327" t="str">
        <f t="shared" si="1"/>
        <v/>
      </c>
      <c r="BI5" s="327" t="str">
        <f t="shared" si="1"/>
        <v/>
      </c>
      <c r="BJ5" s="327" t="str">
        <f t="shared" si="1"/>
        <v/>
      </c>
      <c r="BK5" s="327" t="str">
        <f t="shared" si="1"/>
        <v/>
      </c>
      <c r="BL5" s="327" t="str">
        <f t="shared" si="1"/>
        <v/>
      </c>
      <c r="BM5" s="327" t="str">
        <f t="shared" si="1"/>
        <v/>
      </c>
      <c r="BN5" s="327" t="str">
        <f t="shared" si="1"/>
        <v/>
      </c>
      <c r="BO5" s="327" t="str">
        <f t="shared" si="1"/>
        <v/>
      </c>
      <c r="BP5" s="327" t="str">
        <f t="shared" si="1"/>
        <v/>
      </c>
      <c r="BQ5" s="327" t="str">
        <f t="shared" si="1"/>
        <v/>
      </c>
      <c r="BR5" s="327" t="str">
        <f t="shared" si="1"/>
        <v/>
      </c>
    </row>
    <row r="6" spans="1:70" x14ac:dyDescent="0.25">
      <c r="A6" s="91"/>
      <c r="B6" s="91"/>
      <c r="C6" s="327"/>
      <c r="D6" s="327"/>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t="str">
        <f t="shared" si="2"/>
        <v/>
      </c>
      <c r="AL6" s="327" t="str">
        <f t="shared" si="0"/>
        <v/>
      </c>
      <c r="AM6" s="327" t="str">
        <f t="shared" si="0"/>
        <v/>
      </c>
      <c r="AN6" s="327" t="str">
        <f t="shared" si="0"/>
        <v/>
      </c>
      <c r="AO6" s="327" t="str">
        <f t="shared" si="0"/>
        <v/>
      </c>
      <c r="AP6" s="327" t="str">
        <f t="shared" si="0"/>
        <v/>
      </c>
      <c r="AQ6" s="327" t="str">
        <f t="shared" si="0"/>
        <v/>
      </c>
      <c r="AR6" s="327" t="str">
        <f t="shared" si="0"/>
        <v/>
      </c>
      <c r="AS6" s="327" t="str">
        <f t="shared" si="0"/>
        <v/>
      </c>
      <c r="AT6" s="327" t="str">
        <f t="shared" si="0"/>
        <v/>
      </c>
      <c r="AU6" s="327" t="str">
        <f t="shared" si="0"/>
        <v/>
      </c>
      <c r="AV6" s="327" t="str">
        <f t="shared" si="0"/>
        <v/>
      </c>
      <c r="AW6" s="327" t="str">
        <f t="shared" si="0"/>
        <v/>
      </c>
      <c r="AX6" s="327" t="str">
        <f t="shared" si="0"/>
        <v/>
      </c>
      <c r="AY6" s="327" t="str">
        <f t="shared" si="1"/>
        <v/>
      </c>
      <c r="AZ6" s="327" t="str">
        <f t="shared" si="1"/>
        <v/>
      </c>
      <c r="BA6" s="327" t="str">
        <f t="shared" si="1"/>
        <v/>
      </c>
      <c r="BB6" s="327" t="str">
        <f t="shared" si="1"/>
        <v/>
      </c>
      <c r="BC6" s="327" t="str">
        <f t="shared" si="1"/>
        <v/>
      </c>
      <c r="BD6" s="327" t="str">
        <f t="shared" si="1"/>
        <v/>
      </c>
      <c r="BE6" s="327" t="str">
        <f t="shared" si="1"/>
        <v/>
      </c>
      <c r="BF6" s="327" t="str">
        <f t="shared" si="1"/>
        <v/>
      </c>
      <c r="BG6" s="327" t="str">
        <f t="shared" si="1"/>
        <v/>
      </c>
      <c r="BH6" s="327" t="str">
        <f t="shared" si="1"/>
        <v/>
      </c>
      <c r="BI6" s="327" t="str">
        <f t="shared" si="1"/>
        <v/>
      </c>
      <c r="BJ6" s="327" t="str">
        <f t="shared" si="1"/>
        <v/>
      </c>
      <c r="BK6" s="327" t="str">
        <f t="shared" si="1"/>
        <v/>
      </c>
      <c r="BL6" s="327" t="str">
        <f t="shared" si="1"/>
        <v/>
      </c>
      <c r="BM6" s="327" t="str">
        <f t="shared" si="1"/>
        <v/>
      </c>
      <c r="BN6" s="327" t="str">
        <f t="shared" si="1"/>
        <v/>
      </c>
      <c r="BO6" s="327" t="str">
        <f t="shared" si="1"/>
        <v/>
      </c>
      <c r="BP6" s="327" t="str">
        <f t="shared" si="1"/>
        <v/>
      </c>
      <c r="BQ6" s="327" t="str">
        <f t="shared" si="1"/>
        <v/>
      </c>
      <c r="BR6" s="327" t="str">
        <f t="shared" si="1"/>
        <v/>
      </c>
    </row>
    <row r="7" spans="1:70" x14ac:dyDescent="0.25">
      <c r="A7" s="91"/>
      <c r="B7" s="91"/>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t="str">
        <f t="shared" si="2"/>
        <v/>
      </c>
      <c r="AL7" s="327" t="str">
        <f t="shared" si="0"/>
        <v/>
      </c>
      <c r="AM7" s="327" t="str">
        <f t="shared" si="0"/>
        <v/>
      </c>
      <c r="AN7" s="327" t="str">
        <f t="shared" si="0"/>
        <v/>
      </c>
      <c r="AO7" s="327" t="str">
        <f t="shared" si="0"/>
        <v/>
      </c>
      <c r="AP7" s="327" t="str">
        <f t="shared" si="0"/>
        <v/>
      </c>
      <c r="AQ7" s="327" t="str">
        <f t="shared" si="0"/>
        <v/>
      </c>
      <c r="AR7" s="327" t="str">
        <f t="shared" si="0"/>
        <v/>
      </c>
      <c r="AS7" s="327" t="str">
        <f t="shared" si="0"/>
        <v/>
      </c>
      <c r="AT7" s="327" t="str">
        <f t="shared" si="0"/>
        <v/>
      </c>
      <c r="AU7" s="327" t="str">
        <f t="shared" si="0"/>
        <v/>
      </c>
      <c r="AV7" s="327" t="str">
        <f t="shared" si="0"/>
        <v/>
      </c>
      <c r="AW7" s="327" t="str">
        <f t="shared" si="0"/>
        <v/>
      </c>
      <c r="AX7" s="327" t="str">
        <f t="shared" si="0"/>
        <v/>
      </c>
      <c r="AY7" s="327" t="str">
        <f t="shared" si="1"/>
        <v/>
      </c>
      <c r="AZ7" s="327" t="str">
        <f t="shared" si="1"/>
        <v/>
      </c>
      <c r="BA7" s="327" t="str">
        <f t="shared" si="1"/>
        <v/>
      </c>
      <c r="BB7" s="327" t="str">
        <f t="shared" si="1"/>
        <v/>
      </c>
      <c r="BC7" s="327" t="str">
        <f t="shared" si="1"/>
        <v/>
      </c>
      <c r="BD7" s="327" t="str">
        <f t="shared" si="1"/>
        <v/>
      </c>
      <c r="BE7" s="327" t="str">
        <f t="shared" si="1"/>
        <v/>
      </c>
      <c r="BF7" s="327" t="str">
        <f t="shared" si="1"/>
        <v/>
      </c>
      <c r="BG7" s="327" t="str">
        <f t="shared" si="1"/>
        <v/>
      </c>
      <c r="BH7" s="327" t="str">
        <f t="shared" si="1"/>
        <v/>
      </c>
      <c r="BI7" s="327" t="str">
        <f t="shared" si="1"/>
        <v/>
      </c>
      <c r="BJ7" s="327" t="str">
        <f t="shared" si="1"/>
        <v/>
      </c>
      <c r="BK7" s="327" t="str">
        <f t="shared" si="1"/>
        <v/>
      </c>
      <c r="BL7" s="327" t="str">
        <f t="shared" si="1"/>
        <v/>
      </c>
      <c r="BM7" s="327" t="str">
        <f t="shared" si="1"/>
        <v/>
      </c>
      <c r="BN7" s="327" t="str">
        <f t="shared" si="1"/>
        <v/>
      </c>
      <c r="BO7" s="327" t="str">
        <f t="shared" si="1"/>
        <v/>
      </c>
      <c r="BP7" s="327" t="str">
        <f t="shared" si="1"/>
        <v/>
      </c>
      <c r="BQ7" s="327" t="str">
        <f t="shared" si="1"/>
        <v/>
      </c>
      <c r="BR7" s="327" t="str">
        <f t="shared" si="1"/>
        <v/>
      </c>
    </row>
    <row r="8" spans="1:70" x14ac:dyDescent="0.25">
      <c r="A8" s="91"/>
      <c r="B8" s="91"/>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t="str">
        <f t="shared" si="2"/>
        <v/>
      </c>
      <c r="AL8" s="327" t="str">
        <f t="shared" si="0"/>
        <v/>
      </c>
      <c r="AM8" s="327" t="str">
        <f t="shared" si="0"/>
        <v/>
      </c>
      <c r="AN8" s="327" t="str">
        <f t="shared" si="0"/>
        <v/>
      </c>
      <c r="AO8" s="327" t="str">
        <f t="shared" si="0"/>
        <v/>
      </c>
      <c r="AP8" s="327" t="str">
        <f t="shared" si="0"/>
        <v/>
      </c>
      <c r="AQ8" s="327" t="str">
        <f t="shared" si="0"/>
        <v/>
      </c>
      <c r="AR8" s="327" t="str">
        <f t="shared" si="0"/>
        <v/>
      </c>
      <c r="AS8" s="327" t="str">
        <f t="shared" si="0"/>
        <v/>
      </c>
      <c r="AT8" s="327" t="str">
        <f t="shared" si="0"/>
        <v/>
      </c>
      <c r="AU8" s="327" t="str">
        <f t="shared" si="0"/>
        <v/>
      </c>
      <c r="AV8" s="327" t="str">
        <f t="shared" si="0"/>
        <v/>
      </c>
      <c r="AW8" s="327" t="str">
        <f t="shared" si="0"/>
        <v/>
      </c>
      <c r="AX8" s="327" t="str">
        <f t="shared" si="0"/>
        <v/>
      </c>
      <c r="AY8" s="327" t="str">
        <f t="shared" si="1"/>
        <v/>
      </c>
      <c r="AZ8" s="327" t="str">
        <f t="shared" si="1"/>
        <v/>
      </c>
      <c r="BA8" s="327" t="str">
        <f t="shared" si="1"/>
        <v/>
      </c>
      <c r="BB8" s="327" t="str">
        <f t="shared" si="1"/>
        <v/>
      </c>
      <c r="BC8" s="327" t="str">
        <f t="shared" si="1"/>
        <v/>
      </c>
      <c r="BD8" s="327" t="str">
        <f t="shared" si="1"/>
        <v/>
      </c>
      <c r="BE8" s="327" t="str">
        <f t="shared" si="1"/>
        <v/>
      </c>
      <c r="BF8" s="327" t="str">
        <f t="shared" si="1"/>
        <v/>
      </c>
      <c r="BG8" s="327" t="str">
        <f t="shared" si="1"/>
        <v/>
      </c>
      <c r="BH8" s="327" t="str">
        <f t="shared" si="1"/>
        <v/>
      </c>
      <c r="BI8" s="327" t="str">
        <f t="shared" si="1"/>
        <v/>
      </c>
      <c r="BJ8" s="327" t="str">
        <f t="shared" si="1"/>
        <v/>
      </c>
      <c r="BK8" s="327" t="str">
        <f t="shared" si="1"/>
        <v/>
      </c>
      <c r="BL8" s="327" t="str">
        <f t="shared" si="1"/>
        <v/>
      </c>
      <c r="BM8" s="327" t="str">
        <f t="shared" si="1"/>
        <v/>
      </c>
      <c r="BN8" s="327" t="str">
        <f t="shared" si="1"/>
        <v/>
      </c>
      <c r="BO8" s="327" t="str">
        <f t="shared" si="1"/>
        <v/>
      </c>
      <c r="BP8" s="327" t="str">
        <f t="shared" si="1"/>
        <v/>
      </c>
      <c r="BQ8" s="327" t="str">
        <f t="shared" si="1"/>
        <v/>
      </c>
      <c r="BR8" s="327" t="str">
        <f t="shared" si="1"/>
        <v/>
      </c>
    </row>
    <row r="9" spans="1:70" x14ac:dyDescent="0.25">
      <c r="A9" s="91"/>
      <c r="B9" s="91"/>
      <c r="C9" s="327"/>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27"/>
      <c r="AF9" s="327"/>
      <c r="AG9" s="327"/>
      <c r="AH9" s="327"/>
      <c r="AI9" s="327"/>
      <c r="AJ9" s="327"/>
      <c r="AK9" s="327" t="str">
        <f t="shared" si="2"/>
        <v/>
      </c>
      <c r="AL9" s="327" t="str">
        <f t="shared" si="0"/>
        <v/>
      </c>
      <c r="AM9" s="327" t="str">
        <f t="shared" si="0"/>
        <v/>
      </c>
      <c r="AN9" s="327" t="str">
        <f t="shared" si="0"/>
        <v/>
      </c>
      <c r="AO9" s="327" t="str">
        <f t="shared" si="0"/>
        <v/>
      </c>
      <c r="AP9" s="327" t="str">
        <f t="shared" si="0"/>
        <v/>
      </c>
      <c r="AQ9" s="327" t="str">
        <f t="shared" si="0"/>
        <v/>
      </c>
      <c r="AR9" s="327" t="str">
        <f t="shared" si="0"/>
        <v/>
      </c>
      <c r="AS9" s="327" t="str">
        <f t="shared" si="0"/>
        <v/>
      </c>
      <c r="AT9" s="327" t="str">
        <f t="shared" si="0"/>
        <v/>
      </c>
      <c r="AU9" s="327" t="str">
        <f t="shared" si="0"/>
        <v/>
      </c>
      <c r="AV9" s="327" t="str">
        <f t="shared" si="0"/>
        <v/>
      </c>
      <c r="AW9" s="327" t="str">
        <f t="shared" si="0"/>
        <v/>
      </c>
      <c r="AX9" s="327" t="str">
        <f t="shared" si="0"/>
        <v/>
      </c>
      <c r="AY9" s="327" t="str">
        <f t="shared" si="1"/>
        <v/>
      </c>
      <c r="AZ9" s="327" t="str">
        <f t="shared" si="1"/>
        <v/>
      </c>
      <c r="BA9" s="327" t="str">
        <f t="shared" si="1"/>
        <v/>
      </c>
      <c r="BB9" s="327" t="str">
        <f t="shared" si="1"/>
        <v/>
      </c>
      <c r="BC9" s="327" t="str">
        <f t="shared" si="1"/>
        <v/>
      </c>
      <c r="BD9" s="327" t="str">
        <f t="shared" si="1"/>
        <v/>
      </c>
      <c r="BE9" s="327" t="str">
        <f t="shared" si="1"/>
        <v/>
      </c>
      <c r="BF9" s="327" t="str">
        <f t="shared" si="1"/>
        <v/>
      </c>
      <c r="BG9" s="327" t="str">
        <f t="shared" si="1"/>
        <v/>
      </c>
      <c r="BH9" s="327" t="str">
        <f t="shared" si="1"/>
        <v/>
      </c>
      <c r="BI9" s="327" t="str">
        <f t="shared" si="1"/>
        <v/>
      </c>
      <c r="BJ9" s="327" t="str">
        <f t="shared" si="1"/>
        <v/>
      </c>
      <c r="BK9" s="327" t="str">
        <f t="shared" si="1"/>
        <v/>
      </c>
      <c r="BL9" s="327" t="str">
        <f t="shared" si="1"/>
        <v/>
      </c>
      <c r="BM9" s="327" t="str">
        <f t="shared" si="1"/>
        <v/>
      </c>
      <c r="BN9" s="327" t="str">
        <f t="shared" si="1"/>
        <v/>
      </c>
      <c r="BO9" s="327" t="str">
        <f t="shared" si="1"/>
        <v/>
      </c>
      <c r="BP9" s="327" t="str">
        <f t="shared" si="1"/>
        <v/>
      </c>
      <c r="BQ9" s="327" t="str">
        <f t="shared" si="1"/>
        <v/>
      </c>
      <c r="BR9" s="327" t="str">
        <f t="shared" si="1"/>
        <v/>
      </c>
    </row>
    <row r="10" spans="1:70" x14ac:dyDescent="0.25">
      <c r="A10" s="91"/>
      <c r="B10" s="91"/>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AK10" s="327" t="str">
        <f t="shared" si="2"/>
        <v/>
      </c>
      <c r="AL10" s="327" t="str">
        <f t="shared" si="0"/>
        <v/>
      </c>
      <c r="AM10" s="327" t="str">
        <f t="shared" si="0"/>
        <v/>
      </c>
      <c r="AN10" s="327" t="str">
        <f t="shared" si="0"/>
        <v/>
      </c>
      <c r="AO10" s="327" t="str">
        <f t="shared" si="0"/>
        <v/>
      </c>
      <c r="AP10" s="327" t="str">
        <f t="shared" si="0"/>
        <v/>
      </c>
      <c r="AQ10" s="327" t="str">
        <f t="shared" si="0"/>
        <v/>
      </c>
      <c r="AR10" s="327" t="str">
        <f t="shared" si="0"/>
        <v/>
      </c>
      <c r="AS10" s="327" t="str">
        <f t="shared" si="0"/>
        <v/>
      </c>
      <c r="AT10" s="327" t="str">
        <f t="shared" si="0"/>
        <v/>
      </c>
      <c r="AU10" s="327" t="str">
        <f t="shared" si="0"/>
        <v/>
      </c>
      <c r="AV10" s="327" t="str">
        <f t="shared" si="0"/>
        <v/>
      </c>
      <c r="AW10" s="327" t="str">
        <f t="shared" si="0"/>
        <v/>
      </c>
      <c r="AX10" s="327" t="str">
        <f t="shared" si="0"/>
        <v/>
      </c>
      <c r="AY10" s="327" t="str">
        <f t="shared" si="1"/>
        <v/>
      </c>
      <c r="AZ10" s="327" t="str">
        <f t="shared" si="1"/>
        <v/>
      </c>
      <c r="BA10" s="327" t="str">
        <f t="shared" si="1"/>
        <v/>
      </c>
      <c r="BB10" s="327" t="str">
        <f t="shared" si="1"/>
        <v/>
      </c>
      <c r="BC10" s="327" t="str">
        <f t="shared" si="1"/>
        <v/>
      </c>
      <c r="BD10" s="327" t="str">
        <f t="shared" si="1"/>
        <v/>
      </c>
      <c r="BE10" s="327" t="str">
        <f t="shared" si="1"/>
        <v/>
      </c>
      <c r="BF10" s="327" t="str">
        <f t="shared" si="1"/>
        <v/>
      </c>
      <c r="BG10" s="327" t="str">
        <f t="shared" si="1"/>
        <v/>
      </c>
      <c r="BH10" s="327" t="str">
        <f t="shared" si="1"/>
        <v/>
      </c>
      <c r="BI10" s="327" t="str">
        <f t="shared" si="1"/>
        <v/>
      </c>
      <c r="BJ10" s="327" t="str">
        <f t="shared" si="1"/>
        <v/>
      </c>
      <c r="BK10" s="327" t="str">
        <f t="shared" si="1"/>
        <v/>
      </c>
      <c r="BL10" s="327" t="str">
        <f t="shared" si="1"/>
        <v/>
      </c>
      <c r="BM10" s="327" t="str">
        <f t="shared" si="1"/>
        <v/>
      </c>
      <c r="BN10" s="327" t="str">
        <f t="shared" si="1"/>
        <v/>
      </c>
      <c r="BO10" s="327" t="str">
        <f t="shared" si="1"/>
        <v/>
      </c>
      <c r="BP10" s="327" t="str">
        <f t="shared" si="1"/>
        <v/>
      </c>
      <c r="BQ10" s="327" t="str">
        <f t="shared" si="1"/>
        <v/>
      </c>
      <c r="BR10" s="327" t="str">
        <f t="shared" si="1"/>
        <v/>
      </c>
    </row>
    <row r="11" spans="1:70" x14ac:dyDescent="0.25">
      <c r="A11" s="91"/>
      <c r="B11" s="91"/>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27"/>
      <c r="AF11" s="327"/>
      <c r="AG11" s="327"/>
      <c r="AH11" s="327"/>
      <c r="AI11" s="327"/>
      <c r="AJ11" s="327"/>
      <c r="AK11" s="327" t="str">
        <f t="shared" si="2"/>
        <v/>
      </c>
      <c r="AL11" s="327" t="str">
        <f t="shared" si="0"/>
        <v/>
      </c>
      <c r="AM11" s="327" t="str">
        <f t="shared" si="0"/>
        <v/>
      </c>
      <c r="AN11" s="327" t="str">
        <f t="shared" si="0"/>
        <v/>
      </c>
      <c r="AO11" s="327" t="str">
        <f t="shared" si="0"/>
        <v/>
      </c>
      <c r="AP11" s="327" t="str">
        <f t="shared" si="0"/>
        <v/>
      </c>
      <c r="AQ11" s="327" t="str">
        <f t="shared" si="0"/>
        <v/>
      </c>
      <c r="AR11" s="327" t="str">
        <f t="shared" si="0"/>
        <v/>
      </c>
      <c r="AS11" s="327" t="str">
        <f t="shared" si="0"/>
        <v/>
      </c>
      <c r="AT11" s="327" t="str">
        <f t="shared" si="0"/>
        <v/>
      </c>
      <c r="AU11" s="327" t="str">
        <f t="shared" si="0"/>
        <v/>
      </c>
      <c r="AV11" s="327" t="str">
        <f t="shared" si="0"/>
        <v/>
      </c>
      <c r="AW11" s="327" t="str">
        <f t="shared" si="0"/>
        <v/>
      </c>
      <c r="AX11" s="327" t="str">
        <f t="shared" si="0"/>
        <v/>
      </c>
      <c r="AY11" s="327" t="str">
        <f t="shared" si="1"/>
        <v/>
      </c>
      <c r="AZ11" s="327" t="str">
        <f t="shared" si="1"/>
        <v/>
      </c>
      <c r="BA11" s="327" t="str">
        <f t="shared" si="1"/>
        <v/>
      </c>
      <c r="BB11" s="327" t="str">
        <f t="shared" si="1"/>
        <v/>
      </c>
      <c r="BC11" s="327" t="str">
        <f t="shared" si="1"/>
        <v/>
      </c>
      <c r="BD11" s="327" t="str">
        <f t="shared" si="1"/>
        <v/>
      </c>
      <c r="BE11" s="327" t="str">
        <f t="shared" si="1"/>
        <v/>
      </c>
      <c r="BF11" s="327" t="str">
        <f t="shared" si="1"/>
        <v/>
      </c>
      <c r="BG11" s="327" t="str">
        <f t="shared" si="1"/>
        <v/>
      </c>
      <c r="BH11" s="327" t="str">
        <f t="shared" si="1"/>
        <v/>
      </c>
      <c r="BI11" s="327" t="str">
        <f t="shared" si="1"/>
        <v/>
      </c>
      <c r="BJ11" s="327" t="str">
        <f t="shared" si="1"/>
        <v/>
      </c>
      <c r="BK11" s="327" t="str">
        <f t="shared" si="1"/>
        <v/>
      </c>
      <c r="BL11" s="327" t="str">
        <f t="shared" si="1"/>
        <v/>
      </c>
      <c r="BM11" s="327" t="str">
        <f t="shared" si="1"/>
        <v/>
      </c>
      <c r="BN11" s="327" t="str">
        <f t="shared" si="1"/>
        <v/>
      </c>
      <c r="BO11" s="327" t="str">
        <f t="shared" si="1"/>
        <v/>
      </c>
      <c r="BP11" s="327" t="str">
        <f t="shared" si="1"/>
        <v/>
      </c>
      <c r="BQ11" s="327" t="str">
        <f t="shared" si="1"/>
        <v/>
      </c>
      <c r="BR11" s="327" t="str">
        <f t="shared" si="1"/>
        <v/>
      </c>
    </row>
    <row r="12" spans="1:70" x14ac:dyDescent="0.25">
      <c r="A12" s="91"/>
      <c r="B12" s="91"/>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327"/>
      <c r="AI12" s="327"/>
      <c r="AJ12" s="327"/>
      <c r="AK12" s="327" t="str">
        <f t="shared" si="2"/>
        <v/>
      </c>
      <c r="AL12" s="327" t="str">
        <f t="shared" si="0"/>
        <v/>
      </c>
      <c r="AM12" s="327" t="str">
        <f t="shared" si="0"/>
        <v/>
      </c>
      <c r="AN12" s="327" t="str">
        <f t="shared" si="0"/>
        <v/>
      </c>
      <c r="AO12" s="327" t="str">
        <f t="shared" si="0"/>
        <v/>
      </c>
      <c r="AP12" s="327" t="str">
        <f t="shared" si="0"/>
        <v/>
      </c>
      <c r="AQ12" s="327" t="str">
        <f t="shared" si="0"/>
        <v/>
      </c>
      <c r="AR12" s="327" t="str">
        <f t="shared" si="0"/>
        <v/>
      </c>
      <c r="AS12" s="327" t="str">
        <f t="shared" si="0"/>
        <v/>
      </c>
      <c r="AT12" s="327" t="str">
        <f t="shared" si="0"/>
        <v/>
      </c>
      <c r="AU12" s="327" t="str">
        <f t="shared" si="0"/>
        <v/>
      </c>
      <c r="AV12" s="327" t="str">
        <f t="shared" si="0"/>
        <v/>
      </c>
      <c r="AW12" s="327" t="str">
        <f t="shared" si="0"/>
        <v/>
      </c>
      <c r="AX12" s="327" t="str">
        <f t="shared" si="0"/>
        <v/>
      </c>
      <c r="AY12" s="327" t="str">
        <f t="shared" si="1"/>
        <v/>
      </c>
      <c r="AZ12" s="327" t="str">
        <f t="shared" si="1"/>
        <v/>
      </c>
      <c r="BA12" s="327" t="str">
        <f t="shared" si="1"/>
        <v/>
      </c>
      <c r="BB12" s="327" t="str">
        <f t="shared" si="1"/>
        <v/>
      </c>
      <c r="BC12" s="327" t="str">
        <f t="shared" si="1"/>
        <v/>
      </c>
      <c r="BD12" s="327" t="str">
        <f t="shared" si="1"/>
        <v/>
      </c>
      <c r="BE12" s="327" t="str">
        <f t="shared" si="1"/>
        <v/>
      </c>
      <c r="BF12" s="327" t="str">
        <f t="shared" si="1"/>
        <v/>
      </c>
      <c r="BG12" s="327" t="str">
        <f t="shared" si="1"/>
        <v/>
      </c>
      <c r="BH12" s="327" t="str">
        <f t="shared" si="1"/>
        <v/>
      </c>
      <c r="BI12" s="327" t="str">
        <f t="shared" si="1"/>
        <v/>
      </c>
      <c r="BJ12" s="327" t="str">
        <f t="shared" si="1"/>
        <v/>
      </c>
      <c r="BK12" s="327" t="str">
        <f t="shared" si="1"/>
        <v/>
      </c>
      <c r="BL12" s="327" t="str">
        <f t="shared" si="1"/>
        <v/>
      </c>
      <c r="BM12" s="327" t="str">
        <f t="shared" si="1"/>
        <v/>
      </c>
      <c r="BN12" s="327" t="str">
        <f t="shared" si="1"/>
        <v/>
      </c>
      <c r="BO12" s="327" t="str">
        <f t="shared" si="1"/>
        <v/>
      </c>
      <c r="BP12" s="327" t="str">
        <f t="shared" si="1"/>
        <v/>
      </c>
      <c r="BQ12" s="327" t="str">
        <f t="shared" si="1"/>
        <v/>
      </c>
      <c r="BR12" s="327" t="str">
        <f t="shared" si="1"/>
        <v/>
      </c>
    </row>
    <row r="13" spans="1:70" x14ac:dyDescent="0.25">
      <c r="A13" s="91"/>
      <c r="B13" s="91"/>
      <c r="C13" s="327"/>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t="str">
        <f t="shared" si="2"/>
        <v/>
      </c>
      <c r="AL13" s="327" t="str">
        <f t="shared" si="0"/>
        <v/>
      </c>
      <c r="AM13" s="327" t="str">
        <f t="shared" si="0"/>
        <v/>
      </c>
      <c r="AN13" s="327" t="str">
        <f t="shared" si="0"/>
        <v/>
      </c>
      <c r="AO13" s="327" t="str">
        <f t="shared" si="0"/>
        <v/>
      </c>
      <c r="AP13" s="327" t="str">
        <f t="shared" si="0"/>
        <v/>
      </c>
      <c r="AQ13" s="327" t="str">
        <f t="shared" si="0"/>
        <v/>
      </c>
      <c r="AR13" s="327" t="str">
        <f t="shared" si="0"/>
        <v/>
      </c>
      <c r="AS13" s="327" t="str">
        <f t="shared" si="0"/>
        <v/>
      </c>
      <c r="AT13" s="327" t="str">
        <f t="shared" si="0"/>
        <v/>
      </c>
      <c r="AU13" s="327" t="str">
        <f t="shared" si="0"/>
        <v/>
      </c>
      <c r="AV13" s="327" t="str">
        <f t="shared" si="0"/>
        <v/>
      </c>
      <c r="AW13" s="327" t="str">
        <f t="shared" si="0"/>
        <v/>
      </c>
      <c r="AX13" s="327" t="str">
        <f t="shared" si="0"/>
        <v/>
      </c>
      <c r="AY13" s="327" t="str">
        <f t="shared" si="1"/>
        <v/>
      </c>
      <c r="AZ13" s="327" t="str">
        <f t="shared" si="1"/>
        <v/>
      </c>
      <c r="BA13" s="327" t="str">
        <f t="shared" si="1"/>
        <v/>
      </c>
      <c r="BB13" s="327" t="str">
        <f t="shared" si="1"/>
        <v/>
      </c>
      <c r="BC13" s="327" t="str">
        <f t="shared" si="1"/>
        <v/>
      </c>
      <c r="BD13" s="327" t="str">
        <f t="shared" si="1"/>
        <v/>
      </c>
      <c r="BE13" s="327" t="str">
        <f t="shared" si="1"/>
        <v/>
      </c>
      <c r="BF13" s="327" t="str">
        <f t="shared" si="1"/>
        <v/>
      </c>
      <c r="BG13" s="327" t="str">
        <f t="shared" si="1"/>
        <v/>
      </c>
      <c r="BH13" s="327" t="str">
        <f t="shared" si="1"/>
        <v/>
      </c>
      <c r="BI13" s="327" t="str">
        <f t="shared" si="1"/>
        <v/>
      </c>
      <c r="BJ13" s="327" t="str">
        <f t="shared" si="1"/>
        <v/>
      </c>
      <c r="BK13" s="327" t="str">
        <f t="shared" si="1"/>
        <v/>
      </c>
      <c r="BL13" s="327" t="str">
        <f t="shared" si="1"/>
        <v/>
      </c>
      <c r="BM13" s="327" t="str">
        <f t="shared" si="1"/>
        <v/>
      </c>
      <c r="BN13" s="327" t="str">
        <f t="shared" si="1"/>
        <v/>
      </c>
      <c r="BO13" s="327" t="str">
        <f t="shared" si="1"/>
        <v/>
      </c>
      <c r="BP13" s="327" t="str">
        <f t="shared" si="1"/>
        <v/>
      </c>
      <c r="BQ13" s="327" t="str">
        <f t="shared" si="1"/>
        <v/>
      </c>
      <c r="BR13" s="327" t="str">
        <f t="shared" si="1"/>
        <v/>
      </c>
    </row>
    <row r="14" spans="1:70" x14ac:dyDescent="0.25">
      <c r="A14" s="91"/>
      <c r="B14" s="91"/>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t="str">
        <f t="shared" si="2"/>
        <v/>
      </c>
      <c r="AL14" s="327" t="str">
        <f t="shared" si="0"/>
        <v/>
      </c>
      <c r="AM14" s="327" t="str">
        <f t="shared" si="0"/>
        <v/>
      </c>
      <c r="AN14" s="327" t="str">
        <f t="shared" si="0"/>
        <v/>
      </c>
      <c r="AO14" s="327" t="str">
        <f t="shared" si="0"/>
        <v/>
      </c>
      <c r="AP14" s="327" t="str">
        <f t="shared" si="0"/>
        <v/>
      </c>
      <c r="AQ14" s="327" t="str">
        <f t="shared" si="0"/>
        <v/>
      </c>
      <c r="AR14" s="327" t="str">
        <f t="shared" si="0"/>
        <v/>
      </c>
      <c r="AS14" s="327" t="str">
        <f t="shared" si="0"/>
        <v/>
      </c>
      <c r="AT14" s="327" t="str">
        <f t="shared" si="0"/>
        <v/>
      </c>
      <c r="AU14" s="327" t="str">
        <f t="shared" si="0"/>
        <v/>
      </c>
      <c r="AV14" s="327" t="str">
        <f t="shared" si="0"/>
        <v/>
      </c>
      <c r="AW14" s="327" t="str">
        <f t="shared" si="0"/>
        <v/>
      </c>
      <c r="AX14" s="327" t="str">
        <f t="shared" si="0"/>
        <v/>
      </c>
      <c r="AY14" s="327" t="str">
        <f t="shared" si="1"/>
        <v/>
      </c>
      <c r="AZ14" s="327" t="str">
        <f t="shared" si="1"/>
        <v/>
      </c>
      <c r="BA14" s="327" t="str">
        <f t="shared" si="1"/>
        <v/>
      </c>
      <c r="BB14" s="327" t="str">
        <f t="shared" si="1"/>
        <v/>
      </c>
      <c r="BC14" s="327" t="str">
        <f t="shared" si="1"/>
        <v/>
      </c>
      <c r="BD14" s="327" t="str">
        <f t="shared" si="1"/>
        <v/>
      </c>
      <c r="BE14" s="327" t="str">
        <f t="shared" si="1"/>
        <v/>
      </c>
      <c r="BF14" s="327" t="str">
        <f t="shared" si="1"/>
        <v/>
      </c>
      <c r="BG14" s="327" t="str">
        <f t="shared" si="1"/>
        <v/>
      </c>
      <c r="BH14" s="327" t="str">
        <f t="shared" si="1"/>
        <v/>
      </c>
      <c r="BI14" s="327" t="str">
        <f t="shared" si="1"/>
        <v/>
      </c>
      <c r="BJ14" s="327" t="str">
        <f t="shared" si="1"/>
        <v/>
      </c>
      <c r="BK14" s="327" t="str">
        <f t="shared" si="1"/>
        <v/>
      </c>
      <c r="BL14" s="327" t="str">
        <f t="shared" si="1"/>
        <v/>
      </c>
      <c r="BM14" s="327" t="str">
        <f t="shared" si="1"/>
        <v/>
      </c>
      <c r="BN14" s="327" t="str">
        <f>IF(AF14=1,AF$1,"")</f>
        <v/>
      </c>
      <c r="BO14" s="327" t="str">
        <f>IF(AG14=1,AG$1,"")</f>
        <v/>
      </c>
      <c r="BP14" s="327" t="str">
        <f>IF(AH14=1,AH$1,"")</f>
        <v/>
      </c>
      <c r="BQ14" s="327" t="str">
        <f>IF(AI14=1,AI$1,"")</f>
        <v/>
      </c>
      <c r="BR14" s="327" t="str">
        <f>IF(AJ14=1,AJ$1,"")</f>
        <v/>
      </c>
    </row>
  </sheetData>
  <sheetProtection algorithmName="SHA-512" hashValue="CXYrc+J9VOQpQZcuMAf8F5CIuO/t7x6mVoz22yGZKcERFa+Xhq5E9iAbO/VNmDzvUDj/6qHEtTYV9SnfdAvd5w==" saltValue="0Da2WORDvr0ZMG00lTAoAQ==" spinCount="100000" sheet="1" objects="1" scenarios="1"/>
  <phoneticPr fontId="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AI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35" width="15.7109375" customWidth="1"/>
  </cols>
  <sheetData>
    <row r="1" spans="1:12" x14ac:dyDescent="0.25">
      <c r="A1" s="495" t="s">
        <v>44</v>
      </c>
      <c r="B1" s="495"/>
      <c r="C1" s="19"/>
      <c r="D1" s="130"/>
      <c r="E1" s="130" t="s">
        <v>45</v>
      </c>
    </row>
    <row r="2" spans="1:12" s="2" customFormat="1" ht="75" x14ac:dyDescent="0.25">
      <c r="A2" s="20" t="s">
        <v>46</v>
      </c>
      <c r="B2" s="21" t="s">
        <v>47</v>
      </c>
      <c r="C2" s="21" t="s">
        <v>47</v>
      </c>
      <c r="D2" s="4" t="s">
        <v>138</v>
      </c>
      <c r="E2" s="4" t="s">
        <v>120</v>
      </c>
      <c r="F2" s="4" t="s">
        <v>118</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309</v>
      </c>
      <c r="C16" t="s">
        <v>49</v>
      </c>
    </row>
    <row r="17" spans="1:12" x14ac:dyDescent="0.25">
      <c r="A17" t="s">
        <v>319</v>
      </c>
      <c r="C17" t="s">
        <v>49</v>
      </c>
    </row>
    <row r="18" spans="1:12" x14ac:dyDescent="0.25">
      <c r="A18" t="s">
        <v>50</v>
      </c>
      <c r="C18" t="s">
        <v>51</v>
      </c>
    </row>
    <row r="20" spans="1:12" x14ac:dyDescent="0.25">
      <c r="A20" s="58" t="s">
        <v>119</v>
      </c>
      <c r="B20" s="58" t="s">
        <v>139</v>
      </c>
      <c r="C20" s="58" t="s">
        <v>140</v>
      </c>
      <c r="D20" s="58" t="s">
        <v>141</v>
      </c>
      <c r="E20" s="58" t="s">
        <v>142</v>
      </c>
      <c r="F20" s="58" t="s">
        <v>143</v>
      </c>
      <c r="G20" s="58" t="s">
        <v>144</v>
      </c>
      <c r="H20" s="58" t="s">
        <v>145</v>
      </c>
      <c r="I20" s="58" t="s">
        <v>146</v>
      </c>
      <c r="J20" s="58" t="s">
        <v>306</v>
      </c>
      <c r="K20" s="58" t="s">
        <v>307</v>
      </c>
      <c r="L20" s="58" t="s">
        <v>308</v>
      </c>
    </row>
    <row r="21" spans="1:12" x14ac:dyDescent="0.25">
      <c r="A21" s="91" t="str" cm="1">
        <f t="array" aca="1" ref="A21:A23" ca="1">OFFSET(Lijsten!$AJ$1,1,1,IF(COUNTIF(Lijsten!$AJ$1:$AJ$100,"&lt;&gt;"&amp;"")&gt;1,COUNTIF(Lijsten!$AJ$1:$AJ$100,"&lt;&gt;"&amp;"")-1,COUNTIF(Lijsten!$AJ$1:$AJ$100,"&lt;&gt;"&amp;"")))</f>
        <v>Voorbereiding samenwerkingsproject</v>
      </c>
      <c r="B21" s="91" t="str" cm="1">
        <f t="array" aca="1" ref="B21:F21" ca="1">IFERROR(_xlfn._xlws.SORT(_xlfn._xlws.FILTER(OFFSET(Lijsten!$BN:$BX,MATCH(A21,Lijsten!AK:AK,0)-1,,1),OFFSET(Lijsten!$BN:$BX,MATCH(A21,Lijsten!AK:AK,0)-1,,1)&lt;&gt;""),1,,1),"")</f>
        <v>Arbeidskosten</v>
      </c>
      <c r="C21" s="91" t="str">
        <f ca="1"/>
        <v>Arbeidskosten op basis van IKS</v>
      </c>
      <c r="D21" s="91" t="str">
        <f ca="1"/>
        <v>Bijdrage in natura (overige)</v>
      </c>
      <c r="E21" s="91" t="str">
        <f ca="1"/>
        <v>Kosten derden exclusief btw</v>
      </c>
      <c r="F21" s="91" t="str">
        <f ca="1"/>
        <v>Niet verrekenbare btw</v>
      </c>
      <c r="G21" s="91"/>
      <c r="H21" s="91"/>
      <c r="I21" s="91"/>
      <c r="J21" s="91"/>
      <c r="K21" s="91"/>
      <c r="L21" s="91"/>
    </row>
    <row r="22" spans="1:12" x14ac:dyDescent="0.25">
      <c r="A22" s="91" t="str">
        <f ca="1"/>
        <v>Uitvoering samenwerkingsproject</v>
      </c>
      <c r="B22" s="91" t="str" cm="1">
        <f t="array" aca="1" ref="B22:F22" ca="1">IFERROR(_xlfn._xlws.SORT(_xlfn._xlws.FILTER(OFFSET(Lijsten!$BN:$BX,MATCH(A22,Lijsten!AK:AK,0)-1,,1),OFFSET(Lijsten!$BN:$BX,MATCH(A22,Lijsten!AK:AK,0)-1,,1)&lt;&gt;""),1,,1),"")</f>
        <v>Arbeidskosten</v>
      </c>
      <c r="C22" s="91" t="str">
        <f ca="1"/>
        <v>Arbeidskosten op basis van IKS</v>
      </c>
      <c r="D22" s="91" t="str">
        <f ca="1"/>
        <v>Bijdrage in natura (overige)</v>
      </c>
      <c r="E22" s="91" t="str">
        <f ca="1"/>
        <v>Kosten derden exclusief btw</v>
      </c>
      <c r="F22" s="91" t="str">
        <f ca="1"/>
        <v>Niet verrekenbare btw</v>
      </c>
      <c r="G22" s="91"/>
      <c r="H22" s="91"/>
      <c r="I22" s="91"/>
      <c r="J22" s="91"/>
      <c r="K22" s="91"/>
      <c r="L22" s="91"/>
    </row>
    <row r="23" spans="1:12" x14ac:dyDescent="0.25">
      <c r="A23" s="91" t="str">
        <f ca="1"/>
        <v>Investeringen</v>
      </c>
      <c r="B23" s="91" t="str" cm="1">
        <f t="array" aca="1" ref="B23:G23" ca="1">IFERROR(_xlfn._xlws.SORT(_xlfn._xlws.FILTER(OFFSET(Lijsten!$BN:$BX,MATCH(A23,Lijsten!AK:AK,0)-1,,1),OFFSET(Lijsten!$BN:$BX,MATCH(A23,Lijsten!AK:AK,0)-1,,1)&lt;&gt;""),1,,1),"")</f>
        <v>Afschrijvingskosten</v>
      </c>
      <c r="C23" s="91" t="str">
        <f ca="1"/>
        <v>Arbeidskosten</v>
      </c>
      <c r="D23" s="91" t="str">
        <f ca="1"/>
        <v>Arbeidskosten op basis van IKS</v>
      </c>
      <c r="E23" s="91" t="str">
        <f ca="1"/>
        <v>Bijdrage in natura (overige)</v>
      </c>
      <c r="F23" s="91" t="str">
        <f ca="1"/>
        <v>Kosten derden exclusief btw</v>
      </c>
      <c r="G23" s="91" t="str">
        <f ca="1"/>
        <v>Niet verrekenbare btw</v>
      </c>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194</v>
      </c>
      <c r="B34" s="58" t="s">
        <v>139</v>
      </c>
      <c r="C34" s="58" t="s">
        <v>140</v>
      </c>
      <c r="D34" s="58" t="s">
        <v>141</v>
      </c>
      <c r="E34" s="58" t="s">
        <v>142</v>
      </c>
      <c r="F34" s="58" t="s">
        <v>143</v>
      </c>
      <c r="G34" s="58" t="s">
        <v>144</v>
      </c>
      <c r="H34" s="58" t="s">
        <v>145</v>
      </c>
      <c r="I34" s="58" t="s">
        <v>146</v>
      </c>
      <c r="J34" s="58" t="s">
        <v>306</v>
      </c>
      <c r="K34" s="58" t="s">
        <v>307</v>
      </c>
      <c r="L34" s="58" t="s">
        <v>308</v>
      </c>
    </row>
    <row r="35" spans="1:12" x14ac:dyDescent="0.25">
      <c r="A35" s="91" t="str" cm="1">
        <f t="array" aca="1" ref="A35:A37" ca="1">OFFSET(Lijsten!$AJ$1,1,1,IF(COUNTIF(Lijsten!$AJ$1:$AJ$100,"&lt;&gt;"&amp;"")&gt;1,COUNTIF(Lijsten!$AJ$1:$AJ$100,"&lt;&gt;"&amp;"")-1,COUNTIF(Lijsten!$AJ$1:$AJ$100,"&lt;&gt;"&amp;"")))</f>
        <v>Voorbereiding samenwerkingsproject</v>
      </c>
      <c r="B35" s="91" t="str" cm="1">
        <f t="array" aca="1" ref="B35:G35" ca="1">TRANSPOSE(_xlfn.UNIQUE(TRANSPOSE(B49:L49)))</f>
        <v>Arbeidskosten</v>
      </c>
      <c r="C35" s="91" t="str">
        <f ca="1"/>
        <v>Arbeidskosten op basis van IKS</v>
      </c>
      <c r="D35" s="91" t="str">
        <f ca="1"/>
        <v>Bijdrage in natura (overige)</v>
      </c>
      <c r="E35" s="91" t="str">
        <f ca="1"/>
        <v>Kosten derden exclusief btw</v>
      </c>
      <c r="F35" s="91" t="str">
        <f ca="1"/>
        <v>Niet verrekenbare btw</v>
      </c>
      <c r="G35" s="91" t="str">
        <f ca="1"/>
        <v/>
      </c>
      <c r="H35" s="91"/>
      <c r="I35" s="91"/>
      <c r="J35" s="91"/>
      <c r="K35" s="91"/>
      <c r="L35" s="91"/>
    </row>
    <row r="36" spans="1:12" x14ac:dyDescent="0.25">
      <c r="A36" s="91" t="str">
        <f ca="1"/>
        <v>Uitvoering samenwerkingsproject</v>
      </c>
      <c r="B36" s="91" t="str" cm="1">
        <f t="array" aca="1" ref="B36:G36" ca="1">TRANSPOSE(_xlfn.UNIQUE(TRANSPOSE(B50:L50)))</f>
        <v>Arbeidskosten</v>
      </c>
      <c r="C36" s="91" t="str">
        <f ca="1"/>
        <v>Arbeidskosten op basis van IKS</v>
      </c>
      <c r="D36" s="91" t="str">
        <f ca="1"/>
        <v>Bijdrage in natura (overige)</v>
      </c>
      <c r="E36" s="91" t="str">
        <f ca="1"/>
        <v>Kosten derden exclusief btw</v>
      </c>
      <c r="F36" s="91" t="str">
        <f ca="1"/>
        <v>Niet verrekenbare btw</v>
      </c>
      <c r="G36" s="91" t="str">
        <f ca="1"/>
        <v/>
      </c>
      <c r="H36" s="91"/>
      <c r="I36" s="91"/>
      <c r="J36" s="91"/>
      <c r="K36" s="91"/>
      <c r="L36" s="91"/>
    </row>
    <row r="37" spans="1:12" x14ac:dyDescent="0.25">
      <c r="A37" s="91" t="str">
        <f ca="1"/>
        <v>Investeringen</v>
      </c>
      <c r="B37" s="91" t="str" cm="1">
        <f t="array" aca="1" ref="B37:H37" ca="1">TRANSPOSE(_xlfn.UNIQUE(TRANSPOSE(B51:L51)))</f>
        <v>Afschrijvingskosten</v>
      </c>
      <c r="C37" s="91" t="str">
        <f ca="1"/>
        <v>Arbeidskosten</v>
      </c>
      <c r="D37" s="91" t="str">
        <f ca="1"/>
        <v>Arbeidskosten op basis van IKS</v>
      </c>
      <c r="E37" s="91" t="str">
        <f ca="1"/>
        <v>Bijdrage in natura (overige)</v>
      </c>
      <c r="F37" s="91" t="str">
        <f ca="1"/>
        <v>Kosten derden exclusief btw</v>
      </c>
      <c r="G37" s="91" t="str">
        <f ca="1"/>
        <v>Niet verrekenbare btw</v>
      </c>
      <c r="H37" s="91" t="str">
        <f ca="1"/>
        <v/>
      </c>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195</v>
      </c>
      <c r="B48" s="58" t="s">
        <v>139</v>
      </c>
      <c r="C48" s="58" t="s">
        <v>140</v>
      </c>
      <c r="D48" s="58" t="s">
        <v>141</v>
      </c>
      <c r="E48" s="58" t="s">
        <v>142</v>
      </c>
      <c r="F48" s="58" t="s">
        <v>143</v>
      </c>
      <c r="G48" s="58" t="s">
        <v>144</v>
      </c>
      <c r="H48" s="58" t="s">
        <v>145</v>
      </c>
      <c r="I48" s="58" t="s">
        <v>146</v>
      </c>
      <c r="J48" s="58" t="s">
        <v>306</v>
      </c>
      <c r="K48" s="58" t="s">
        <v>307</v>
      </c>
      <c r="L48" s="58" t="s">
        <v>308</v>
      </c>
    </row>
    <row r="49" spans="1:12" x14ac:dyDescent="0.25">
      <c r="A49" s="91" t="str" cm="1">
        <f t="array" aca="1" ref="A49:A51" ca="1">OFFSET(Lijsten!$AJ$1,1,1,IF(COUNTIF(Lijsten!$AJ$1:$AJ$100,"&lt;&gt;"&amp;"")&gt;1,COUNTIF(Lijsten!$AJ$1:$AJ$100,"&lt;&gt;"&amp;"")-1,COUNTIF(Lijsten!$AJ$1:$AJ$100,"&lt;&gt;"&amp;"")))</f>
        <v>Voorbereiding samenwerkingsproject</v>
      </c>
      <c r="B49" s="91" t="str">
        <f ca="1">IF(AND(B21&lt;&gt;"",B21&lt;&gt;0),VLOOKUP(B21,Tb_ProjectKosten[],4,0),"")</f>
        <v>Arbeidskosten</v>
      </c>
      <c r="C49" s="91" t="str">
        <f ca="1">IF(AND(C21&lt;&gt;"",C21&lt;&gt;0),VLOOKUP(C21,Tb_ProjectKosten[],4,0),"")</f>
        <v>Arbeidskosten op basis van IKS</v>
      </c>
      <c r="D49" s="91" t="str">
        <f ca="1">IF(AND(D21&lt;&gt;"",D21&lt;&gt;0),VLOOKUP(D21,Tb_ProjectKosten[],4,0),"")</f>
        <v>Bijdrage in natura (overige)</v>
      </c>
      <c r="E49" s="91" t="str">
        <f ca="1">IF(AND(E21&lt;&gt;"",E21&lt;&gt;0),VLOOKUP(E21,Tb_ProjectKosten[],4,0),"")</f>
        <v>Kosten derden exclusief btw</v>
      </c>
      <c r="F49" s="91" t="str">
        <f ca="1">IF(AND(F21&lt;&gt;"",F21&lt;&gt;0),VLOOKUP(F21,Tb_ProjectKosten[],4,0),"")</f>
        <v>Niet verrekenbare btw</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t="str">
        <f ca="1"/>
        <v>Uitvoering samenwerkingsproject</v>
      </c>
      <c r="B50" s="91" t="str">
        <f ca="1">IF(AND(B22&lt;&gt;"",B22&lt;&gt;0),VLOOKUP(B22,Tb_ProjectKosten[],4,0),"")</f>
        <v>Arbeidskosten</v>
      </c>
      <c r="C50" s="91" t="str">
        <f ca="1">IF(AND(C22&lt;&gt;"",C22&lt;&gt;0),VLOOKUP(C22,Tb_ProjectKosten[],4,0),"")</f>
        <v>Arbeidskosten op basis van IKS</v>
      </c>
      <c r="D50" s="91" t="str">
        <f ca="1">IF(AND(D22&lt;&gt;"",D22&lt;&gt;0),VLOOKUP(D22,Tb_ProjectKosten[],4,0),"")</f>
        <v>Bijdrage in natura (overige)</v>
      </c>
      <c r="E50" s="91" t="str">
        <f ca="1">IF(AND(E22&lt;&gt;"",E22&lt;&gt;0),VLOOKUP(E22,Tb_ProjectKosten[],4,0),"")</f>
        <v>Kosten derden exclusief btw</v>
      </c>
      <c r="F50" s="91" t="str">
        <f ca="1">IF(AND(F22&lt;&gt;"",F22&lt;&gt;0),VLOOKUP(F22,Tb_ProjectKosten[],4,0),"")</f>
        <v>Niet verrekenbare btw</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t="str">
        <f ca="1"/>
        <v>Investeringen</v>
      </c>
      <c r="B51" s="91" t="str">
        <f ca="1">IF(AND(B23&lt;&gt;"",B23&lt;&gt;0),VLOOKUP(B23,Tb_ProjectKosten[],4,0),"")</f>
        <v>Afschrijvingskosten</v>
      </c>
      <c r="C51" s="91" t="str">
        <f ca="1">IF(AND(C23&lt;&gt;"",C23&lt;&gt;0),VLOOKUP(C23,Tb_ProjectKosten[],4,0),"")</f>
        <v>Arbeidskosten</v>
      </c>
      <c r="D51" s="91" t="str">
        <f ca="1">IF(AND(D23&lt;&gt;"",D23&lt;&gt;0),VLOOKUP(D23,Tb_ProjectKosten[],4,0),"")</f>
        <v>Arbeidskosten op basis van IKS</v>
      </c>
      <c r="E51" s="91" t="str">
        <f ca="1">IF(AND(E23&lt;&gt;"",E23&lt;&gt;0),VLOOKUP(E23,Tb_ProjectKosten[],4,0),"")</f>
        <v>Bijdrage in natura (overige)</v>
      </c>
      <c r="F51" s="91" t="str">
        <f ca="1">IF(AND(F23&lt;&gt;"",F23&lt;&gt;0),VLOOKUP(F23,Tb_ProjectKosten[],4,0),"")</f>
        <v>Kosten derden exclusief btw</v>
      </c>
      <c r="G51" s="91" t="str">
        <f ca="1">IF(AND(G23&lt;&gt;"",G23&lt;&gt;0),VLOOKUP(G23,Tb_ProjectKosten[],4,0),"")</f>
        <v>Niet verrekenbare btw</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119</v>
      </c>
      <c r="B62" s="58" t="s">
        <v>200</v>
      </c>
      <c r="C62" s="58" t="s">
        <v>201</v>
      </c>
      <c r="D62" s="58" t="s">
        <v>202</v>
      </c>
      <c r="E62" s="58" t="s">
        <v>203</v>
      </c>
      <c r="F62" s="58" t="s">
        <v>204</v>
      </c>
      <c r="G62" s="58" t="s">
        <v>245</v>
      </c>
    </row>
    <row r="63" spans="1:12" x14ac:dyDescent="0.25">
      <c r="A63" s="91" t="str" cm="1">
        <f t="array" aca="1" ref="A63:A65" ca="1">OFFSET(Lijsten!$AJ$1,1,1,IF(COUNTIF(Lijsten!$AJ$1:$AJ$100,"&lt;&gt;"&amp;"")&gt;1,COUNTIF(Lijsten!$AJ$1:$AJ$100,"&lt;&gt;"&amp;"")-1,COUNTIF(Lijsten!$AJ$1:$AJ$100,"&lt;&gt;"&amp;"")))</f>
        <v>Voorbereiding samenwerkingsproject</v>
      </c>
      <c r="B63" s="91" t="str" cm="1">
        <f t="array" aca="1" ref="B63:C63" ca="1">IFERROR(_xlfn._xlws.FILTER(OFFSET(Lijsten!$BH:$BI,MATCH(A63,Lijsten!AK:AK,0)-1,,1),OFFSET(Lijsten!$BH:$BI,MATCH(A63,Lijsten!AK:AK,0)-1,,1)&lt;&gt;""),"")</f>
        <v>Loonkosten</v>
      </c>
      <c r="C63" s="91" t="str">
        <f ca="1"/>
        <v>Eigen arbeid</v>
      </c>
      <c r="D63" s="91"/>
      <c r="E63" s="91"/>
      <c r="F63" s="91"/>
      <c r="G63" s="91"/>
    </row>
    <row r="64" spans="1:12" x14ac:dyDescent="0.25">
      <c r="A64" s="91" t="str">
        <f ca="1"/>
        <v>Uitvoering samenwerkingsproject</v>
      </c>
      <c r="B64" s="91" t="str" cm="1">
        <f t="array" aca="1" ref="B64:C64" ca="1">IFERROR(_xlfn._xlws.FILTER(OFFSET(Lijsten!$BH:$BI,MATCH(A64,Lijsten!AK:AK,0)-1,,1),OFFSET(Lijsten!$BH:$BI,MATCH(A64,Lijsten!AK:AK,0)-1,,1)&lt;&gt;""),"")</f>
        <v>Loonkosten</v>
      </c>
      <c r="C64" s="91" t="str">
        <f ca="1"/>
        <v>Eigen arbeid</v>
      </c>
      <c r="D64" s="91"/>
      <c r="E64" s="91"/>
      <c r="F64" s="91"/>
      <c r="G64" s="91"/>
    </row>
    <row r="65" spans="1:7" x14ac:dyDescent="0.25">
      <c r="A65" s="91" t="str">
        <f ca="1"/>
        <v>Investeringen</v>
      </c>
      <c r="B65" s="91" t="str" cm="1">
        <f t="array" aca="1" ref="B65:C65" ca="1">IFERROR(_xlfn._xlws.FILTER(OFFSET(Lijsten!$BH:$BI,MATCH(A65,Lijsten!AK:AK,0)-1,,1),OFFSET(Lijsten!$BH:$BI,MATCH(A65,Lijsten!AK:AK,0)-1,,1)&lt;&gt;""),"")</f>
        <v>Loonkosten</v>
      </c>
      <c r="C65" s="91" t="str">
        <f ca="1"/>
        <v>Eigen arbeid</v>
      </c>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194</v>
      </c>
      <c r="B76" s="58" t="s">
        <v>200</v>
      </c>
      <c r="C76" s="58" t="s">
        <v>201</v>
      </c>
      <c r="D76" s="58" t="s">
        <v>202</v>
      </c>
      <c r="E76" s="58" t="s">
        <v>203</v>
      </c>
      <c r="F76" s="58" t="s">
        <v>204</v>
      </c>
      <c r="G76" s="58" t="s">
        <v>245</v>
      </c>
    </row>
    <row r="77" spans="1:7" x14ac:dyDescent="0.25">
      <c r="A77" s="91" t="str" cm="1">
        <f t="array" aca="1" ref="A77:A79" ca="1">OFFSET(Lijsten!$AJ$1,1,1,IF(COUNTIF(Lijsten!$AJ$1:$AJ$100,"&lt;&gt;"&amp;"")&gt;1,COUNTIF(Lijsten!$AJ$1:$AJ$100,"&lt;&gt;"&amp;"")-1,COUNTIF(Lijsten!$AJ$1:$AJ$100,"&lt;&gt;"&amp;"")))</f>
        <v>Voorbereiding samenwerkingsproject</v>
      </c>
      <c r="B77" s="91" t="str" cm="1">
        <f t="array" aca="1" ref="B77:D77" ca="1">TRANSPOSE(_xlfn.UNIQUE(TRANSPOSE(B91:G91)))</f>
        <v>Loonkosten</v>
      </c>
      <c r="C77" s="91" t="str">
        <f ca="1"/>
        <v>Eigen arbeid</v>
      </c>
      <c r="D77" s="91" t="str">
        <f ca="1"/>
        <v/>
      </c>
      <c r="E77" s="91"/>
      <c r="F77" s="91"/>
      <c r="G77" s="91"/>
    </row>
    <row r="78" spans="1:7" x14ac:dyDescent="0.25">
      <c r="A78" s="91" t="str">
        <f ca="1"/>
        <v>Uitvoering samenwerkingsproject</v>
      </c>
      <c r="B78" s="91" t="str" cm="1">
        <f t="array" aca="1" ref="B78:D78" ca="1">TRANSPOSE(_xlfn.UNIQUE(TRANSPOSE(B92:G92)))</f>
        <v>Loonkosten</v>
      </c>
      <c r="C78" s="91" t="str">
        <f ca="1"/>
        <v>Eigen arbeid</v>
      </c>
      <c r="D78" s="91" t="str">
        <f ca="1"/>
        <v/>
      </c>
      <c r="E78" s="91"/>
      <c r="F78" s="91"/>
      <c r="G78" s="91"/>
    </row>
    <row r="79" spans="1:7" x14ac:dyDescent="0.25">
      <c r="A79" s="91" t="str">
        <f ca="1"/>
        <v>Investeringen</v>
      </c>
      <c r="B79" s="91" t="str" cm="1">
        <f t="array" aca="1" ref="B79:D79" ca="1">TRANSPOSE(_xlfn.UNIQUE(TRANSPOSE(B93:G93)))</f>
        <v>Loonkosten</v>
      </c>
      <c r="C79" s="91" t="str">
        <f ca="1"/>
        <v>Eigen arbeid</v>
      </c>
      <c r="D79" s="91" t="str">
        <f ca="1"/>
        <v/>
      </c>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195</v>
      </c>
      <c r="B90" s="58" t="s">
        <v>200</v>
      </c>
      <c r="C90" s="58" t="s">
        <v>201</v>
      </c>
      <c r="D90" s="58" t="s">
        <v>202</v>
      </c>
      <c r="E90" s="58" t="s">
        <v>203</v>
      </c>
      <c r="F90" s="58" t="s">
        <v>204</v>
      </c>
      <c r="G90" s="58" t="s">
        <v>245</v>
      </c>
    </row>
    <row r="91" spans="1:7" x14ac:dyDescent="0.25">
      <c r="A91" s="91" t="str" cm="1">
        <f t="array" aca="1" ref="A91:A93" ca="1">OFFSET(Lijsten!$AJ$1,1,1,IF(COUNTIF(Lijsten!$AJ$1:$AJ$100,"&lt;&gt;"&amp;"")&gt;1,COUNTIF(Lijsten!$AJ$1:$AJ$100,"&lt;&gt;"&amp;"")-1,COUNTIF(Lijsten!$AJ$1:$AJ$100,"&lt;&gt;"&amp;"")))</f>
        <v>Voorbereiding samenwerkingsproject</v>
      </c>
      <c r="B91" s="91" t="str">
        <f ca="1">IF(AND(B63&lt;&gt;"",B63&lt;&gt;0),VLOOKUP(B63,Tb_KostenTypen[#All],1,0),"")</f>
        <v>Loonkosten</v>
      </c>
      <c r="C91" s="91" t="str">
        <f ca="1">IF(AND(C63&lt;&gt;"",C63&lt;&gt;0),VLOOKUP(C63,Tb_KostenTypen[#All],1,0),"")</f>
        <v>Eigen arbeid</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t="str">
        <f ca="1"/>
        <v>Uitvoering samenwerkingsproject</v>
      </c>
      <c r="B92" s="91" t="str">
        <f ca="1">IF(AND(B64&lt;&gt;"",B64&lt;&gt;0),VLOOKUP(B64,Tb_KostenTypen[#All],1,0),"")</f>
        <v>Loonkosten</v>
      </c>
      <c r="C92" s="91" t="str">
        <f ca="1">IF(AND(C64&lt;&gt;"",C64&lt;&gt;0),VLOOKUP(C64,Tb_KostenTypen[#All],1,0),"")</f>
        <v>Eigen arbeid</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t="str">
        <f ca="1"/>
        <v>Investeringen</v>
      </c>
      <c r="B93" s="91" t="str">
        <f ca="1">IF(AND(B65&lt;&gt;"",B65&lt;&gt;0),VLOOKUP(B65,Tb_KostenTypen[#All],1,0),"")</f>
        <v>Loonkosten</v>
      </c>
      <c r="C93" s="91" t="str">
        <f ca="1">IF(AND(C65&lt;&gt;"",C65&lt;&gt;0),VLOOKUP(C65,Tb_KostenTypen[#All],1,0),"")</f>
        <v>Eigen arbeid</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119</v>
      </c>
      <c r="B104" s="58" t="s">
        <v>314</v>
      </c>
      <c r="C104" s="58" t="s">
        <v>315</v>
      </c>
      <c r="D104" s="58" t="s">
        <v>316</v>
      </c>
      <c r="E104" s="58" t="s">
        <v>317</v>
      </c>
      <c r="F104" s="58" t="s">
        <v>204</v>
      </c>
      <c r="G104" s="58" t="s">
        <v>245</v>
      </c>
    </row>
    <row r="105" spans="1:7" x14ac:dyDescent="0.25">
      <c r="A105" s="91" t="str" cm="1">
        <f t="array" aca="1" ref="A105:A107" ca="1">OFFSET(Lijsten!$AJ$1,1,1,IF(COUNTIF(Lijsten!$AJ$1:$AJ$100,"&lt;&gt;"&amp;"")&gt;1,COUNTIF(Lijsten!$AJ$1:$AJ$100,"&lt;&gt;"&amp;"")-1,COUNTIF(Lijsten!$AJ$1:$AJ$100,"&lt;&gt;"&amp;"")))</f>
        <v>Voorbereiding samenwerkingsproject</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t="str">
        <f ca="1"/>
        <v>Uitvoering samenwerkingsproject</v>
      </c>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t="str">
        <f ca="1"/>
        <v>Investeringen</v>
      </c>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194</v>
      </c>
      <c r="B118" s="58" t="s">
        <v>314</v>
      </c>
      <c r="C118" s="58" t="s">
        <v>315</v>
      </c>
      <c r="D118" s="58" t="s">
        <v>316</v>
      </c>
      <c r="E118" s="58" t="s">
        <v>317</v>
      </c>
      <c r="F118" s="58" t="s">
        <v>204</v>
      </c>
      <c r="G118" s="58" t="s">
        <v>245</v>
      </c>
    </row>
    <row r="119" spans="1:7" x14ac:dyDescent="0.25">
      <c r="A119" s="91" t="str" cm="1">
        <f t="array" aca="1" ref="A119:A121" ca="1">OFFSET(Lijsten!$AJ$1,1,1,IF(COUNTIF(Lijsten!$AJ$1:$AJ$100,"&lt;&gt;"&amp;"")&gt;1,COUNTIF(Lijsten!$AJ$1:$AJ$100,"&lt;&gt;"&amp;"")-1,COUNTIF(Lijsten!$AJ$1:$AJ$100,"&lt;&gt;"&amp;"")))</f>
        <v>Voorbereiding samenwerkingsproject</v>
      </c>
      <c r="B119" s="91" t="str" cm="1">
        <f t="array" aca="1" ref="B119" ca="1">TRANSPOSE(_xlfn.UNIQUE(TRANSPOSE(B133:G133)))</f>
        <v/>
      </c>
      <c r="C119" s="91"/>
      <c r="D119" s="91"/>
      <c r="E119" s="91"/>
      <c r="F119" s="91"/>
      <c r="G119" s="91"/>
    </row>
    <row r="120" spans="1:7" x14ac:dyDescent="0.25">
      <c r="A120" s="91" t="str">
        <f ca="1"/>
        <v>Uitvoering samenwerkingsproject</v>
      </c>
      <c r="B120" s="91" t="str" cm="1">
        <f t="array" aca="1" ref="B120" ca="1">TRANSPOSE(_xlfn.UNIQUE(TRANSPOSE(B134:G134)))</f>
        <v/>
      </c>
      <c r="C120" s="91"/>
      <c r="D120" s="91"/>
      <c r="E120" s="91"/>
      <c r="F120" s="91"/>
      <c r="G120" s="91"/>
    </row>
    <row r="121" spans="1:7" x14ac:dyDescent="0.25">
      <c r="A121" s="91" t="str">
        <f ca="1"/>
        <v>Investeringen</v>
      </c>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195</v>
      </c>
      <c r="B132" s="58" t="s">
        <v>314</v>
      </c>
      <c r="C132" s="58" t="s">
        <v>315</v>
      </c>
      <c r="D132" s="58" t="s">
        <v>316</v>
      </c>
      <c r="E132" s="58" t="s">
        <v>317</v>
      </c>
      <c r="F132" s="58" t="s">
        <v>204</v>
      </c>
      <c r="G132" s="58" t="s">
        <v>245</v>
      </c>
    </row>
    <row r="133" spans="1:7" x14ac:dyDescent="0.25">
      <c r="A133" s="91" t="str" cm="1">
        <f t="array" aca="1" ref="A133:A135" ca="1">OFFSET(Lijsten!$AJ$1,1,1,IF(COUNTIF(Lijsten!$AJ$1:$AJ$100,"&lt;&gt;"&amp;"")&gt;1,COUNTIF(Lijsten!$AJ$1:$AJ$100,"&lt;&gt;"&amp;"")-1,COUNTIF(Lijsten!$AJ$1:$AJ$100,"&lt;&gt;"&amp;"")))</f>
        <v>Voorbereiding samenwerkingsproject</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t="str">
        <f ca="1"/>
        <v>Uitvoering samenwerkingsproject</v>
      </c>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t="str">
        <f ca="1"/>
        <v>Investeringen</v>
      </c>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35" x14ac:dyDescent="0.25">
      <c r="A146" s="267" t="s">
        <v>119</v>
      </c>
      <c r="B146" s="267" t="s">
        <v>322</v>
      </c>
      <c r="C146" s="267" t="s">
        <v>323</v>
      </c>
      <c r="D146" s="267" t="s">
        <v>324</v>
      </c>
      <c r="E146" s="267" t="s">
        <v>325</v>
      </c>
      <c r="F146" s="267" t="s">
        <v>326</v>
      </c>
      <c r="G146" s="267" t="s">
        <v>327</v>
      </c>
      <c r="H146" s="267" t="s">
        <v>328</v>
      </c>
      <c r="I146" s="267" t="s">
        <v>329</v>
      </c>
      <c r="J146" s="267" t="s">
        <v>330</v>
      </c>
      <c r="K146" s="267" t="s">
        <v>331</v>
      </c>
      <c r="L146" s="267" t="s">
        <v>332</v>
      </c>
      <c r="M146" s="267" t="s">
        <v>363</v>
      </c>
      <c r="N146" s="267" t="s">
        <v>364</v>
      </c>
      <c r="O146" s="267" t="s">
        <v>365</v>
      </c>
      <c r="P146" s="267" t="s">
        <v>499</v>
      </c>
      <c r="Q146" s="267" t="s">
        <v>500</v>
      </c>
      <c r="R146" s="267" t="s">
        <v>501</v>
      </c>
      <c r="S146" s="267" t="s">
        <v>502</v>
      </c>
      <c r="T146" s="267" t="s">
        <v>503</v>
      </c>
      <c r="U146" s="267" t="s">
        <v>504</v>
      </c>
      <c r="V146" s="267" t="s">
        <v>505</v>
      </c>
      <c r="W146" s="267" t="s">
        <v>506</v>
      </c>
      <c r="X146" s="267" t="s">
        <v>507</v>
      </c>
      <c r="Y146" s="267" t="s">
        <v>508</v>
      </c>
      <c r="Z146" s="267" t="s">
        <v>509</v>
      </c>
      <c r="AA146" s="267" t="s">
        <v>510</v>
      </c>
      <c r="AB146" s="267" t="s">
        <v>511</v>
      </c>
      <c r="AC146" s="267" t="s">
        <v>512</v>
      </c>
      <c r="AD146" s="267" t="s">
        <v>513</v>
      </c>
      <c r="AE146" s="267" t="s">
        <v>514</v>
      </c>
      <c r="AF146" s="267" t="s">
        <v>515</v>
      </c>
      <c r="AG146" s="267" t="s">
        <v>516</v>
      </c>
      <c r="AH146" s="267" t="s">
        <v>517</v>
      </c>
      <c r="AI146" s="267" t="s">
        <v>518</v>
      </c>
    </row>
    <row r="147" spans="1:35" x14ac:dyDescent="0.25">
      <c r="A147" s="91" t="str" cm="1">
        <f t="array" aca="1" ref="A147:A149" ca="1">OFFSET(Spec_Lijsten!$A$1,1,1,IF(COUNTIF(Spec_Lijsten!$A:$A,"&lt;&gt;"&amp;"")&gt;1,COUNTIF(Spec_Lijsten!$A:$A,"&lt;&gt;"&amp;"")-1,COUNTIF(Spec_Lijsten!A:A,"&lt;&gt;"&amp;"")))</f>
        <v>Voorbereiding samenwerkingsproject</v>
      </c>
      <c r="B147" s="91" t="str" cm="1">
        <f t="array" aca="1" ref="B147" ca="1">IFERROR(_xlfn._xlws.SORT(_xlfn._xlws.FILTER(OFFSET(Spec_Lijsten!$AK1:$BR20,MATCH(A147,Spec_Lijsten!$B1:$B20,0)-1,,1),OFFSET(Spec_Lijsten!$AK1:$BR20,MATCH(A147,Spec_Lijsten!$B1:$B20,0)-1,,1)&lt;&gt;""),1,,1),"")</f>
        <v/>
      </c>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x14ac:dyDescent="0.25">
      <c r="A148" s="91" t="str">
        <f ca="1"/>
        <v>Uitvoering samenwerkingsproject</v>
      </c>
      <c r="B148" s="91" t="str" cm="1">
        <f t="array" aca="1" ref="B148" ca="1">IFERROR(_xlfn._xlws.SORT(_xlfn._xlws.FILTER(OFFSET(Spec_Lijsten!$AK2:$BR21,MATCH(A148,Spec_Lijsten!$B2:$B21,0)-1,,1),OFFSET(Spec_Lijsten!$AK2:$BR21,MATCH(A148,Spec_Lijsten!$B2:$B21,0)-1,,1)&lt;&gt;""),1,,1),"")</f>
        <v/>
      </c>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91" t="str">
        <f ca="1"/>
        <v>Investeringen</v>
      </c>
      <c r="B149" s="91" t="str" cm="1">
        <f t="array" aca="1" ref="B149" ca="1">IFERROR(_xlfn._xlws.SORT(_xlfn._xlws.FILTER(OFFSET(Spec_Lijsten!$AK3:$BR22,MATCH(A149,Spec_Lijsten!$B3:$B22,0)-1,,1),OFFSET(Spec_Lijsten!$AK3:$BR22,MATCH(A149,Spec_Lijsten!$B3:$B22,0)-1,,1)&lt;&gt;""),1,,1),"")</f>
        <v/>
      </c>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x14ac:dyDescent="0.25">
      <c r="A150" s="91"/>
      <c r="B150" s="91" t="str" cm="1">
        <f t="array" aca="1" ref="B150" ca="1">IFERROR(_xlfn._xlws.SORT(_xlfn._xlws.FILTER(OFFSET(Spec_Lijsten!$AK4:$BR23,MATCH(A150,Spec_Lijsten!$B4:$B23,0)-1,,1),OFFSET(Spec_Lijsten!$AK4:$BR23,MATCH(A150,Spec_Lijsten!$B4:$B23,0)-1,,1)&lt;&gt;""),1,,1),"")</f>
        <v/>
      </c>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x14ac:dyDescent="0.25">
      <c r="A151" s="91"/>
      <c r="B151" s="91" t="str" cm="1">
        <f t="array" aca="1" ref="B151" ca="1">IFERROR(_xlfn._xlws.SORT(_xlfn._xlws.FILTER(OFFSET(Spec_Lijsten!$AK5:$BR24,MATCH(A151,Spec_Lijsten!$B5:$B24,0)-1,,1),OFFSET(Spec_Lijsten!$AK5:$BR24,MATCH(A151,Spec_Lijsten!$B5:$B24,0)-1,,1)&lt;&gt;""),1,,1),"")</f>
        <v/>
      </c>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x14ac:dyDescent="0.25">
      <c r="A152" s="91"/>
      <c r="B152" s="91" t="str" cm="1">
        <f t="array" aca="1" ref="B152" ca="1">IFERROR(_xlfn._xlws.SORT(_xlfn._xlws.FILTER(OFFSET(Spec_Lijsten!$AK6:$BR25,MATCH(A152,Spec_Lijsten!$B6:$B25,0)-1,,1),OFFSET(Spec_Lijsten!$AK6:$BR25,MATCH(A152,Spec_Lijsten!$B6:$B25,0)-1,,1)&lt;&gt;""),1,,1),"")</f>
        <v/>
      </c>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91"/>
      <c r="B153" s="91" t="str" cm="1">
        <f t="array" aca="1" ref="B153" ca="1">IFERROR(_xlfn._xlws.SORT(_xlfn._xlws.FILTER(OFFSET(Spec_Lijsten!$AK7:$BR26,MATCH(A153,Spec_Lijsten!$B7:$B26,0)-1,,1),OFFSET(Spec_Lijsten!$AK7:$BR26,MATCH(A153,Spec_Lijsten!$B7:$B26,0)-1,,1)&lt;&gt;""),1,,1),"")</f>
        <v/>
      </c>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x14ac:dyDescent="0.25">
      <c r="A154" s="91"/>
      <c r="B154" s="91" t="str" cm="1">
        <f t="array" aca="1" ref="B154" ca="1">IFERROR(_xlfn._xlws.SORT(_xlfn._xlws.FILTER(OFFSET(Spec_Lijsten!$AK8:$BR27,MATCH(A154,Spec_Lijsten!$B8:$B27,0)-1,,1),OFFSET(Spec_Lijsten!$AK8:$BR27,MATCH(A154,Spec_Lijsten!$B8:$B27,0)-1,,1)&lt;&gt;""),1,,1),"")</f>
        <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x14ac:dyDescent="0.25">
      <c r="A155" s="91"/>
      <c r="B155" s="91" t="str" cm="1">
        <f t="array" aca="1" ref="B155" ca="1">IFERROR(_xlfn._xlws.SORT(_xlfn._xlws.FILTER(OFFSET(Spec_Lijsten!$AK9:$BR28,MATCH(A155,Spec_Lijsten!$B9:$B28,0)-1,,1),OFFSET(Spec_Lijsten!$AK9:$BR28,MATCH(A155,Spec_Lijsten!$B9:$B28,0)-1,,1)&lt;&gt;""),1,,1),"")</f>
        <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x14ac:dyDescent="0.25">
      <c r="A156" s="91"/>
      <c r="B156" s="91" t="str" cm="1">
        <f t="array" aca="1" ref="B156" ca="1">IFERROR(_xlfn._xlws.SORT(_xlfn._xlws.FILTER(OFFSET(Spec_Lijsten!$AK10:$BR29,MATCH(A156,Spec_Lijsten!$B10:$B29,0)-1,,1),OFFSET(Spec_Lijsten!$AK10:$BR29,MATCH(A156,Spec_Lijsten!$B10:$B29,0)-1,,1)&lt;&gt;""),1,,1),"")</f>
        <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91"/>
      <c r="B157" s="91" t="str" cm="1">
        <f t="array" aca="1" ref="B157" ca="1">IFERROR(_xlfn._xlws.SORT(_xlfn._xlws.FILTER(OFFSET(Spec_Lijsten!$AK11:$BR30,MATCH(A157,Spec_Lijsten!$B11:$B30,0)-1,,1),OFFSET(Spec_Lijsten!$AK11:$BR30,MATCH(A157,Spec_Lijsten!$B11:$B30,0)-1,,1)&lt;&gt;""),1,,1),"")</f>
        <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x14ac:dyDescent="0.25">
      <c r="A158" s="91"/>
      <c r="B158" s="91" t="str" cm="1">
        <f t="array" aca="1" ref="B158" ca="1">IFERROR(_xlfn._xlws.SORT(_xlfn._xlws.FILTER(OFFSET(Spec_Lijsten!$AK12:$BR31,MATCH(A158,Spec_Lijsten!$B12:$B31,0)-1,,1),OFFSET(Spec_Lijsten!$AK12:$BR31,MATCH(A158,Spec_Lijsten!$B12:$B31,0)-1,,1)&lt;&gt;""),1,,1),"")</f>
        <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60" spans="1:35" x14ac:dyDescent="0.25">
      <c r="A160" s="267" t="s">
        <v>194</v>
      </c>
      <c r="B160" s="267" t="s">
        <v>322</v>
      </c>
      <c r="C160" s="267" t="s">
        <v>323</v>
      </c>
      <c r="D160" s="267" t="s">
        <v>324</v>
      </c>
      <c r="E160" s="267" t="s">
        <v>325</v>
      </c>
      <c r="F160" s="267" t="s">
        <v>326</v>
      </c>
      <c r="G160" s="267" t="s">
        <v>327</v>
      </c>
      <c r="H160" s="267" t="s">
        <v>328</v>
      </c>
      <c r="I160" s="267" t="s">
        <v>329</v>
      </c>
      <c r="J160" s="267" t="s">
        <v>330</v>
      </c>
      <c r="K160" s="267" t="s">
        <v>331</v>
      </c>
      <c r="L160" s="267" t="s">
        <v>332</v>
      </c>
      <c r="M160" s="267" t="s">
        <v>363</v>
      </c>
      <c r="N160" s="267" t="s">
        <v>364</v>
      </c>
      <c r="O160" s="267" t="s">
        <v>365</v>
      </c>
      <c r="P160" s="267" t="s">
        <v>499</v>
      </c>
      <c r="Q160" s="267" t="s">
        <v>500</v>
      </c>
      <c r="R160" s="267" t="s">
        <v>501</v>
      </c>
      <c r="S160" s="267" t="s">
        <v>502</v>
      </c>
      <c r="T160" s="267" t="s">
        <v>503</v>
      </c>
      <c r="U160" s="267" t="s">
        <v>504</v>
      </c>
      <c r="V160" s="267" t="s">
        <v>505</v>
      </c>
      <c r="W160" s="267" t="s">
        <v>506</v>
      </c>
      <c r="X160" s="267" t="s">
        <v>507</v>
      </c>
      <c r="Y160" s="267" t="s">
        <v>508</v>
      </c>
      <c r="Z160" s="267" t="s">
        <v>509</v>
      </c>
      <c r="AA160" s="267" t="s">
        <v>510</v>
      </c>
      <c r="AB160" s="267" t="s">
        <v>511</v>
      </c>
      <c r="AC160" s="267" t="s">
        <v>512</v>
      </c>
      <c r="AD160" s="267" t="s">
        <v>513</v>
      </c>
      <c r="AE160" s="267" t="s">
        <v>514</v>
      </c>
      <c r="AF160" s="267" t="s">
        <v>515</v>
      </c>
      <c r="AG160" s="267" t="s">
        <v>516</v>
      </c>
      <c r="AH160" s="267" t="s">
        <v>517</v>
      </c>
      <c r="AI160" s="267" t="s">
        <v>518</v>
      </c>
    </row>
    <row r="161" spans="1:35" x14ac:dyDescent="0.25">
      <c r="A161" s="91" t="str" cm="1">
        <f t="array" aca="1" ref="A161:A163" ca="1">OFFSET(Lijsten!$AJ$1,1,1,IF(COUNTIF(Lijsten!$AJ$1:$AJ$100,"&lt;&gt;"&amp;"")&gt;1,COUNTIF(Lijsten!$AJ$1:$AJ$100,"&lt;&gt;"&amp;"")-1,COUNTIF(Lijsten!$AJ$1:$AJ$100,"&lt;&gt;"&amp;"")))</f>
        <v>Voorbereiding samenwerkingsproject</v>
      </c>
      <c r="B161" s="91" t="str" cm="1">
        <f t="array" aca="1" ref="B161" ca="1">TRANSPOSE(_xlfn.UNIQUE(TRANSPOSE(B175:AI175)))</f>
        <v/>
      </c>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x14ac:dyDescent="0.25">
      <c r="A162" s="91" t="str">
        <f ca="1"/>
        <v>Uitvoering samenwerkingsproject</v>
      </c>
      <c r="B162" s="91" t="str" cm="1">
        <f t="array" aca="1" ref="B162" ca="1">TRANSPOSE(_xlfn.UNIQUE(TRANSPOSE(B176:AI176)))</f>
        <v/>
      </c>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x14ac:dyDescent="0.25">
      <c r="A163" s="91" t="str">
        <f ca="1"/>
        <v>Investeringen</v>
      </c>
      <c r="B163" s="91" t="str" cm="1">
        <f t="array" aca="1" ref="B163" ca="1">TRANSPOSE(_xlfn.UNIQUE(TRANSPOSE(B177:AI177)))</f>
        <v/>
      </c>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x14ac:dyDescent="0.25">
      <c r="A164" s="91"/>
      <c r="B164" s="91" t="str" cm="1">
        <f t="array" aca="1" ref="B164" ca="1">TRANSPOSE(_xlfn.UNIQUE(TRANSPOSE(B178:AI178)))</f>
        <v/>
      </c>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91"/>
      <c r="B165" s="91" t="str" cm="1">
        <f t="array" aca="1" ref="B165" ca="1">TRANSPOSE(_xlfn.UNIQUE(TRANSPOSE(B179:AI179)))</f>
        <v/>
      </c>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x14ac:dyDescent="0.25">
      <c r="A166" s="91"/>
      <c r="B166" s="91" t="str" cm="1">
        <f t="array" aca="1" ref="B166" ca="1">TRANSPOSE(_xlfn.UNIQUE(TRANSPOSE(B180:AI180)))</f>
        <v/>
      </c>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x14ac:dyDescent="0.25">
      <c r="A167" s="91"/>
      <c r="B167" s="91" t="str" cm="1">
        <f t="array" aca="1" ref="B167" ca="1">TRANSPOSE(_xlfn.UNIQUE(TRANSPOSE(B181:AI181)))</f>
        <v/>
      </c>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x14ac:dyDescent="0.25">
      <c r="A168" s="91"/>
      <c r="B168" s="91" t="str" cm="1">
        <f t="array" aca="1" ref="B168" ca="1">TRANSPOSE(_xlfn.UNIQUE(TRANSPOSE(B182:AI182)))</f>
        <v/>
      </c>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x14ac:dyDescent="0.25">
      <c r="A169" s="91"/>
      <c r="B169" s="91" t="str" cm="1">
        <f t="array" aca="1" ref="B169" ca="1">TRANSPOSE(_xlfn.UNIQUE(TRANSPOSE(B183:AI183)))</f>
        <v/>
      </c>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x14ac:dyDescent="0.25">
      <c r="A170" s="91"/>
      <c r="B170" s="91" t="str" cm="1">
        <f t="array" aca="1" ref="B170" ca="1">TRANSPOSE(_xlfn.UNIQUE(TRANSPOSE(B184:AI184)))</f>
        <v/>
      </c>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x14ac:dyDescent="0.25">
      <c r="A171" s="91"/>
      <c r="B171" s="91" t="str" cm="1">
        <f t="array" aca="1" ref="B171" ca="1">TRANSPOSE(_xlfn.UNIQUE(TRANSPOSE(B185:AI185)))</f>
        <v/>
      </c>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x14ac:dyDescent="0.25">
      <c r="A172" s="91"/>
      <c r="B172" s="91" t="str" cm="1">
        <f t="array" aca="1" ref="B172" ca="1">TRANSPOSE(_xlfn.UNIQUE(TRANSPOSE(B186:AI186)))</f>
        <v/>
      </c>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4" spans="1:35" x14ac:dyDescent="0.25">
      <c r="A174" s="267" t="s">
        <v>195</v>
      </c>
      <c r="B174" s="267" t="s">
        <v>322</v>
      </c>
      <c r="C174" s="267" t="s">
        <v>323</v>
      </c>
      <c r="D174" s="267" t="s">
        <v>324</v>
      </c>
      <c r="E174" s="267" t="s">
        <v>325</v>
      </c>
      <c r="F174" s="267" t="s">
        <v>326</v>
      </c>
      <c r="G174" s="267" t="s">
        <v>327</v>
      </c>
      <c r="H174" s="267" t="s">
        <v>328</v>
      </c>
      <c r="I174" s="267" t="s">
        <v>329</v>
      </c>
      <c r="J174" s="267" t="s">
        <v>330</v>
      </c>
      <c r="K174" s="267" t="s">
        <v>331</v>
      </c>
      <c r="L174" s="267" t="s">
        <v>332</v>
      </c>
      <c r="M174" s="267" t="s">
        <v>363</v>
      </c>
      <c r="N174" s="267" t="s">
        <v>364</v>
      </c>
      <c r="O174" s="267" t="s">
        <v>365</v>
      </c>
      <c r="P174" s="267" t="s">
        <v>499</v>
      </c>
      <c r="Q174" s="267" t="s">
        <v>500</v>
      </c>
      <c r="R174" s="267" t="s">
        <v>501</v>
      </c>
      <c r="S174" s="267" t="s">
        <v>502</v>
      </c>
      <c r="T174" s="267" t="s">
        <v>503</v>
      </c>
      <c r="U174" s="267" t="s">
        <v>504</v>
      </c>
      <c r="V174" s="267" t="s">
        <v>505</v>
      </c>
      <c r="W174" s="267" t="s">
        <v>506</v>
      </c>
      <c r="X174" s="267" t="s">
        <v>507</v>
      </c>
      <c r="Y174" s="267" t="s">
        <v>508</v>
      </c>
      <c r="Z174" s="267" t="s">
        <v>509</v>
      </c>
      <c r="AA174" s="267" t="s">
        <v>510</v>
      </c>
      <c r="AB174" s="267" t="s">
        <v>511</v>
      </c>
      <c r="AC174" s="267" t="s">
        <v>512</v>
      </c>
      <c r="AD174" s="267" t="s">
        <v>513</v>
      </c>
      <c r="AE174" s="267" t="s">
        <v>514</v>
      </c>
      <c r="AF174" s="267" t="s">
        <v>515</v>
      </c>
      <c r="AG174" s="267" t="s">
        <v>516</v>
      </c>
      <c r="AH174" s="267" t="s">
        <v>517</v>
      </c>
      <c r="AI174" s="267" t="s">
        <v>518</v>
      </c>
    </row>
    <row r="175" spans="1:35" x14ac:dyDescent="0.25">
      <c r="A175" s="91" t="str" cm="1">
        <f t="array" aca="1" ref="A175:A177" ca="1">OFFSET(Lijsten!$AJ$1,1,1,IF(COUNTIF(Lijsten!$AJ$1:$AJ$100,"&lt;&gt;"&amp;"")&gt;1,COUNTIF(Lijsten!$AJ$1:$AJ$100,"&lt;&gt;"&amp;"")-1,COUNTIF(Lijsten!$AJ$1:$AJ$100,"&lt;&gt;"&amp;"")))</f>
        <v>Voorbereiding samenwerkingsproject</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c r="P175" s="91" t="str">
        <f>IF(AND(P147&lt;&gt;"",P147&lt;&gt;0),VLOOKUP(P147,Tb_KostenTypen[#All],1,0),"")</f>
        <v/>
      </c>
      <c r="Q175" s="91" t="str">
        <f>IF(AND(Q147&lt;&gt;"",Q147&lt;&gt;0),VLOOKUP(Q147,Tb_KostenTypen[#All],1,0),"")</f>
        <v/>
      </c>
      <c r="R175" s="91" t="str">
        <f>IF(AND(R147&lt;&gt;"",R147&lt;&gt;0),VLOOKUP(R147,Tb_KostenTypen[#All],1,0),"")</f>
        <v/>
      </c>
      <c r="S175" s="91" t="str">
        <f>IF(AND(S147&lt;&gt;"",S147&lt;&gt;0),VLOOKUP(S147,Tb_KostenTypen[#All],1,0),"")</f>
        <v/>
      </c>
      <c r="T175" s="91" t="str">
        <f>IF(AND(T147&lt;&gt;"",T147&lt;&gt;0),VLOOKUP(T147,Tb_KostenTypen[#All],1,0),"")</f>
        <v/>
      </c>
      <c r="U175" s="91" t="str">
        <f>IF(AND(U147&lt;&gt;"",U147&lt;&gt;0),VLOOKUP(U147,Tb_KostenTypen[#All],1,0),"")</f>
        <v/>
      </c>
      <c r="V175" s="91" t="str">
        <f>IF(AND(V147&lt;&gt;"",V147&lt;&gt;0),VLOOKUP(V147,Tb_KostenTypen[#All],1,0),"")</f>
        <v/>
      </c>
      <c r="W175" s="91" t="str">
        <f>IF(AND(W147&lt;&gt;"",W147&lt;&gt;0),VLOOKUP(W147,Tb_KostenTypen[#All],1,0),"")</f>
        <v/>
      </c>
      <c r="X175" s="91" t="str">
        <f>IF(AND(X147&lt;&gt;"",X147&lt;&gt;0),VLOOKUP(X147,Tb_KostenTypen[#All],1,0),"")</f>
        <v/>
      </c>
      <c r="Y175" s="91" t="str">
        <f>IF(AND(Y147&lt;&gt;"",Y147&lt;&gt;0),VLOOKUP(Y147,Tb_KostenTypen[#All],1,0),"")</f>
        <v/>
      </c>
      <c r="Z175" s="91" t="str">
        <f>IF(AND(Z147&lt;&gt;"",Z147&lt;&gt;0),VLOOKUP(Z147,Tb_KostenTypen[#All],1,0),"")</f>
        <v/>
      </c>
      <c r="AA175" s="91" t="str">
        <f>IF(AND(AA147&lt;&gt;"",AA147&lt;&gt;0),VLOOKUP(AA147,Tb_KostenTypen[#All],1,0),"")</f>
        <v/>
      </c>
      <c r="AB175" s="91" t="str">
        <f>IF(AND(AB147&lt;&gt;"",AB147&lt;&gt;0),VLOOKUP(AB147,Tb_KostenTypen[#All],1,0),"")</f>
        <v/>
      </c>
      <c r="AC175" s="91" t="str">
        <f>IF(AND(AC147&lt;&gt;"",AC147&lt;&gt;0),VLOOKUP(AC147,Tb_KostenTypen[#All],1,0),"")</f>
        <v/>
      </c>
      <c r="AD175" s="91" t="str">
        <f>IF(AND(AD147&lt;&gt;"",AD147&lt;&gt;0),VLOOKUP(AD147,Tb_KostenTypen[#All],1,0),"")</f>
        <v/>
      </c>
      <c r="AE175" s="91" t="str">
        <f>IF(AND(AE147&lt;&gt;"",AE147&lt;&gt;0),VLOOKUP(AE147,Tb_KostenTypen[#All],1,0),"")</f>
        <v/>
      </c>
      <c r="AF175" s="91" t="str">
        <f>IF(AND(AF147&lt;&gt;"",AF147&lt;&gt;0),VLOOKUP(AF147,Tb_KostenTypen[#All],1,0),"")</f>
        <v/>
      </c>
      <c r="AG175" s="91" t="str">
        <f>IF(AND(AG147&lt;&gt;"",AG147&lt;&gt;0),VLOOKUP(AG147,Tb_KostenTypen[#All],1,0),"")</f>
        <v/>
      </c>
      <c r="AH175" s="91" t="str">
        <f>IF(AND(AH147&lt;&gt;"",AH147&lt;&gt;0),VLOOKUP(AH147,Tb_KostenTypen[#All],1,0),"")</f>
        <v/>
      </c>
      <c r="AI175" s="91" t="str">
        <f>IF(AND(AI147&lt;&gt;"",AI147&lt;&gt;0),VLOOKUP(AI147,Tb_KostenTypen[#All],1,0),"")</f>
        <v/>
      </c>
    </row>
    <row r="176" spans="1:35" x14ac:dyDescent="0.25">
      <c r="A176" s="91" t="str">
        <f ca="1"/>
        <v>Uitvoering samenwerkingsproject</v>
      </c>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c r="P176" s="91" t="str">
        <f>IF(AND(P148&lt;&gt;"",P148&lt;&gt;0),VLOOKUP(P148,Tb_KostenTypen[#All],1,0),"")</f>
        <v/>
      </c>
      <c r="Q176" s="91" t="str">
        <f>IF(AND(Q148&lt;&gt;"",Q148&lt;&gt;0),VLOOKUP(Q148,Tb_KostenTypen[#All],1,0),"")</f>
        <v/>
      </c>
      <c r="R176" s="91" t="str">
        <f>IF(AND(R148&lt;&gt;"",R148&lt;&gt;0),VLOOKUP(R148,Tb_KostenTypen[#All],1,0),"")</f>
        <v/>
      </c>
      <c r="S176" s="91" t="str">
        <f>IF(AND(S148&lt;&gt;"",S148&lt;&gt;0),VLOOKUP(S148,Tb_KostenTypen[#All],1,0),"")</f>
        <v/>
      </c>
      <c r="T176" s="91" t="str">
        <f>IF(AND(T148&lt;&gt;"",T148&lt;&gt;0),VLOOKUP(T148,Tb_KostenTypen[#All],1,0),"")</f>
        <v/>
      </c>
      <c r="U176" s="91" t="str">
        <f>IF(AND(U148&lt;&gt;"",U148&lt;&gt;0),VLOOKUP(U148,Tb_KostenTypen[#All],1,0),"")</f>
        <v/>
      </c>
      <c r="V176" s="91" t="str">
        <f>IF(AND(V148&lt;&gt;"",V148&lt;&gt;0),VLOOKUP(V148,Tb_KostenTypen[#All],1,0),"")</f>
        <v/>
      </c>
      <c r="W176" s="91" t="str">
        <f>IF(AND(W148&lt;&gt;"",W148&lt;&gt;0),VLOOKUP(W148,Tb_KostenTypen[#All],1,0),"")</f>
        <v/>
      </c>
      <c r="X176" s="91" t="str">
        <f>IF(AND(X148&lt;&gt;"",X148&lt;&gt;0),VLOOKUP(X148,Tb_KostenTypen[#All],1,0),"")</f>
        <v/>
      </c>
      <c r="Y176" s="91" t="str">
        <f>IF(AND(Y148&lt;&gt;"",Y148&lt;&gt;0),VLOOKUP(Y148,Tb_KostenTypen[#All],1,0),"")</f>
        <v/>
      </c>
      <c r="Z176" s="91" t="str">
        <f>IF(AND(Z148&lt;&gt;"",Z148&lt;&gt;0),VLOOKUP(Z148,Tb_KostenTypen[#All],1,0),"")</f>
        <v/>
      </c>
      <c r="AA176" s="91" t="str">
        <f>IF(AND(AA148&lt;&gt;"",AA148&lt;&gt;0),VLOOKUP(AA148,Tb_KostenTypen[#All],1,0),"")</f>
        <v/>
      </c>
      <c r="AB176" s="91" t="str">
        <f>IF(AND(AB148&lt;&gt;"",AB148&lt;&gt;0),VLOOKUP(AB148,Tb_KostenTypen[#All],1,0),"")</f>
        <v/>
      </c>
      <c r="AC176" s="91" t="str">
        <f>IF(AND(AC148&lt;&gt;"",AC148&lt;&gt;0),VLOOKUP(AC148,Tb_KostenTypen[#All],1,0),"")</f>
        <v/>
      </c>
      <c r="AD176" s="91" t="str">
        <f>IF(AND(AD148&lt;&gt;"",AD148&lt;&gt;0),VLOOKUP(AD148,Tb_KostenTypen[#All],1,0),"")</f>
        <v/>
      </c>
      <c r="AE176" s="91" t="str">
        <f>IF(AND(AE148&lt;&gt;"",AE148&lt;&gt;0),VLOOKUP(AE148,Tb_KostenTypen[#All],1,0),"")</f>
        <v/>
      </c>
      <c r="AF176" s="91" t="str">
        <f>IF(AND(AF148&lt;&gt;"",AF148&lt;&gt;0),VLOOKUP(AF148,Tb_KostenTypen[#All],1,0),"")</f>
        <v/>
      </c>
      <c r="AG176" s="91" t="str">
        <f>IF(AND(AG148&lt;&gt;"",AG148&lt;&gt;0),VLOOKUP(AG148,Tb_KostenTypen[#All],1,0),"")</f>
        <v/>
      </c>
      <c r="AH176" s="91" t="str">
        <f>IF(AND(AH148&lt;&gt;"",AH148&lt;&gt;0),VLOOKUP(AH148,Tb_KostenTypen[#All],1,0),"")</f>
        <v/>
      </c>
      <c r="AI176" s="91" t="str">
        <f>IF(AND(AI148&lt;&gt;"",AI148&lt;&gt;0),VLOOKUP(AI148,Tb_KostenTypen[#All],1,0),"")</f>
        <v/>
      </c>
    </row>
    <row r="177" spans="1:35" x14ac:dyDescent="0.25">
      <c r="A177" s="91" t="str">
        <f ca="1"/>
        <v>Investeringen</v>
      </c>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c r="P177" s="91" t="str">
        <f>IF(AND(P149&lt;&gt;"",P149&lt;&gt;0),VLOOKUP(P149,Tb_KostenTypen[#All],1,0),"")</f>
        <v/>
      </c>
      <c r="Q177" s="91" t="str">
        <f>IF(AND(Q149&lt;&gt;"",Q149&lt;&gt;0),VLOOKUP(Q149,Tb_KostenTypen[#All],1,0),"")</f>
        <v/>
      </c>
      <c r="R177" s="91" t="str">
        <f>IF(AND(R149&lt;&gt;"",R149&lt;&gt;0),VLOOKUP(R149,Tb_KostenTypen[#All],1,0),"")</f>
        <v/>
      </c>
      <c r="S177" s="91" t="str">
        <f>IF(AND(S149&lt;&gt;"",S149&lt;&gt;0),VLOOKUP(S149,Tb_KostenTypen[#All],1,0),"")</f>
        <v/>
      </c>
      <c r="T177" s="91" t="str">
        <f>IF(AND(T149&lt;&gt;"",T149&lt;&gt;0),VLOOKUP(T149,Tb_KostenTypen[#All],1,0),"")</f>
        <v/>
      </c>
      <c r="U177" s="91" t="str">
        <f>IF(AND(U149&lt;&gt;"",U149&lt;&gt;0),VLOOKUP(U149,Tb_KostenTypen[#All],1,0),"")</f>
        <v/>
      </c>
      <c r="V177" s="91" t="str">
        <f>IF(AND(V149&lt;&gt;"",V149&lt;&gt;0),VLOOKUP(V149,Tb_KostenTypen[#All],1,0),"")</f>
        <v/>
      </c>
      <c r="W177" s="91" t="str">
        <f>IF(AND(W149&lt;&gt;"",W149&lt;&gt;0),VLOOKUP(W149,Tb_KostenTypen[#All],1,0),"")</f>
        <v/>
      </c>
      <c r="X177" s="91" t="str">
        <f>IF(AND(X149&lt;&gt;"",X149&lt;&gt;0),VLOOKUP(X149,Tb_KostenTypen[#All],1,0),"")</f>
        <v/>
      </c>
      <c r="Y177" s="91" t="str">
        <f>IF(AND(Y149&lt;&gt;"",Y149&lt;&gt;0),VLOOKUP(Y149,Tb_KostenTypen[#All],1,0),"")</f>
        <v/>
      </c>
      <c r="Z177" s="91" t="str">
        <f>IF(AND(Z149&lt;&gt;"",Z149&lt;&gt;0),VLOOKUP(Z149,Tb_KostenTypen[#All],1,0),"")</f>
        <v/>
      </c>
      <c r="AA177" s="91" t="str">
        <f>IF(AND(AA149&lt;&gt;"",AA149&lt;&gt;0),VLOOKUP(AA149,Tb_KostenTypen[#All],1,0),"")</f>
        <v/>
      </c>
      <c r="AB177" s="91" t="str">
        <f>IF(AND(AB149&lt;&gt;"",AB149&lt;&gt;0),VLOOKUP(AB149,Tb_KostenTypen[#All],1,0),"")</f>
        <v/>
      </c>
      <c r="AC177" s="91" t="str">
        <f>IF(AND(AC149&lt;&gt;"",AC149&lt;&gt;0),VLOOKUP(AC149,Tb_KostenTypen[#All],1,0),"")</f>
        <v/>
      </c>
      <c r="AD177" s="91" t="str">
        <f>IF(AND(AD149&lt;&gt;"",AD149&lt;&gt;0),VLOOKUP(AD149,Tb_KostenTypen[#All],1,0),"")</f>
        <v/>
      </c>
      <c r="AE177" s="91" t="str">
        <f>IF(AND(AE149&lt;&gt;"",AE149&lt;&gt;0),VLOOKUP(AE149,Tb_KostenTypen[#All],1,0),"")</f>
        <v/>
      </c>
      <c r="AF177" s="91" t="str">
        <f>IF(AND(AF149&lt;&gt;"",AF149&lt;&gt;0),VLOOKUP(AF149,Tb_KostenTypen[#All],1,0),"")</f>
        <v/>
      </c>
      <c r="AG177" s="91" t="str">
        <f>IF(AND(AG149&lt;&gt;"",AG149&lt;&gt;0),VLOOKUP(AG149,Tb_KostenTypen[#All],1,0),"")</f>
        <v/>
      </c>
      <c r="AH177" s="91" t="str">
        <f>IF(AND(AH149&lt;&gt;"",AH149&lt;&gt;0),VLOOKUP(AH149,Tb_KostenTypen[#All],1,0),"")</f>
        <v/>
      </c>
      <c r="AI177" s="91" t="str">
        <f>IF(AND(AI149&lt;&gt;"",AI149&lt;&gt;0),VLOOKUP(AI149,Tb_KostenTypen[#All],1,0),"")</f>
        <v/>
      </c>
    </row>
    <row r="178" spans="1:3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c r="P178" s="91" t="str">
        <f>IF(AND(P150&lt;&gt;"",P150&lt;&gt;0),VLOOKUP(P150,Tb_KostenTypen[#All],1,0),"")</f>
        <v/>
      </c>
      <c r="Q178" s="91" t="str">
        <f>IF(AND(Q150&lt;&gt;"",Q150&lt;&gt;0),VLOOKUP(Q150,Tb_KostenTypen[#All],1,0),"")</f>
        <v/>
      </c>
      <c r="R178" s="91" t="str">
        <f>IF(AND(R150&lt;&gt;"",R150&lt;&gt;0),VLOOKUP(R150,Tb_KostenTypen[#All],1,0),"")</f>
        <v/>
      </c>
      <c r="S178" s="91" t="str">
        <f>IF(AND(S150&lt;&gt;"",S150&lt;&gt;0),VLOOKUP(S150,Tb_KostenTypen[#All],1,0),"")</f>
        <v/>
      </c>
      <c r="T178" s="91" t="str">
        <f>IF(AND(T150&lt;&gt;"",T150&lt;&gt;0),VLOOKUP(T150,Tb_KostenTypen[#All],1,0),"")</f>
        <v/>
      </c>
      <c r="U178" s="91" t="str">
        <f>IF(AND(U150&lt;&gt;"",U150&lt;&gt;0),VLOOKUP(U150,Tb_KostenTypen[#All],1,0),"")</f>
        <v/>
      </c>
      <c r="V178" s="91" t="str">
        <f>IF(AND(V150&lt;&gt;"",V150&lt;&gt;0),VLOOKUP(V150,Tb_KostenTypen[#All],1,0),"")</f>
        <v/>
      </c>
      <c r="W178" s="91" t="str">
        <f>IF(AND(W150&lt;&gt;"",W150&lt;&gt;0),VLOOKUP(W150,Tb_KostenTypen[#All],1,0),"")</f>
        <v/>
      </c>
      <c r="X178" s="91" t="str">
        <f>IF(AND(X150&lt;&gt;"",X150&lt;&gt;0),VLOOKUP(X150,Tb_KostenTypen[#All],1,0),"")</f>
        <v/>
      </c>
      <c r="Y178" s="91" t="str">
        <f>IF(AND(Y150&lt;&gt;"",Y150&lt;&gt;0),VLOOKUP(Y150,Tb_KostenTypen[#All],1,0),"")</f>
        <v/>
      </c>
      <c r="Z178" s="91" t="str">
        <f>IF(AND(Z150&lt;&gt;"",Z150&lt;&gt;0),VLOOKUP(Z150,Tb_KostenTypen[#All],1,0),"")</f>
        <v/>
      </c>
      <c r="AA178" s="91" t="str">
        <f>IF(AND(AA150&lt;&gt;"",AA150&lt;&gt;0),VLOOKUP(AA150,Tb_KostenTypen[#All],1,0),"")</f>
        <v/>
      </c>
      <c r="AB178" s="91" t="str">
        <f>IF(AND(AB150&lt;&gt;"",AB150&lt;&gt;0),VLOOKUP(AB150,Tb_KostenTypen[#All],1,0),"")</f>
        <v/>
      </c>
      <c r="AC178" s="91" t="str">
        <f>IF(AND(AC150&lt;&gt;"",AC150&lt;&gt;0),VLOOKUP(AC150,Tb_KostenTypen[#All],1,0),"")</f>
        <v/>
      </c>
      <c r="AD178" s="91" t="str">
        <f>IF(AND(AD150&lt;&gt;"",AD150&lt;&gt;0),VLOOKUP(AD150,Tb_KostenTypen[#All],1,0),"")</f>
        <v/>
      </c>
      <c r="AE178" s="91" t="str">
        <f>IF(AND(AE150&lt;&gt;"",AE150&lt;&gt;0),VLOOKUP(AE150,Tb_KostenTypen[#All],1,0),"")</f>
        <v/>
      </c>
      <c r="AF178" s="91" t="str">
        <f>IF(AND(AF150&lt;&gt;"",AF150&lt;&gt;0),VLOOKUP(AF150,Tb_KostenTypen[#All],1,0),"")</f>
        <v/>
      </c>
      <c r="AG178" s="91" t="str">
        <f>IF(AND(AG150&lt;&gt;"",AG150&lt;&gt;0),VLOOKUP(AG150,Tb_KostenTypen[#All],1,0),"")</f>
        <v/>
      </c>
      <c r="AH178" s="91" t="str">
        <f>IF(AND(AH150&lt;&gt;"",AH150&lt;&gt;0),VLOOKUP(AH150,Tb_KostenTypen[#All],1,0),"")</f>
        <v/>
      </c>
      <c r="AI178" s="91" t="str">
        <f>IF(AND(AI150&lt;&gt;"",AI150&lt;&gt;0),VLOOKUP(AI150,Tb_KostenTypen[#All],1,0),"")</f>
        <v/>
      </c>
    </row>
    <row r="179" spans="1:3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c r="P179" s="91" t="str">
        <f>IF(AND(P151&lt;&gt;"",P151&lt;&gt;0),VLOOKUP(P151,Tb_KostenTypen[#All],1,0),"")</f>
        <v/>
      </c>
      <c r="Q179" s="91" t="str">
        <f>IF(AND(Q151&lt;&gt;"",Q151&lt;&gt;0),VLOOKUP(Q151,Tb_KostenTypen[#All],1,0),"")</f>
        <v/>
      </c>
      <c r="R179" s="91" t="str">
        <f>IF(AND(R151&lt;&gt;"",R151&lt;&gt;0),VLOOKUP(R151,Tb_KostenTypen[#All],1,0),"")</f>
        <v/>
      </c>
      <c r="S179" s="91" t="str">
        <f>IF(AND(S151&lt;&gt;"",S151&lt;&gt;0),VLOOKUP(S151,Tb_KostenTypen[#All],1,0),"")</f>
        <v/>
      </c>
      <c r="T179" s="91" t="str">
        <f>IF(AND(T151&lt;&gt;"",T151&lt;&gt;0),VLOOKUP(T151,Tb_KostenTypen[#All],1,0),"")</f>
        <v/>
      </c>
      <c r="U179" s="91" t="str">
        <f>IF(AND(U151&lt;&gt;"",U151&lt;&gt;0),VLOOKUP(U151,Tb_KostenTypen[#All],1,0),"")</f>
        <v/>
      </c>
      <c r="V179" s="91" t="str">
        <f>IF(AND(V151&lt;&gt;"",V151&lt;&gt;0),VLOOKUP(V151,Tb_KostenTypen[#All],1,0),"")</f>
        <v/>
      </c>
      <c r="W179" s="91" t="str">
        <f>IF(AND(W151&lt;&gt;"",W151&lt;&gt;0),VLOOKUP(W151,Tb_KostenTypen[#All],1,0),"")</f>
        <v/>
      </c>
      <c r="X179" s="91" t="str">
        <f>IF(AND(X151&lt;&gt;"",X151&lt;&gt;0),VLOOKUP(X151,Tb_KostenTypen[#All],1,0),"")</f>
        <v/>
      </c>
      <c r="Y179" s="91" t="str">
        <f>IF(AND(Y151&lt;&gt;"",Y151&lt;&gt;0),VLOOKUP(Y151,Tb_KostenTypen[#All],1,0),"")</f>
        <v/>
      </c>
      <c r="Z179" s="91" t="str">
        <f>IF(AND(Z151&lt;&gt;"",Z151&lt;&gt;0),VLOOKUP(Z151,Tb_KostenTypen[#All],1,0),"")</f>
        <v/>
      </c>
      <c r="AA179" s="91" t="str">
        <f>IF(AND(AA151&lt;&gt;"",AA151&lt;&gt;0),VLOOKUP(AA151,Tb_KostenTypen[#All],1,0),"")</f>
        <v/>
      </c>
      <c r="AB179" s="91" t="str">
        <f>IF(AND(AB151&lt;&gt;"",AB151&lt;&gt;0),VLOOKUP(AB151,Tb_KostenTypen[#All],1,0),"")</f>
        <v/>
      </c>
      <c r="AC179" s="91" t="str">
        <f>IF(AND(AC151&lt;&gt;"",AC151&lt;&gt;0),VLOOKUP(AC151,Tb_KostenTypen[#All],1,0),"")</f>
        <v/>
      </c>
      <c r="AD179" s="91" t="str">
        <f>IF(AND(AD151&lt;&gt;"",AD151&lt;&gt;0),VLOOKUP(AD151,Tb_KostenTypen[#All],1,0),"")</f>
        <v/>
      </c>
      <c r="AE179" s="91" t="str">
        <f>IF(AND(AE151&lt;&gt;"",AE151&lt;&gt;0),VLOOKUP(AE151,Tb_KostenTypen[#All],1,0),"")</f>
        <v/>
      </c>
      <c r="AF179" s="91" t="str">
        <f>IF(AND(AF151&lt;&gt;"",AF151&lt;&gt;0),VLOOKUP(AF151,Tb_KostenTypen[#All],1,0),"")</f>
        <v/>
      </c>
      <c r="AG179" s="91" t="str">
        <f>IF(AND(AG151&lt;&gt;"",AG151&lt;&gt;0),VLOOKUP(AG151,Tb_KostenTypen[#All],1,0),"")</f>
        <v/>
      </c>
      <c r="AH179" s="91" t="str">
        <f>IF(AND(AH151&lt;&gt;"",AH151&lt;&gt;0),VLOOKUP(AH151,Tb_KostenTypen[#All],1,0),"")</f>
        <v/>
      </c>
      <c r="AI179" s="91" t="str">
        <f>IF(AND(AI151&lt;&gt;"",AI151&lt;&gt;0),VLOOKUP(AI151,Tb_KostenTypen[#All],1,0),"")</f>
        <v/>
      </c>
    </row>
    <row r="180" spans="1:3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c r="P180" s="91" t="str">
        <f>IF(AND(P152&lt;&gt;"",P152&lt;&gt;0),VLOOKUP(P152,Tb_KostenTypen[#All],1,0),"")</f>
        <v/>
      </c>
      <c r="Q180" s="91" t="str">
        <f>IF(AND(Q152&lt;&gt;"",Q152&lt;&gt;0),VLOOKUP(Q152,Tb_KostenTypen[#All],1,0),"")</f>
        <v/>
      </c>
      <c r="R180" s="91" t="str">
        <f>IF(AND(R152&lt;&gt;"",R152&lt;&gt;0),VLOOKUP(R152,Tb_KostenTypen[#All],1,0),"")</f>
        <v/>
      </c>
      <c r="S180" s="91" t="str">
        <f>IF(AND(S152&lt;&gt;"",S152&lt;&gt;0),VLOOKUP(S152,Tb_KostenTypen[#All],1,0),"")</f>
        <v/>
      </c>
      <c r="T180" s="91" t="str">
        <f>IF(AND(T152&lt;&gt;"",T152&lt;&gt;0),VLOOKUP(T152,Tb_KostenTypen[#All],1,0),"")</f>
        <v/>
      </c>
      <c r="U180" s="91" t="str">
        <f>IF(AND(U152&lt;&gt;"",U152&lt;&gt;0),VLOOKUP(U152,Tb_KostenTypen[#All],1,0),"")</f>
        <v/>
      </c>
      <c r="V180" s="91" t="str">
        <f>IF(AND(V152&lt;&gt;"",V152&lt;&gt;0),VLOOKUP(V152,Tb_KostenTypen[#All],1,0),"")</f>
        <v/>
      </c>
      <c r="W180" s="91" t="str">
        <f>IF(AND(W152&lt;&gt;"",W152&lt;&gt;0),VLOOKUP(W152,Tb_KostenTypen[#All],1,0),"")</f>
        <v/>
      </c>
      <c r="X180" s="91" t="str">
        <f>IF(AND(X152&lt;&gt;"",X152&lt;&gt;0),VLOOKUP(X152,Tb_KostenTypen[#All],1,0),"")</f>
        <v/>
      </c>
      <c r="Y180" s="91" t="str">
        <f>IF(AND(Y152&lt;&gt;"",Y152&lt;&gt;0),VLOOKUP(Y152,Tb_KostenTypen[#All],1,0),"")</f>
        <v/>
      </c>
      <c r="Z180" s="91" t="str">
        <f>IF(AND(Z152&lt;&gt;"",Z152&lt;&gt;0),VLOOKUP(Z152,Tb_KostenTypen[#All],1,0),"")</f>
        <v/>
      </c>
      <c r="AA180" s="91" t="str">
        <f>IF(AND(AA152&lt;&gt;"",AA152&lt;&gt;0),VLOOKUP(AA152,Tb_KostenTypen[#All],1,0),"")</f>
        <v/>
      </c>
      <c r="AB180" s="91" t="str">
        <f>IF(AND(AB152&lt;&gt;"",AB152&lt;&gt;0),VLOOKUP(AB152,Tb_KostenTypen[#All],1,0),"")</f>
        <v/>
      </c>
      <c r="AC180" s="91" t="str">
        <f>IF(AND(AC152&lt;&gt;"",AC152&lt;&gt;0),VLOOKUP(AC152,Tb_KostenTypen[#All],1,0),"")</f>
        <v/>
      </c>
      <c r="AD180" s="91" t="str">
        <f>IF(AND(AD152&lt;&gt;"",AD152&lt;&gt;0),VLOOKUP(AD152,Tb_KostenTypen[#All],1,0),"")</f>
        <v/>
      </c>
      <c r="AE180" s="91" t="str">
        <f>IF(AND(AE152&lt;&gt;"",AE152&lt;&gt;0),VLOOKUP(AE152,Tb_KostenTypen[#All],1,0),"")</f>
        <v/>
      </c>
      <c r="AF180" s="91" t="str">
        <f>IF(AND(AF152&lt;&gt;"",AF152&lt;&gt;0),VLOOKUP(AF152,Tb_KostenTypen[#All],1,0),"")</f>
        <v/>
      </c>
      <c r="AG180" s="91" t="str">
        <f>IF(AND(AG152&lt;&gt;"",AG152&lt;&gt;0),VLOOKUP(AG152,Tb_KostenTypen[#All],1,0),"")</f>
        <v/>
      </c>
      <c r="AH180" s="91" t="str">
        <f>IF(AND(AH152&lt;&gt;"",AH152&lt;&gt;0),VLOOKUP(AH152,Tb_KostenTypen[#All],1,0),"")</f>
        <v/>
      </c>
      <c r="AI180" s="91" t="str">
        <f>IF(AND(AI152&lt;&gt;"",AI152&lt;&gt;0),VLOOKUP(AI152,Tb_KostenTypen[#All],1,0),"")</f>
        <v/>
      </c>
    </row>
    <row r="181" spans="1:3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c r="P181" s="91" t="str">
        <f>IF(AND(P153&lt;&gt;"",P153&lt;&gt;0),VLOOKUP(P153,Tb_KostenTypen[#All],1,0),"")</f>
        <v/>
      </c>
      <c r="Q181" s="91" t="str">
        <f>IF(AND(Q153&lt;&gt;"",Q153&lt;&gt;0),VLOOKUP(Q153,Tb_KostenTypen[#All],1,0),"")</f>
        <v/>
      </c>
      <c r="R181" s="91" t="str">
        <f>IF(AND(R153&lt;&gt;"",R153&lt;&gt;0),VLOOKUP(R153,Tb_KostenTypen[#All],1,0),"")</f>
        <v/>
      </c>
      <c r="S181" s="91" t="str">
        <f>IF(AND(S153&lt;&gt;"",S153&lt;&gt;0),VLOOKUP(S153,Tb_KostenTypen[#All],1,0),"")</f>
        <v/>
      </c>
      <c r="T181" s="91" t="str">
        <f>IF(AND(T153&lt;&gt;"",T153&lt;&gt;0),VLOOKUP(T153,Tb_KostenTypen[#All],1,0),"")</f>
        <v/>
      </c>
      <c r="U181" s="91" t="str">
        <f>IF(AND(U153&lt;&gt;"",U153&lt;&gt;0),VLOOKUP(U153,Tb_KostenTypen[#All],1,0),"")</f>
        <v/>
      </c>
      <c r="V181" s="91" t="str">
        <f>IF(AND(V153&lt;&gt;"",V153&lt;&gt;0),VLOOKUP(V153,Tb_KostenTypen[#All],1,0),"")</f>
        <v/>
      </c>
      <c r="W181" s="91" t="str">
        <f>IF(AND(W153&lt;&gt;"",W153&lt;&gt;0),VLOOKUP(W153,Tb_KostenTypen[#All],1,0),"")</f>
        <v/>
      </c>
      <c r="X181" s="91" t="str">
        <f>IF(AND(X153&lt;&gt;"",X153&lt;&gt;0),VLOOKUP(X153,Tb_KostenTypen[#All],1,0),"")</f>
        <v/>
      </c>
      <c r="Y181" s="91" t="str">
        <f>IF(AND(Y153&lt;&gt;"",Y153&lt;&gt;0),VLOOKUP(Y153,Tb_KostenTypen[#All],1,0),"")</f>
        <v/>
      </c>
      <c r="Z181" s="91" t="str">
        <f>IF(AND(Z153&lt;&gt;"",Z153&lt;&gt;0),VLOOKUP(Z153,Tb_KostenTypen[#All],1,0),"")</f>
        <v/>
      </c>
      <c r="AA181" s="91" t="str">
        <f>IF(AND(AA153&lt;&gt;"",AA153&lt;&gt;0),VLOOKUP(AA153,Tb_KostenTypen[#All],1,0),"")</f>
        <v/>
      </c>
      <c r="AB181" s="91" t="str">
        <f>IF(AND(AB153&lt;&gt;"",AB153&lt;&gt;0),VLOOKUP(AB153,Tb_KostenTypen[#All],1,0),"")</f>
        <v/>
      </c>
      <c r="AC181" s="91" t="str">
        <f>IF(AND(AC153&lt;&gt;"",AC153&lt;&gt;0),VLOOKUP(AC153,Tb_KostenTypen[#All],1,0),"")</f>
        <v/>
      </c>
      <c r="AD181" s="91" t="str">
        <f>IF(AND(AD153&lt;&gt;"",AD153&lt;&gt;0),VLOOKUP(AD153,Tb_KostenTypen[#All],1,0),"")</f>
        <v/>
      </c>
      <c r="AE181" s="91" t="str">
        <f>IF(AND(AE153&lt;&gt;"",AE153&lt;&gt;0),VLOOKUP(AE153,Tb_KostenTypen[#All],1,0),"")</f>
        <v/>
      </c>
      <c r="AF181" s="91" t="str">
        <f>IF(AND(AF153&lt;&gt;"",AF153&lt;&gt;0),VLOOKUP(AF153,Tb_KostenTypen[#All],1,0),"")</f>
        <v/>
      </c>
      <c r="AG181" s="91" t="str">
        <f>IF(AND(AG153&lt;&gt;"",AG153&lt;&gt;0),VLOOKUP(AG153,Tb_KostenTypen[#All],1,0),"")</f>
        <v/>
      </c>
      <c r="AH181" s="91" t="str">
        <f>IF(AND(AH153&lt;&gt;"",AH153&lt;&gt;0),VLOOKUP(AH153,Tb_KostenTypen[#All],1,0),"")</f>
        <v/>
      </c>
      <c r="AI181" s="91" t="str">
        <f>IF(AND(AI153&lt;&gt;"",AI153&lt;&gt;0),VLOOKUP(AI153,Tb_KostenTypen[#All],1,0),"")</f>
        <v/>
      </c>
    </row>
    <row r="182" spans="1:3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c r="P182" s="91" t="str">
        <f>IF(AND(P154&lt;&gt;"",P154&lt;&gt;0),VLOOKUP(P154,Tb_KostenTypen[#All],1,0),"")</f>
        <v/>
      </c>
      <c r="Q182" s="91" t="str">
        <f>IF(AND(Q154&lt;&gt;"",Q154&lt;&gt;0),VLOOKUP(Q154,Tb_KostenTypen[#All],1,0),"")</f>
        <v/>
      </c>
      <c r="R182" s="91" t="str">
        <f>IF(AND(R154&lt;&gt;"",R154&lt;&gt;0),VLOOKUP(R154,Tb_KostenTypen[#All],1,0),"")</f>
        <v/>
      </c>
      <c r="S182" s="91" t="str">
        <f>IF(AND(S154&lt;&gt;"",S154&lt;&gt;0),VLOOKUP(S154,Tb_KostenTypen[#All],1,0),"")</f>
        <v/>
      </c>
      <c r="T182" s="91" t="str">
        <f>IF(AND(T154&lt;&gt;"",T154&lt;&gt;0),VLOOKUP(T154,Tb_KostenTypen[#All],1,0),"")</f>
        <v/>
      </c>
      <c r="U182" s="91" t="str">
        <f>IF(AND(U154&lt;&gt;"",U154&lt;&gt;0),VLOOKUP(U154,Tb_KostenTypen[#All],1,0),"")</f>
        <v/>
      </c>
      <c r="V182" s="91" t="str">
        <f>IF(AND(V154&lt;&gt;"",V154&lt;&gt;0),VLOOKUP(V154,Tb_KostenTypen[#All],1,0),"")</f>
        <v/>
      </c>
      <c r="W182" s="91" t="str">
        <f>IF(AND(W154&lt;&gt;"",W154&lt;&gt;0),VLOOKUP(W154,Tb_KostenTypen[#All],1,0),"")</f>
        <v/>
      </c>
      <c r="X182" s="91" t="str">
        <f>IF(AND(X154&lt;&gt;"",X154&lt;&gt;0),VLOOKUP(X154,Tb_KostenTypen[#All],1,0),"")</f>
        <v/>
      </c>
      <c r="Y182" s="91" t="str">
        <f>IF(AND(Y154&lt;&gt;"",Y154&lt;&gt;0),VLOOKUP(Y154,Tb_KostenTypen[#All],1,0),"")</f>
        <v/>
      </c>
      <c r="Z182" s="91" t="str">
        <f>IF(AND(Z154&lt;&gt;"",Z154&lt;&gt;0),VLOOKUP(Z154,Tb_KostenTypen[#All],1,0),"")</f>
        <v/>
      </c>
      <c r="AA182" s="91" t="str">
        <f>IF(AND(AA154&lt;&gt;"",AA154&lt;&gt;0),VLOOKUP(AA154,Tb_KostenTypen[#All],1,0),"")</f>
        <v/>
      </c>
      <c r="AB182" s="91" t="str">
        <f>IF(AND(AB154&lt;&gt;"",AB154&lt;&gt;0),VLOOKUP(AB154,Tb_KostenTypen[#All],1,0),"")</f>
        <v/>
      </c>
      <c r="AC182" s="91" t="str">
        <f>IF(AND(AC154&lt;&gt;"",AC154&lt;&gt;0),VLOOKUP(AC154,Tb_KostenTypen[#All],1,0),"")</f>
        <v/>
      </c>
      <c r="AD182" s="91" t="str">
        <f>IF(AND(AD154&lt;&gt;"",AD154&lt;&gt;0),VLOOKUP(AD154,Tb_KostenTypen[#All],1,0),"")</f>
        <v/>
      </c>
      <c r="AE182" s="91" t="str">
        <f>IF(AND(AE154&lt;&gt;"",AE154&lt;&gt;0),VLOOKUP(AE154,Tb_KostenTypen[#All],1,0),"")</f>
        <v/>
      </c>
      <c r="AF182" s="91" t="str">
        <f>IF(AND(AF154&lt;&gt;"",AF154&lt;&gt;0),VLOOKUP(AF154,Tb_KostenTypen[#All],1,0),"")</f>
        <v/>
      </c>
      <c r="AG182" s="91" t="str">
        <f>IF(AND(AG154&lt;&gt;"",AG154&lt;&gt;0),VLOOKUP(AG154,Tb_KostenTypen[#All],1,0),"")</f>
        <v/>
      </c>
      <c r="AH182" s="91" t="str">
        <f>IF(AND(AH154&lt;&gt;"",AH154&lt;&gt;0),VLOOKUP(AH154,Tb_KostenTypen[#All],1,0),"")</f>
        <v/>
      </c>
      <c r="AI182" s="91" t="str">
        <f>IF(AND(AI154&lt;&gt;"",AI154&lt;&gt;0),VLOOKUP(AI154,Tb_KostenTypen[#All],1,0),"")</f>
        <v/>
      </c>
    </row>
    <row r="183" spans="1:3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c r="P183" s="91" t="str">
        <f>IF(AND(P155&lt;&gt;"",P155&lt;&gt;0),VLOOKUP(P155,Tb_KostenTypen[#All],1,0),"")</f>
        <v/>
      </c>
      <c r="Q183" s="91" t="str">
        <f>IF(AND(Q155&lt;&gt;"",Q155&lt;&gt;0),VLOOKUP(Q155,Tb_KostenTypen[#All],1,0),"")</f>
        <v/>
      </c>
      <c r="R183" s="91" t="str">
        <f>IF(AND(R155&lt;&gt;"",R155&lt;&gt;0),VLOOKUP(R155,Tb_KostenTypen[#All],1,0),"")</f>
        <v/>
      </c>
      <c r="S183" s="91" t="str">
        <f>IF(AND(S155&lt;&gt;"",S155&lt;&gt;0),VLOOKUP(S155,Tb_KostenTypen[#All],1,0),"")</f>
        <v/>
      </c>
      <c r="T183" s="91" t="str">
        <f>IF(AND(T155&lt;&gt;"",T155&lt;&gt;0),VLOOKUP(T155,Tb_KostenTypen[#All],1,0),"")</f>
        <v/>
      </c>
      <c r="U183" s="91" t="str">
        <f>IF(AND(U155&lt;&gt;"",U155&lt;&gt;0),VLOOKUP(U155,Tb_KostenTypen[#All],1,0),"")</f>
        <v/>
      </c>
      <c r="V183" s="91" t="str">
        <f>IF(AND(V155&lt;&gt;"",V155&lt;&gt;0),VLOOKUP(V155,Tb_KostenTypen[#All],1,0),"")</f>
        <v/>
      </c>
      <c r="W183" s="91" t="str">
        <f>IF(AND(W155&lt;&gt;"",W155&lt;&gt;0),VLOOKUP(W155,Tb_KostenTypen[#All],1,0),"")</f>
        <v/>
      </c>
      <c r="X183" s="91" t="str">
        <f>IF(AND(X155&lt;&gt;"",X155&lt;&gt;0),VLOOKUP(X155,Tb_KostenTypen[#All],1,0),"")</f>
        <v/>
      </c>
      <c r="Y183" s="91" t="str">
        <f>IF(AND(Y155&lt;&gt;"",Y155&lt;&gt;0),VLOOKUP(Y155,Tb_KostenTypen[#All],1,0),"")</f>
        <v/>
      </c>
      <c r="Z183" s="91" t="str">
        <f>IF(AND(Z155&lt;&gt;"",Z155&lt;&gt;0),VLOOKUP(Z155,Tb_KostenTypen[#All],1,0),"")</f>
        <v/>
      </c>
      <c r="AA183" s="91" t="str">
        <f>IF(AND(AA155&lt;&gt;"",AA155&lt;&gt;0),VLOOKUP(AA155,Tb_KostenTypen[#All],1,0),"")</f>
        <v/>
      </c>
      <c r="AB183" s="91" t="str">
        <f>IF(AND(AB155&lt;&gt;"",AB155&lt;&gt;0),VLOOKUP(AB155,Tb_KostenTypen[#All],1,0),"")</f>
        <v/>
      </c>
      <c r="AC183" s="91" t="str">
        <f>IF(AND(AC155&lt;&gt;"",AC155&lt;&gt;0),VLOOKUP(AC155,Tb_KostenTypen[#All],1,0),"")</f>
        <v/>
      </c>
      <c r="AD183" s="91" t="str">
        <f>IF(AND(AD155&lt;&gt;"",AD155&lt;&gt;0),VLOOKUP(AD155,Tb_KostenTypen[#All],1,0),"")</f>
        <v/>
      </c>
      <c r="AE183" s="91" t="str">
        <f>IF(AND(AE155&lt;&gt;"",AE155&lt;&gt;0),VLOOKUP(AE155,Tb_KostenTypen[#All],1,0),"")</f>
        <v/>
      </c>
      <c r="AF183" s="91" t="str">
        <f>IF(AND(AF155&lt;&gt;"",AF155&lt;&gt;0),VLOOKUP(AF155,Tb_KostenTypen[#All],1,0),"")</f>
        <v/>
      </c>
      <c r="AG183" s="91" t="str">
        <f>IF(AND(AG155&lt;&gt;"",AG155&lt;&gt;0),VLOOKUP(AG155,Tb_KostenTypen[#All],1,0),"")</f>
        <v/>
      </c>
      <c r="AH183" s="91" t="str">
        <f>IF(AND(AH155&lt;&gt;"",AH155&lt;&gt;0),VLOOKUP(AH155,Tb_KostenTypen[#All],1,0),"")</f>
        <v/>
      </c>
      <c r="AI183" s="91" t="str">
        <f>IF(AND(AI155&lt;&gt;"",AI155&lt;&gt;0),VLOOKUP(AI155,Tb_KostenTypen[#All],1,0),"")</f>
        <v/>
      </c>
    </row>
    <row r="184" spans="1:3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c r="P184" s="91" t="str">
        <f>IF(AND(P156&lt;&gt;"",P156&lt;&gt;0),VLOOKUP(P156,Tb_KostenTypen[#All],1,0),"")</f>
        <v/>
      </c>
      <c r="Q184" s="91" t="str">
        <f>IF(AND(Q156&lt;&gt;"",Q156&lt;&gt;0),VLOOKUP(Q156,Tb_KostenTypen[#All],1,0),"")</f>
        <v/>
      </c>
      <c r="R184" s="91" t="str">
        <f>IF(AND(R156&lt;&gt;"",R156&lt;&gt;0),VLOOKUP(R156,Tb_KostenTypen[#All],1,0),"")</f>
        <v/>
      </c>
      <c r="S184" s="91" t="str">
        <f>IF(AND(S156&lt;&gt;"",S156&lt;&gt;0),VLOOKUP(S156,Tb_KostenTypen[#All],1,0),"")</f>
        <v/>
      </c>
      <c r="T184" s="91" t="str">
        <f>IF(AND(T156&lt;&gt;"",T156&lt;&gt;0),VLOOKUP(T156,Tb_KostenTypen[#All],1,0),"")</f>
        <v/>
      </c>
      <c r="U184" s="91" t="str">
        <f>IF(AND(U156&lt;&gt;"",U156&lt;&gt;0),VLOOKUP(U156,Tb_KostenTypen[#All],1,0),"")</f>
        <v/>
      </c>
      <c r="V184" s="91" t="str">
        <f>IF(AND(V156&lt;&gt;"",V156&lt;&gt;0),VLOOKUP(V156,Tb_KostenTypen[#All],1,0),"")</f>
        <v/>
      </c>
      <c r="W184" s="91" t="str">
        <f>IF(AND(W156&lt;&gt;"",W156&lt;&gt;0),VLOOKUP(W156,Tb_KostenTypen[#All],1,0),"")</f>
        <v/>
      </c>
      <c r="X184" s="91" t="str">
        <f>IF(AND(X156&lt;&gt;"",X156&lt;&gt;0),VLOOKUP(X156,Tb_KostenTypen[#All],1,0),"")</f>
        <v/>
      </c>
      <c r="Y184" s="91" t="str">
        <f>IF(AND(Y156&lt;&gt;"",Y156&lt;&gt;0),VLOOKUP(Y156,Tb_KostenTypen[#All],1,0),"")</f>
        <v/>
      </c>
      <c r="Z184" s="91" t="str">
        <f>IF(AND(Z156&lt;&gt;"",Z156&lt;&gt;0),VLOOKUP(Z156,Tb_KostenTypen[#All],1,0),"")</f>
        <v/>
      </c>
      <c r="AA184" s="91" t="str">
        <f>IF(AND(AA156&lt;&gt;"",AA156&lt;&gt;0),VLOOKUP(AA156,Tb_KostenTypen[#All],1,0),"")</f>
        <v/>
      </c>
      <c r="AB184" s="91" t="str">
        <f>IF(AND(AB156&lt;&gt;"",AB156&lt;&gt;0),VLOOKUP(AB156,Tb_KostenTypen[#All],1,0),"")</f>
        <v/>
      </c>
      <c r="AC184" s="91" t="str">
        <f>IF(AND(AC156&lt;&gt;"",AC156&lt;&gt;0),VLOOKUP(AC156,Tb_KostenTypen[#All],1,0),"")</f>
        <v/>
      </c>
      <c r="AD184" s="91" t="str">
        <f>IF(AND(AD156&lt;&gt;"",AD156&lt;&gt;0),VLOOKUP(AD156,Tb_KostenTypen[#All],1,0),"")</f>
        <v/>
      </c>
      <c r="AE184" s="91" t="str">
        <f>IF(AND(AE156&lt;&gt;"",AE156&lt;&gt;0),VLOOKUP(AE156,Tb_KostenTypen[#All],1,0),"")</f>
        <v/>
      </c>
      <c r="AF184" s="91" t="str">
        <f>IF(AND(AF156&lt;&gt;"",AF156&lt;&gt;0),VLOOKUP(AF156,Tb_KostenTypen[#All],1,0),"")</f>
        <v/>
      </c>
      <c r="AG184" s="91" t="str">
        <f>IF(AND(AG156&lt;&gt;"",AG156&lt;&gt;0),VLOOKUP(AG156,Tb_KostenTypen[#All],1,0),"")</f>
        <v/>
      </c>
      <c r="AH184" s="91" t="str">
        <f>IF(AND(AH156&lt;&gt;"",AH156&lt;&gt;0),VLOOKUP(AH156,Tb_KostenTypen[#All],1,0),"")</f>
        <v/>
      </c>
      <c r="AI184" s="91" t="str">
        <f>IF(AND(AI156&lt;&gt;"",AI156&lt;&gt;0),VLOOKUP(AI156,Tb_KostenTypen[#All],1,0),"")</f>
        <v/>
      </c>
    </row>
    <row r="185" spans="1:3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c r="P185" s="91" t="str">
        <f>IF(AND(P157&lt;&gt;"",P157&lt;&gt;0),VLOOKUP(P157,Tb_KostenTypen[#All],1,0),"")</f>
        <v/>
      </c>
      <c r="Q185" s="91" t="str">
        <f>IF(AND(Q157&lt;&gt;"",Q157&lt;&gt;0),VLOOKUP(Q157,Tb_KostenTypen[#All],1,0),"")</f>
        <v/>
      </c>
      <c r="R185" s="91" t="str">
        <f>IF(AND(R157&lt;&gt;"",R157&lt;&gt;0),VLOOKUP(R157,Tb_KostenTypen[#All],1,0),"")</f>
        <v/>
      </c>
      <c r="S185" s="91" t="str">
        <f>IF(AND(S157&lt;&gt;"",S157&lt;&gt;0),VLOOKUP(S157,Tb_KostenTypen[#All],1,0),"")</f>
        <v/>
      </c>
      <c r="T185" s="91" t="str">
        <f>IF(AND(T157&lt;&gt;"",T157&lt;&gt;0),VLOOKUP(T157,Tb_KostenTypen[#All],1,0),"")</f>
        <v/>
      </c>
      <c r="U185" s="91" t="str">
        <f>IF(AND(U157&lt;&gt;"",U157&lt;&gt;0),VLOOKUP(U157,Tb_KostenTypen[#All],1,0),"")</f>
        <v/>
      </c>
      <c r="V185" s="91" t="str">
        <f>IF(AND(V157&lt;&gt;"",V157&lt;&gt;0),VLOOKUP(V157,Tb_KostenTypen[#All],1,0),"")</f>
        <v/>
      </c>
      <c r="W185" s="91" t="str">
        <f>IF(AND(W157&lt;&gt;"",W157&lt;&gt;0),VLOOKUP(W157,Tb_KostenTypen[#All],1,0),"")</f>
        <v/>
      </c>
      <c r="X185" s="91" t="str">
        <f>IF(AND(X157&lt;&gt;"",X157&lt;&gt;0),VLOOKUP(X157,Tb_KostenTypen[#All],1,0),"")</f>
        <v/>
      </c>
      <c r="Y185" s="91" t="str">
        <f>IF(AND(Y157&lt;&gt;"",Y157&lt;&gt;0),VLOOKUP(Y157,Tb_KostenTypen[#All],1,0),"")</f>
        <v/>
      </c>
      <c r="Z185" s="91" t="str">
        <f>IF(AND(Z157&lt;&gt;"",Z157&lt;&gt;0),VLOOKUP(Z157,Tb_KostenTypen[#All],1,0),"")</f>
        <v/>
      </c>
      <c r="AA185" s="91" t="str">
        <f>IF(AND(AA157&lt;&gt;"",AA157&lt;&gt;0),VLOOKUP(AA157,Tb_KostenTypen[#All],1,0),"")</f>
        <v/>
      </c>
      <c r="AB185" s="91" t="str">
        <f>IF(AND(AB157&lt;&gt;"",AB157&lt;&gt;0),VLOOKUP(AB157,Tb_KostenTypen[#All],1,0),"")</f>
        <v/>
      </c>
      <c r="AC185" s="91" t="str">
        <f>IF(AND(AC157&lt;&gt;"",AC157&lt;&gt;0),VLOOKUP(AC157,Tb_KostenTypen[#All],1,0),"")</f>
        <v/>
      </c>
      <c r="AD185" s="91" t="str">
        <f>IF(AND(AD157&lt;&gt;"",AD157&lt;&gt;0),VLOOKUP(AD157,Tb_KostenTypen[#All],1,0),"")</f>
        <v/>
      </c>
      <c r="AE185" s="91" t="str">
        <f>IF(AND(AE157&lt;&gt;"",AE157&lt;&gt;0),VLOOKUP(AE157,Tb_KostenTypen[#All],1,0),"")</f>
        <v/>
      </c>
      <c r="AF185" s="91" t="str">
        <f>IF(AND(AF157&lt;&gt;"",AF157&lt;&gt;0),VLOOKUP(AF157,Tb_KostenTypen[#All],1,0),"")</f>
        <v/>
      </c>
      <c r="AG185" s="91" t="str">
        <f>IF(AND(AG157&lt;&gt;"",AG157&lt;&gt;0),VLOOKUP(AG157,Tb_KostenTypen[#All],1,0),"")</f>
        <v/>
      </c>
      <c r="AH185" s="91" t="str">
        <f>IF(AND(AH157&lt;&gt;"",AH157&lt;&gt;0),VLOOKUP(AH157,Tb_KostenTypen[#All],1,0),"")</f>
        <v/>
      </c>
      <c r="AI185" s="91" t="str">
        <f>IF(AND(AI157&lt;&gt;"",AI157&lt;&gt;0),VLOOKUP(AI157,Tb_KostenTypen[#All],1,0),"")</f>
        <v/>
      </c>
    </row>
    <row r="186" spans="1:3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c r="P186" s="91" t="str">
        <f>IF(AND(P158&lt;&gt;"",P158&lt;&gt;0),VLOOKUP(P158,Tb_KostenTypen[#All],1,0),"")</f>
        <v/>
      </c>
      <c r="Q186" s="91" t="str">
        <f>IF(AND(Q158&lt;&gt;"",Q158&lt;&gt;0),VLOOKUP(Q158,Tb_KostenTypen[#All],1,0),"")</f>
        <v/>
      </c>
      <c r="R186" s="91" t="str">
        <f>IF(AND(R158&lt;&gt;"",R158&lt;&gt;0),VLOOKUP(R158,Tb_KostenTypen[#All],1,0),"")</f>
        <v/>
      </c>
      <c r="S186" s="91" t="str">
        <f>IF(AND(S158&lt;&gt;"",S158&lt;&gt;0),VLOOKUP(S158,Tb_KostenTypen[#All],1,0),"")</f>
        <v/>
      </c>
      <c r="T186" s="91" t="str">
        <f>IF(AND(T158&lt;&gt;"",T158&lt;&gt;0),VLOOKUP(T158,Tb_KostenTypen[#All],1,0),"")</f>
        <v/>
      </c>
      <c r="U186" s="91" t="str">
        <f>IF(AND(U158&lt;&gt;"",U158&lt;&gt;0),VLOOKUP(U158,Tb_KostenTypen[#All],1,0),"")</f>
        <v/>
      </c>
      <c r="V186" s="91" t="str">
        <f>IF(AND(V158&lt;&gt;"",V158&lt;&gt;0),VLOOKUP(V158,Tb_KostenTypen[#All],1,0),"")</f>
        <v/>
      </c>
      <c r="W186" s="91" t="str">
        <f>IF(AND(W158&lt;&gt;"",W158&lt;&gt;0),VLOOKUP(W158,Tb_KostenTypen[#All],1,0),"")</f>
        <v/>
      </c>
      <c r="X186" s="91" t="str">
        <f>IF(AND(X158&lt;&gt;"",X158&lt;&gt;0),VLOOKUP(X158,Tb_KostenTypen[#All],1,0),"")</f>
        <v/>
      </c>
      <c r="Y186" s="91" t="str">
        <f>IF(AND(Y158&lt;&gt;"",Y158&lt;&gt;0),VLOOKUP(Y158,Tb_KostenTypen[#All],1,0),"")</f>
        <v/>
      </c>
      <c r="Z186" s="91" t="str">
        <f>IF(AND(Z158&lt;&gt;"",Z158&lt;&gt;0),VLOOKUP(Z158,Tb_KostenTypen[#All],1,0),"")</f>
        <v/>
      </c>
      <c r="AA186" s="91" t="str">
        <f>IF(AND(AA158&lt;&gt;"",AA158&lt;&gt;0),VLOOKUP(AA158,Tb_KostenTypen[#All],1,0),"")</f>
        <v/>
      </c>
      <c r="AB186" s="91" t="str">
        <f>IF(AND(AB158&lt;&gt;"",AB158&lt;&gt;0),VLOOKUP(AB158,Tb_KostenTypen[#All],1,0),"")</f>
        <v/>
      </c>
      <c r="AC186" s="91" t="str">
        <f>IF(AND(AC158&lt;&gt;"",AC158&lt;&gt;0),VLOOKUP(AC158,Tb_KostenTypen[#All],1,0),"")</f>
        <v/>
      </c>
      <c r="AD186" s="91" t="str">
        <f>IF(AND(AD158&lt;&gt;"",AD158&lt;&gt;0),VLOOKUP(AD158,Tb_KostenTypen[#All],1,0),"")</f>
        <v/>
      </c>
      <c r="AE186" s="91" t="str">
        <f>IF(AND(AE158&lt;&gt;"",AE158&lt;&gt;0),VLOOKUP(AE158,Tb_KostenTypen[#All],1,0),"")</f>
        <v/>
      </c>
      <c r="AF186" s="91" t="str">
        <f>IF(AND(AF158&lt;&gt;"",AF158&lt;&gt;0),VLOOKUP(AF158,Tb_KostenTypen[#All],1,0),"")</f>
        <v/>
      </c>
      <c r="AG186" s="91" t="str">
        <f>IF(AND(AG158&lt;&gt;"",AG158&lt;&gt;0),VLOOKUP(AG158,Tb_KostenTypen[#All],1,0),"")</f>
        <v/>
      </c>
      <c r="AH186" s="91" t="str">
        <f>IF(AND(AH158&lt;&gt;"",AH158&lt;&gt;0),VLOOKUP(AH158,Tb_KostenTypen[#All],1,0),"")</f>
        <v/>
      </c>
      <c r="AI186" s="91" t="str">
        <f>IF(AND(AI158&lt;&gt;"",AI158&lt;&gt;0),VLOOKUP(AI158,Tb_KostenTypen[#All],1,0),"")</f>
        <v/>
      </c>
    </row>
  </sheetData>
  <sheetProtection algorithmName="SHA-512" hashValue="IdpXeVpsYzLq1Vyk5GX3GG707J3iZNdpAJmdIM/7tljMNnkVLln2aeH8pae5WWVFBaP3e0gWldPZRHrzOINHOw==" saltValue="jtrV4OCmhFYmC+VdjcxwIQ==" spinCount="100000" sheet="1" objects="1" scenarios="1" selectLockedCells="1" selectUnlockedCells="1"/>
  <mergeCells count="1">
    <mergeCell ref="A1:B1"/>
  </mergeCells>
  <phoneticPr fontId="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43"/>
  <sheetViews>
    <sheetView workbookViewId="0"/>
  </sheetViews>
  <sheetFormatPr defaultRowHeight="15" x14ac:dyDescent="0.25"/>
  <cols>
    <col min="1" max="1" width="3.140625" customWidth="1"/>
    <col min="2" max="2" width="75.85546875" bestFit="1"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68" t="s">
        <v>0</v>
      </c>
      <c r="C2" s="169" t="s">
        <v>98</v>
      </c>
      <c r="D2" s="170" t="s">
        <v>40</v>
      </c>
      <c r="E2" s="168" t="s">
        <v>8</v>
      </c>
      <c r="F2" s="169" t="s">
        <v>205</v>
      </c>
      <c r="G2" s="170" t="s">
        <v>318</v>
      </c>
      <c r="H2" s="168" t="s">
        <v>24</v>
      </c>
      <c r="I2" s="168" t="s">
        <v>23</v>
      </c>
      <c r="J2" s="168" t="s">
        <v>22</v>
      </c>
      <c r="K2" s="1"/>
      <c r="L2" s="1"/>
    </row>
    <row r="3" spans="2:12" x14ac:dyDescent="0.25">
      <c r="B3" t="s">
        <v>7</v>
      </c>
      <c r="C3" t="s">
        <v>48</v>
      </c>
      <c r="D3" s="137">
        <v>1</v>
      </c>
      <c r="E3" t="s">
        <v>8</v>
      </c>
      <c r="F3">
        <f ca="1">IF(OR(COUNTIFS(Kostentypen!$B$77:$O$88,Tb_KostenTypen[[#This Row],[Kostentype]])&gt;0,COUNTIFS(Kostentypen!$A$161:$O$172,Tb_KostenTypen[[#This Row],[Kostentype]])&gt;0),1,0)</f>
        <v>1</v>
      </c>
      <c r="G3">
        <f ca="1">IF(COUNTIFS(Kostentypen!$A$119:$G$130,Tb_KostenTypen[[#This Row],[Kostentype]])&gt;0,1,0)</f>
        <v>0</v>
      </c>
      <c r="H3" s="172"/>
      <c r="I3" s="172"/>
      <c r="J3" s="172"/>
    </row>
    <row r="4" spans="2:12" x14ac:dyDescent="0.25">
      <c r="B4" t="s">
        <v>5</v>
      </c>
      <c r="C4" t="s">
        <v>49</v>
      </c>
      <c r="D4" s="137">
        <v>1</v>
      </c>
      <c r="E4" t="s">
        <v>8</v>
      </c>
      <c r="F4">
        <f ca="1">IF(OR(COUNTIFS(Kostentypen!$B$77:$O$88,Tb_KostenTypen[[#This Row],[Kostentype]])&gt;0,COUNTIFS(Kostentypen!$A$161:$O$172,Tb_KostenTypen[[#This Row],[Kostentype]])&gt;0),1,0)</f>
        <v>1</v>
      </c>
      <c r="G4">
        <f ca="1">IF(COUNTIFS(Kostentypen!$A$119:$G$130,Tb_KostenTypen[[#This Row],[Kostentype]])&gt;0,1,0)</f>
        <v>0</v>
      </c>
      <c r="H4" s="172">
        <v>50</v>
      </c>
      <c r="I4" s="172"/>
      <c r="J4" s="172">
        <v>43</v>
      </c>
    </row>
    <row r="5" spans="2:12" x14ac:dyDescent="0.25">
      <c r="B5" t="s">
        <v>53</v>
      </c>
      <c r="C5" t="s">
        <v>49</v>
      </c>
      <c r="D5" s="137">
        <v>0</v>
      </c>
      <c r="E5" t="s">
        <v>319</v>
      </c>
      <c r="F5">
        <f ca="1">IF(OR(COUNTIFS(Kostentypen!$B$77:$O$88,Tb_KostenTypen[[#This Row],[Kostentype]])&gt;0,COUNTIFS(Kostentypen!$A$161:$O$172,Tb_KostenTypen[[#This Row],[Kostentype]])&gt;0),1,0)</f>
        <v>0</v>
      </c>
      <c r="G5">
        <f ca="1">IF(COUNTIFS(Kostentypen!$A$119:$G$130,Tb_KostenTypen[[#This Row],[Kostentype]])&gt;0,1,0)</f>
        <v>0</v>
      </c>
      <c r="H5" s="172">
        <v>78</v>
      </c>
      <c r="I5" s="172"/>
      <c r="J5" s="172">
        <v>95</v>
      </c>
    </row>
    <row r="6" spans="2:12" x14ac:dyDescent="0.25">
      <c r="B6" t="s">
        <v>43</v>
      </c>
      <c r="C6" t="s">
        <v>49</v>
      </c>
      <c r="D6" s="137">
        <v>0</v>
      </c>
      <c r="E6" t="s">
        <v>319</v>
      </c>
      <c r="F6">
        <f ca="1">IF(OR(COUNTIFS(Kostentypen!$B$77:$O$88,Tb_KostenTypen[[#This Row],[Kostentype]])&gt;0,COUNTIFS(Kostentypen!$A$161:$O$172,Tb_KostenTypen[[#This Row],[Kostentype]])&gt;0),1,0)</f>
        <v>0</v>
      </c>
      <c r="G6">
        <f ca="1">IF(COUNTIFS(Kostentypen!$A$119:$G$130,Tb_KostenTypen[[#This Row],[Kostentype]])&gt;0,1,0)</f>
        <v>0</v>
      </c>
      <c r="H6" s="172">
        <v>88</v>
      </c>
      <c r="I6" s="172"/>
      <c r="J6" s="172">
        <v>107</v>
      </c>
    </row>
    <row r="7" spans="2:12" x14ac:dyDescent="0.25">
      <c r="B7" t="s">
        <v>52</v>
      </c>
      <c r="C7" t="s">
        <v>49</v>
      </c>
      <c r="D7" s="137">
        <v>0</v>
      </c>
      <c r="E7" t="s">
        <v>319</v>
      </c>
      <c r="F7">
        <f ca="1">IF(OR(COUNTIFS(Kostentypen!$B$77:$O$88,Tb_KostenTypen[[#This Row],[Kostentype]])&gt;0,COUNTIFS(Kostentypen!$A$161:$O$172,Tb_KostenTypen[[#This Row],[Kostentype]])&gt;0),1,0)</f>
        <v>0</v>
      </c>
      <c r="G7">
        <f ca="1">IF(COUNTIFS(Kostentypen!$A$119:$G$130,Tb_KostenTypen[[#This Row],[Kostentype]])&gt;0,1,0)</f>
        <v>0</v>
      </c>
      <c r="H7" s="172">
        <v>44</v>
      </c>
      <c r="I7" s="172"/>
      <c r="J7" s="172">
        <v>54</v>
      </c>
    </row>
    <row r="8" spans="2:12" x14ac:dyDescent="0.25">
      <c r="B8" t="s">
        <v>242</v>
      </c>
      <c r="C8" t="s">
        <v>49</v>
      </c>
      <c r="D8" s="137">
        <v>0</v>
      </c>
      <c r="E8" t="s">
        <v>319</v>
      </c>
      <c r="F8">
        <f ca="1">IF(OR(COUNTIFS(Kostentypen!$B$77:$O$88,Tb_KostenTypen[[#This Row],[Kostentype]])&gt;0,COUNTIFS(Kostentypen!$A$161:$O$172,Tb_KostenTypen[[#This Row],[Kostentype]])&gt;0),1,0)</f>
        <v>0</v>
      </c>
      <c r="G8">
        <f ca="1">IF(COUNTIFS(Kostentypen!$A$119:$G$130,Tb_KostenTypen[[#This Row],[Kostentype]])&gt;0,1,0)</f>
        <v>0</v>
      </c>
      <c r="H8" s="172">
        <v>50</v>
      </c>
      <c r="I8" s="172"/>
      <c r="J8" s="172">
        <v>60</v>
      </c>
    </row>
    <row r="9" spans="2:12" x14ac:dyDescent="0.25">
      <c r="B9" t="s">
        <v>95</v>
      </c>
      <c r="C9" t="s">
        <v>49</v>
      </c>
      <c r="D9" s="137">
        <v>1</v>
      </c>
      <c r="F9">
        <f ca="1">IF(OR(COUNTIFS(Kostentypen!$B$77:$O$88,Tb_KostenTypen[[#This Row],[Kostentype]])&gt;0,COUNTIFS(Kostentypen!$A$161:$O$172,Tb_KostenTypen[[#This Row],[Kostentype]])&gt;0),1,0)</f>
        <v>0</v>
      </c>
      <c r="G9">
        <f ca="1">IF(COUNTIFS(Kostentypen!$A$119:$G$130,Tb_KostenTypen[[#This Row],[Kostentype]])&gt;0,1,0)</f>
        <v>0</v>
      </c>
      <c r="H9" s="172">
        <v>22</v>
      </c>
      <c r="I9" s="172">
        <v>22</v>
      </c>
      <c r="J9" s="172"/>
    </row>
    <row r="10" spans="2:12" x14ac:dyDescent="0.25">
      <c r="B10" t="s">
        <v>494</v>
      </c>
      <c r="C10" t="s">
        <v>49</v>
      </c>
      <c r="D10" s="137">
        <v>0</v>
      </c>
      <c r="E10" t="s">
        <v>50</v>
      </c>
      <c r="F10">
        <f ca="1">IF(OR(COUNTIFS(Kostentypen!$B$77:$O$88,Tb_KostenTypen[[#This Row],[Kostentype]])&gt;0,COUNTIFS(Kostentypen!$A$161:$O$172,Tb_KostenTypen[[#This Row],[Kostentype]])&gt;0),1,0)</f>
        <v>0</v>
      </c>
      <c r="G10">
        <f ca="1">IF(COUNTIFS(Kostentypen!$A$119:$G$130,Tb_KostenTypen[[#This Row],[Kostentype]])&gt;0,1,0)</f>
        <v>0</v>
      </c>
      <c r="H10" s="172">
        <v>1680</v>
      </c>
      <c r="I10" s="172">
        <v>1680</v>
      </c>
      <c r="J10" s="172"/>
    </row>
    <row r="11" spans="2:12" x14ac:dyDescent="0.25">
      <c r="B11" t="s">
        <v>495</v>
      </c>
      <c r="C11" t="s">
        <v>49</v>
      </c>
      <c r="D11" s="137">
        <v>0</v>
      </c>
      <c r="E11" t="s">
        <v>50</v>
      </c>
      <c r="F11">
        <f ca="1">IF(OR(COUNTIFS(Kostentypen!$B$77:$O$88,Tb_KostenTypen[[#This Row],[Kostentype]])&gt;0,COUNTIFS(Kostentypen!$A$161:$O$172,Tb_KostenTypen[[#This Row],[Kostentype]])&gt;0),1,0)</f>
        <v>0</v>
      </c>
      <c r="G11">
        <f ca="1">IF(COUNTIFS(Kostentypen!$A$119:$G$130,Tb_KostenTypen[[#This Row],[Kostentype]])&gt;0,1,0)</f>
        <v>0</v>
      </c>
      <c r="H11" s="172">
        <v>2430</v>
      </c>
      <c r="I11" s="172">
        <v>2430</v>
      </c>
      <c r="J11" s="172"/>
    </row>
    <row r="12" spans="2:12" x14ac:dyDescent="0.25">
      <c r="B12" t="s">
        <v>496</v>
      </c>
      <c r="C12" t="s">
        <v>49</v>
      </c>
      <c r="D12" s="137">
        <v>0</v>
      </c>
      <c r="E12" t="s">
        <v>50</v>
      </c>
      <c r="F12">
        <f ca="1">IF(OR(COUNTIFS(Kostentypen!$B$77:$O$88,Tb_KostenTypen[[#This Row],[Kostentype]])&gt;0,COUNTIFS(Kostentypen!$A$161:$O$172,Tb_KostenTypen[[#This Row],[Kostentype]])&gt;0),1,0)</f>
        <v>0</v>
      </c>
      <c r="G12">
        <f ca="1">IF(COUNTIFS(Kostentypen!$A$119:$G$130,Tb_KostenTypen[[#This Row],[Kostentype]])&gt;0,1,0)</f>
        <v>0</v>
      </c>
      <c r="H12" s="172">
        <v>545</v>
      </c>
      <c r="I12" s="172">
        <v>545</v>
      </c>
      <c r="J12" s="172"/>
    </row>
    <row r="13" spans="2:12" x14ac:dyDescent="0.25">
      <c r="B13" t="s">
        <v>497</v>
      </c>
      <c r="C13" t="s">
        <v>49</v>
      </c>
      <c r="D13" s="137">
        <v>0</v>
      </c>
      <c r="E13" t="s">
        <v>50</v>
      </c>
      <c r="F13">
        <f ca="1">IF(OR(COUNTIFS(Kostentypen!$B$77:$O$88,Tb_KostenTypen[[#This Row],[Kostentype]])&gt;0,COUNTIFS(Kostentypen!$A$161:$O$172,Tb_KostenTypen[[#This Row],[Kostentype]])&gt;0),1,0)</f>
        <v>0</v>
      </c>
      <c r="G13">
        <f ca="1">IF(COUNTIFS(Kostentypen!$A$119:$G$130,Tb_KostenTypen[[#This Row],[Kostentype]])&gt;0,1,0)</f>
        <v>0</v>
      </c>
      <c r="H13" s="172">
        <v>790</v>
      </c>
      <c r="I13" s="172">
        <v>790</v>
      </c>
      <c r="J13" s="172"/>
    </row>
    <row r="14" spans="2:12" x14ac:dyDescent="0.25">
      <c r="B14" t="s">
        <v>498</v>
      </c>
      <c r="C14" t="s">
        <v>49</v>
      </c>
      <c r="D14" s="137">
        <v>0</v>
      </c>
      <c r="E14" t="s">
        <v>50</v>
      </c>
      <c r="F14">
        <f ca="1">IF(OR(COUNTIFS(Kostentypen!$B$77:$O$88,Tb_KostenTypen[[#This Row],[Kostentype]])&gt;0,COUNTIFS(Kostentypen!$A$161:$O$172,Tb_KostenTypen[[#This Row],[Kostentype]])&gt;0),1,0)</f>
        <v>0</v>
      </c>
      <c r="G14">
        <f ca="1">IF(COUNTIFS(Kostentypen!$A$119:$G$130,Tb_KostenTypen[[#This Row],[Kostentype]])&gt;0,1,0)</f>
        <v>0</v>
      </c>
      <c r="H14" s="172">
        <v>1355</v>
      </c>
      <c r="I14" s="172">
        <v>1355</v>
      </c>
      <c r="J14" s="172"/>
    </row>
    <row r="15" spans="2:12" x14ac:dyDescent="0.25">
      <c r="B15" t="s">
        <v>519</v>
      </c>
      <c r="C15" t="s">
        <v>49</v>
      </c>
      <c r="D15" s="137">
        <v>0</v>
      </c>
      <c r="E15" t="s">
        <v>50</v>
      </c>
      <c r="F15">
        <f ca="1">IF(OR(COUNTIFS(Kostentypen!$B$77:$O$88,Tb_KostenTypen[[#This Row],[Kostentype]])&gt;0,COUNTIFS(Kostentypen!$A$161:$O$172,Tb_KostenTypen[[#This Row],[Kostentype]])&gt;0),1,0)</f>
        <v>0</v>
      </c>
      <c r="G15">
        <f ca="1">IF(COUNTIFS(Kostentypen!$A$119:$G$130,Tb_KostenTypen[[#This Row],[Kostentype]])&gt;0,1,0)</f>
        <v>0</v>
      </c>
      <c r="H15" s="172">
        <v>2130</v>
      </c>
      <c r="I15" s="172">
        <v>2130</v>
      </c>
      <c r="J15" s="172"/>
    </row>
    <row r="16" spans="2:12" x14ac:dyDescent="0.25">
      <c r="B16" t="s">
        <v>520</v>
      </c>
      <c r="C16" t="s">
        <v>49</v>
      </c>
      <c r="D16" s="137">
        <v>0</v>
      </c>
      <c r="E16" t="s">
        <v>50</v>
      </c>
      <c r="F16">
        <f ca="1">IF(OR(COUNTIFS(Kostentypen!$B$77:$O$88,Tb_KostenTypen[[#This Row],[Kostentype]])&gt;0,COUNTIFS(Kostentypen!$A$161:$O$172,Tb_KostenTypen[[#This Row],[Kostentype]])&gt;0),1,0)</f>
        <v>0</v>
      </c>
      <c r="G16">
        <f ca="1">IF(COUNTIFS(Kostentypen!$A$119:$G$130,Tb_KostenTypen[[#This Row],[Kostentype]])&gt;0,1,0)</f>
        <v>0</v>
      </c>
      <c r="H16" s="172">
        <v>2325</v>
      </c>
      <c r="I16" s="172">
        <v>2325</v>
      </c>
      <c r="J16" s="172"/>
    </row>
    <row r="17" spans="2:10" x14ac:dyDescent="0.25">
      <c r="B17" t="s">
        <v>521</v>
      </c>
      <c r="C17" t="s">
        <v>49</v>
      </c>
      <c r="D17" s="137">
        <v>0</v>
      </c>
      <c r="E17" t="s">
        <v>50</v>
      </c>
      <c r="F17">
        <f ca="1">IF(OR(COUNTIFS(Kostentypen!$B$77:$O$88,Tb_KostenTypen[[#This Row],[Kostentype]])&gt;0,COUNTIFS(Kostentypen!$A$161:$O$172,Tb_KostenTypen[[#This Row],[Kostentype]])&gt;0),1,0)</f>
        <v>0</v>
      </c>
      <c r="G17">
        <f ca="1">IF(COUNTIFS(Kostentypen!$A$119:$G$130,Tb_KostenTypen[[#This Row],[Kostentype]])&gt;0,1,0)</f>
        <v>0</v>
      </c>
      <c r="H17" s="172">
        <v>2785</v>
      </c>
      <c r="I17" s="172">
        <v>2785</v>
      </c>
      <c r="J17" s="172"/>
    </row>
    <row r="18" spans="2:10" x14ac:dyDescent="0.25">
      <c r="B18" t="s">
        <v>522</v>
      </c>
      <c r="C18" t="s">
        <v>49</v>
      </c>
      <c r="D18" s="137">
        <v>0</v>
      </c>
      <c r="E18" t="s">
        <v>50</v>
      </c>
      <c r="F18">
        <f ca="1">IF(OR(COUNTIFS(Kostentypen!$B$77:$O$88,Tb_KostenTypen[[#This Row],[Kostentype]])&gt;0,COUNTIFS(Kostentypen!$A$161:$O$172,Tb_KostenTypen[[#This Row],[Kostentype]])&gt;0),1,0)</f>
        <v>0</v>
      </c>
      <c r="G18">
        <f ca="1">IF(COUNTIFS(Kostentypen!$A$119:$G$130,Tb_KostenTypen[[#This Row],[Kostentype]])&gt;0,1,0)</f>
        <v>0</v>
      </c>
      <c r="H18" s="172">
        <v>2840</v>
      </c>
      <c r="I18" s="172">
        <v>2840</v>
      </c>
      <c r="J18" s="172"/>
    </row>
    <row r="19" spans="2:10" x14ac:dyDescent="0.25">
      <c r="B19" t="s">
        <v>523</v>
      </c>
      <c r="C19" t="s">
        <v>49</v>
      </c>
      <c r="D19" s="137">
        <v>0</v>
      </c>
      <c r="E19" t="s">
        <v>50</v>
      </c>
      <c r="F19">
        <f ca="1">IF(OR(COUNTIFS(Kostentypen!$B$77:$O$88,Tb_KostenTypen[[#This Row],[Kostentype]])&gt;0,COUNTIFS(Kostentypen!$A$161:$O$172,Tb_KostenTypen[[#This Row],[Kostentype]])&gt;0),1,0)</f>
        <v>0</v>
      </c>
      <c r="G19">
        <f ca="1">IF(COUNTIFS(Kostentypen!$A$119:$G$130,Tb_KostenTypen[[#This Row],[Kostentype]])&gt;0,1,0)</f>
        <v>0</v>
      </c>
      <c r="H19" s="172">
        <v>3015</v>
      </c>
      <c r="I19" s="172">
        <v>3015</v>
      </c>
      <c r="J19" s="172"/>
    </row>
    <row r="20" spans="2:10" x14ac:dyDescent="0.25">
      <c r="B20" t="s">
        <v>524</v>
      </c>
      <c r="C20" t="s">
        <v>49</v>
      </c>
      <c r="D20" s="137">
        <v>0</v>
      </c>
      <c r="E20" t="s">
        <v>50</v>
      </c>
      <c r="F20">
        <f ca="1">IF(OR(COUNTIFS(Kostentypen!$B$77:$O$88,Tb_KostenTypen[[#This Row],[Kostentype]])&gt;0,COUNTIFS(Kostentypen!$A$161:$O$172,Tb_KostenTypen[[#This Row],[Kostentype]])&gt;0),1,0)</f>
        <v>0</v>
      </c>
      <c r="G20">
        <f ca="1">IF(COUNTIFS(Kostentypen!$A$119:$G$130,Tb_KostenTypen[[#This Row],[Kostentype]])&gt;0,1,0)</f>
        <v>0</v>
      </c>
      <c r="H20" s="172">
        <v>3425</v>
      </c>
      <c r="I20" s="172">
        <v>3425</v>
      </c>
      <c r="J20" s="172"/>
    </row>
    <row r="21" spans="2:10" x14ac:dyDescent="0.25">
      <c r="B21" t="s">
        <v>492</v>
      </c>
      <c r="C21" t="s">
        <v>49</v>
      </c>
      <c r="D21" s="137">
        <v>0</v>
      </c>
      <c r="E21" t="s">
        <v>50</v>
      </c>
      <c r="F21">
        <f ca="1">IF(OR(COUNTIFS(Kostentypen!$B$77:$O$88,Tb_KostenTypen[[#This Row],[Kostentype]])&gt;0,COUNTIFS(Kostentypen!$A$161:$O$172,Tb_KostenTypen[[#This Row],[Kostentype]])&gt;0),1,0)</f>
        <v>0</v>
      </c>
      <c r="G21">
        <f ca="1">IF(COUNTIFS(Kostentypen!$A$119:$G$130,Tb_KostenTypen[[#This Row],[Kostentype]])&gt;0,1,0)</f>
        <v>0</v>
      </c>
      <c r="H21" s="172">
        <v>1408</v>
      </c>
      <c r="I21" s="172">
        <v>1408</v>
      </c>
      <c r="J21" s="172"/>
    </row>
    <row r="22" spans="2:10" x14ac:dyDescent="0.25">
      <c r="B22" t="s">
        <v>493</v>
      </c>
      <c r="C22" t="s">
        <v>49</v>
      </c>
      <c r="D22" s="137">
        <v>0</v>
      </c>
      <c r="E22" t="s">
        <v>50</v>
      </c>
      <c r="F22">
        <f ca="1">IF(OR(COUNTIFS(Kostentypen!$B$77:$O$88,Tb_KostenTypen[[#This Row],[Kostentype]])&gt;0,COUNTIFS(Kostentypen!$A$161:$O$172,Tb_KostenTypen[[#This Row],[Kostentype]])&gt;0),1,0)</f>
        <v>0</v>
      </c>
      <c r="G22">
        <f ca="1">IF(COUNTIFS(Kostentypen!$A$119:$G$130,Tb_KostenTypen[[#This Row],[Kostentype]])&gt;0,1,0)</f>
        <v>0</v>
      </c>
      <c r="H22" s="172">
        <v>2037</v>
      </c>
      <c r="I22" s="172">
        <v>2037</v>
      </c>
      <c r="J22" s="172"/>
    </row>
    <row r="23" spans="2:10" x14ac:dyDescent="0.25">
      <c r="B23" t="s">
        <v>525</v>
      </c>
      <c r="C23" t="s">
        <v>49</v>
      </c>
      <c r="D23" s="137">
        <v>0</v>
      </c>
      <c r="E23" t="s">
        <v>50</v>
      </c>
      <c r="F23">
        <f ca="1">IF(OR(COUNTIFS(Kostentypen!$B$77:$O$88,Tb_KostenTypen[[#This Row],[Kostentype]])&gt;0,COUNTIFS(Kostentypen!$A$161:$O$172,Tb_KostenTypen[[#This Row],[Kostentype]])&gt;0),1,0)</f>
        <v>0</v>
      </c>
      <c r="G23">
        <f ca="1">IF(COUNTIFS(Kostentypen!$A$119:$G$130,Tb_KostenTypen[[#This Row],[Kostentype]])&gt;0,1,0)</f>
        <v>0</v>
      </c>
      <c r="H23" s="172">
        <v>1858</v>
      </c>
      <c r="I23" s="172">
        <v>1858</v>
      </c>
      <c r="J23" s="172"/>
    </row>
    <row r="24" spans="2:10" x14ac:dyDescent="0.25">
      <c r="B24" t="s">
        <v>526</v>
      </c>
      <c r="C24" t="s">
        <v>49</v>
      </c>
      <c r="D24" s="137">
        <v>0</v>
      </c>
      <c r="E24" t="s">
        <v>50</v>
      </c>
      <c r="F24">
        <f ca="1">IF(OR(COUNTIFS(Kostentypen!$B$77:$O$88,Tb_KostenTypen[[#This Row],[Kostentype]])&gt;0,COUNTIFS(Kostentypen!$A$161:$O$172,Tb_KostenTypen[[#This Row],[Kostentype]])&gt;0),1,0)</f>
        <v>0</v>
      </c>
      <c r="G24">
        <f ca="1">IF(COUNTIFS(Kostentypen!$A$119:$G$130,Tb_KostenTypen[[#This Row],[Kostentype]])&gt;0,1,0)</f>
        <v>0</v>
      </c>
      <c r="H24" s="172">
        <v>2053</v>
      </c>
      <c r="I24" s="172">
        <v>2053</v>
      </c>
      <c r="J24" s="172"/>
    </row>
    <row r="25" spans="2:10" x14ac:dyDescent="0.25">
      <c r="B25" t="s">
        <v>527</v>
      </c>
      <c r="C25" t="s">
        <v>49</v>
      </c>
      <c r="D25" s="137">
        <v>0</v>
      </c>
      <c r="E25" t="s">
        <v>50</v>
      </c>
      <c r="F25">
        <f ca="1">IF(OR(COUNTIFS(Kostentypen!$B$77:$O$88,Tb_KostenTypen[[#This Row],[Kostentype]])&gt;0,COUNTIFS(Kostentypen!$A$161:$O$172,Tb_KostenTypen[[#This Row],[Kostentype]])&gt;0),1,0)</f>
        <v>0</v>
      </c>
      <c r="G25">
        <f ca="1">IF(COUNTIFS(Kostentypen!$A$119:$G$130,Tb_KostenTypen[[#This Row],[Kostentype]])&gt;0,1,0)</f>
        <v>0</v>
      </c>
      <c r="H25" s="172">
        <v>2513</v>
      </c>
      <c r="I25" s="172">
        <v>2513</v>
      </c>
      <c r="J25" s="172"/>
    </row>
    <row r="26" spans="2:10" x14ac:dyDescent="0.25">
      <c r="B26" t="s">
        <v>528</v>
      </c>
      <c r="C26" t="s">
        <v>49</v>
      </c>
      <c r="D26" s="137">
        <v>0</v>
      </c>
      <c r="E26" t="s">
        <v>50</v>
      </c>
      <c r="F26">
        <f ca="1">IF(OR(COUNTIFS(Kostentypen!$B$77:$O$88,Tb_KostenTypen[[#This Row],[Kostentype]])&gt;0,COUNTIFS(Kostentypen!$A$161:$O$172,Tb_KostenTypen[[#This Row],[Kostentype]])&gt;0),1,0)</f>
        <v>0</v>
      </c>
      <c r="G26">
        <f ca="1">IF(COUNTIFS(Kostentypen!$A$119:$G$130,Tb_KostenTypen[[#This Row],[Kostentype]])&gt;0,1,0)</f>
        <v>0</v>
      </c>
      <c r="H26" s="172">
        <v>2447</v>
      </c>
      <c r="I26" s="172">
        <v>2447</v>
      </c>
      <c r="J26" s="172"/>
    </row>
    <row r="27" spans="2:10" x14ac:dyDescent="0.25">
      <c r="B27" t="s">
        <v>529</v>
      </c>
      <c r="C27" t="s">
        <v>49</v>
      </c>
      <c r="D27" s="137">
        <v>0</v>
      </c>
      <c r="E27" t="s">
        <v>50</v>
      </c>
      <c r="F27">
        <f ca="1">IF(OR(COUNTIFS(Kostentypen!$B$77:$O$88,Tb_KostenTypen[[#This Row],[Kostentype]])&gt;0,COUNTIFS(Kostentypen!$A$161:$O$172,Tb_KostenTypen[[#This Row],[Kostentype]])&gt;0),1,0)</f>
        <v>0</v>
      </c>
      <c r="G27">
        <f ca="1">IF(COUNTIFS(Kostentypen!$A$119:$G$130,Tb_KostenTypen[[#This Row],[Kostentype]])&gt;0,1,0)</f>
        <v>0</v>
      </c>
      <c r="H27" s="172">
        <v>2622</v>
      </c>
      <c r="I27" s="172">
        <v>2622</v>
      </c>
      <c r="J27" s="172"/>
    </row>
    <row r="28" spans="2:10" x14ac:dyDescent="0.25">
      <c r="B28" t="s">
        <v>530</v>
      </c>
      <c r="C28" t="s">
        <v>49</v>
      </c>
      <c r="D28" s="137">
        <v>0</v>
      </c>
      <c r="E28" t="s">
        <v>50</v>
      </c>
      <c r="F28">
        <f ca="1">IF(OR(COUNTIFS(Kostentypen!$B$77:$O$88,Tb_KostenTypen[[#This Row],[Kostentype]])&gt;0,COUNTIFS(Kostentypen!$A$161:$O$172,Tb_KostenTypen[[#This Row],[Kostentype]])&gt;0),1,0)</f>
        <v>0</v>
      </c>
      <c r="G28">
        <f ca="1">IF(COUNTIFS(Kostentypen!$A$119:$G$130,Tb_KostenTypen[[#This Row],[Kostentype]])&gt;0,1,0)</f>
        <v>0</v>
      </c>
      <c r="H28" s="172">
        <v>3032</v>
      </c>
      <c r="I28" s="172">
        <v>3032</v>
      </c>
      <c r="J28" s="172"/>
    </row>
    <row r="29" spans="2:10" x14ac:dyDescent="0.25">
      <c r="B29" t="s">
        <v>531</v>
      </c>
      <c r="C29" t="s">
        <v>49</v>
      </c>
      <c r="D29" s="137">
        <v>0</v>
      </c>
      <c r="E29" t="s">
        <v>50</v>
      </c>
      <c r="F29">
        <f ca="1">IF(OR(COUNTIFS(Kostentypen!$B$77:$O$88,Tb_KostenTypen[[#This Row],[Kostentype]])&gt;0,COUNTIFS(Kostentypen!$A$161:$O$172,Tb_KostenTypen[[#This Row],[Kostentype]])&gt;0),1,0)</f>
        <v>0</v>
      </c>
      <c r="G29">
        <f ca="1">IF(COUNTIFS(Kostentypen!$A$119:$G$130,Tb_KostenTypen[[#This Row],[Kostentype]])&gt;0,1,0)</f>
        <v>0</v>
      </c>
      <c r="H29" s="172">
        <v>0</v>
      </c>
      <c r="I29" s="172">
        <v>0</v>
      </c>
      <c r="J29" s="172"/>
    </row>
    <row r="30" spans="2:10" x14ac:dyDescent="0.25">
      <c r="B30" t="s">
        <v>532</v>
      </c>
      <c r="C30" t="s">
        <v>49</v>
      </c>
      <c r="D30" s="137">
        <v>0</v>
      </c>
      <c r="E30" t="s">
        <v>50</v>
      </c>
      <c r="F30">
        <f ca="1">IF(OR(COUNTIFS(Kostentypen!$B$77:$O$88,Tb_KostenTypen[[#This Row],[Kostentype]])&gt;0,COUNTIFS(Kostentypen!$A$161:$O$172,Tb_KostenTypen[[#This Row],[Kostentype]])&gt;0),1,0)</f>
        <v>0</v>
      </c>
      <c r="G30">
        <f ca="1">IF(COUNTIFS(Kostentypen!$A$119:$G$130,Tb_KostenTypen[[#This Row],[Kostentype]])&gt;0,1,0)</f>
        <v>0</v>
      </c>
      <c r="H30" s="172">
        <v>0</v>
      </c>
      <c r="I30" s="172">
        <v>0</v>
      </c>
      <c r="J30" s="172"/>
    </row>
    <row r="31" spans="2:10" x14ac:dyDescent="0.25">
      <c r="B31" t="s">
        <v>533</v>
      </c>
      <c r="C31" t="s">
        <v>49</v>
      </c>
      <c r="D31" s="137">
        <v>0</v>
      </c>
      <c r="E31" t="s">
        <v>50</v>
      </c>
      <c r="F31">
        <f ca="1">IF(OR(COUNTIFS(Kostentypen!$B$77:$O$88,Tb_KostenTypen[[#This Row],[Kostentype]])&gt;0,COUNTIFS(Kostentypen!$A$161:$O$172,Tb_KostenTypen[[#This Row],[Kostentype]])&gt;0),1,0)</f>
        <v>0</v>
      </c>
      <c r="G31">
        <f ca="1">IF(COUNTIFS(Kostentypen!$A$119:$G$130,Tb_KostenTypen[[#This Row],[Kostentype]])&gt;0,1,0)</f>
        <v>0</v>
      </c>
      <c r="H31" s="172">
        <v>0</v>
      </c>
      <c r="I31" s="172">
        <v>0</v>
      </c>
      <c r="J31" s="172"/>
    </row>
    <row r="32" spans="2:10" x14ac:dyDescent="0.25">
      <c r="B32" t="s">
        <v>534</v>
      </c>
      <c r="C32" t="s">
        <v>49</v>
      </c>
      <c r="D32" s="137">
        <v>0</v>
      </c>
      <c r="E32" t="s">
        <v>50</v>
      </c>
      <c r="F32">
        <f ca="1">IF(OR(COUNTIFS(Kostentypen!$B$77:$O$88,Tb_KostenTypen[[#This Row],[Kostentype]])&gt;0,COUNTIFS(Kostentypen!$A$161:$O$172,Tb_KostenTypen[[#This Row],[Kostentype]])&gt;0),1,0)</f>
        <v>0</v>
      </c>
      <c r="G32">
        <f ca="1">IF(COUNTIFS(Kostentypen!$A$119:$G$130,Tb_KostenTypen[[#This Row],[Kostentype]])&gt;0,1,0)</f>
        <v>0</v>
      </c>
      <c r="H32" s="172">
        <v>0</v>
      </c>
      <c r="I32" s="172">
        <v>0</v>
      </c>
      <c r="J32" s="172"/>
    </row>
    <row r="33" spans="2:10" x14ac:dyDescent="0.25">
      <c r="B33" t="s">
        <v>535</v>
      </c>
      <c r="C33" t="s">
        <v>49</v>
      </c>
      <c r="D33" s="137">
        <v>0</v>
      </c>
      <c r="E33" t="s">
        <v>50</v>
      </c>
      <c r="F33">
        <f ca="1">IF(OR(COUNTIFS(Kostentypen!$B$77:$O$88,Tb_KostenTypen[[#This Row],[Kostentype]])&gt;0,COUNTIFS(Kostentypen!$A$161:$O$172,Tb_KostenTypen[[#This Row],[Kostentype]])&gt;0),1,0)</f>
        <v>0</v>
      </c>
      <c r="G33">
        <f ca="1">IF(COUNTIFS(Kostentypen!$A$119:$G$130,Tb_KostenTypen[[#This Row],[Kostentype]])&gt;0,1,0)</f>
        <v>0</v>
      </c>
      <c r="H33" s="172">
        <v>0</v>
      </c>
      <c r="I33" s="172">
        <v>0</v>
      </c>
      <c r="J33" s="172"/>
    </row>
    <row r="34" spans="2:10" x14ac:dyDescent="0.25">
      <c r="B34" t="s">
        <v>536</v>
      </c>
      <c r="C34" t="s">
        <v>49</v>
      </c>
      <c r="D34" s="137">
        <v>0</v>
      </c>
      <c r="E34" t="s">
        <v>50</v>
      </c>
      <c r="F34">
        <f ca="1">IF(OR(COUNTIFS(Kostentypen!$B$77:$O$88,Tb_KostenTypen[[#This Row],[Kostentype]])&gt;0,COUNTIFS(Kostentypen!$A$161:$O$172,Tb_KostenTypen[[#This Row],[Kostentype]])&gt;0),1,0)</f>
        <v>0</v>
      </c>
      <c r="G34">
        <f ca="1">IF(COUNTIFS(Kostentypen!$A$119:$G$130,Tb_KostenTypen[[#This Row],[Kostentype]])&gt;0,1,0)</f>
        <v>0</v>
      </c>
      <c r="H34" s="172">
        <v>0</v>
      </c>
      <c r="I34" s="172">
        <v>0</v>
      </c>
      <c r="J34" s="172"/>
    </row>
    <row r="35" spans="2:10" x14ac:dyDescent="0.25">
      <c r="B35" t="s">
        <v>537</v>
      </c>
      <c r="C35" t="s">
        <v>49</v>
      </c>
      <c r="D35" s="137">
        <v>0</v>
      </c>
      <c r="E35" t="s">
        <v>50</v>
      </c>
      <c r="F35">
        <f ca="1">IF(OR(COUNTIFS(Kostentypen!$B$77:$O$88,Tb_KostenTypen[[#This Row],[Kostentype]])&gt;0,COUNTIFS(Kostentypen!$A$161:$O$172,Tb_KostenTypen[[#This Row],[Kostentype]])&gt;0),1,0)</f>
        <v>0</v>
      </c>
      <c r="G35">
        <f ca="1">IF(COUNTIFS(Kostentypen!$A$119:$G$130,Tb_KostenTypen[[#This Row],[Kostentype]])&gt;0,1,0)</f>
        <v>0</v>
      </c>
      <c r="H35" s="172">
        <v>0</v>
      </c>
      <c r="I35" s="172">
        <v>0</v>
      </c>
      <c r="J35" s="172"/>
    </row>
    <row r="36" spans="2:10" x14ac:dyDescent="0.25">
      <c r="B36" t="s">
        <v>538</v>
      </c>
      <c r="C36" t="s">
        <v>49</v>
      </c>
      <c r="D36" s="137">
        <v>0</v>
      </c>
      <c r="E36" t="s">
        <v>50</v>
      </c>
      <c r="F36">
        <f ca="1">IF(OR(COUNTIFS(Kostentypen!$B$77:$O$88,Tb_KostenTypen[[#This Row],[Kostentype]])&gt;0,COUNTIFS(Kostentypen!$A$161:$O$172,Tb_KostenTypen[[#This Row],[Kostentype]])&gt;0),1,0)</f>
        <v>0</v>
      </c>
      <c r="G36">
        <f ca="1">IF(COUNTIFS(Kostentypen!$A$119:$G$130,Tb_KostenTypen[[#This Row],[Kostentype]])&gt;0,1,0)</f>
        <v>0</v>
      </c>
      <c r="H36" s="172">
        <v>0</v>
      </c>
      <c r="I36" s="172">
        <v>0</v>
      </c>
      <c r="J36" s="172"/>
    </row>
    <row r="37" spans="2:10" x14ac:dyDescent="0.25">
      <c r="B37" t="s">
        <v>539</v>
      </c>
      <c r="C37" t="s">
        <v>49</v>
      </c>
      <c r="D37" s="137">
        <v>0</v>
      </c>
      <c r="E37" t="s">
        <v>50</v>
      </c>
      <c r="F37">
        <f ca="1">IF(OR(COUNTIFS(Kostentypen!$B$77:$O$88,Tb_KostenTypen[[#This Row],[Kostentype]])&gt;0,COUNTIFS(Kostentypen!$A$161:$O$172,Tb_KostenTypen[[#This Row],[Kostentype]])&gt;0),1,0)</f>
        <v>0</v>
      </c>
      <c r="G37">
        <f ca="1">IF(COUNTIFS(Kostentypen!$A$119:$G$130,Tb_KostenTypen[[#This Row],[Kostentype]])&gt;0,1,0)</f>
        <v>0</v>
      </c>
      <c r="H37" s="172">
        <v>0</v>
      </c>
      <c r="I37" s="172">
        <v>0</v>
      </c>
      <c r="J37" s="172"/>
    </row>
    <row r="38" spans="2:10" x14ac:dyDescent="0.25">
      <c r="B38" t="s">
        <v>540</v>
      </c>
      <c r="C38" t="s">
        <v>49</v>
      </c>
      <c r="D38" s="137">
        <v>0</v>
      </c>
      <c r="E38" t="s">
        <v>50</v>
      </c>
      <c r="F38">
        <f ca="1">IF(OR(COUNTIFS(Kostentypen!$B$77:$O$88,Tb_KostenTypen[[#This Row],[Kostentype]])&gt;0,COUNTIFS(Kostentypen!$A$161:$O$172,Tb_KostenTypen[[#This Row],[Kostentype]])&gt;0),1,0)</f>
        <v>0</v>
      </c>
      <c r="G38">
        <f ca="1">IF(COUNTIFS(Kostentypen!$A$119:$G$130,Tb_KostenTypen[[#This Row],[Kostentype]])&gt;0,1,0)</f>
        <v>0</v>
      </c>
      <c r="H38" s="172">
        <v>0</v>
      </c>
      <c r="I38" s="172">
        <v>0</v>
      </c>
      <c r="J38" s="172"/>
    </row>
    <row r="39" spans="2:10" x14ac:dyDescent="0.25">
      <c r="B39" t="s">
        <v>541</v>
      </c>
      <c r="C39" t="s">
        <v>49</v>
      </c>
      <c r="D39" s="137">
        <v>0</v>
      </c>
      <c r="E39" t="s">
        <v>50</v>
      </c>
      <c r="F39">
        <f ca="1">IF(OR(COUNTIFS(Kostentypen!$B$77:$O$88,Tb_KostenTypen[[#This Row],[Kostentype]])&gt;0,COUNTIFS(Kostentypen!$A$161:$O$172,Tb_KostenTypen[[#This Row],[Kostentype]])&gt;0),1,0)</f>
        <v>0</v>
      </c>
      <c r="G39">
        <f ca="1">IF(COUNTIFS(Kostentypen!$A$119:$G$130,Tb_KostenTypen[[#This Row],[Kostentype]])&gt;0,1,0)</f>
        <v>0</v>
      </c>
      <c r="H39" s="172">
        <v>0</v>
      </c>
      <c r="I39" s="172">
        <v>0</v>
      </c>
      <c r="J39" s="172"/>
    </row>
    <row r="40" spans="2:10" x14ac:dyDescent="0.25">
      <c r="B40" t="s">
        <v>542</v>
      </c>
      <c r="C40" t="s">
        <v>49</v>
      </c>
      <c r="D40" s="137">
        <v>0</v>
      </c>
      <c r="E40" t="s">
        <v>50</v>
      </c>
      <c r="F40">
        <f ca="1">IF(OR(COUNTIFS(Kostentypen!$B$77:$O$88,Tb_KostenTypen[[#This Row],[Kostentype]])&gt;0,COUNTIFS(Kostentypen!$A$161:$O$172,Tb_KostenTypen[[#This Row],[Kostentype]])&gt;0),1,0)</f>
        <v>0</v>
      </c>
      <c r="G40">
        <f ca="1">IF(COUNTIFS(Kostentypen!$A$119:$G$130,Tb_KostenTypen[[#This Row],[Kostentype]])&gt;0,1,0)</f>
        <v>0</v>
      </c>
      <c r="H40" s="172">
        <v>0</v>
      </c>
      <c r="I40" s="172">
        <v>0</v>
      </c>
      <c r="J40" s="172"/>
    </row>
    <row r="41" spans="2:10" x14ac:dyDescent="0.25">
      <c r="B41" t="s">
        <v>543</v>
      </c>
      <c r="C41" t="s">
        <v>49</v>
      </c>
      <c r="D41" s="137">
        <v>0</v>
      </c>
      <c r="E41" t="s">
        <v>50</v>
      </c>
      <c r="F41">
        <f ca="1">IF(OR(COUNTIFS(Kostentypen!$B$77:$O$88,Tb_KostenTypen[[#This Row],[Kostentype]])&gt;0,COUNTIFS(Kostentypen!$A$161:$O$172,Tb_KostenTypen[[#This Row],[Kostentype]])&gt;0),1,0)</f>
        <v>0</v>
      </c>
      <c r="G41">
        <f ca="1">IF(COUNTIFS(Kostentypen!$A$119:$G$130,Tb_KostenTypen[[#This Row],[Kostentype]])&gt;0,1,0)</f>
        <v>0</v>
      </c>
      <c r="H41" s="172">
        <v>0</v>
      </c>
      <c r="I41" s="172">
        <v>0</v>
      </c>
      <c r="J41" s="172"/>
    </row>
    <row r="42" spans="2:10" x14ac:dyDescent="0.25">
      <c r="B42" t="s">
        <v>544</v>
      </c>
      <c r="C42" t="s">
        <v>49</v>
      </c>
      <c r="D42" s="137">
        <v>0</v>
      </c>
      <c r="E42" t="s">
        <v>50</v>
      </c>
      <c r="F42">
        <f ca="1">IF(OR(COUNTIFS(Kostentypen!$B$77:$O$88,Tb_KostenTypen[[#This Row],[Kostentype]])&gt;0,COUNTIFS(Kostentypen!$A$161:$O$172,Tb_KostenTypen[[#This Row],[Kostentype]])&gt;0),1,0)</f>
        <v>0</v>
      </c>
      <c r="G42">
        <f ca="1">IF(COUNTIFS(Kostentypen!$A$119:$G$130,Tb_KostenTypen[[#This Row],[Kostentype]])&gt;0,1,0)</f>
        <v>0</v>
      </c>
      <c r="H42" s="172">
        <v>0</v>
      </c>
      <c r="I42" s="172">
        <v>0</v>
      </c>
      <c r="J42" s="172"/>
    </row>
    <row r="43" spans="2:10" x14ac:dyDescent="0.25">
      <c r="B43" t="s">
        <v>545</v>
      </c>
      <c r="C43" t="s">
        <v>49</v>
      </c>
      <c r="D43" s="137">
        <v>0</v>
      </c>
      <c r="E43" t="s">
        <v>50</v>
      </c>
      <c r="F43">
        <f ca="1">IF(OR(COUNTIFS(Kostentypen!$B$77:$O$88,Tb_KostenTypen[[#This Row],[Kostentype]])&gt;0,COUNTIFS(Kostentypen!$A$161:$O$172,Tb_KostenTypen[[#This Row],[Kostentype]])&gt;0),1,0)</f>
        <v>0</v>
      </c>
      <c r="G43">
        <f ca="1">IF(COUNTIFS(Kostentypen!$A$119:$G$130,Tb_KostenTypen[[#This Row],[Kostentype]])&gt;0,1,0)</f>
        <v>0</v>
      </c>
      <c r="H43" s="172">
        <v>0</v>
      </c>
      <c r="I43" s="172">
        <v>0</v>
      </c>
      <c r="J43" s="172"/>
    </row>
  </sheetData>
  <sheetProtection algorithmName="SHA-512" hashValue="o30X/eT+VxaUhysl/7YPe5X1HkXg8OTHN7pZw3wuDisYTASPyR/cYPRBDQnCiLbC5WO0PaTR0ch0goNw3gg1Lg==" saltValue="Ont/pCXjkRBwlgq6X7FeIw==" spinCount="100000" sheet="1" objects="1" scenarios="1" selectLockedCells="1" selectUnlockedCells="1"/>
  <phoneticPr fontId="4"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5" t="s">
        <v>129</v>
      </c>
      <c r="C1" s="156" t="s">
        <v>54</v>
      </c>
      <c r="D1" s="156" t="s">
        <v>191</v>
      </c>
      <c r="E1" s="156" t="s">
        <v>193</v>
      </c>
      <c r="F1" s="157" t="s">
        <v>192</v>
      </c>
    </row>
    <row r="2" spans="2:6" x14ac:dyDescent="0.25">
      <c r="B2" s="158" t="s">
        <v>24</v>
      </c>
      <c r="C2" t="str" cm="1">
        <f t="array" ref="C2:C4">IFERROR(_xlfn._xlws.FILTER(D2:D11,D2:D11&gt;"-"),"")</f>
        <v>Geen vereenvoudigde kostenoptie</v>
      </c>
      <c r="D2" s="158" t="str">
        <f>IFERROR(IF(VLOOKUP(Openstelling_Keuze,Tb_Openstelling[],F2,FALSE)=1,B2,"-"),"-")</f>
        <v>Geen vereenvoudigde kostenoptie</v>
      </c>
      <c r="E2" s="154" t="s">
        <v>190</v>
      </c>
      <c r="F2" s="158">
        <f>IFERROR(MATCH(E2,Tb_Openstelling[#Headers],0),"")</f>
        <v>3</v>
      </c>
    </row>
    <row r="3" spans="2:6" x14ac:dyDescent="0.25">
      <c r="B3" s="158" t="s">
        <v>23</v>
      </c>
      <c r="C3" s="159" t="str">
        <v>Vereenvoudigde kostenoptie voor arbeidskosten</v>
      </c>
      <c r="D3" s="158" t="str">
        <f>IFERROR(IF(VLOOKUP(Openstelling_Keuze,Tb_Openstelling[],F3,FALSE)=1,B3,"-"),"-")</f>
        <v>Vereenvoudigde kostenoptie voor arbeidskosten</v>
      </c>
      <c r="E3" s="154" t="s">
        <v>158</v>
      </c>
      <c r="F3" s="158">
        <f>IFERROR(MATCH(E3,Tb_Openstelling[#Headers],0),"")</f>
        <v>4</v>
      </c>
    </row>
    <row r="4" spans="2:6" x14ac:dyDescent="0.25">
      <c r="B4" s="158" t="s">
        <v>22</v>
      </c>
      <c r="C4" s="159" t="str">
        <v>Vereenvoudigde kostenoptie voor overige kosten</v>
      </c>
      <c r="D4" s="158" t="str">
        <f>IFERROR(IF(VLOOKUP(Openstelling_Keuze,Tb_Openstelling[],F4,FALSE)=1,B4,"-"),"-")</f>
        <v>Vereenvoudigde kostenoptie voor overige kosten</v>
      </c>
      <c r="E4" s="154" t="s">
        <v>159</v>
      </c>
      <c r="F4" s="158">
        <f>IFERROR(MATCH(E4,Tb_Openstelling[#Headers],0),"")</f>
        <v>5</v>
      </c>
    </row>
    <row r="5" spans="2:6" x14ac:dyDescent="0.25">
      <c r="B5" s="158"/>
      <c r="C5" s="159"/>
      <c r="D5" s="158" t="str">
        <f>IFERROR(IF(VLOOKUP(Openstelling_Keuze,Tb_Openstelling[],F5,FALSE)=1,B5,"-"),"-")</f>
        <v>-</v>
      </c>
      <c r="E5" s="154"/>
      <c r="F5" s="158" t="str">
        <f>IFERROR(MATCH(E5,Tb_Openstelling[#Headers],0),"")</f>
        <v/>
      </c>
    </row>
    <row r="6" spans="2:6" x14ac:dyDescent="0.25">
      <c r="B6" s="158"/>
      <c r="C6" s="159"/>
      <c r="D6" s="158" t="str">
        <f>IFERROR(IF(VLOOKUP(Openstelling_Keuze,Tb_Openstelling[],F6,FALSE)=1,B6,"-"),"-")</f>
        <v>-</v>
      </c>
      <c r="E6" s="154"/>
      <c r="F6" s="158" t="str">
        <f>IFERROR(MATCH(E6,Tb_Openstelling[#Headers],0),"")</f>
        <v/>
      </c>
    </row>
    <row r="7" spans="2:6" x14ac:dyDescent="0.25">
      <c r="B7" s="158"/>
      <c r="C7" s="159"/>
      <c r="D7" s="158" t="str">
        <f>IFERROR(IF(VLOOKUP(Openstelling_Keuze,Tb_Openstelling[],F7,FALSE)=1,B7,"-"),"-")</f>
        <v>-</v>
      </c>
      <c r="E7" s="154"/>
      <c r="F7" s="158" t="str">
        <f>IFERROR(MATCH(E7,Tb_Openstelling[#Headers],0),"")</f>
        <v/>
      </c>
    </row>
    <row r="8" spans="2:6" x14ac:dyDescent="0.25">
      <c r="B8" s="158"/>
      <c r="C8" s="159"/>
      <c r="D8" s="158" t="str">
        <f>IFERROR(IF(VLOOKUP(Openstelling_Keuze,Tb_Openstelling[],F8,FALSE)=1,B8,"-"),"-")</f>
        <v>-</v>
      </c>
      <c r="E8" s="154"/>
      <c r="F8" s="158" t="str">
        <f>IFERROR(MATCH(E8,Tb_Openstelling[#Headers],0),"")</f>
        <v/>
      </c>
    </row>
    <row r="9" spans="2:6" x14ac:dyDescent="0.25">
      <c r="B9" s="158"/>
      <c r="C9" s="159"/>
      <c r="D9" s="158" t="str">
        <f>IFERROR(IF(VLOOKUP(Openstelling_Keuze,Tb_Openstelling[],F9,FALSE)=1,B9,"-"),"-")</f>
        <v>-</v>
      </c>
      <c r="E9" s="154"/>
      <c r="F9" s="158" t="str">
        <f>IFERROR(MATCH(E9,Tb_Openstelling[#Headers],0),"")</f>
        <v/>
      </c>
    </row>
    <row r="10" spans="2:6" x14ac:dyDescent="0.25">
      <c r="B10" s="158"/>
      <c r="C10" s="159"/>
      <c r="D10" s="158" t="str">
        <f>IFERROR(IF(VLOOKUP(Openstelling_Keuze,Tb_Openstelling[],F10,FALSE)=1,B10,"-"),"-")</f>
        <v>-</v>
      </c>
      <c r="E10" s="154"/>
      <c r="F10" s="158" t="str">
        <f>IFERROR(MATCH(E10,Tb_Openstelling[#Headers],0),"")</f>
        <v/>
      </c>
    </row>
    <row r="11" spans="2:6" x14ac:dyDescent="0.25">
      <c r="B11" s="158"/>
      <c r="C11" s="159"/>
      <c r="D11" s="158" t="str">
        <f>IFERROR(IF(VLOOKUP(Openstelling_Keuze,Tb_Openstelling[],F11,FALSE)=1,B11,"-"),"-")</f>
        <v>-</v>
      </c>
      <c r="E11" s="154"/>
      <c r="F11" s="158" t="str">
        <f>IFERROR(MATCH(E11,Tb_Openstelling[#Headers],0),"")</f>
        <v/>
      </c>
    </row>
  </sheetData>
  <sheetProtection algorithmName="SHA-512" hashValue="KQIAaWlTJNRHsRGXYN8jDXVwZxVv6uscYbOKRsd+L6CFDy+ifSTHusRj9xMB8hEBLZ34LCrHNjh7O0GV0JSRwQ==" saltValue="QUY7bd6TTFAkHX9Uip0d3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3" sqref="B3:D3"/>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6"/>
      <c r="B1" s="238" t="s">
        <v>25</v>
      </c>
      <c r="C1" s="239"/>
      <c r="D1" s="239"/>
      <c r="E1" s="239"/>
      <c r="F1" s="239"/>
      <c r="G1" s="239"/>
      <c r="H1" s="239"/>
      <c r="I1" s="239"/>
      <c r="J1" s="239"/>
      <c r="K1" s="239"/>
      <c r="L1" s="240"/>
    </row>
    <row r="2" spans="1:12" ht="15" customHeight="1" x14ac:dyDescent="0.25">
      <c r="A2" s="118"/>
      <c r="B2" s="241" t="s">
        <v>20</v>
      </c>
      <c r="C2" s="242" t="str">
        <f>IF(OR('1. Aanvraaggegevens'!C8="",'1. Aanvraaggegevens'!C8=0),"Kies een berekeningsmethode op tabblad '1. Aanvraaggegevens'",'1. Aanvraaggegevens'!C8)</f>
        <v>Kies een berekeningsmethode op tabblad '1. Aanvraaggegevens'</v>
      </c>
      <c r="D2" s="243"/>
      <c r="E2" s="244"/>
      <c r="F2" s="244"/>
      <c r="G2" s="244"/>
      <c r="H2" s="244"/>
      <c r="I2" s="244"/>
      <c r="J2" s="244"/>
      <c r="K2" s="244"/>
      <c r="L2" s="245"/>
    </row>
    <row r="3" spans="1:12" ht="67.5" customHeight="1" x14ac:dyDescent="0.25">
      <c r="A3" s="233"/>
      <c r="B3" s="400" t="s">
        <v>552</v>
      </c>
      <c r="C3" s="401"/>
      <c r="D3" s="402"/>
      <c r="E3" s="396" t="str">
        <f>IF(OR(LEFT(Methode_Keuze,4)="Geen",Methode_Keuze=""),"Kosten","Kosten"&amp;CHAR(10)&amp;"(exclusief forfait)")</f>
        <v>Kosten</v>
      </c>
      <c r="F3" s="397"/>
      <c r="G3" s="396" t="str">
        <f>IF(OR(LEFT(Methode_Keuze,4)="Geen",Methode_Keuze=""),"Verdeling kosten naar rato","Verdeling kosten naar rato"&amp;CHAR(10)&amp;"(exclusief forfait)")</f>
        <v>Verdeling kosten naar rato</v>
      </c>
      <c r="H3" s="397"/>
      <c r="I3" s="396" t="str">
        <f>IF(OR(LEFT(Methode_Keuze,4)="Geen",Methode_Keuze=""),"Verdeling subsidie in %","Verdeling subsidie in %"&amp;CHAR(10)&amp;"(inclusief forfait)")</f>
        <v>Verdeling subsidie in %</v>
      </c>
      <c r="J3" s="397"/>
      <c r="K3" s="398" t="str">
        <f>IF(OR(LEFT(Methode_Keuze,4)="Geen",Methode_Keuze=""),"Subsidiebedrag","Subsidiebedrag"&amp;CHAR(10)&amp;"(inclusief forfait)")</f>
        <v>Subsidiebedrag</v>
      </c>
      <c r="L3" s="399"/>
    </row>
    <row r="4" spans="1:12" ht="30" x14ac:dyDescent="0.25">
      <c r="A4" s="115" t="s">
        <v>134</v>
      </c>
      <c r="B4" s="233" t="s">
        <v>30</v>
      </c>
      <c r="C4" s="115" t="s">
        <v>9</v>
      </c>
      <c r="D4" s="115" t="s">
        <v>10</v>
      </c>
      <c r="E4" s="115" t="s">
        <v>60</v>
      </c>
      <c r="F4" s="115" t="s">
        <v>59</v>
      </c>
      <c r="G4" s="115" t="s">
        <v>60</v>
      </c>
      <c r="H4" s="115" t="s">
        <v>59</v>
      </c>
      <c r="I4" s="115" t="s">
        <v>60</v>
      </c>
      <c r="J4" s="115" t="s">
        <v>59</v>
      </c>
      <c r="K4" s="115" t="s">
        <v>60</v>
      </c>
      <c r="L4" s="115" t="s">
        <v>59</v>
      </c>
    </row>
    <row r="5" spans="1:12" x14ac:dyDescent="0.25">
      <c r="A5" s="306">
        <v>1</v>
      </c>
      <c r="B5" s="298"/>
      <c r="C5" s="371"/>
      <c r="D5" s="371"/>
      <c r="E5" s="300" t="str">
        <f>IF($B5="","",SUMIF('5. Kosten uitvoering project'!$B$6:$R$250,B5,'5. Kosten uitvoering project'!$P$6:$P$250))</f>
        <v/>
      </c>
      <c r="F5" s="307" t="str">
        <f>IF($B5="","",SUMIF('5. Kosten uitvoering project'!$B$6:$R$250,B5,'5. Kosten uitvoering project'!$Q$6:$Q$250))</f>
        <v/>
      </c>
      <c r="G5" s="308" t="str">
        <f>IFERROR(IF(OR(E5="",E5=0),"",ROUND(E5/(Totaal_Project-SUM(Forfait_Aanvraag)),2)),0)</f>
        <v/>
      </c>
      <c r="H5" s="309" t="str">
        <f t="shared" ref="H5:H34" si="0">IF(OR(F5="",F5=0),"",ROUND(F5/(Beoord_Totaal_Project-SUM(Beoord_Forfait_Aanvraag)),2))</f>
        <v/>
      </c>
      <c r="I5" s="310"/>
      <c r="J5" s="310"/>
      <c r="K5" s="304" t="str">
        <f>IF(OR(E5="",E5=0),"",K$42*I5)</f>
        <v/>
      </c>
      <c r="L5" s="307" t="str">
        <f>IF(OR(F5="",F5=0),"",L$42*J5)</f>
        <v/>
      </c>
    </row>
    <row r="6" spans="1:12" x14ac:dyDescent="0.25">
      <c r="A6" s="306">
        <v>2</v>
      </c>
      <c r="B6" s="298"/>
      <c r="C6" s="371"/>
      <c r="D6" s="371"/>
      <c r="E6" s="300" t="str">
        <f>IF($B6="","",SUMIF('5. Kosten uitvoering project'!$B$6:$R$250,B6,'5. Kosten uitvoering project'!$P$6:$P$250))</f>
        <v/>
      </c>
      <c r="F6" s="307" t="str">
        <f>IF($B6="","",SUMIF('5. Kosten uitvoering project'!$B$6:$R$250,B6,'5. Kosten uitvoering project'!$Q$6:$Q$250))</f>
        <v/>
      </c>
      <c r="G6" s="308" t="str">
        <f t="shared" ref="G6:G34" si="1">IFERROR(IF(OR(E6="",E6=0),"",ROUND(E6/(Totaal_Project-SUM(Forfait_Aanvraag)),2)),0)</f>
        <v/>
      </c>
      <c r="H6" s="309" t="str">
        <f t="shared" si="0"/>
        <v/>
      </c>
      <c r="I6" s="310"/>
      <c r="J6" s="310"/>
      <c r="K6" s="304" t="str">
        <f t="shared" ref="K6:K34" si="2">IF(OR(E6="",E6=0),"",K$42*I6)</f>
        <v/>
      </c>
      <c r="L6" s="307" t="str">
        <f t="shared" ref="L6:L34" si="3">IF(OR(F6="",F6=0),"",L$42*J6)</f>
        <v/>
      </c>
    </row>
    <row r="7" spans="1:12" x14ac:dyDescent="0.25">
      <c r="A7" s="306">
        <v>3</v>
      </c>
      <c r="B7" s="298"/>
      <c r="C7" s="371"/>
      <c r="D7" s="371"/>
      <c r="E7" s="300" t="str">
        <f>IF($B7="","",SUMIF('5. Kosten uitvoering project'!$B$6:$R$250,B7,'5. Kosten uitvoering project'!$P$6:$P$250))</f>
        <v/>
      </c>
      <c r="F7" s="307" t="str">
        <f>IF($B7="","",SUMIF('5. Kosten uitvoering project'!$B$6:$R$250,B7,'5. Kosten uitvoering project'!$Q$6:$Q$250))</f>
        <v/>
      </c>
      <c r="G7" s="308" t="str">
        <f t="shared" si="1"/>
        <v/>
      </c>
      <c r="H7" s="309" t="str">
        <f t="shared" si="0"/>
        <v/>
      </c>
      <c r="I7" s="310"/>
      <c r="J7" s="310"/>
      <c r="K7" s="304" t="str">
        <f t="shared" si="2"/>
        <v/>
      </c>
      <c r="L7" s="307" t="str">
        <f t="shared" si="3"/>
        <v/>
      </c>
    </row>
    <row r="8" spans="1:12" x14ac:dyDescent="0.25">
      <c r="A8" s="306">
        <v>4</v>
      </c>
      <c r="B8" s="298"/>
      <c r="C8" s="371"/>
      <c r="D8" s="371"/>
      <c r="E8" s="300" t="str">
        <f>IF($B8="","",SUMIF('5. Kosten uitvoering project'!$B$6:$R$250,B8,'5. Kosten uitvoering project'!$P$6:$P$250))</f>
        <v/>
      </c>
      <c r="F8" s="307" t="str">
        <f>IF($B8="","",SUMIF('5. Kosten uitvoering project'!$B$6:$R$250,B8,'5. Kosten uitvoering project'!$Q$6:$Q$250))</f>
        <v/>
      </c>
      <c r="G8" s="308" t="str">
        <f t="shared" si="1"/>
        <v/>
      </c>
      <c r="H8" s="309" t="str">
        <f t="shared" si="0"/>
        <v/>
      </c>
      <c r="I8" s="310"/>
      <c r="J8" s="310"/>
      <c r="K8" s="304" t="str">
        <f t="shared" si="2"/>
        <v/>
      </c>
      <c r="L8" s="307" t="str">
        <f t="shared" si="3"/>
        <v/>
      </c>
    </row>
    <row r="9" spans="1:12" x14ac:dyDescent="0.25">
      <c r="A9" s="306">
        <v>5</v>
      </c>
      <c r="B9" s="298"/>
      <c r="C9" s="371"/>
      <c r="D9" s="371"/>
      <c r="E9" s="300" t="str">
        <f>IF($B9="","",SUMIF('5. Kosten uitvoering project'!$B$6:$R$250,B9,'5. Kosten uitvoering project'!$P$6:$P$250))</f>
        <v/>
      </c>
      <c r="F9" s="307" t="str">
        <f>IF($B9="","",SUMIF('5. Kosten uitvoering project'!$B$6:$R$250,B9,'5. Kosten uitvoering project'!$Q$6:$Q$250))</f>
        <v/>
      </c>
      <c r="G9" s="308" t="str">
        <f t="shared" si="1"/>
        <v/>
      </c>
      <c r="H9" s="309" t="str">
        <f t="shared" si="0"/>
        <v/>
      </c>
      <c r="I9" s="310"/>
      <c r="J9" s="310"/>
      <c r="K9" s="304" t="str">
        <f t="shared" si="2"/>
        <v/>
      </c>
      <c r="L9" s="307" t="str">
        <f t="shared" si="3"/>
        <v/>
      </c>
    </row>
    <row r="10" spans="1:12" x14ac:dyDescent="0.25">
      <c r="A10" s="306">
        <v>6</v>
      </c>
      <c r="B10" s="298"/>
      <c r="C10" s="371"/>
      <c r="D10" s="371"/>
      <c r="E10" s="300" t="str">
        <f>IF($B10="","",SUMIF('5. Kosten uitvoering project'!$B$6:$R$250,B10,'5. Kosten uitvoering project'!$P$6:$P$250))</f>
        <v/>
      </c>
      <c r="F10" s="307" t="str">
        <f>IF($B10="","",SUMIF('5. Kosten uitvoering project'!$B$6:$R$250,B10,'5. Kosten uitvoering project'!$Q$6:$Q$250))</f>
        <v/>
      </c>
      <c r="G10" s="308" t="str">
        <f t="shared" si="1"/>
        <v/>
      </c>
      <c r="H10" s="309" t="str">
        <f t="shared" si="0"/>
        <v/>
      </c>
      <c r="I10" s="310"/>
      <c r="J10" s="310"/>
      <c r="K10" s="304" t="str">
        <f t="shared" si="2"/>
        <v/>
      </c>
      <c r="L10" s="307" t="str">
        <f t="shared" si="3"/>
        <v/>
      </c>
    </row>
    <row r="11" spans="1:12" x14ac:dyDescent="0.25">
      <c r="A11" s="306">
        <v>7</v>
      </c>
      <c r="B11" s="298"/>
      <c r="C11" s="371"/>
      <c r="D11" s="371"/>
      <c r="E11" s="300" t="str">
        <f>IF($B11="","",SUMIF('5. Kosten uitvoering project'!$B$6:$R$250,B11,'5. Kosten uitvoering project'!$P$6:$P$250))</f>
        <v/>
      </c>
      <c r="F11" s="307" t="str">
        <f>IF($B11="","",SUMIF('5. Kosten uitvoering project'!$B$6:$R$250,B11,'5. Kosten uitvoering project'!$Q$6:$Q$250))</f>
        <v/>
      </c>
      <c r="G11" s="308" t="str">
        <f t="shared" si="1"/>
        <v/>
      </c>
      <c r="H11" s="309" t="str">
        <f t="shared" si="0"/>
        <v/>
      </c>
      <c r="I11" s="310"/>
      <c r="J11" s="310"/>
      <c r="K11" s="304" t="str">
        <f t="shared" si="2"/>
        <v/>
      </c>
      <c r="L11" s="307" t="str">
        <f t="shared" si="3"/>
        <v/>
      </c>
    </row>
    <row r="12" spans="1:12" x14ac:dyDescent="0.25">
      <c r="A12" s="306">
        <v>8</v>
      </c>
      <c r="B12" s="298"/>
      <c r="C12" s="371"/>
      <c r="D12" s="371"/>
      <c r="E12" s="300" t="str">
        <f>IF($B12="","",SUMIF('5. Kosten uitvoering project'!$B$6:$R$250,B12,'5. Kosten uitvoering project'!$P$6:$P$250))</f>
        <v/>
      </c>
      <c r="F12" s="307" t="str">
        <f>IF($B12="","",SUMIF('5. Kosten uitvoering project'!$B$6:$R$250,B12,'5. Kosten uitvoering project'!$Q$6:$Q$250))</f>
        <v/>
      </c>
      <c r="G12" s="308" t="str">
        <f t="shared" si="1"/>
        <v/>
      </c>
      <c r="H12" s="309" t="str">
        <f t="shared" si="0"/>
        <v/>
      </c>
      <c r="I12" s="310"/>
      <c r="J12" s="310"/>
      <c r="K12" s="304" t="str">
        <f t="shared" si="2"/>
        <v/>
      </c>
      <c r="L12" s="307" t="str">
        <f t="shared" si="3"/>
        <v/>
      </c>
    </row>
    <row r="13" spans="1:12" x14ac:dyDescent="0.25">
      <c r="A13" s="306">
        <v>9</v>
      </c>
      <c r="B13" s="298"/>
      <c r="C13" s="371"/>
      <c r="D13" s="371"/>
      <c r="E13" s="300" t="str">
        <f>IF($B13="","",SUMIF('5. Kosten uitvoering project'!$B$6:$R$250,B13,'5. Kosten uitvoering project'!$P$6:$P$250))</f>
        <v/>
      </c>
      <c r="F13" s="307" t="str">
        <f>IF($B13="","",SUMIF('5. Kosten uitvoering project'!$B$6:$R$250,B13,'5. Kosten uitvoering project'!$Q$6:$Q$250))</f>
        <v/>
      </c>
      <c r="G13" s="308" t="str">
        <f t="shared" si="1"/>
        <v/>
      </c>
      <c r="H13" s="309" t="str">
        <f t="shared" si="0"/>
        <v/>
      </c>
      <c r="I13" s="310"/>
      <c r="J13" s="310"/>
      <c r="K13" s="304" t="str">
        <f t="shared" si="2"/>
        <v/>
      </c>
      <c r="L13" s="307" t="str">
        <f t="shared" si="3"/>
        <v/>
      </c>
    </row>
    <row r="14" spans="1:12" x14ac:dyDescent="0.25">
      <c r="A14" s="306">
        <v>10</v>
      </c>
      <c r="B14" s="298"/>
      <c r="C14" s="371"/>
      <c r="D14" s="371"/>
      <c r="E14" s="300" t="str">
        <f>IF($B14="","",SUMIF('5. Kosten uitvoering project'!$B$6:$R$250,B14,'5. Kosten uitvoering project'!$P$6:$P$250))</f>
        <v/>
      </c>
      <c r="F14" s="307" t="str">
        <f>IF($B14="","",SUMIF('5. Kosten uitvoering project'!$B$6:$R$250,B14,'5. Kosten uitvoering project'!$Q$6:$Q$250))</f>
        <v/>
      </c>
      <c r="G14" s="308" t="str">
        <f t="shared" si="1"/>
        <v/>
      </c>
      <c r="H14" s="309" t="str">
        <f t="shared" si="0"/>
        <v/>
      </c>
      <c r="I14" s="310"/>
      <c r="J14" s="310"/>
      <c r="K14" s="304" t="str">
        <f t="shared" si="2"/>
        <v/>
      </c>
      <c r="L14" s="307" t="str">
        <f t="shared" si="3"/>
        <v/>
      </c>
    </row>
    <row r="15" spans="1:12" x14ac:dyDescent="0.25">
      <c r="A15" s="306">
        <v>11</v>
      </c>
      <c r="B15" s="298"/>
      <c r="C15" s="371"/>
      <c r="D15" s="371"/>
      <c r="E15" s="300" t="str">
        <f>IF($B15="","",SUMIF('5. Kosten uitvoering project'!$B$6:$R$250,B15,'5. Kosten uitvoering project'!$P$6:$P$250))</f>
        <v/>
      </c>
      <c r="F15" s="307" t="str">
        <f>IF($B15="","",SUMIF('5. Kosten uitvoering project'!$B$6:$R$250,B15,'5. Kosten uitvoering project'!$Q$6:$Q$250))</f>
        <v/>
      </c>
      <c r="G15" s="308" t="str">
        <f t="shared" si="1"/>
        <v/>
      </c>
      <c r="H15" s="309" t="str">
        <f t="shared" si="0"/>
        <v/>
      </c>
      <c r="I15" s="310"/>
      <c r="J15" s="310"/>
      <c r="K15" s="304" t="str">
        <f t="shared" si="2"/>
        <v/>
      </c>
      <c r="L15" s="307" t="str">
        <f t="shared" si="3"/>
        <v/>
      </c>
    </row>
    <row r="16" spans="1:12" x14ac:dyDescent="0.25">
      <c r="A16" s="306">
        <v>12</v>
      </c>
      <c r="B16" s="298"/>
      <c r="C16" s="371"/>
      <c r="D16" s="371"/>
      <c r="E16" s="300" t="str">
        <f>IF($B16="","",SUMIF('5. Kosten uitvoering project'!$B$6:$R$250,B16,'5. Kosten uitvoering project'!$P$6:$P$250))</f>
        <v/>
      </c>
      <c r="F16" s="307" t="str">
        <f>IF($B16="","",SUMIF('5. Kosten uitvoering project'!$B$6:$R$250,B16,'5. Kosten uitvoering project'!$Q$6:$Q$250))</f>
        <v/>
      </c>
      <c r="G16" s="308" t="str">
        <f t="shared" si="1"/>
        <v/>
      </c>
      <c r="H16" s="309" t="str">
        <f t="shared" si="0"/>
        <v/>
      </c>
      <c r="I16" s="310"/>
      <c r="J16" s="310"/>
      <c r="K16" s="304" t="str">
        <f t="shared" si="2"/>
        <v/>
      </c>
      <c r="L16" s="307" t="str">
        <f t="shared" si="3"/>
        <v/>
      </c>
    </row>
    <row r="17" spans="1:12" x14ac:dyDescent="0.25">
      <c r="A17" s="306">
        <v>13</v>
      </c>
      <c r="B17" s="298"/>
      <c r="C17" s="371"/>
      <c r="D17" s="371"/>
      <c r="E17" s="300" t="str">
        <f>IF($B17="","",SUMIF('5. Kosten uitvoering project'!$B$6:$R$250,B17,'5. Kosten uitvoering project'!$P$6:$P$250))</f>
        <v/>
      </c>
      <c r="F17" s="307" t="str">
        <f>IF($B17="","",SUMIF('5. Kosten uitvoering project'!$B$6:$R$250,B17,'5. Kosten uitvoering project'!$Q$6:$Q$250))</f>
        <v/>
      </c>
      <c r="G17" s="308" t="str">
        <f t="shared" si="1"/>
        <v/>
      </c>
      <c r="H17" s="309" t="str">
        <f t="shared" si="0"/>
        <v/>
      </c>
      <c r="I17" s="310"/>
      <c r="J17" s="310"/>
      <c r="K17" s="304" t="str">
        <f t="shared" si="2"/>
        <v/>
      </c>
      <c r="L17" s="307" t="str">
        <f t="shared" si="3"/>
        <v/>
      </c>
    </row>
    <row r="18" spans="1:12" x14ac:dyDescent="0.25">
      <c r="A18" s="306">
        <v>14</v>
      </c>
      <c r="B18" s="298"/>
      <c r="C18" s="371"/>
      <c r="D18" s="371"/>
      <c r="E18" s="300" t="str">
        <f>IF($B18="","",SUMIF('5. Kosten uitvoering project'!$B$6:$R$250,B18,'5. Kosten uitvoering project'!$P$6:$P$250))</f>
        <v/>
      </c>
      <c r="F18" s="307" t="str">
        <f>IF($B18="","",SUMIF('5. Kosten uitvoering project'!$B$6:$R$250,B18,'5. Kosten uitvoering project'!$Q$6:$Q$250))</f>
        <v/>
      </c>
      <c r="G18" s="308" t="str">
        <f t="shared" si="1"/>
        <v/>
      </c>
      <c r="H18" s="309" t="str">
        <f t="shared" si="0"/>
        <v/>
      </c>
      <c r="I18" s="310"/>
      <c r="J18" s="310"/>
      <c r="K18" s="304" t="str">
        <f t="shared" si="2"/>
        <v/>
      </c>
      <c r="L18" s="307" t="str">
        <f t="shared" si="3"/>
        <v/>
      </c>
    </row>
    <row r="19" spans="1:12" x14ac:dyDescent="0.25">
      <c r="A19" s="306">
        <v>15</v>
      </c>
      <c r="B19" s="298"/>
      <c r="C19" s="371"/>
      <c r="D19" s="371"/>
      <c r="E19" s="300" t="str">
        <f>IF($B19="","",SUMIF('5. Kosten uitvoering project'!$B$6:$R$250,B19,'5. Kosten uitvoering project'!$P$6:$P$250))</f>
        <v/>
      </c>
      <c r="F19" s="307" t="str">
        <f>IF($B19="","",SUMIF('5. Kosten uitvoering project'!$B$6:$R$250,B19,'5. Kosten uitvoering project'!$Q$6:$Q$250))</f>
        <v/>
      </c>
      <c r="G19" s="308" t="str">
        <f t="shared" si="1"/>
        <v/>
      </c>
      <c r="H19" s="309" t="str">
        <f t="shared" si="0"/>
        <v/>
      </c>
      <c r="I19" s="310"/>
      <c r="J19" s="310"/>
      <c r="K19" s="304" t="str">
        <f t="shared" si="2"/>
        <v/>
      </c>
      <c r="L19" s="307" t="str">
        <f t="shared" si="3"/>
        <v/>
      </c>
    </row>
    <row r="20" spans="1:12" x14ac:dyDescent="0.25">
      <c r="A20" s="306">
        <v>16</v>
      </c>
      <c r="B20" s="298"/>
      <c r="C20" s="371"/>
      <c r="D20" s="371"/>
      <c r="E20" s="300" t="str">
        <f>IF($B20="","",SUMIF('5. Kosten uitvoering project'!$B$6:$R$250,B20,'5. Kosten uitvoering project'!$P$6:$P$250))</f>
        <v/>
      </c>
      <c r="F20" s="307" t="str">
        <f>IF($B20="","",SUMIF('5. Kosten uitvoering project'!$B$6:$R$250,B20,'5. Kosten uitvoering project'!$Q$6:$Q$250))</f>
        <v/>
      </c>
      <c r="G20" s="308" t="str">
        <f t="shared" si="1"/>
        <v/>
      </c>
      <c r="H20" s="309" t="str">
        <f t="shared" si="0"/>
        <v/>
      </c>
      <c r="I20" s="310"/>
      <c r="J20" s="310"/>
      <c r="K20" s="304" t="str">
        <f t="shared" si="2"/>
        <v/>
      </c>
      <c r="L20" s="307" t="str">
        <f t="shared" si="3"/>
        <v/>
      </c>
    </row>
    <row r="21" spans="1:12" x14ac:dyDescent="0.25">
      <c r="A21" s="306">
        <v>17</v>
      </c>
      <c r="B21" s="298"/>
      <c r="C21" s="371"/>
      <c r="D21" s="371"/>
      <c r="E21" s="300" t="str">
        <f>IF($B21="","",SUMIF('5. Kosten uitvoering project'!$B$6:$R$250,B21,'5. Kosten uitvoering project'!$P$6:$P$250))</f>
        <v/>
      </c>
      <c r="F21" s="307" t="str">
        <f>IF($B21="","",SUMIF('5. Kosten uitvoering project'!$B$6:$R$250,B21,'5. Kosten uitvoering project'!$Q$6:$Q$250))</f>
        <v/>
      </c>
      <c r="G21" s="308" t="str">
        <f t="shared" si="1"/>
        <v/>
      </c>
      <c r="H21" s="309" t="str">
        <f t="shared" si="0"/>
        <v/>
      </c>
      <c r="I21" s="310"/>
      <c r="J21" s="310"/>
      <c r="K21" s="304" t="str">
        <f t="shared" si="2"/>
        <v/>
      </c>
      <c r="L21" s="307" t="str">
        <f t="shared" si="3"/>
        <v/>
      </c>
    </row>
    <row r="22" spans="1:12" x14ac:dyDescent="0.25">
      <c r="A22" s="306">
        <v>18</v>
      </c>
      <c r="B22" s="298"/>
      <c r="C22" s="371"/>
      <c r="D22" s="371"/>
      <c r="E22" s="300" t="str">
        <f>IF($B22="","",SUMIF('5. Kosten uitvoering project'!$B$6:$R$250,B22,'5. Kosten uitvoering project'!$P$6:$P$250))</f>
        <v/>
      </c>
      <c r="F22" s="307" t="str">
        <f>IF($B22="","",SUMIF('5. Kosten uitvoering project'!$B$6:$R$250,B22,'5. Kosten uitvoering project'!$Q$6:$Q$250))</f>
        <v/>
      </c>
      <c r="G22" s="308" t="str">
        <f t="shared" si="1"/>
        <v/>
      </c>
      <c r="H22" s="309" t="str">
        <f t="shared" si="0"/>
        <v/>
      </c>
      <c r="I22" s="310"/>
      <c r="J22" s="310"/>
      <c r="K22" s="304" t="str">
        <f t="shared" si="2"/>
        <v/>
      </c>
      <c r="L22" s="307" t="str">
        <f t="shared" si="3"/>
        <v/>
      </c>
    </row>
    <row r="23" spans="1:12" x14ac:dyDescent="0.25">
      <c r="A23" s="306">
        <v>19</v>
      </c>
      <c r="B23" s="298"/>
      <c r="C23" s="371"/>
      <c r="D23" s="371"/>
      <c r="E23" s="300" t="str">
        <f>IF($B23="","",SUMIF('5. Kosten uitvoering project'!$B$6:$R$250,B23,'5. Kosten uitvoering project'!$P$6:$P$250))</f>
        <v/>
      </c>
      <c r="F23" s="307" t="str">
        <f>IF($B23="","",SUMIF('5. Kosten uitvoering project'!$B$6:$R$250,B23,'5. Kosten uitvoering project'!$Q$6:$Q$250))</f>
        <v/>
      </c>
      <c r="G23" s="308" t="str">
        <f t="shared" si="1"/>
        <v/>
      </c>
      <c r="H23" s="309" t="str">
        <f t="shared" si="0"/>
        <v/>
      </c>
      <c r="I23" s="310"/>
      <c r="J23" s="310"/>
      <c r="K23" s="304" t="str">
        <f t="shared" si="2"/>
        <v/>
      </c>
      <c r="L23" s="307" t="str">
        <f t="shared" si="3"/>
        <v/>
      </c>
    </row>
    <row r="24" spans="1:12" x14ac:dyDescent="0.25">
      <c r="A24" s="306">
        <v>20</v>
      </c>
      <c r="B24" s="298"/>
      <c r="C24" s="371"/>
      <c r="D24" s="371"/>
      <c r="E24" s="300" t="str">
        <f>IF($B24="","",SUMIF('5. Kosten uitvoering project'!$B$6:$R$250,B24,'5. Kosten uitvoering project'!$P$6:$P$250))</f>
        <v/>
      </c>
      <c r="F24" s="307" t="str">
        <f>IF($B24="","",SUMIF('5. Kosten uitvoering project'!$B$6:$R$250,B24,'5. Kosten uitvoering project'!$Q$6:$Q$250))</f>
        <v/>
      </c>
      <c r="G24" s="308" t="str">
        <f t="shared" si="1"/>
        <v/>
      </c>
      <c r="H24" s="309" t="str">
        <f t="shared" si="0"/>
        <v/>
      </c>
      <c r="I24" s="310"/>
      <c r="J24" s="310"/>
      <c r="K24" s="304" t="str">
        <f t="shared" si="2"/>
        <v/>
      </c>
      <c r="L24" s="307" t="str">
        <f t="shared" si="3"/>
        <v/>
      </c>
    </row>
    <row r="25" spans="1:12" x14ac:dyDescent="0.25">
      <c r="A25" s="306">
        <v>21</v>
      </c>
      <c r="B25" s="298"/>
      <c r="C25" s="371"/>
      <c r="D25" s="371"/>
      <c r="E25" s="300" t="str">
        <f>IF($B25="","",SUMIF('5. Kosten uitvoering project'!$B$6:$R$250,B25,'5. Kosten uitvoering project'!$P$6:$P$250))</f>
        <v/>
      </c>
      <c r="F25" s="307" t="str">
        <f>IF($B25="","",SUMIF('5. Kosten uitvoering project'!$B$6:$R$250,B25,'5. Kosten uitvoering project'!$Q$6:$Q$250))</f>
        <v/>
      </c>
      <c r="G25" s="308" t="str">
        <f t="shared" si="1"/>
        <v/>
      </c>
      <c r="H25" s="309" t="str">
        <f t="shared" si="0"/>
        <v/>
      </c>
      <c r="I25" s="310"/>
      <c r="J25" s="310"/>
      <c r="K25" s="304" t="str">
        <f t="shared" si="2"/>
        <v/>
      </c>
      <c r="L25" s="307" t="str">
        <f t="shared" si="3"/>
        <v/>
      </c>
    </row>
    <row r="26" spans="1:12" x14ac:dyDescent="0.25">
      <c r="A26" s="306">
        <v>22</v>
      </c>
      <c r="B26" s="298"/>
      <c r="C26" s="371"/>
      <c r="D26" s="371"/>
      <c r="E26" s="300" t="str">
        <f>IF($B26="","",SUMIF('5. Kosten uitvoering project'!$B$6:$R$250,B26,'5. Kosten uitvoering project'!$P$6:$P$250))</f>
        <v/>
      </c>
      <c r="F26" s="307" t="str">
        <f>IF($B26="","",SUMIF('5. Kosten uitvoering project'!$B$6:$R$250,B26,'5. Kosten uitvoering project'!$Q$6:$Q$250))</f>
        <v/>
      </c>
      <c r="G26" s="308" t="str">
        <f t="shared" si="1"/>
        <v/>
      </c>
      <c r="H26" s="309" t="str">
        <f t="shared" si="0"/>
        <v/>
      </c>
      <c r="I26" s="310"/>
      <c r="J26" s="310"/>
      <c r="K26" s="304" t="str">
        <f t="shared" si="2"/>
        <v/>
      </c>
      <c r="L26" s="307" t="str">
        <f t="shared" si="3"/>
        <v/>
      </c>
    </row>
    <row r="27" spans="1:12" x14ac:dyDescent="0.25">
      <c r="A27" s="306">
        <v>23</v>
      </c>
      <c r="B27" s="298"/>
      <c r="C27" s="371"/>
      <c r="D27" s="371"/>
      <c r="E27" s="300" t="str">
        <f>IF($B27="","",SUMIF('5. Kosten uitvoering project'!$B$6:$R$250,B27,'5. Kosten uitvoering project'!$P$6:$P$250))</f>
        <v/>
      </c>
      <c r="F27" s="307" t="str">
        <f>IF($B27="","",SUMIF('5. Kosten uitvoering project'!$B$6:$R$250,B27,'5. Kosten uitvoering project'!$Q$6:$Q$250))</f>
        <v/>
      </c>
      <c r="G27" s="308" t="str">
        <f t="shared" si="1"/>
        <v/>
      </c>
      <c r="H27" s="309" t="str">
        <f t="shared" si="0"/>
        <v/>
      </c>
      <c r="I27" s="310"/>
      <c r="J27" s="310"/>
      <c r="K27" s="304" t="str">
        <f t="shared" si="2"/>
        <v/>
      </c>
      <c r="L27" s="307" t="str">
        <f t="shared" si="3"/>
        <v/>
      </c>
    </row>
    <row r="28" spans="1:12" x14ac:dyDescent="0.25">
      <c r="A28" s="306">
        <v>24</v>
      </c>
      <c r="B28" s="298"/>
      <c r="C28" s="371"/>
      <c r="D28" s="371"/>
      <c r="E28" s="300" t="str">
        <f>IF($B28="","",SUMIF('5. Kosten uitvoering project'!$B$6:$R$250,B28,'5. Kosten uitvoering project'!$P$6:$P$250))</f>
        <v/>
      </c>
      <c r="F28" s="307" t="str">
        <f>IF($B28="","",SUMIF('5. Kosten uitvoering project'!$B$6:$R$250,B28,'5. Kosten uitvoering project'!$Q$6:$Q$250))</f>
        <v/>
      </c>
      <c r="G28" s="308" t="str">
        <f t="shared" si="1"/>
        <v/>
      </c>
      <c r="H28" s="309" t="str">
        <f t="shared" si="0"/>
        <v/>
      </c>
      <c r="I28" s="310"/>
      <c r="J28" s="310"/>
      <c r="K28" s="304" t="str">
        <f t="shared" si="2"/>
        <v/>
      </c>
      <c r="L28" s="307" t="str">
        <f t="shared" si="3"/>
        <v/>
      </c>
    </row>
    <row r="29" spans="1:12" x14ac:dyDescent="0.25">
      <c r="A29" s="306">
        <v>25</v>
      </c>
      <c r="B29" s="298"/>
      <c r="C29" s="371"/>
      <c r="D29" s="371"/>
      <c r="E29" s="300" t="str">
        <f>IF($B29="","",SUMIF('5. Kosten uitvoering project'!$B$6:$R$250,B29,'5. Kosten uitvoering project'!$P$6:$P$250))</f>
        <v/>
      </c>
      <c r="F29" s="307" t="str">
        <f>IF($B29="","",SUMIF('5. Kosten uitvoering project'!$B$6:$R$250,B29,'5. Kosten uitvoering project'!$Q$6:$Q$250))</f>
        <v/>
      </c>
      <c r="G29" s="308" t="str">
        <f t="shared" si="1"/>
        <v/>
      </c>
      <c r="H29" s="309" t="str">
        <f t="shared" si="0"/>
        <v/>
      </c>
      <c r="I29" s="310"/>
      <c r="J29" s="310"/>
      <c r="K29" s="304" t="str">
        <f t="shared" si="2"/>
        <v/>
      </c>
      <c r="L29" s="307" t="str">
        <f t="shared" si="3"/>
        <v/>
      </c>
    </row>
    <row r="30" spans="1:12" x14ac:dyDescent="0.25">
      <c r="A30" s="306">
        <v>26</v>
      </c>
      <c r="B30" s="298"/>
      <c r="C30" s="371"/>
      <c r="D30" s="371"/>
      <c r="E30" s="300" t="str">
        <f>IF($B30="","",SUMIF('5. Kosten uitvoering project'!$B$6:$R$250,B30,'5. Kosten uitvoering project'!$P$6:$P$250))</f>
        <v/>
      </c>
      <c r="F30" s="307" t="str">
        <f>IF($B30="","",SUMIF('5. Kosten uitvoering project'!$B$6:$R$250,B30,'5. Kosten uitvoering project'!$Q$6:$Q$250))</f>
        <v/>
      </c>
      <c r="G30" s="308" t="str">
        <f t="shared" si="1"/>
        <v/>
      </c>
      <c r="H30" s="309" t="str">
        <f t="shared" si="0"/>
        <v/>
      </c>
      <c r="I30" s="310"/>
      <c r="J30" s="310"/>
      <c r="K30" s="304" t="str">
        <f t="shared" si="2"/>
        <v/>
      </c>
      <c r="L30" s="307" t="str">
        <f t="shared" si="3"/>
        <v/>
      </c>
    </row>
    <row r="31" spans="1:12" x14ac:dyDescent="0.25">
      <c r="A31" s="306">
        <v>27</v>
      </c>
      <c r="B31" s="298"/>
      <c r="C31" s="371"/>
      <c r="D31" s="371"/>
      <c r="E31" s="300" t="str">
        <f>IF($B31="","",SUMIF('5. Kosten uitvoering project'!$B$6:$R$250,B31,'5. Kosten uitvoering project'!$P$6:$P$250))</f>
        <v/>
      </c>
      <c r="F31" s="307" t="str">
        <f>IF($B31="","",SUMIF('5. Kosten uitvoering project'!$B$6:$R$250,B31,'5. Kosten uitvoering project'!$Q$6:$Q$250))</f>
        <v/>
      </c>
      <c r="G31" s="308" t="str">
        <f t="shared" si="1"/>
        <v/>
      </c>
      <c r="H31" s="309" t="str">
        <f t="shared" si="0"/>
        <v/>
      </c>
      <c r="I31" s="310"/>
      <c r="J31" s="310"/>
      <c r="K31" s="304" t="str">
        <f t="shared" si="2"/>
        <v/>
      </c>
      <c r="L31" s="307" t="str">
        <f t="shared" si="3"/>
        <v/>
      </c>
    </row>
    <row r="32" spans="1:12" x14ac:dyDescent="0.25">
      <c r="A32" s="306">
        <v>28</v>
      </c>
      <c r="B32" s="298"/>
      <c r="C32" s="371"/>
      <c r="D32" s="371"/>
      <c r="E32" s="300" t="str">
        <f>IF($B32="","",SUMIF('5. Kosten uitvoering project'!$B$6:$R$250,B32,'5. Kosten uitvoering project'!$P$6:$P$250))</f>
        <v/>
      </c>
      <c r="F32" s="307" t="str">
        <f>IF($B32="","",SUMIF('5. Kosten uitvoering project'!$B$6:$R$250,B32,'5. Kosten uitvoering project'!$Q$6:$Q$250))</f>
        <v/>
      </c>
      <c r="G32" s="308" t="str">
        <f t="shared" si="1"/>
        <v/>
      </c>
      <c r="H32" s="309" t="str">
        <f t="shared" si="0"/>
        <v/>
      </c>
      <c r="I32" s="310"/>
      <c r="J32" s="310"/>
      <c r="K32" s="304" t="str">
        <f t="shared" si="2"/>
        <v/>
      </c>
      <c r="L32" s="307" t="str">
        <f t="shared" si="3"/>
        <v/>
      </c>
    </row>
    <row r="33" spans="1:12" x14ac:dyDescent="0.25">
      <c r="A33" s="306">
        <v>29</v>
      </c>
      <c r="B33" s="298"/>
      <c r="C33" s="371"/>
      <c r="D33" s="371"/>
      <c r="E33" s="300" t="str">
        <f>IF($B33="","",SUMIF('5. Kosten uitvoering project'!$B$6:$R$250,B33,'5. Kosten uitvoering project'!$P$6:$P$250))</f>
        <v/>
      </c>
      <c r="F33" s="307" t="str">
        <f>IF($B33="","",SUMIF('5. Kosten uitvoering project'!$B$6:$R$250,B33,'5. Kosten uitvoering project'!$Q$6:$Q$250))</f>
        <v/>
      </c>
      <c r="G33" s="308" t="str">
        <f t="shared" si="1"/>
        <v/>
      </c>
      <c r="H33" s="309" t="str">
        <f t="shared" si="0"/>
        <v/>
      </c>
      <c r="I33" s="310"/>
      <c r="J33" s="310"/>
      <c r="K33" s="304" t="str">
        <f t="shared" si="2"/>
        <v/>
      </c>
      <c r="L33" s="307" t="str">
        <f t="shared" si="3"/>
        <v/>
      </c>
    </row>
    <row r="34" spans="1:12" x14ac:dyDescent="0.25">
      <c r="A34" s="306">
        <v>30</v>
      </c>
      <c r="B34" s="298"/>
      <c r="C34" s="371"/>
      <c r="D34" s="371"/>
      <c r="E34" s="300" t="str">
        <f>IF($B34="","",SUMIF('5. Kosten uitvoering project'!$B$6:$R$250,B34,'5. Kosten uitvoering project'!$P$6:$P$250))</f>
        <v/>
      </c>
      <c r="F34" s="307" t="str">
        <f>IF($B34="","",SUMIF('5. Kosten uitvoering project'!$B$6:$R$250,B34,'5. Kosten uitvoering project'!$Q$6:$Q$250))</f>
        <v/>
      </c>
      <c r="G34" s="308" t="str">
        <f t="shared" si="1"/>
        <v/>
      </c>
      <c r="H34" s="309" t="str">
        <f t="shared" si="0"/>
        <v/>
      </c>
      <c r="I34" s="310"/>
      <c r="J34" s="310"/>
      <c r="K34" s="304" t="str">
        <f t="shared" si="2"/>
        <v/>
      </c>
      <c r="L34" s="307"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79</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2zyQr4veMqqBOjCepkhqxB17V645NwQGM9xFe5IZaPw6rXJJlRO0gusKkQG0uiiPLDXkRMauVoS2k8oRceGgFA==" saltValue="l2sDUBDrtEYvPWj5+lA3vA==" spinCount="100000" sheet="1" objects="1" scenarios="1"/>
  <mergeCells count="5">
    <mergeCell ref="E3:F3"/>
    <mergeCell ref="G3:H3"/>
    <mergeCell ref="I3:J3"/>
    <mergeCell ref="K3:L3"/>
    <mergeCell ref="B3:D3"/>
  </mergeCells>
  <phoneticPr fontId="4" type="noConversion"/>
  <conditionalFormatting sqref="B5:B34">
    <cfRule type="cellIs" dxfId="163" priority="4" operator="equal">
      <formula>""</formula>
    </cfRule>
  </conditionalFormatting>
  <conditionalFormatting sqref="B35:F35">
    <cfRule type="expression" dxfId="162" priority="9">
      <formula>$E$36&lt;&gt;""</formula>
    </cfRule>
  </conditionalFormatting>
  <conditionalFormatting sqref="H36:H37">
    <cfRule type="expression" dxfId="161" priority="7">
      <formula>$D$35&lt;&gt;$D$38</formula>
    </cfRule>
  </conditionalFormatting>
  <conditionalFormatting sqref="I40:J40">
    <cfRule type="expression" dxfId="160" priority="2">
      <formula>AND(K$42&gt;0,ROUND(I$40,4)&lt;&gt;1)</formula>
    </cfRule>
  </conditionalFormatting>
  <conditionalFormatting sqref="K40">
    <cfRule type="expression" dxfId="159" priority="1">
      <formula>$K$40&lt;&gt;$K$42</formula>
    </cfRule>
  </conditionalFormatting>
  <conditionalFormatting sqref="L40">
    <cfRule type="expression" dxfId="158"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hyperlinks>
    <hyperlink ref="B3:D3" r:id="rId1" display="https://abs.techletes.ai/subsidie-buddy-eip/?ref=bsnomg74jlcu" xr:uid="{B9A413C6-E2EB-490B-B213-0CDC05EF034A}"/>
  </hyperlinks>
  <pageMargins left="0.70866141732283472" right="0.70866141732283472" top="0.74803149606299213" bottom="0.74803149606299213" header="0.31496062992125984" footer="0.31496062992125984"/>
  <pageSetup paperSize="9" scale="77" orientation="landscape" r:id="rId2"/>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6"/>
      <c r="B1" s="238" t="s">
        <v>25</v>
      </c>
      <c r="C1" s="247"/>
      <c r="D1" s="239"/>
      <c r="E1" s="239"/>
      <c r="F1" s="239"/>
      <c r="G1" s="239"/>
      <c r="H1" s="239"/>
      <c r="I1" s="239"/>
      <c r="J1" s="239"/>
      <c r="K1" s="239"/>
      <c r="L1" s="240"/>
    </row>
    <row r="2" spans="1:12" ht="15" customHeight="1" x14ac:dyDescent="0.25">
      <c r="A2" s="118"/>
      <c r="B2" s="248" t="s">
        <v>20</v>
      </c>
      <c r="C2" s="249" t="str">
        <f>IF(OR('1. Aanvraaggegevens'!C8="",'1. Aanvraaggegevens'!C8=0),"Kies een berekeningsmethode op tabblad '1. Aanvraaggegevens'",'1. Aanvraaggegevens'!C8)</f>
        <v>Kies een berekeningsmethode op tabblad '1. Aanvraaggegevens'</v>
      </c>
      <c r="D2" s="250"/>
      <c r="E2" s="250"/>
      <c r="F2" s="250"/>
      <c r="G2" s="250"/>
      <c r="H2" s="250"/>
      <c r="I2" s="250"/>
      <c r="J2" s="250"/>
      <c r="K2" s="250"/>
      <c r="L2" s="251"/>
    </row>
    <row r="3" spans="1:12" ht="63.75" customHeight="1" x14ac:dyDescent="0.25">
      <c r="A3" s="378"/>
      <c r="B3" s="403" t="s">
        <v>552</v>
      </c>
      <c r="C3" s="404"/>
      <c r="D3" s="398" t="str">
        <f>IF(OR(LEFT(Methode_Keuze,4)="Geen",Methode_Keuze=""),"Kosten","Kosten"&amp;CHAR(10)&amp;"(exclusief forfait)")</f>
        <v>Kosten</v>
      </c>
      <c r="E3" s="399"/>
      <c r="F3" s="398" t="str">
        <f>IF(OR(LEFT(Methode_Keuze,4)="Geen",Methode_Keuze=""),"Verdeling kosten naar rato","Verdeling kosten naar rato"&amp;CHAR(10)&amp;"(exclusief forfait)")</f>
        <v>Verdeling kosten naar rato</v>
      </c>
      <c r="G3" s="399"/>
      <c r="H3" s="398" t="str">
        <f>IF(OR(LEFT(Methode_Keuze,4)="Geen",Methode_Keuze=""),"Subsidie naar rato van kosten","Subsidie naar rato van kosten"&amp;CHAR(10)&amp;"(inclusief forfait)")</f>
        <v>Subsidie naar rato van kosten</v>
      </c>
      <c r="I3" s="399"/>
      <c r="J3" s="398" t="str">
        <f>IF(OR(LEFT(Methode_Keuze,4)="Geen",Methode_Keuze=""),"Eigen verdeling subsidie per deelprestatie","Eigen verdeling subsidie per deelprestatie"&amp;CHAR(10)&amp;"(inclusief forfait)")</f>
        <v>Eigen verdeling subsidie per deelprestatie</v>
      </c>
      <c r="K3" s="399"/>
      <c r="L3" s="246"/>
    </row>
    <row r="4" spans="1:12" s="32" customFormat="1" ht="30" x14ac:dyDescent="0.25">
      <c r="A4" s="115" t="s">
        <v>134</v>
      </c>
      <c r="B4" s="114" t="s">
        <v>70</v>
      </c>
      <c r="C4" s="114" t="s">
        <v>39</v>
      </c>
      <c r="D4" s="71" t="s">
        <v>60</v>
      </c>
      <c r="E4" s="71" t="s">
        <v>59</v>
      </c>
      <c r="F4" s="71" t="s">
        <v>60</v>
      </c>
      <c r="G4" s="71" t="s">
        <v>59</v>
      </c>
      <c r="H4" s="71" t="s">
        <v>60</v>
      </c>
      <c r="I4" s="71" t="s">
        <v>59</v>
      </c>
      <c r="J4" s="71" t="s">
        <v>60</v>
      </c>
      <c r="K4" s="71" t="s">
        <v>59</v>
      </c>
      <c r="L4" s="70" t="s">
        <v>56</v>
      </c>
    </row>
    <row r="5" spans="1:12" x14ac:dyDescent="0.25">
      <c r="A5" s="306">
        <v>1</v>
      </c>
      <c r="B5" s="298"/>
      <c r="C5" s="299"/>
      <c r="D5" s="300" t="str">
        <f>IF(OR($B5="",$B5="&lt;Vul in&gt;"),"",(SUMIF('5. Kosten uitvoering project'!$D$6:$D$251,B5,'5. Kosten uitvoering project'!$P$6:$P$251)))</f>
        <v/>
      </c>
      <c r="E5" s="301" t="str">
        <f>IF(OR($B5="",$B5="&lt;Vul in&gt;"),"",(SUMIF('5. Kosten uitvoering project'!$D$6:$D$251,B5,'5. Kosten uitvoering project'!$Q$6:$Q$251)))</f>
        <v/>
      </c>
      <c r="F5" s="302" t="str">
        <f t="shared" ref="F5:F34" si="0">IF(OR(D5="",D5=0),"",D5/Totaal_aangevraagd)</f>
        <v/>
      </c>
      <c r="G5" s="303" t="str">
        <f t="shared" ref="G5:G34" si="1">IF(OR(E5="",E5=0),"",E5/Totaal_Beoordeeld)</f>
        <v/>
      </c>
      <c r="H5" s="304" t="str">
        <f ca="1">IFERROR(ROUND(F5*J$42,2),"")</f>
        <v/>
      </c>
      <c r="I5" s="301" t="str">
        <f ca="1">IFERROR(ROUND(G5*K$42,2),"")</f>
        <v/>
      </c>
      <c r="J5" s="305"/>
      <c r="K5" s="305"/>
      <c r="L5" s="311" t="str" cm="1">
        <f t="array" ref="L5">_xlfn.IFNA(_xlfn.IFS(AND(OR(D5=0,D5=""),J5&lt;&gt;0),"Geef ook in de begroting  de kosten aan die horen bij deze deelprestatie."),"")</f>
        <v/>
      </c>
    </row>
    <row r="6" spans="1:12" x14ac:dyDescent="0.25">
      <c r="A6" s="306">
        <v>2</v>
      </c>
      <c r="B6" s="298"/>
      <c r="C6" s="299"/>
      <c r="D6" s="300" t="str">
        <f>IF(OR($B6="",$B6="&lt;Vul in&gt;"),"",(SUMIF('5. Kosten uitvoering project'!$D$6:$D$251,B6,'5. Kosten uitvoering project'!$P$6:$P$251)))</f>
        <v/>
      </c>
      <c r="E6" s="301" t="str">
        <f>IF(OR($B6="",$B6="&lt;Vul in&gt;"),"",(SUMIF('5. Kosten uitvoering project'!$D$6:$D$251,B6,'5. Kosten uitvoering project'!$Q$6:$Q$251)))</f>
        <v/>
      </c>
      <c r="F6" s="302" t="str">
        <f t="shared" si="0"/>
        <v/>
      </c>
      <c r="G6" s="303" t="str">
        <f t="shared" si="1"/>
        <v/>
      </c>
      <c r="H6" s="304" t="str">
        <f t="shared" ref="H6:I34" ca="1" si="2">IFERROR(ROUND(F6*J$42,2),"")</f>
        <v/>
      </c>
      <c r="I6" s="301" t="str">
        <f t="shared" ca="1" si="2"/>
        <v/>
      </c>
      <c r="J6" s="305"/>
      <c r="K6" s="305"/>
      <c r="L6" s="311" t="str" cm="1">
        <f t="array" ref="L6">_xlfn.IFNA(_xlfn.IFS(AND(OR(D6=0,D6=""),J6&lt;&gt;0),"Geef ook in de begroting  de kosten aan die horen bij deze deelprestatie."),"")</f>
        <v/>
      </c>
    </row>
    <row r="7" spans="1:12" x14ac:dyDescent="0.25">
      <c r="A7" s="306">
        <v>3</v>
      </c>
      <c r="B7" s="298"/>
      <c r="C7" s="299"/>
      <c r="D7" s="300" t="str">
        <f>IF(OR($B7="",$B7="&lt;Vul in&gt;"),"",(SUMIF('5. Kosten uitvoering project'!$D$6:$D$251,B7,'5. Kosten uitvoering project'!$P$6:$P$251)))</f>
        <v/>
      </c>
      <c r="E7" s="301" t="str">
        <f>IF(OR($B7="",$B7="&lt;Vul in&gt;"),"",(SUMIF('5. Kosten uitvoering project'!$D$6:$D$251,B7,'5. Kosten uitvoering project'!$Q$6:$Q$251)))</f>
        <v/>
      </c>
      <c r="F7" s="302" t="str">
        <f t="shared" si="0"/>
        <v/>
      </c>
      <c r="G7" s="303" t="str">
        <f t="shared" si="1"/>
        <v/>
      </c>
      <c r="H7" s="304" t="str">
        <f t="shared" ca="1" si="2"/>
        <v/>
      </c>
      <c r="I7" s="301" t="str">
        <f t="shared" ca="1" si="2"/>
        <v/>
      </c>
      <c r="J7" s="305"/>
      <c r="K7" s="305"/>
      <c r="L7" s="311" t="str" cm="1">
        <f t="array" ref="L7">_xlfn.IFNA(_xlfn.IFS(AND(OR(D7=0,D7=""),J7&lt;&gt;0),"Geef ook in de begroting  de kosten aan die horen bij deze deelprestatie."),"")</f>
        <v/>
      </c>
    </row>
    <row r="8" spans="1:12" x14ac:dyDescent="0.25">
      <c r="A8" s="306">
        <v>4</v>
      </c>
      <c r="B8" s="298"/>
      <c r="C8" s="299"/>
      <c r="D8" s="300" t="str">
        <f>IF(OR($B8="",$B8="&lt;Vul in&gt;"),"",(SUMIF('5. Kosten uitvoering project'!$D$6:$D$251,B8,'5. Kosten uitvoering project'!$P$6:$P$251)))</f>
        <v/>
      </c>
      <c r="E8" s="301" t="str">
        <f>IF(OR($B8="",$B8="&lt;Vul in&gt;"),"",(SUMIF('5. Kosten uitvoering project'!$D$6:$D$251,B8,'5. Kosten uitvoering project'!$Q$6:$Q$251)))</f>
        <v/>
      </c>
      <c r="F8" s="302" t="str">
        <f t="shared" si="0"/>
        <v/>
      </c>
      <c r="G8" s="303" t="str">
        <f t="shared" si="1"/>
        <v/>
      </c>
      <c r="H8" s="304" t="str">
        <f t="shared" ca="1" si="2"/>
        <v/>
      </c>
      <c r="I8" s="301" t="str">
        <f t="shared" ca="1" si="2"/>
        <v/>
      </c>
      <c r="J8" s="305"/>
      <c r="K8" s="305"/>
      <c r="L8" s="311" t="str" cm="1">
        <f t="array" ref="L8">_xlfn.IFNA(_xlfn.IFS(AND(OR(D8=0,D8=""),J8&lt;&gt;0),"Geef ook in de begroting  de kosten aan die horen bij deze deelprestatie."),"")</f>
        <v/>
      </c>
    </row>
    <row r="9" spans="1:12" x14ac:dyDescent="0.25">
      <c r="A9" s="306">
        <v>5</v>
      </c>
      <c r="B9" s="298"/>
      <c r="C9" s="299"/>
      <c r="D9" s="300" t="str">
        <f>IF(OR($B9="",$B9="&lt;Vul in&gt;"),"",(SUMIF('5. Kosten uitvoering project'!$D$6:$D$251,B9,'5. Kosten uitvoering project'!$P$6:$P$251)))</f>
        <v/>
      </c>
      <c r="E9" s="301" t="str">
        <f>IF(OR($B9="",$B9="&lt;Vul in&gt;"),"",(SUMIF('5. Kosten uitvoering project'!$D$6:$D$251,B9,'5. Kosten uitvoering project'!$Q$6:$Q$251)))</f>
        <v/>
      </c>
      <c r="F9" s="302" t="str">
        <f t="shared" si="0"/>
        <v/>
      </c>
      <c r="G9" s="303" t="str">
        <f t="shared" si="1"/>
        <v/>
      </c>
      <c r="H9" s="304" t="str">
        <f t="shared" ca="1" si="2"/>
        <v/>
      </c>
      <c r="I9" s="301" t="str">
        <f t="shared" ca="1" si="2"/>
        <v/>
      </c>
      <c r="J9" s="305"/>
      <c r="K9" s="305"/>
      <c r="L9" s="311" t="str" cm="1">
        <f t="array" ref="L9">_xlfn.IFNA(_xlfn.IFS(AND(OR(D9=0,D9=""),J9&lt;&gt;0),"Geef ook in de begroting  de kosten aan die horen bij deze deelprestatie."),"")</f>
        <v/>
      </c>
    </row>
    <row r="10" spans="1:12" x14ac:dyDescent="0.25">
      <c r="A10" s="306">
        <v>6</v>
      </c>
      <c r="B10" s="298"/>
      <c r="C10" s="299"/>
      <c r="D10" s="300" t="str">
        <f>IF(OR($B10="",$B10="&lt;Vul in&gt;"),"",(SUMIF('5. Kosten uitvoering project'!$D$6:$D$251,B10,'5. Kosten uitvoering project'!$P$6:$P$251)))</f>
        <v/>
      </c>
      <c r="E10" s="301" t="str">
        <f>IF(OR($B10="",$B10="&lt;Vul in&gt;"),"",(SUMIF('5. Kosten uitvoering project'!$D$6:$D$251,B10,'5. Kosten uitvoering project'!$Q$6:$Q$251)))</f>
        <v/>
      </c>
      <c r="F10" s="302" t="str">
        <f t="shared" si="0"/>
        <v/>
      </c>
      <c r="G10" s="303" t="str">
        <f t="shared" si="1"/>
        <v/>
      </c>
      <c r="H10" s="304" t="str">
        <f t="shared" ca="1" si="2"/>
        <v/>
      </c>
      <c r="I10" s="301" t="str">
        <f t="shared" ca="1" si="2"/>
        <v/>
      </c>
      <c r="J10" s="305"/>
      <c r="K10" s="305"/>
      <c r="L10" s="311" t="str" cm="1">
        <f t="array" ref="L10">_xlfn.IFNA(_xlfn.IFS(AND(OR(D10=0,D10=""),J10&lt;&gt;0),"Geef ook in de begroting  de kosten aan die horen bij deze deelprestatie."),"")</f>
        <v/>
      </c>
    </row>
    <row r="11" spans="1:12" x14ac:dyDescent="0.25">
      <c r="A11" s="306">
        <v>7</v>
      </c>
      <c r="B11" s="298"/>
      <c r="C11" s="299"/>
      <c r="D11" s="300" t="str">
        <f>IF(OR($B11="",$B11="&lt;Vul in&gt;"),"",(SUMIF('5. Kosten uitvoering project'!$D$6:$D$251,B11,'5. Kosten uitvoering project'!$P$6:$P$251)))</f>
        <v/>
      </c>
      <c r="E11" s="301" t="str">
        <f>IF(OR($B11="",$B11="&lt;Vul in&gt;"),"",(SUMIF('5. Kosten uitvoering project'!$D$6:$D$251,B11,'5. Kosten uitvoering project'!$Q$6:$Q$251)))</f>
        <v/>
      </c>
      <c r="F11" s="302" t="str">
        <f t="shared" si="0"/>
        <v/>
      </c>
      <c r="G11" s="303" t="str">
        <f t="shared" si="1"/>
        <v/>
      </c>
      <c r="H11" s="304" t="str">
        <f t="shared" ca="1" si="2"/>
        <v/>
      </c>
      <c r="I11" s="301" t="str">
        <f t="shared" ca="1" si="2"/>
        <v/>
      </c>
      <c r="J11" s="305"/>
      <c r="K11" s="305"/>
      <c r="L11" s="311" t="str" cm="1">
        <f t="array" ref="L11">_xlfn.IFNA(_xlfn.IFS(AND(OR(D11=0,D11=""),J11&lt;&gt;0),"Geef ook in de begroting  de kosten aan die horen bij deze deelprestatie."),"")</f>
        <v/>
      </c>
    </row>
    <row r="12" spans="1:12" x14ac:dyDescent="0.25">
      <c r="A12" s="306">
        <v>8</v>
      </c>
      <c r="B12" s="298"/>
      <c r="C12" s="299"/>
      <c r="D12" s="300" t="str">
        <f>IF(OR($B12="",$B12="&lt;Vul in&gt;"),"",(SUMIF('5. Kosten uitvoering project'!$D$6:$D$251,B12,'5. Kosten uitvoering project'!$P$6:$P$251)))</f>
        <v/>
      </c>
      <c r="E12" s="301" t="str">
        <f>IF(OR($B12="",$B12="&lt;Vul in&gt;"),"",(SUMIF('5. Kosten uitvoering project'!$D$6:$D$251,B12,'5. Kosten uitvoering project'!$Q$6:$Q$251)))</f>
        <v/>
      </c>
      <c r="F12" s="302" t="str">
        <f t="shared" si="0"/>
        <v/>
      </c>
      <c r="G12" s="303" t="str">
        <f t="shared" si="1"/>
        <v/>
      </c>
      <c r="H12" s="304" t="str">
        <f t="shared" ca="1" si="2"/>
        <v/>
      </c>
      <c r="I12" s="301" t="str">
        <f t="shared" ca="1" si="2"/>
        <v/>
      </c>
      <c r="J12" s="305"/>
      <c r="K12" s="305"/>
      <c r="L12" s="311" t="str" cm="1">
        <f t="array" ref="L12">_xlfn.IFNA(_xlfn.IFS(AND(OR(D12=0,D12=""),J12&lt;&gt;0),"Geef ook in de begroting  de kosten aan die horen bij deze deelprestatie."),"")</f>
        <v/>
      </c>
    </row>
    <row r="13" spans="1:12" x14ac:dyDescent="0.25">
      <c r="A13" s="306">
        <v>9</v>
      </c>
      <c r="B13" s="298"/>
      <c r="C13" s="299"/>
      <c r="D13" s="300" t="str">
        <f>IF(OR($B13="",$B13="&lt;Vul in&gt;"),"",(SUMIF('5. Kosten uitvoering project'!$D$6:$D$251,B13,'5. Kosten uitvoering project'!$P$6:$P$251)))</f>
        <v/>
      </c>
      <c r="E13" s="301" t="str">
        <f>IF(OR($B13="",$B13="&lt;Vul in&gt;"),"",(SUMIF('5. Kosten uitvoering project'!$D$6:$D$251,B13,'5. Kosten uitvoering project'!$Q$6:$Q$251)))</f>
        <v/>
      </c>
      <c r="F13" s="302" t="str">
        <f t="shared" si="0"/>
        <v/>
      </c>
      <c r="G13" s="303" t="str">
        <f t="shared" si="1"/>
        <v/>
      </c>
      <c r="H13" s="304" t="str">
        <f t="shared" ca="1" si="2"/>
        <v/>
      </c>
      <c r="I13" s="301" t="str">
        <f t="shared" ca="1" si="2"/>
        <v/>
      </c>
      <c r="J13" s="305"/>
      <c r="K13" s="305"/>
      <c r="L13" s="311" t="str" cm="1">
        <f t="array" ref="L13">_xlfn.IFNA(_xlfn.IFS(AND(OR(D13=0,D13=""),J13&lt;&gt;0),"Geef ook in de begroting  de kosten aan die horen bij deze deelprestatie."),"")</f>
        <v/>
      </c>
    </row>
    <row r="14" spans="1:12" x14ac:dyDescent="0.25">
      <c r="A14" s="306">
        <v>10</v>
      </c>
      <c r="B14" s="298"/>
      <c r="C14" s="299"/>
      <c r="D14" s="300" t="str">
        <f>IF(OR($B14="",$B14="&lt;Vul in&gt;"),"",(SUMIF('5. Kosten uitvoering project'!$D$6:$D$251,B14,'5. Kosten uitvoering project'!$P$6:$P$251)))</f>
        <v/>
      </c>
      <c r="E14" s="301" t="str">
        <f>IF(OR($B14="",$B14="&lt;Vul in&gt;"),"",(SUMIF('5. Kosten uitvoering project'!$D$6:$D$251,B14,'5. Kosten uitvoering project'!$Q$6:$Q$251)))</f>
        <v/>
      </c>
      <c r="F14" s="302" t="str">
        <f t="shared" si="0"/>
        <v/>
      </c>
      <c r="G14" s="303" t="str">
        <f t="shared" si="1"/>
        <v/>
      </c>
      <c r="H14" s="304" t="str">
        <f t="shared" ca="1" si="2"/>
        <v/>
      </c>
      <c r="I14" s="301" t="str">
        <f t="shared" ca="1" si="2"/>
        <v/>
      </c>
      <c r="J14" s="305"/>
      <c r="K14" s="305"/>
      <c r="L14" s="311" t="str" cm="1">
        <f t="array" ref="L14">_xlfn.IFNA(_xlfn.IFS(AND(OR(D14=0,D14=""),J14&lt;&gt;0),"Geef ook in de begroting  de kosten aan die horen bij deze deelprestatie."),"")</f>
        <v/>
      </c>
    </row>
    <row r="15" spans="1:12" x14ac:dyDescent="0.25">
      <c r="A15" s="306">
        <v>11</v>
      </c>
      <c r="B15" s="298"/>
      <c r="C15" s="299"/>
      <c r="D15" s="300" t="str">
        <f>IF(OR($B15="",$B15="&lt;Vul in&gt;"),"",(SUMIF('5. Kosten uitvoering project'!$D$6:$D$251,B15,'5. Kosten uitvoering project'!$P$6:$P$251)))</f>
        <v/>
      </c>
      <c r="E15" s="301" t="str">
        <f>IF(OR($B15="",$B15="&lt;Vul in&gt;"),"",(SUMIF('5. Kosten uitvoering project'!$D$6:$D$251,B15,'5. Kosten uitvoering project'!$Q$6:$Q$251)))</f>
        <v/>
      </c>
      <c r="F15" s="302" t="str">
        <f t="shared" si="0"/>
        <v/>
      </c>
      <c r="G15" s="303" t="str">
        <f t="shared" si="1"/>
        <v/>
      </c>
      <c r="H15" s="304" t="str">
        <f t="shared" ca="1" si="2"/>
        <v/>
      </c>
      <c r="I15" s="301" t="str">
        <f t="shared" ca="1" si="2"/>
        <v/>
      </c>
      <c r="J15" s="305"/>
      <c r="K15" s="305"/>
      <c r="L15" s="311" t="str" cm="1">
        <f t="array" ref="L15">_xlfn.IFNA(_xlfn.IFS(AND(OR(D15=0,D15=""),J15&lt;&gt;0),"Geef ook in de begroting  de kosten aan die horen bij deze deelprestatie."),"")</f>
        <v/>
      </c>
    </row>
    <row r="16" spans="1:12" x14ac:dyDescent="0.25">
      <c r="A16" s="306">
        <v>12</v>
      </c>
      <c r="B16" s="298"/>
      <c r="C16" s="299"/>
      <c r="D16" s="300" t="str">
        <f>IF(OR($B16="",$B16="&lt;Vul in&gt;"),"",(SUMIF('5. Kosten uitvoering project'!$D$6:$D$251,B16,'5. Kosten uitvoering project'!$P$6:$P$251)))</f>
        <v/>
      </c>
      <c r="E16" s="301" t="str">
        <f>IF(OR($B16="",$B16="&lt;Vul in&gt;"),"",(SUMIF('5. Kosten uitvoering project'!$D$6:$D$251,B16,'5. Kosten uitvoering project'!$Q$6:$Q$251)))</f>
        <v/>
      </c>
      <c r="F16" s="302" t="str">
        <f t="shared" si="0"/>
        <v/>
      </c>
      <c r="G16" s="303" t="str">
        <f t="shared" si="1"/>
        <v/>
      </c>
      <c r="H16" s="304" t="str">
        <f t="shared" ca="1" si="2"/>
        <v/>
      </c>
      <c r="I16" s="301" t="str">
        <f t="shared" ca="1" si="2"/>
        <v/>
      </c>
      <c r="J16" s="305"/>
      <c r="K16" s="305"/>
      <c r="L16" s="311" t="str" cm="1">
        <f t="array" ref="L16">_xlfn.IFNA(_xlfn.IFS(AND(OR(D16=0,D16=""),J16&lt;&gt;0),"Geef ook in de begroting  de kosten aan die horen bij deze deelprestatie."),"")</f>
        <v/>
      </c>
    </row>
    <row r="17" spans="1:12" x14ac:dyDescent="0.25">
      <c r="A17" s="306">
        <v>13</v>
      </c>
      <c r="B17" s="298"/>
      <c r="C17" s="299"/>
      <c r="D17" s="300" t="str">
        <f>IF(OR($B17="",$B17="&lt;Vul in&gt;"),"",(SUMIF('5. Kosten uitvoering project'!$D$6:$D$251,B17,'5. Kosten uitvoering project'!$P$6:$P$251)))</f>
        <v/>
      </c>
      <c r="E17" s="301" t="str">
        <f>IF(OR($B17="",$B17="&lt;Vul in&gt;"),"",(SUMIF('5. Kosten uitvoering project'!$D$6:$D$251,B17,'5. Kosten uitvoering project'!$Q$6:$Q$251)))</f>
        <v/>
      </c>
      <c r="F17" s="302" t="str">
        <f t="shared" si="0"/>
        <v/>
      </c>
      <c r="G17" s="303" t="str">
        <f t="shared" si="1"/>
        <v/>
      </c>
      <c r="H17" s="304" t="str">
        <f t="shared" ca="1" si="2"/>
        <v/>
      </c>
      <c r="I17" s="301" t="str">
        <f t="shared" ca="1" si="2"/>
        <v/>
      </c>
      <c r="J17" s="305"/>
      <c r="K17" s="305"/>
      <c r="L17" s="311" t="str" cm="1">
        <f t="array" ref="L17">_xlfn.IFNA(_xlfn.IFS(AND(OR(D17=0,D17=""),J17&lt;&gt;0),"Geef ook in de begroting  de kosten aan die horen bij deze deelprestatie."),"")</f>
        <v/>
      </c>
    </row>
    <row r="18" spans="1:12" x14ac:dyDescent="0.25">
      <c r="A18" s="306">
        <v>14</v>
      </c>
      <c r="B18" s="298"/>
      <c r="C18" s="299"/>
      <c r="D18" s="300" t="str">
        <f>IF(OR($B18="",$B18="&lt;Vul in&gt;"),"",(SUMIF('5. Kosten uitvoering project'!$D$6:$D$251,B18,'5. Kosten uitvoering project'!$P$6:$P$251)))</f>
        <v/>
      </c>
      <c r="E18" s="301" t="str">
        <f>IF(OR($B18="",$B18="&lt;Vul in&gt;"),"",(SUMIF('5. Kosten uitvoering project'!$D$6:$D$251,B18,'5. Kosten uitvoering project'!$Q$6:$Q$251)))</f>
        <v/>
      </c>
      <c r="F18" s="302" t="str">
        <f t="shared" si="0"/>
        <v/>
      </c>
      <c r="G18" s="303" t="str">
        <f t="shared" si="1"/>
        <v/>
      </c>
      <c r="H18" s="304" t="str">
        <f t="shared" ca="1" si="2"/>
        <v/>
      </c>
      <c r="I18" s="301" t="str">
        <f t="shared" ca="1" si="2"/>
        <v/>
      </c>
      <c r="J18" s="305"/>
      <c r="K18" s="305"/>
      <c r="L18" s="311" t="str" cm="1">
        <f t="array" ref="L18">_xlfn.IFNA(_xlfn.IFS(AND(OR(D18=0,D18=""),J18&lt;&gt;0),"Geef ook in de begroting  de kosten aan die horen bij deze deelprestatie."),"")</f>
        <v/>
      </c>
    </row>
    <row r="19" spans="1:12" x14ac:dyDescent="0.25">
      <c r="A19" s="306">
        <v>15</v>
      </c>
      <c r="B19" s="298"/>
      <c r="C19" s="299"/>
      <c r="D19" s="300" t="str">
        <f>IF(OR($B19="",$B19="&lt;Vul in&gt;"),"",(SUMIF('5. Kosten uitvoering project'!$D$6:$D$251,B19,'5. Kosten uitvoering project'!$P$6:$P$251)))</f>
        <v/>
      </c>
      <c r="E19" s="301" t="str">
        <f>IF(OR($B19="",$B19="&lt;Vul in&gt;"),"",(SUMIF('5. Kosten uitvoering project'!$D$6:$D$251,B19,'5. Kosten uitvoering project'!$Q$6:$Q$251)))</f>
        <v/>
      </c>
      <c r="F19" s="302" t="str">
        <f t="shared" si="0"/>
        <v/>
      </c>
      <c r="G19" s="303" t="str">
        <f t="shared" si="1"/>
        <v/>
      </c>
      <c r="H19" s="304" t="str">
        <f t="shared" ca="1" si="2"/>
        <v/>
      </c>
      <c r="I19" s="301" t="str">
        <f t="shared" ca="1" si="2"/>
        <v/>
      </c>
      <c r="J19" s="305"/>
      <c r="K19" s="305"/>
      <c r="L19" s="311" t="str" cm="1">
        <f t="array" ref="L19">_xlfn.IFNA(_xlfn.IFS(AND(OR(D19=0,D19=""),J19&lt;&gt;0),"Geef ook in de begroting  de kosten aan die horen bij deze deelprestatie."),"")</f>
        <v/>
      </c>
    </row>
    <row r="20" spans="1:12" x14ac:dyDescent="0.25">
      <c r="A20" s="306">
        <v>16</v>
      </c>
      <c r="B20" s="298"/>
      <c r="C20" s="299"/>
      <c r="D20" s="300" t="str">
        <f>IF(OR($B20="",$B20="&lt;Vul in&gt;"),"",(SUMIF('5. Kosten uitvoering project'!$D$6:$D$251,B20,'5. Kosten uitvoering project'!$P$6:$P$251)))</f>
        <v/>
      </c>
      <c r="E20" s="301" t="str">
        <f>IF(OR($B20="",$B20="&lt;Vul in&gt;"),"",(SUMIF('5. Kosten uitvoering project'!$D$6:$D$251,B20,'5. Kosten uitvoering project'!$Q$6:$Q$251)))</f>
        <v/>
      </c>
      <c r="F20" s="302" t="str">
        <f t="shared" si="0"/>
        <v/>
      </c>
      <c r="G20" s="303" t="str">
        <f t="shared" si="1"/>
        <v/>
      </c>
      <c r="H20" s="304" t="str">
        <f t="shared" ca="1" si="2"/>
        <v/>
      </c>
      <c r="I20" s="301" t="str">
        <f t="shared" ca="1" si="2"/>
        <v/>
      </c>
      <c r="J20" s="305"/>
      <c r="K20" s="305"/>
      <c r="L20" s="311" t="str" cm="1">
        <f t="array" ref="L20">_xlfn.IFNA(_xlfn.IFS(AND(OR(D20=0,D20=""),J20&lt;&gt;0),"Geef ook in de begroting  de kosten aan die horen bij deze deelprestatie."),"")</f>
        <v/>
      </c>
    </row>
    <row r="21" spans="1:12" x14ac:dyDescent="0.25">
      <c r="A21" s="306">
        <v>17</v>
      </c>
      <c r="B21" s="298"/>
      <c r="C21" s="299"/>
      <c r="D21" s="300" t="str">
        <f>IF(OR($B21="",$B21="&lt;Vul in&gt;"),"",(SUMIF('5. Kosten uitvoering project'!$D$6:$D$251,B21,'5. Kosten uitvoering project'!$P$6:$P$251)))</f>
        <v/>
      </c>
      <c r="E21" s="301" t="str">
        <f>IF(OR($B21="",$B21="&lt;Vul in&gt;"),"",(SUMIF('5. Kosten uitvoering project'!$D$6:$D$251,B21,'5. Kosten uitvoering project'!$Q$6:$Q$251)))</f>
        <v/>
      </c>
      <c r="F21" s="302" t="str">
        <f t="shared" si="0"/>
        <v/>
      </c>
      <c r="G21" s="303" t="str">
        <f t="shared" si="1"/>
        <v/>
      </c>
      <c r="H21" s="304" t="str">
        <f t="shared" ca="1" si="2"/>
        <v/>
      </c>
      <c r="I21" s="301" t="str">
        <f t="shared" ca="1" si="2"/>
        <v/>
      </c>
      <c r="J21" s="305"/>
      <c r="K21" s="305"/>
      <c r="L21" s="311" t="str" cm="1">
        <f t="array" ref="L21">_xlfn.IFNA(_xlfn.IFS(AND(OR(D21=0,D21=""),J21&lt;&gt;0),"Geef ook in de begroting  de kosten aan die horen bij deze deelprestatie."),"")</f>
        <v/>
      </c>
    </row>
    <row r="22" spans="1:12" x14ac:dyDescent="0.25">
      <c r="A22" s="306">
        <v>18</v>
      </c>
      <c r="B22" s="298"/>
      <c r="C22" s="299"/>
      <c r="D22" s="300" t="str">
        <f>IF(OR($B22="",$B22="&lt;Vul in&gt;"),"",(SUMIF('5. Kosten uitvoering project'!$D$6:$D$251,B22,'5. Kosten uitvoering project'!$P$6:$P$251)))</f>
        <v/>
      </c>
      <c r="E22" s="301" t="str">
        <f>IF(OR($B22="",$B22="&lt;Vul in&gt;"),"",(SUMIF('5. Kosten uitvoering project'!$D$6:$D$251,B22,'5. Kosten uitvoering project'!$Q$6:$Q$251)))</f>
        <v/>
      </c>
      <c r="F22" s="302" t="str">
        <f t="shared" si="0"/>
        <v/>
      </c>
      <c r="G22" s="303" t="str">
        <f t="shared" si="1"/>
        <v/>
      </c>
      <c r="H22" s="304" t="str">
        <f t="shared" ca="1" si="2"/>
        <v/>
      </c>
      <c r="I22" s="301" t="str">
        <f t="shared" ca="1" si="2"/>
        <v/>
      </c>
      <c r="J22" s="305"/>
      <c r="K22" s="305"/>
      <c r="L22" s="311" t="str" cm="1">
        <f t="array" ref="L22">_xlfn.IFNA(_xlfn.IFS(AND(OR(D22=0,D22=""),J22&lt;&gt;0),"Geef ook in de begroting  de kosten aan die horen bij deze deelprestatie."),"")</f>
        <v/>
      </c>
    </row>
    <row r="23" spans="1:12" x14ac:dyDescent="0.25">
      <c r="A23" s="306">
        <v>19</v>
      </c>
      <c r="B23" s="298"/>
      <c r="C23" s="299"/>
      <c r="D23" s="300" t="str">
        <f>IF(OR($B23="",$B23="&lt;Vul in&gt;"),"",(SUMIF('5. Kosten uitvoering project'!$D$6:$D$251,B23,'5. Kosten uitvoering project'!$P$6:$P$251)))</f>
        <v/>
      </c>
      <c r="E23" s="301" t="str">
        <f>IF(OR($B23="",$B23="&lt;Vul in&gt;"),"",(SUMIF('5. Kosten uitvoering project'!$D$6:$D$251,B23,'5. Kosten uitvoering project'!$Q$6:$Q$251)))</f>
        <v/>
      </c>
      <c r="F23" s="302" t="str">
        <f t="shared" si="0"/>
        <v/>
      </c>
      <c r="G23" s="303" t="str">
        <f t="shared" si="1"/>
        <v/>
      </c>
      <c r="H23" s="304" t="str">
        <f t="shared" ca="1" si="2"/>
        <v/>
      </c>
      <c r="I23" s="301" t="str">
        <f t="shared" ca="1" si="2"/>
        <v/>
      </c>
      <c r="J23" s="305"/>
      <c r="K23" s="305"/>
      <c r="L23" s="311" t="str" cm="1">
        <f t="array" ref="L23">_xlfn.IFNA(_xlfn.IFS(AND(OR(D23=0,D23=""),J23&lt;&gt;0),"Geef ook in de begroting  de kosten aan die horen bij deze deelprestatie."),"")</f>
        <v/>
      </c>
    </row>
    <row r="24" spans="1:12" x14ac:dyDescent="0.25">
      <c r="A24" s="306">
        <v>20</v>
      </c>
      <c r="B24" s="298"/>
      <c r="C24" s="299"/>
      <c r="D24" s="300" t="str">
        <f>IF(OR($B24="",$B24="&lt;Vul in&gt;"),"",(SUMIF('5. Kosten uitvoering project'!$D$6:$D$251,B24,'5. Kosten uitvoering project'!$P$6:$P$251)))</f>
        <v/>
      </c>
      <c r="E24" s="301" t="str">
        <f>IF(OR($B24="",$B24="&lt;Vul in&gt;"),"",(SUMIF('5. Kosten uitvoering project'!$D$6:$D$251,B24,'5. Kosten uitvoering project'!$Q$6:$Q$251)))</f>
        <v/>
      </c>
      <c r="F24" s="302" t="str">
        <f t="shared" si="0"/>
        <v/>
      </c>
      <c r="G24" s="303" t="str">
        <f t="shared" si="1"/>
        <v/>
      </c>
      <c r="H24" s="304" t="str">
        <f t="shared" ca="1" si="2"/>
        <v/>
      </c>
      <c r="I24" s="301" t="str">
        <f t="shared" ca="1" si="2"/>
        <v/>
      </c>
      <c r="J24" s="305"/>
      <c r="K24" s="305"/>
      <c r="L24" s="311" t="str" cm="1">
        <f t="array" ref="L24">_xlfn.IFNA(_xlfn.IFS(AND(OR(D24=0,D24=""),J24&lt;&gt;0),"Geef ook in de begroting  de kosten aan die horen bij deze deelprestatie."),"")</f>
        <v/>
      </c>
    </row>
    <row r="25" spans="1:12" x14ac:dyDescent="0.25">
      <c r="A25" s="306">
        <v>21</v>
      </c>
      <c r="B25" s="298"/>
      <c r="C25" s="299"/>
      <c r="D25" s="300" t="str">
        <f>IF(OR($B25="",$B25="&lt;Vul in&gt;"),"",(SUMIF('5. Kosten uitvoering project'!$D$6:$D$251,B25,'5. Kosten uitvoering project'!$P$6:$P$251)))</f>
        <v/>
      </c>
      <c r="E25" s="301" t="str">
        <f>IF(OR($B25="",$B25="&lt;Vul in&gt;"),"",(SUMIF('5. Kosten uitvoering project'!$D$6:$D$251,B25,'5. Kosten uitvoering project'!$Q$6:$Q$251)))</f>
        <v/>
      </c>
      <c r="F25" s="302" t="str">
        <f t="shared" si="0"/>
        <v/>
      </c>
      <c r="G25" s="303" t="str">
        <f t="shared" si="1"/>
        <v/>
      </c>
      <c r="H25" s="304" t="str">
        <f t="shared" ca="1" si="2"/>
        <v/>
      </c>
      <c r="I25" s="301" t="str">
        <f t="shared" ca="1" si="2"/>
        <v/>
      </c>
      <c r="J25" s="305"/>
      <c r="K25" s="305"/>
      <c r="L25" s="311" t="str" cm="1">
        <f t="array" ref="L25">_xlfn.IFNA(_xlfn.IFS(AND(OR(D25=0,D25=""),J25&lt;&gt;0),"Geef ook in de begroting  de kosten aan die horen bij deze deelprestatie."),"")</f>
        <v/>
      </c>
    </row>
    <row r="26" spans="1:12" x14ac:dyDescent="0.25">
      <c r="A26" s="306">
        <v>22</v>
      </c>
      <c r="B26" s="298"/>
      <c r="C26" s="299"/>
      <c r="D26" s="300" t="str">
        <f>IF(OR($B26="",$B26="&lt;Vul in&gt;"),"",(SUMIF('5. Kosten uitvoering project'!$D$6:$D$251,B26,'5. Kosten uitvoering project'!$P$6:$P$251)))</f>
        <v/>
      </c>
      <c r="E26" s="301" t="str">
        <f>IF(OR($B26="",$B26="&lt;Vul in&gt;"),"",(SUMIF('5. Kosten uitvoering project'!$D$6:$D$251,B26,'5. Kosten uitvoering project'!$Q$6:$Q$251)))</f>
        <v/>
      </c>
      <c r="F26" s="302" t="str">
        <f t="shared" si="0"/>
        <v/>
      </c>
      <c r="G26" s="303" t="str">
        <f t="shared" si="1"/>
        <v/>
      </c>
      <c r="H26" s="304" t="str">
        <f t="shared" ca="1" si="2"/>
        <v/>
      </c>
      <c r="I26" s="301" t="str">
        <f t="shared" ca="1" si="2"/>
        <v/>
      </c>
      <c r="J26" s="305"/>
      <c r="K26" s="305"/>
      <c r="L26" s="311" t="str" cm="1">
        <f t="array" ref="L26">_xlfn.IFNA(_xlfn.IFS(AND(OR(D26=0,D26=""),J26&lt;&gt;0),"Geef ook in de begroting  de kosten aan die horen bij deze deelprestatie."),"")</f>
        <v/>
      </c>
    </row>
    <row r="27" spans="1:12" x14ac:dyDescent="0.25">
      <c r="A27" s="306">
        <v>23</v>
      </c>
      <c r="B27" s="298"/>
      <c r="C27" s="299"/>
      <c r="D27" s="300" t="str">
        <f>IF(OR($B27="",$B27="&lt;Vul in&gt;"),"",(SUMIF('5. Kosten uitvoering project'!$D$6:$D$251,B27,'5. Kosten uitvoering project'!$P$6:$P$251)))</f>
        <v/>
      </c>
      <c r="E27" s="301" t="str">
        <f>IF(OR($B27="",$B27="&lt;Vul in&gt;"),"",(SUMIF('5. Kosten uitvoering project'!$D$6:$D$251,B27,'5. Kosten uitvoering project'!$Q$6:$Q$251)))</f>
        <v/>
      </c>
      <c r="F27" s="302" t="str">
        <f t="shared" si="0"/>
        <v/>
      </c>
      <c r="G27" s="303" t="str">
        <f t="shared" si="1"/>
        <v/>
      </c>
      <c r="H27" s="304" t="str">
        <f t="shared" ca="1" si="2"/>
        <v/>
      </c>
      <c r="I27" s="301" t="str">
        <f t="shared" ca="1" si="2"/>
        <v/>
      </c>
      <c r="J27" s="305"/>
      <c r="K27" s="305"/>
      <c r="L27" s="311" t="str" cm="1">
        <f t="array" ref="L27">_xlfn.IFNA(_xlfn.IFS(AND(OR(D27=0,D27=""),J27&lt;&gt;0),"Geef ook in de begroting  de kosten aan die horen bij deze deelprestatie."),"")</f>
        <v/>
      </c>
    </row>
    <row r="28" spans="1:12" x14ac:dyDescent="0.25">
      <c r="A28" s="306">
        <v>24</v>
      </c>
      <c r="B28" s="298"/>
      <c r="C28" s="299"/>
      <c r="D28" s="300" t="str">
        <f>IF(OR($B28="",$B28="&lt;Vul in&gt;"),"",(SUMIF('5. Kosten uitvoering project'!$D$6:$D$251,B28,'5. Kosten uitvoering project'!$P$6:$P$251)))</f>
        <v/>
      </c>
      <c r="E28" s="301" t="str">
        <f>IF(OR($B28="",$B28="&lt;Vul in&gt;"),"",(SUMIF('5. Kosten uitvoering project'!$D$6:$D$251,B28,'5. Kosten uitvoering project'!$Q$6:$Q$251)))</f>
        <v/>
      </c>
      <c r="F28" s="302" t="str">
        <f t="shared" si="0"/>
        <v/>
      </c>
      <c r="G28" s="303" t="str">
        <f t="shared" si="1"/>
        <v/>
      </c>
      <c r="H28" s="304" t="str">
        <f t="shared" ca="1" si="2"/>
        <v/>
      </c>
      <c r="I28" s="301" t="str">
        <f t="shared" ca="1" si="2"/>
        <v/>
      </c>
      <c r="J28" s="305"/>
      <c r="K28" s="305"/>
      <c r="L28" s="311" t="str" cm="1">
        <f t="array" ref="L28">_xlfn.IFNA(_xlfn.IFS(AND(OR(D28=0,D28=""),J28&lt;&gt;0),"Geef ook in de begroting  de kosten aan die horen bij deze deelprestatie."),"")</f>
        <v/>
      </c>
    </row>
    <row r="29" spans="1:12" x14ac:dyDescent="0.25">
      <c r="A29" s="306">
        <v>25</v>
      </c>
      <c r="B29" s="298"/>
      <c r="C29" s="299"/>
      <c r="D29" s="300" t="str">
        <f>IF(OR($B29="",$B29="&lt;Vul in&gt;"),"",(SUMIF('5. Kosten uitvoering project'!$D$6:$D$251,B29,'5. Kosten uitvoering project'!$P$6:$P$251)))</f>
        <v/>
      </c>
      <c r="E29" s="301" t="str">
        <f>IF(OR($B29="",$B29="&lt;Vul in&gt;"),"",(SUMIF('5. Kosten uitvoering project'!$D$6:$D$251,B29,'5. Kosten uitvoering project'!$Q$6:$Q$251)))</f>
        <v/>
      </c>
      <c r="F29" s="302" t="str">
        <f t="shared" si="0"/>
        <v/>
      </c>
      <c r="G29" s="303" t="str">
        <f t="shared" si="1"/>
        <v/>
      </c>
      <c r="H29" s="304" t="str">
        <f t="shared" ca="1" si="2"/>
        <v/>
      </c>
      <c r="I29" s="301" t="str">
        <f t="shared" ca="1" si="2"/>
        <v/>
      </c>
      <c r="J29" s="305"/>
      <c r="K29" s="305"/>
      <c r="L29" s="311" t="str" cm="1">
        <f t="array" ref="L29">_xlfn.IFNA(_xlfn.IFS(AND(OR(D29=0,D29=""),J29&lt;&gt;0),"Geef ook in de begroting  de kosten aan die horen bij deze deelprestatie."),"")</f>
        <v/>
      </c>
    </row>
    <row r="30" spans="1:12" x14ac:dyDescent="0.25">
      <c r="A30" s="306">
        <v>26</v>
      </c>
      <c r="B30" s="298"/>
      <c r="C30" s="299"/>
      <c r="D30" s="300" t="str">
        <f>IF(OR($B30="",$B30="&lt;Vul in&gt;"),"",(SUMIF('5. Kosten uitvoering project'!$D$6:$D$251,B30,'5. Kosten uitvoering project'!$P$6:$P$251)))</f>
        <v/>
      </c>
      <c r="E30" s="301" t="str">
        <f>IF(OR($B30="",$B30="&lt;Vul in&gt;"),"",(SUMIF('5. Kosten uitvoering project'!$D$6:$D$251,B30,'5. Kosten uitvoering project'!$Q$6:$Q$251)))</f>
        <v/>
      </c>
      <c r="F30" s="302" t="str">
        <f t="shared" si="0"/>
        <v/>
      </c>
      <c r="G30" s="303" t="str">
        <f t="shared" si="1"/>
        <v/>
      </c>
      <c r="H30" s="304" t="str">
        <f t="shared" ca="1" si="2"/>
        <v/>
      </c>
      <c r="I30" s="301" t="str">
        <f t="shared" ca="1" si="2"/>
        <v/>
      </c>
      <c r="J30" s="305"/>
      <c r="K30" s="305"/>
      <c r="L30" s="311" t="str" cm="1">
        <f t="array" ref="L30">_xlfn.IFNA(_xlfn.IFS(AND(OR(D30=0,D30=""),J30&lt;&gt;0),"Geef ook in de begroting  de kosten aan die horen bij deze deelprestatie."),"")</f>
        <v/>
      </c>
    </row>
    <row r="31" spans="1:12" x14ac:dyDescent="0.25">
      <c r="A31" s="306">
        <v>27</v>
      </c>
      <c r="B31" s="298"/>
      <c r="C31" s="299"/>
      <c r="D31" s="300" t="str">
        <f>IF(OR($B31="",$B31="&lt;Vul in&gt;"),"",(SUMIF('5. Kosten uitvoering project'!$D$6:$D$251,B31,'5. Kosten uitvoering project'!$P$6:$P$251)))</f>
        <v/>
      </c>
      <c r="E31" s="301" t="str">
        <f>IF(OR($B31="",$B31="&lt;Vul in&gt;"),"",(SUMIF('5. Kosten uitvoering project'!$D$6:$D$251,B31,'5. Kosten uitvoering project'!$Q$6:$Q$251)))</f>
        <v/>
      </c>
      <c r="F31" s="302" t="str">
        <f t="shared" si="0"/>
        <v/>
      </c>
      <c r="G31" s="303" t="str">
        <f t="shared" si="1"/>
        <v/>
      </c>
      <c r="H31" s="304" t="str">
        <f t="shared" ca="1" si="2"/>
        <v/>
      </c>
      <c r="I31" s="301" t="str">
        <f t="shared" ca="1" si="2"/>
        <v/>
      </c>
      <c r="J31" s="305"/>
      <c r="K31" s="305"/>
      <c r="L31" s="311" t="str" cm="1">
        <f t="array" ref="L31">_xlfn.IFNA(_xlfn.IFS(AND(OR(D31=0,D31=""),J31&lt;&gt;0),"Geef ook in de begroting  de kosten aan die horen bij deze deelprestatie."),"")</f>
        <v/>
      </c>
    </row>
    <row r="32" spans="1:12" x14ac:dyDescent="0.25">
      <c r="A32" s="306">
        <v>28</v>
      </c>
      <c r="B32" s="298"/>
      <c r="C32" s="299"/>
      <c r="D32" s="300" t="str">
        <f>IF(OR($B32="",$B32="&lt;Vul in&gt;"),"",(SUMIF('5. Kosten uitvoering project'!$D$6:$D$251,B32,'5. Kosten uitvoering project'!$P$6:$P$251)))</f>
        <v/>
      </c>
      <c r="E32" s="301" t="str">
        <f>IF(OR($B32="",$B32="&lt;Vul in&gt;"),"",(SUMIF('5. Kosten uitvoering project'!$D$6:$D$251,B32,'5. Kosten uitvoering project'!$Q$6:$Q$251)))</f>
        <v/>
      </c>
      <c r="F32" s="302" t="str">
        <f t="shared" si="0"/>
        <v/>
      </c>
      <c r="G32" s="303" t="str">
        <f t="shared" si="1"/>
        <v/>
      </c>
      <c r="H32" s="304" t="str">
        <f t="shared" ca="1" si="2"/>
        <v/>
      </c>
      <c r="I32" s="301" t="str">
        <f t="shared" ca="1" si="2"/>
        <v/>
      </c>
      <c r="J32" s="305"/>
      <c r="K32" s="305"/>
      <c r="L32" s="311" t="str" cm="1">
        <f t="array" ref="L32">_xlfn.IFNA(_xlfn.IFS(AND(OR(D32=0,D32=""),J32&lt;&gt;0),"Geef ook in de begroting  de kosten aan die horen bij deze deelprestatie."),"")</f>
        <v/>
      </c>
    </row>
    <row r="33" spans="1:12" x14ac:dyDescent="0.25">
      <c r="A33" s="306">
        <v>29</v>
      </c>
      <c r="B33" s="298"/>
      <c r="C33" s="299"/>
      <c r="D33" s="300" t="str">
        <f>IF(OR($B33="",$B33="&lt;Vul in&gt;"),"",(SUMIF('5. Kosten uitvoering project'!$D$6:$D$251,B33,'5. Kosten uitvoering project'!$P$6:$P$251)))</f>
        <v/>
      </c>
      <c r="E33" s="301" t="str">
        <f>IF(OR($B33="",$B33="&lt;Vul in&gt;"),"",(SUMIF('5. Kosten uitvoering project'!$D$6:$D$251,B33,'5. Kosten uitvoering project'!$Q$6:$Q$251)))</f>
        <v/>
      </c>
      <c r="F33" s="302" t="str">
        <f t="shared" si="0"/>
        <v/>
      </c>
      <c r="G33" s="303" t="str">
        <f t="shared" si="1"/>
        <v/>
      </c>
      <c r="H33" s="304" t="str">
        <f t="shared" ca="1" si="2"/>
        <v/>
      </c>
      <c r="I33" s="301" t="str">
        <f t="shared" ca="1" si="2"/>
        <v/>
      </c>
      <c r="J33" s="305"/>
      <c r="K33" s="305"/>
      <c r="L33" s="311" t="str" cm="1">
        <f t="array" ref="L33">_xlfn.IFNA(_xlfn.IFS(AND(OR(D33=0,D33=""),J33&lt;&gt;0),"Geef ook in de begroting  de kosten aan die horen bij deze deelprestatie."),"")</f>
        <v/>
      </c>
    </row>
    <row r="34" spans="1:12" x14ac:dyDescent="0.25">
      <c r="A34" s="306">
        <v>30</v>
      </c>
      <c r="B34" s="298"/>
      <c r="C34" s="299"/>
      <c r="D34" s="300" t="str">
        <f>IF(OR($B34="",$B34="&lt;Vul in&gt;"),"",(SUMIF('5. Kosten uitvoering project'!$D$6:$D$251,B34,'5. Kosten uitvoering project'!$P$6:$P$251)))</f>
        <v/>
      </c>
      <c r="E34" s="301" t="str">
        <f>IF(OR($B34="",$B34="&lt;Vul in&gt;"),"",(SUMIF('5. Kosten uitvoering project'!$D$6:$D$251,B34,'5. Kosten uitvoering project'!$Q$6:$Q$251)))</f>
        <v/>
      </c>
      <c r="F34" s="302" t="str">
        <f t="shared" si="0"/>
        <v/>
      </c>
      <c r="G34" s="303" t="str">
        <f t="shared" si="1"/>
        <v/>
      </c>
      <c r="H34" s="304" t="str">
        <f t="shared" ca="1" si="2"/>
        <v/>
      </c>
      <c r="I34" s="301" t="str">
        <f t="shared" ca="1" si="2"/>
        <v/>
      </c>
      <c r="J34" s="305"/>
      <c r="K34" s="305"/>
      <c r="L34" s="311"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79</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6"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Xq8rfKJ7N7UNCiXDYvZlhE1/b8/PNxh4HEn/f3TOTobrIgjLKReCY2GV31mziyoinzWih0gApTs0GwlioEA7AA==" saltValue="0+29O0ndjQQKjE2N1jlctw==" spinCount="100000" sheet="1" objects="1" scenarios="1"/>
  <mergeCells count="5">
    <mergeCell ref="D3:E3"/>
    <mergeCell ref="F3:G3"/>
    <mergeCell ref="J3:K3"/>
    <mergeCell ref="H3:I3"/>
    <mergeCell ref="B3:C3"/>
  </mergeCells>
  <phoneticPr fontId="4"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hyperlinks>
    <hyperlink ref="B3:C3" r:id="rId1" display="https://abs.techletes.ai/subsidie-buddy-eip/?ref=bsnomg74jlcu" xr:uid="{521C09FE-944A-4452-9623-908C198E30E5}"/>
  </hyperlinks>
  <pageMargins left="0.70866141732283472" right="0.70866141732283472" top="0.74803149606299213" bottom="0.74803149606299213" header="0.31496062992125984" footer="0.31496062992125984"/>
  <pageSetup paperSize="9" scale="74" orientation="landscape" r:id="rId2"/>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3" sqref="B3:C3"/>
    </sheetView>
  </sheetViews>
  <sheetFormatPr defaultColWidth="9.140625" defaultRowHeight="15" customHeight="1" x14ac:dyDescent="0.25"/>
  <cols>
    <col min="1" max="1" width="11.28515625" style="36" bestFit="1" customWidth="1"/>
    <col min="2" max="2" width="15.5703125" style="36" customWidth="1"/>
    <col min="3" max="3" width="56.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19"/>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384"/>
      <c r="B2" s="385" t="s">
        <v>20</v>
      </c>
      <c r="C2" s="386" t="str">
        <f>IF(OR('1. Aanvraaggegevens'!C8="",'1. Aanvraaggegevens'!C8=0),"Kies een berekeningsmethode op tabblad '1. Aanvraaggegevens'",'1. Aanvraaggegevens'!C8)</f>
        <v>Kies een berekeningsmethode op tabblad '1. Aanvraaggegevens'</v>
      </c>
      <c r="D2" s="385"/>
      <c r="E2" s="385"/>
      <c r="F2" s="385"/>
      <c r="G2" s="387"/>
      <c r="H2" s="388" t="str">
        <f>IF(C2="Vereenvoudigde kostenoptie voor arbeidskosten","--&gt;U heeft gekozen voor een forfait voor arbeidskosten. U hoeft daarom geen loonkosten op te geven.","")</f>
        <v/>
      </c>
      <c r="I2" s="388"/>
      <c r="J2" s="388"/>
      <c r="K2" s="384"/>
      <c r="L2" s="387"/>
      <c r="M2" s="387"/>
      <c r="N2" s="387"/>
      <c r="O2" s="387"/>
      <c r="P2" s="388" t="str">
        <f>IF(G2="Vereenvoudigde kostenoptie voor arbeidskosten","--&gt;U heeft gekozen voor een forfait voor arbeidskosten. U hoeft daarom geen loonkosten op te geven.","")</f>
        <v/>
      </c>
      <c r="Q2" s="388"/>
      <c r="R2" s="388"/>
      <c r="S2" s="385"/>
      <c r="T2" s="385"/>
      <c r="U2" s="385"/>
      <c r="V2" s="385"/>
      <c r="W2" s="385"/>
      <c r="X2" s="385"/>
      <c r="Y2" s="123"/>
    </row>
    <row r="3" spans="1:25" s="25" customFormat="1" ht="51.75" customHeight="1" x14ac:dyDescent="0.25">
      <c r="A3" s="379"/>
      <c r="B3" s="411" t="s">
        <v>552</v>
      </c>
      <c r="C3" s="411"/>
      <c r="D3" s="405" t="s">
        <v>133</v>
      </c>
      <c r="E3" s="406"/>
      <c r="F3" s="406"/>
      <c r="G3" s="406"/>
      <c r="H3" s="406"/>
      <c r="I3" s="406"/>
      <c r="J3" s="407"/>
      <c r="K3" s="408" t="s">
        <v>147</v>
      </c>
      <c r="L3" s="409"/>
      <c r="M3" s="409"/>
      <c r="N3" s="409"/>
      <c r="O3" s="409"/>
      <c r="P3" s="409"/>
      <c r="Q3" s="409"/>
      <c r="R3" s="410"/>
      <c r="S3" s="380"/>
      <c r="T3" s="381"/>
      <c r="U3" s="381"/>
      <c r="V3" s="381"/>
      <c r="W3" s="382"/>
      <c r="X3" s="383"/>
      <c r="Y3" s="215"/>
    </row>
    <row r="4" spans="1:25" s="27" customFormat="1" ht="60" x14ac:dyDescent="0.25">
      <c r="A4" s="74" t="s">
        <v>29</v>
      </c>
      <c r="B4" s="74" t="s">
        <v>36</v>
      </c>
      <c r="C4" s="126" t="s">
        <v>12</v>
      </c>
      <c r="D4" s="132" t="s">
        <v>34</v>
      </c>
      <c r="E4" s="133" t="s">
        <v>78</v>
      </c>
      <c r="F4" s="133" t="s">
        <v>33</v>
      </c>
      <c r="G4" s="134" t="s">
        <v>26</v>
      </c>
      <c r="H4" s="134" t="s">
        <v>13</v>
      </c>
      <c r="I4" s="134" t="s">
        <v>14</v>
      </c>
      <c r="J4" s="135" t="s">
        <v>37</v>
      </c>
      <c r="K4" s="132" t="s">
        <v>148</v>
      </c>
      <c r="L4" s="133" t="s">
        <v>34</v>
      </c>
      <c r="M4" s="133" t="s">
        <v>78</v>
      </c>
      <c r="N4" s="133" t="s">
        <v>33</v>
      </c>
      <c r="O4" s="134" t="s">
        <v>26</v>
      </c>
      <c r="P4" s="134" t="s">
        <v>13</v>
      </c>
      <c r="Q4" s="134" t="s">
        <v>14</v>
      </c>
      <c r="R4" s="135" t="s">
        <v>37</v>
      </c>
      <c r="S4" s="176" t="s">
        <v>244</v>
      </c>
      <c r="T4" s="128" t="s">
        <v>135</v>
      </c>
      <c r="U4" s="74" t="s">
        <v>137</v>
      </c>
      <c r="V4" s="74" t="s">
        <v>149</v>
      </c>
      <c r="W4" s="177" t="s">
        <v>150</v>
      </c>
      <c r="X4" s="127" t="s">
        <v>210</v>
      </c>
      <c r="Y4" s="74" t="s">
        <v>197</v>
      </c>
    </row>
    <row r="5" spans="1:25" x14ac:dyDescent="0.2">
      <c r="A5" s="332" t="str">
        <f>IF(OR($B5="Ja",$B5="Nee"),MAX($A$4:A4)+1,"")</f>
        <v/>
      </c>
      <c r="B5" s="333" t="s">
        <v>35</v>
      </c>
      <c r="C5" s="334"/>
      <c r="D5" s="335"/>
      <c r="E5" s="336"/>
      <c r="F5" s="337"/>
      <c r="G5" s="338"/>
      <c r="H5" s="339">
        <f>SUM(F5*12,G5)</f>
        <v>0</v>
      </c>
      <c r="I5" s="340">
        <f>1720*E5/40</f>
        <v>0</v>
      </c>
      <c r="J5" s="341">
        <f t="shared" ref="J5:J36" si="0">IF($B5="nee",IFERROR(ROUND(H5*(1+$U5)/I5,2),0),0)</f>
        <v>0</v>
      </c>
      <c r="K5" s="342"/>
      <c r="L5" s="338"/>
      <c r="M5" s="343"/>
      <c r="N5" s="338"/>
      <c r="O5" s="338"/>
      <c r="P5" s="339">
        <f>SUM(N5*12,O5)</f>
        <v>0</v>
      </c>
      <c r="Q5" s="340">
        <f t="shared" ref="Q5:Q36" si="1">1720*M5/40</f>
        <v>0</v>
      </c>
      <c r="R5" s="341">
        <f t="shared" ref="R5:R36" si="2">IF($B5="nee",IFERROR(ROUND(P5*(1+$U5)/Q5,2),0),0)</f>
        <v>0</v>
      </c>
      <c r="S5" s="344" t="s">
        <v>136</v>
      </c>
      <c r="T5" s="345" t="str">
        <f t="shared" ref="T5:T36" si="3">IF(Methode_Keuze&lt;&gt;"",IF($C$2="Vereenvoudigde kostenoptie voor overige kosten","nee","ja"),"ja")</f>
        <v>ja</v>
      </c>
      <c r="U5" s="346">
        <f>IF(T5="ja",0.442*(1.15)+0.15,0.442)</f>
        <v>0.6583</v>
      </c>
      <c r="V5" s="347">
        <f>IF(B5="Ja",D5,J5)</f>
        <v>0</v>
      </c>
      <c r="W5" s="341" t="str">
        <f>IF(B5="Ja",IF(K5="JA",D5,L5),IF(B5="Nee",IF(K5="JA",J5,R5),""))</f>
        <v/>
      </c>
      <c r="X5" s="348"/>
      <c r="Y5" s="349"/>
    </row>
    <row r="6" spans="1:25" x14ac:dyDescent="0.2">
      <c r="A6" s="332" t="str">
        <f>IF(B6&lt;&gt;"&lt;Selecteer&gt;",MAX($A$4:A5)+1,"")</f>
        <v/>
      </c>
      <c r="B6" s="333" t="s">
        <v>35</v>
      </c>
      <c r="C6" s="334"/>
      <c r="D6" s="335"/>
      <c r="E6" s="336"/>
      <c r="F6" s="337"/>
      <c r="G6" s="338"/>
      <c r="H6" s="339">
        <f t="shared" ref="H6:H54" si="4">SUM(F6*12,G6)</f>
        <v>0</v>
      </c>
      <c r="I6" s="340">
        <f t="shared" ref="I6:I54" si="5">1720*E6/40</f>
        <v>0</v>
      </c>
      <c r="J6" s="341">
        <f t="shared" si="0"/>
        <v>0</v>
      </c>
      <c r="K6" s="342"/>
      <c r="L6" s="338"/>
      <c r="M6" s="343"/>
      <c r="N6" s="338"/>
      <c r="O6" s="338"/>
      <c r="P6" s="339">
        <f t="shared" ref="P6:P54" si="6">SUM(N6*12,O6)</f>
        <v>0</v>
      </c>
      <c r="Q6" s="340">
        <f t="shared" si="1"/>
        <v>0</v>
      </c>
      <c r="R6" s="341">
        <f t="shared" si="2"/>
        <v>0</v>
      </c>
      <c r="S6" s="344" t="s">
        <v>136</v>
      </c>
      <c r="T6" s="345" t="str">
        <f t="shared" si="3"/>
        <v>ja</v>
      </c>
      <c r="U6" s="346">
        <f t="shared" ref="U6:U54" si="7">IF(T6="ja",0.442*(1.15)+0.15,0.442)</f>
        <v>0.6583</v>
      </c>
      <c r="V6" s="347">
        <f t="shared" ref="V6:V54" si="8">IF(B6="Ja",D6,J6)</f>
        <v>0</v>
      </c>
      <c r="W6" s="341" t="str">
        <f t="shared" ref="W6:W54" si="9">IF(B6="Ja",IF(K6="JA",D6,L6),IF(B6="Nee",IF(K6="JA",J6,R6),""))</f>
        <v/>
      </c>
      <c r="X6" s="348"/>
      <c r="Y6" s="349"/>
    </row>
    <row r="7" spans="1:25" x14ac:dyDescent="0.2">
      <c r="A7" s="332" t="str">
        <f>IF(B7&lt;&gt;"&lt;Selecteer&gt;",MAX($A$4:A6)+1,"")</f>
        <v/>
      </c>
      <c r="B7" s="333" t="s">
        <v>35</v>
      </c>
      <c r="C7" s="334"/>
      <c r="D7" s="335"/>
      <c r="E7" s="336"/>
      <c r="F7" s="337"/>
      <c r="G7" s="338"/>
      <c r="H7" s="339">
        <f t="shared" si="4"/>
        <v>0</v>
      </c>
      <c r="I7" s="340">
        <f t="shared" si="5"/>
        <v>0</v>
      </c>
      <c r="J7" s="341">
        <f t="shared" si="0"/>
        <v>0</v>
      </c>
      <c r="K7" s="342"/>
      <c r="L7" s="338"/>
      <c r="M7" s="343"/>
      <c r="N7" s="338"/>
      <c r="O7" s="338"/>
      <c r="P7" s="339">
        <f t="shared" si="6"/>
        <v>0</v>
      </c>
      <c r="Q7" s="340">
        <f t="shared" si="1"/>
        <v>0</v>
      </c>
      <c r="R7" s="341">
        <f t="shared" si="2"/>
        <v>0</v>
      </c>
      <c r="S7" s="344" t="s">
        <v>136</v>
      </c>
      <c r="T7" s="345" t="str">
        <f t="shared" si="3"/>
        <v>ja</v>
      </c>
      <c r="U7" s="346">
        <f t="shared" si="7"/>
        <v>0.6583</v>
      </c>
      <c r="V7" s="347">
        <f t="shared" si="8"/>
        <v>0</v>
      </c>
      <c r="W7" s="341" t="str">
        <f t="shared" si="9"/>
        <v/>
      </c>
      <c r="X7" s="348"/>
      <c r="Y7" s="349"/>
    </row>
    <row r="8" spans="1:25" x14ac:dyDescent="0.2">
      <c r="A8" s="332" t="str">
        <f>IF(B8&lt;&gt;"&lt;Selecteer&gt;",MAX($A$4:A7)+1,"")</f>
        <v/>
      </c>
      <c r="B8" s="333" t="s">
        <v>35</v>
      </c>
      <c r="C8" s="334"/>
      <c r="D8" s="335"/>
      <c r="E8" s="336"/>
      <c r="F8" s="337"/>
      <c r="G8" s="338"/>
      <c r="H8" s="339">
        <f t="shared" si="4"/>
        <v>0</v>
      </c>
      <c r="I8" s="340">
        <f t="shared" si="5"/>
        <v>0</v>
      </c>
      <c r="J8" s="341">
        <f t="shared" si="0"/>
        <v>0</v>
      </c>
      <c r="K8" s="342"/>
      <c r="L8" s="338"/>
      <c r="M8" s="343"/>
      <c r="N8" s="338"/>
      <c r="O8" s="338"/>
      <c r="P8" s="339">
        <f t="shared" si="6"/>
        <v>0</v>
      </c>
      <c r="Q8" s="340">
        <f t="shared" si="1"/>
        <v>0</v>
      </c>
      <c r="R8" s="341">
        <f t="shared" si="2"/>
        <v>0</v>
      </c>
      <c r="S8" s="344" t="s">
        <v>136</v>
      </c>
      <c r="T8" s="345" t="str">
        <f t="shared" si="3"/>
        <v>ja</v>
      </c>
      <c r="U8" s="346">
        <f t="shared" si="7"/>
        <v>0.6583</v>
      </c>
      <c r="V8" s="347">
        <f t="shared" si="8"/>
        <v>0</v>
      </c>
      <c r="W8" s="341" t="str">
        <f t="shared" si="9"/>
        <v/>
      </c>
      <c r="X8" s="348"/>
      <c r="Y8" s="349"/>
    </row>
    <row r="9" spans="1:25" x14ac:dyDescent="0.2">
      <c r="A9" s="332" t="str">
        <f>IF(B9&lt;&gt;"&lt;Selecteer&gt;",MAX($A$4:A8)+1,"")</f>
        <v/>
      </c>
      <c r="B9" s="333" t="s">
        <v>35</v>
      </c>
      <c r="C9" s="334"/>
      <c r="D9" s="335"/>
      <c r="E9" s="336"/>
      <c r="F9" s="337"/>
      <c r="G9" s="338"/>
      <c r="H9" s="339">
        <f t="shared" si="4"/>
        <v>0</v>
      </c>
      <c r="I9" s="340">
        <f t="shared" si="5"/>
        <v>0</v>
      </c>
      <c r="J9" s="341">
        <f t="shared" si="0"/>
        <v>0</v>
      </c>
      <c r="K9" s="342"/>
      <c r="L9" s="338"/>
      <c r="M9" s="343"/>
      <c r="N9" s="338"/>
      <c r="O9" s="338"/>
      <c r="P9" s="339">
        <f t="shared" si="6"/>
        <v>0</v>
      </c>
      <c r="Q9" s="340">
        <f t="shared" si="1"/>
        <v>0</v>
      </c>
      <c r="R9" s="341">
        <f t="shared" si="2"/>
        <v>0</v>
      </c>
      <c r="S9" s="344" t="s">
        <v>136</v>
      </c>
      <c r="T9" s="345" t="str">
        <f t="shared" si="3"/>
        <v>ja</v>
      </c>
      <c r="U9" s="346">
        <f t="shared" si="7"/>
        <v>0.6583</v>
      </c>
      <c r="V9" s="347">
        <f t="shared" si="8"/>
        <v>0</v>
      </c>
      <c r="W9" s="341" t="str">
        <f t="shared" si="9"/>
        <v/>
      </c>
      <c r="X9" s="348"/>
      <c r="Y9" s="349"/>
    </row>
    <row r="10" spans="1:25" x14ac:dyDescent="0.2">
      <c r="A10" s="332" t="str">
        <f>IF(B10&lt;&gt;"&lt;Selecteer&gt;",MAX($A$4:A9)+1,"")</f>
        <v/>
      </c>
      <c r="B10" s="333" t="s">
        <v>35</v>
      </c>
      <c r="C10" s="334"/>
      <c r="D10" s="335"/>
      <c r="E10" s="336"/>
      <c r="F10" s="337"/>
      <c r="G10" s="338"/>
      <c r="H10" s="339">
        <f t="shared" si="4"/>
        <v>0</v>
      </c>
      <c r="I10" s="340">
        <f t="shared" si="5"/>
        <v>0</v>
      </c>
      <c r="J10" s="341">
        <f t="shared" si="0"/>
        <v>0</v>
      </c>
      <c r="K10" s="342"/>
      <c r="L10" s="338"/>
      <c r="M10" s="343"/>
      <c r="N10" s="338"/>
      <c r="O10" s="338"/>
      <c r="P10" s="339">
        <f t="shared" si="6"/>
        <v>0</v>
      </c>
      <c r="Q10" s="340">
        <f t="shared" si="1"/>
        <v>0</v>
      </c>
      <c r="R10" s="341">
        <f t="shared" si="2"/>
        <v>0</v>
      </c>
      <c r="S10" s="344" t="s">
        <v>136</v>
      </c>
      <c r="T10" s="345" t="str">
        <f t="shared" si="3"/>
        <v>ja</v>
      </c>
      <c r="U10" s="346">
        <f t="shared" si="7"/>
        <v>0.6583</v>
      </c>
      <c r="V10" s="347">
        <f t="shared" si="8"/>
        <v>0</v>
      </c>
      <c r="W10" s="341" t="str">
        <f t="shared" si="9"/>
        <v/>
      </c>
      <c r="X10" s="348"/>
      <c r="Y10" s="349"/>
    </row>
    <row r="11" spans="1:25" x14ac:dyDescent="0.2">
      <c r="A11" s="332" t="str">
        <f>IF(B11&lt;&gt;"&lt;Selecteer&gt;",MAX($A$4:A10)+1,"")</f>
        <v/>
      </c>
      <c r="B11" s="333" t="s">
        <v>35</v>
      </c>
      <c r="C11" s="334"/>
      <c r="D11" s="335"/>
      <c r="E11" s="336"/>
      <c r="F11" s="337"/>
      <c r="G11" s="338"/>
      <c r="H11" s="339">
        <f t="shared" si="4"/>
        <v>0</v>
      </c>
      <c r="I11" s="340">
        <f t="shared" si="5"/>
        <v>0</v>
      </c>
      <c r="J11" s="341">
        <f t="shared" si="0"/>
        <v>0</v>
      </c>
      <c r="K11" s="342"/>
      <c r="L11" s="338"/>
      <c r="M11" s="343"/>
      <c r="N11" s="338"/>
      <c r="O11" s="338"/>
      <c r="P11" s="339">
        <f t="shared" si="6"/>
        <v>0</v>
      </c>
      <c r="Q11" s="340">
        <f t="shared" si="1"/>
        <v>0</v>
      </c>
      <c r="R11" s="341">
        <f t="shared" si="2"/>
        <v>0</v>
      </c>
      <c r="S11" s="344" t="s">
        <v>136</v>
      </c>
      <c r="T11" s="345" t="str">
        <f t="shared" si="3"/>
        <v>ja</v>
      </c>
      <c r="U11" s="346">
        <f t="shared" si="7"/>
        <v>0.6583</v>
      </c>
      <c r="V11" s="347">
        <f t="shared" si="8"/>
        <v>0</v>
      </c>
      <c r="W11" s="341" t="str">
        <f t="shared" si="9"/>
        <v/>
      </c>
      <c r="X11" s="348"/>
      <c r="Y11" s="349"/>
    </row>
    <row r="12" spans="1:25" x14ac:dyDescent="0.2">
      <c r="A12" s="332" t="str">
        <f>IF(B12&lt;&gt;"&lt;Selecteer&gt;",MAX($A$4:A11)+1,"")</f>
        <v/>
      </c>
      <c r="B12" s="333" t="s">
        <v>35</v>
      </c>
      <c r="C12" s="334"/>
      <c r="D12" s="335"/>
      <c r="E12" s="336"/>
      <c r="F12" s="337"/>
      <c r="G12" s="338"/>
      <c r="H12" s="339">
        <f t="shared" si="4"/>
        <v>0</v>
      </c>
      <c r="I12" s="340">
        <f t="shared" si="5"/>
        <v>0</v>
      </c>
      <c r="J12" s="341">
        <f t="shared" si="0"/>
        <v>0</v>
      </c>
      <c r="K12" s="342"/>
      <c r="L12" s="338"/>
      <c r="M12" s="343"/>
      <c r="N12" s="338"/>
      <c r="O12" s="338"/>
      <c r="P12" s="339">
        <f t="shared" si="6"/>
        <v>0</v>
      </c>
      <c r="Q12" s="340">
        <f t="shared" si="1"/>
        <v>0</v>
      </c>
      <c r="R12" s="341">
        <f t="shared" si="2"/>
        <v>0</v>
      </c>
      <c r="S12" s="344" t="s">
        <v>136</v>
      </c>
      <c r="T12" s="345" t="str">
        <f t="shared" si="3"/>
        <v>ja</v>
      </c>
      <c r="U12" s="346">
        <f t="shared" si="7"/>
        <v>0.6583</v>
      </c>
      <c r="V12" s="347">
        <f t="shared" si="8"/>
        <v>0</v>
      </c>
      <c r="W12" s="341" t="str">
        <f t="shared" si="9"/>
        <v/>
      </c>
      <c r="X12" s="348"/>
      <c r="Y12" s="349"/>
    </row>
    <row r="13" spans="1:25" x14ac:dyDescent="0.2">
      <c r="A13" s="332" t="str">
        <f>IF(B13&lt;&gt;"&lt;Selecteer&gt;",MAX($A$4:A12)+1,"")</f>
        <v/>
      </c>
      <c r="B13" s="333" t="s">
        <v>35</v>
      </c>
      <c r="C13" s="334"/>
      <c r="D13" s="335"/>
      <c r="E13" s="336"/>
      <c r="F13" s="337"/>
      <c r="G13" s="338"/>
      <c r="H13" s="339">
        <f t="shared" si="4"/>
        <v>0</v>
      </c>
      <c r="I13" s="340">
        <f t="shared" si="5"/>
        <v>0</v>
      </c>
      <c r="J13" s="341">
        <f t="shared" si="0"/>
        <v>0</v>
      </c>
      <c r="K13" s="342"/>
      <c r="L13" s="338"/>
      <c r="M13" s="343"/>
      <c r="N13" s="338"/>
      <c r="O13" s="338"/>
      <c r="P13" s="339">
        <f t="shared" si="6"/>
        <v>0</v>
      </c>
      <c r="Q13" s="340">
        <f t="shared" si="1"/>
        <v>0</v>
      </c>
      <c r="R13" s="341">
        <f t="shared" si="2"/>
        <v>0</v>
      </c>
      <c r="S13" s="344" t="s">
        <v>136</v>
      </c>
      <c r="T13" s="345" t="str">
        <f t="shared" si="3"/>
        <v>ja</v>
      </c>
      <c r="U13" s="346">
        <f t="shared" si="7"/>
        <v>0.6583</v>
      </c>
      <c r="V13" s="347">
        <f t="shared" si="8"/>
        <v>0</v>
      </c>
      <c r="W13" s="341" t="str">
        <f t="shared" si="9"/>
        <v/>
      </c>
      <c r="X13" s="348"/>
      <c r="Y13" s="349"/>
    </row>
    <row r="14" spans="1:25" x14ac:dyDescent="0.2">
      <c r="A14" s="332" t="str">
        <f>IF(B14&lt;&gt;"&lt;Selecteer&gt;",MAX($A$4:A13)+1,"")</f>
        <v/>
      </c>
      <c r="B14" s="333" t="s">
        <v>35</v>
      </c>
      <c r="C14" s="334"/>
      <c r="D14" s="335"/>
      <c r="E14" s="336"/>
      <c r="F14" s="337"/>
      <c r="G14" s="338"/>
      <c r="H14" s="339">
        <f t="shared" si="4"/>
        <v>0</v>
      </c>
      <c r="I14" s="340">
        <f t="shared" si="5"/>
        <v>0</v>
      </c>
      <c r="J14" s="341">
        <f t="shared" si="0"/>
        <v>0</v>
      </c>
      <c r="K14" s="342"/>
      <c r="L14" s="338"/>
      <c r="M14" s="343"/>
      <c r="N14" s="338"/>
      <c r="O14" s="338"/>
      <c r="P14" s="339">
        <f t="shared" si="6"/>
        <v>0</v>
      </c>
      <c r="Q14" s="340">
        <f t="shared" si="1"/>
        <v>0</v>
      </c>
      <c r="R14" s="341">
        <f t="shared" si="2"/>
        <v>0</v>
      </c>
      <c r="S14" s="344" t="s">
        <v>136</v>
      </c>
      <c r="T14" s="345" t="str">
        <f t="shared" si="3"/>
        <v>ja</v>
      </c>
      <c r="U14" s="346">
        <f t="shared" si="7"/>
        <v>0.6583</v>
      </c>
      <c r="V14" s="347">
        <f t="shared" si="8"/>
        <v>0</v>
      </c>
      <c r="W14" s="341" t="str">
        <f t="shared" si="9"/>
        <v/>
      </c>
      <c r="X14" s="348"/>
      <c r="Y14" s="349"/>
    </row>
    <row r="15" spans="1:25" x14ac:dyDescent="0.2">
      <c r="A15" s="332" t="str">
        <f>IF(B15&lt;&gt;"&lt;Selecteer&gt;",MAX($A$4:A14)+1,"")</f>
        <v/>
      </c>
      <c r="B15" s="333" t="s">
        <v>35</v>
      </c>
      <c r="C15" s="334"/>
      <c r="D15" s="335"/>
      <c r="E15" s="336"/>
      <c r="F15" s="337"/>
      <c r="G15" s="338"/>
      <c r="H15" s="339">
        <f t="shared" si="4"/>
        <v>0</v>
      </c>
      <c r="I15" s="340">
        <f t="shared" si="5"/>
        <v>0</v>
      </c>
      <c r="J15" s="341">
        <f t="shared" si="0"/>
        <v>0</v>
      </c>
      <c r="K15" s="342"/>
      <c r="L15" s="338"/>
      <c r="M15" s="343"/>
      <c r="N15" s="338"/>
      <c r="O15" s="338"/>
      <c r="P15" s="339">
        <f t="shared" si="6"/>
        <v>0</v>
      </c>
      <c r="Q15" s="340">
        <f t="shared" si="1"/>
        <v>0</v>
      </c>
      <c r="R15" s="341">
        <f t="shared" si="2"/>
        <v>0</v>
      </c>
      <c r="S15" s="344" t="s">
        <v>136</v>
      </c>
      <c r="T15" s="345" t="str">
        <f t="shared" si="3"/>
        <v>ja</v>
      </c>
      <c r="U15" s="346">
        <f t="shared" si="7"/>
        <v>0.6583</v>
      </c>
      <c r="V15" s="347">
        <f t="shared" si="8"/>
        <v>0</v>
      </c>
      <c r="W15" s="341" t="str">
        <f t="shared" si="9"/>
        <v/>
      </c>
      <c r="X15" s="348"/>
      <c r="Y15" s="349"/>
    </row>
    <row r="16" spans="1:25" x14ac:dyDescent="0.2">
      <c r="A16" s="332" t="str">
        <f>IF(B16&lt;&gt;"&lt;Selecteer&gt;",MAX($A$4:A15)+1,"")</f>
        <v/>
      </c>
      <c r="B16" s="333" t="s">
        <v>35</v>
      </c>
      <c r="C16" s="334"/>
      <c r="D16" s="335"/>
      <c r="E16" s="336"/>
      <c r="F16" s="337"/>
      <c r="G16" s="338"/>
      <c r="H16" s="339">
        <f t="shared" si="4"/>
        <v>0</v>
      </c>
      <c r="I16" s="340">
        <f t="shared" si="5"/>
        <v>0</v>
      </c>
      <c r="J16" s="341">
        <f t="shared" si="0"/>
        <v>0</v>
      </c>
      <c r="K16" s="342"/>
      <c r="L16" s="338"/>
      <c r="M16" s="343"/>
      <c r="N16" s="338"/>
      <c r="O16" s="338"/>
      <c r="P16" s="339">
        <f t="shared" si="6"/>
        <v>0</v>
      </c>
      <c r="Q16" s="340">
        <f t="shared" si="1"/>
        <v>0</v>
      </c>
      <c r="R16" s="341">
        <f t="shared" si="2"/>
        <v>0</v>
      </c>
      <c r="S16" s="344" t="s">
        <v>136</v>
      </c>
      <c r="T16" s="345" t="str">
        <f t="shared" si="3"/>
        <v>ja</v>
      </c>
      <c r="U16" s="346">
        <f t="shared" si="7"/>
        <v>0.6583</v>
      </c>
      <c r="V16" s="347">
        <f t="shared" si="8"/>
        <v>0</v>
      </c>
      <c r="W16" s="341" t="str">
        <f t="shared" si="9"/>
        <v/>
      </c>
      <c r="X16" s="348"/>
      <c r="Y16" s="349"/>
    </row>
    <row r="17" spans="1:25" x14ac:dyDescent="0.2">
      <c r="A17" s="332" t="str">
        <f>IF(B17&lt;&gt;"&lt;Selecteer&gt;",MAX($A$4:A16)+1,"")</f>
        <v/>
      </c>
      <c r="B17" s="333" t="s">
        <v>35</v>
      </c>
      <c r="C17" s="334"/>
      <c r="D17" s="335"/>
      <c r="E17" s="336"/>
      <c r="F17" s="337"/>
      <c r="G17" s="338"/>
      <c r="H17" s="339">
        <f t="shared" si="4"/>
        <v>0</v>
      </c>
      <c r="I17" s="340">
        <f t="shared" si="5"/>
        <v>0</v>
      </c>
      <c r="J17" s="341">
        <f t="shared" si="0"/>
        <v>0</v>
      </c>
      <c r="K17" s="342"/>
      <c r="L17" s="338"/>
      <c r="M17" s="343"/>
      <c r="N17" s="338"/>
      <c r="O17" s="338"/>
      <c r="P17" s="339">
        <f t="shared" si="6"/>
        <v>0</v>
      </c>
      <c r="Q17" s="340">
        <f t="shared" si="1"/>
        <v>0</v>
      </c>
      <c r="R17" s="341">
        <f t="shared" si="2"/>
        <v>0</v>
      </c>
      <c r="S17" s="344" t="s">
        <v>136</v>
      </c>
      <c r="T17" s="345" t="str">
        <f t="shared" si="3"/>
        <v>ja</v>
      </c>
      <c r="U17" s="346">
        <f t="shared" si="7"/>
        <v>0.6583</v>
      </c>
      <c r="V17" s="347">
        <f t="shared" si="8"/>
        <v>0</v>
      </c>
      <c r="W17" s="341" t="str">
        <f t="shared" si="9"/>
        <v/>
      </c>
      <c r="X17" s="348"/>
      <c r="Y17" s="349"/>
    </row>
    <row r="18" spans="1:25" x14ac:dyDescent="0.2">
      <c r="A18" s="332" t="str">
        <f>IF(B18&lt;&gt;"&lt;Selecteer&gt;",MAX($A$4:A17)+1,"")</f>
        <v/>
      </c>
      <c r="B18" s="333" t="s">
        <v>35</v>
      </c>
      <c r="C18" s="334"/>
      <c r="D18" s="335"/>
      <c r="E18" s="336"/>
      <c r="F18" s="337"/>
      <c r="G18" s="338"/>
      <c r="H18" s="339">
        <f t="shared" si="4"/>
        <v>0</v>
      </c>
      <c r="I18" s="340">
        <f t="shared" si="5"/>
        <v>0</v>
      </c>
      <c r="J18" s="341">
        <f t="shared" si="0"/>
        <v>0</v>
      </c>
      <c r="K18" s="342"/>
      <c r="L18" s="338"/>
      <c r="M18" s="343"/>
      <c r="N18" s="338"/>
      <c r="O18" s="338"/>
      <c r="P18" s="339">
        <f t="shared" si="6"/>
        <v>0</v>
      </c>
      <c r="Q18" s="340">
        <f t="shared" si="1"/>
        <v>0</v>
      </c>
      <c r="R18" s="341">
        <f t="shared" si="2"/>
        <v>0</v>
      </c>
      <c r="S18" s="344" t="s">
        <v>136</v>
      </c>
      <c r="T18" s="345" t="str">
        <f t="shared" si="3"/>
        <v>ja</v>
      </c>
      <c r="U18" s="346">
        <f t="shared" si="7"/>
        <v>0.6583</v>
      </c>
      <c r="V18" s="347">
        <f t="shared" si="8"/>
        <v>0</v>
      </c>
      <c r="W18" s="341" t="str">
        <f t="shared" si="9"/>
        <v/>
      </c>
      <c r="X18" s="348"/>
      <c r="Y18" s="349"/>
    </row>
    <row r="19" spans="1:25" x14ac:dyDescent="0.2">
      <c r="A19" s="332" t="str">
        <f>IF(B19&lt;&gt;"&lt;Selecteer&gt;",MAX($A$4:A18)+1,"")</f>
        <v/>
      </c>
      <c r="B19" s="333" t="s">
        <v>35</v>
      </c>
      <c r="C19" s="334"/>
      <c r="D19" s="335"/>
      <c r="E19" s="336"/>
      <c r="F19" s="337"/>
      <c r="G19" s="338"/>
      <c r="H19" s="339">
        <f t="shared" si="4"/>
        <v>0</v>
      </c>
      <c r="I19" s="340">
        <f t="shared" si="5"/>
        <v>0</v>
      </c>
      <c r="J19" s="341">
        <f t="shared" si="0"/>
        <v>0</v>
      </c>
      <c r="K19" s="342"/>
      <c r="L19" s="338"/>
      <c r="M19" s="343"/>
      <c r="N19" s="338"/>
      <c r="O19" s="338"/>
      <c r="P19" s="339">
        <f t="shared" si="6"/>
        <v>0</v>
      </c>
      <c r="Q19" s="340">
        <f t="shared" si="1"/>
        <v>0</v>
      </c>
      <c r="R19" s="341">
        <f t="shared" si="2"/>
        <v>0</v>
      </c>
      <c r="S19" s="344" t="s">
        <v>136</v>
      </c>
      <c r="T19" s="345" t="str">
        <f t="shared" si="3"/>
        <v>ja</v>
      </c>
      <c r="U19" s="346">
        <f t="shared" si="7"/>
        <v>0.6583</v>
      </c>
      <c r="V19" s="347">
        <f t="shared" si="8"/>
        <v>0</v>
      </c>
      <c r="W19" s="341" t="str">
        <f t="shared" si="9"/>
        <v/>
      </c>
      <c r="X19" s="348"/>
      <c r="Y19" s="349"/>
    </row>
    <row r="20" spans="1:25" x14ac:dyDescent="0.2">
      <c r="A20" s="332" t="str">
        <f>IF(B20&lt;&gt;"&lt;Selecteer&gt;",MAX($A$4:A19)+1,"")</f>
        <v/>
      </c>
      <c r="B20" s="333" t="s">
        <v>35</v>
      </c>
      <c r="C20" s="334"/>
      <c r="D20" s="335"/>
      <c r="E20" s="336"/>
      <c r="F20" s="337"/>
      <c r="G20" s="338"/>
      <c r="H20" s="339">
        <f t="shared" si="4"/>
        <v>0</v>
      </c>
      <c r="I20" s="340">
        <f t="shared" si="5"/>
        <v>0</v>
      </c>
      <c r="J20" s="341">
        <f t="shared" si="0"/>
        <v>0</v>
      </c>
      <c r="K20" s="342"/>
      <c r="L20" s="338"/>
      <c r="M20" s="343"/>
      <c r="N20" s="338"/>
      <c r="O20" s="338"/>
      <c r="P20" s="339">
        <f t="shared" si="6"/>
        <v>0</v>
      </c>
      <c r="Q20" s="340">
        <f t="shared" si="1"/>
        <v>0</v>
      </c>
      <c r="R20" s="341">
        <f t="shared" si="2"/>
        <v>0</v>
      </c>
      <c r="S20" s="344" t="s">
        <v>136</v>
      </c>
      <c r="T20" s="345" t="str">
        <f t="shared" si="3"/>
        <v>ja</v>
      </c>
      <c r="U20" s="346">
        <f t="shared" si="7"/>
        <v>0.6583</v>
      </c>
      <c r="V20" s="347">
        <f t="shared" si="8"/>
        <v>0</v>
      </c>
      <c r="W20" s="341" t="str">
        <f t="shared" si="9"/>
        <v/>
      </c>
      <c r="X20" s="348"/>
      <c r="Y20" s="349"/>
    </row>
    <row r="21" spans="1:25" x14ac:dyDescent="0.2">
      <c r="A21" s="332" t="str">
        <f>IF(B21&lt;&gt;"&lt;Selecteer&gt;",MAX($A$4:A20)+1,"")</f>
        <v/>
      </c>
      <c r="B21" s="333" t="s">
        <v>35</v>
      </c>
      <c r="C21" s="334"/>
      <c r="D21" s="335"/>
      <c r="E21" s="336"/>
      <c r="F21" s="337"/>
      <c r="G21" s="338"/>
      <c r="H21" s="339">
        <f t="shared" si="4"/>
        <v>0</v>
      </c>
      <c r="I21" s="340">
        <f t="shared" si="5"/>
        <v>0</v>
      </c>
      <c r="J21" s="341">
        <f t="shared" si="0"/>
        <v>0</v>
      </c>
      <c r="K21" s="342"/>
      <c r="L21" s="338"/>
      <c r="M21" s="343"/>
      <c r="N21" s="338"/>
      <c r="O21" s="338"/>
      <c r="P21" s="339">
        <f t="shared" si="6"/>
        <v>0</v>
      </c>
      <c r="Q21" s="340">
        <f t="shared" si="1"/>
        <v>0</v>
      </c>
      <c r="R21" s="341">
        <f t="shared" si="2"/>
        <v>0</v>
      </c>
      <c r="S21" s="344" t="s">
        <v>136</v>
      </c>
      <c r="T21" s="345" t="str">
        <f t="shared" si="3"/>
        <v>ja</v>
      </c>
      <c r="U21" s="346">
        <f t="shared" si="7"/>
        <v>0.6583</v>
      </c>
      <c r="V21" s="347">
        <f t="shared" si="8"/>
        <v>0</v>
      </c>
      <c r="W21" s="341" t="str">
        <f t="shared" si="9"/>
        <v/>
      </c>
      <c r="X21" s="348"/>
      <c r="Y21" s="349"/>
    </row>
    <row r="22" spans="1:25" x14ac:dyDescent="0.2">
      <c r="A22" s="332" t="str">
        <f>IF(B22&lt;&gt;"&lt;Selecteer&gt;",MAX($A$4:A21)+1,"")</f>
        <v/>
      </c>
      <c r="B22" s="333" t="s">
        <v>35</v>
      </c>
      <c r="C22" s="334"/>
      <c r="D22" s="335"/>
      <c r="E22" s="336"/>
      <c r="F22" s="337"/>
      <c r="G22" s="338"/>
      <c r="H22" s="339">
        <f t="shared" si="4"/>
        <v>0</v>
      </c>
      <c r="I22" s="340">
        <f t="shared" si="5"/>
        <v>0</v>
      </c>
      <c r="J22" s="341">
        <f t="shared" si="0"/>
        <v>0</v>
      </c>
      <c r="K22" s="342"/>
      <c r="L22" s="338"/>
      <c r="M22" s="343"/>
      <c r="N22" s="338"/>
      <c r="O22" s="338"/>
      <c r="P22" s="339">
        <f t="shared" si="6"/>
        <v>0</v>
      </c>
      <c r="Q22" s="340">
        <f t="shared" si="1"/>
        <v>0</v>
      </c>
      <c r="R22" s="341">
        <f t="shared" si="2"/>
        <v>0</v>
      </c>
      <c r="S22" s="344" t="s">
        <v>136</v>
      </c>
      <c r="T22" s="345" t="str">
        <f t="shared" si="3"/>
        <v>ja</v>
      </c>
      <c r="U22" s="346">
        <f t="shared" si="7"/>
        <v>0.6583</v>
      </c>
      <c r="V22" s="347">
        <f t="shared" si="8"/>
        <v>0</v>
      </c>
      <c r="W22" s="341" t="str">
        <f t="shared" si="9"/>
        <v/>
      </c>
      <c r="X22" s="348"/>
      <c r="Y22" s="349"/>
    </row>
    <row r="23" spans="1:25" x14ac:dyDescent="0.2">
      <c r="A23" s="332" t="str">
        <f>IF(B23&lt;&gt;"&lt;Selecteer&gt;",MAX($A$4:A22)+1,"")</f>
        <v/>
      </c>
      <c r="B23" s="333" t="s">
        <v>35</v>
      </c>
      <c r="C23" s="334"/>
      <c r="D23" s="335"/>
      <c r="E23" s="336"/>
      <c r="F23" s="337"/>
      <c r="G23" s="338"/>
      <c r="H23" s="339">
        <f t="shared" si="4"/>
        <v>0</v>
      </c>
      <c r="I23" s="340">
        <f t="shared" si="5"/>
        <v>0</v>
      </c>
      <c r="J23" s="341">
        <f t="shared" si="0"/>
        <v>0</v>
      </c>
      <c r="K23" s="342"/>
      <c r="L23" s="338"/>
      <c r="M23" s="343"/>
      <c r="N23" s="338"/>
      <c r="O23" s="338"/>
      <c r="P23" s="339">
        <f t="shared" si="6"/>
        <v>0</v>
      </c>
      <c r="Q23" s="340">
        <f t="shared" si="1"/>
        <v>0</v>
      </c>
      <c r="R23" s="341">
        <f t="shared" si="2"/>
        <v>0</v>
      </c>
      <c r="S23" s="344" t="s">
        <v>136</v>
      </c>
      <c r="T23" s="345" t="str">
        <f t="shared" si="3"/>
        <v>ja</v>
      </c>
      <c r="U23" s="346">
        <f t="shared" si="7"/>
        <v>0.6583</v>
      </c>
      <c r="V23" s="347">
        <f t="shared" si="8"/>
        <v>0</v>
      </c>
      <c r="W23" s="341" t="str">
        <f t="shared" si="9"/>
        <v/>
      </c>
      <c r="X23" s="348"/>
      <c r="Y23" s="349"/>
    </row>
    <row r="24" spans="1:25" x14ac:dyDescent="0.2">
      <c r="A24" s="332" t="str">
        <f>IF(B24&lt;&gt;"&lt;Selecteer&gt;",MAX($A$4:A23)+1,"")</f>
        <v/>
      </c>
      <c r="B24" s="333" t="s">
        <v>35</v>
      </c>
      <c r="C24" s="334"/>
      <c r="D24" s="335"/>
      <c r="E24" s="336"/>
      <c r="F24" s="337"/>
      <c r="G24" s="338"/>
      <c r="H24" s="339">
        <f t="shared" si="4"/>
        <v>0</v>
      </c>
      <c r="I24" s="340">
        <f t="shared" si="5"/>
        <v>0</v>
      </c>
      <c r="J24" s="341">
        <f t="shared" si="0"/>
        <v>0</v>
      </c>
      <c r="K24" s="342"/>
      <c r="L24" s="338"/>
      <c r="M24" s="343"/>
      <c r="N24" s="338"/>
      <c r="O24" s="338"/>
      <c r="P24" s="339">
        <f t="shared" si="6"/>
        <v>0</v>
      </c>
      <c r="Q24" s="340">
        <f t="shared" si="1"/>
        <v>0</v>
      </c>
      <c r="R24" s="341">
        <f t="shared" si="2"/>
        <v>0</v>
      </c>
      <c r="S24" s="344" t="s">
        <v>136</v>
      </c>
      <c r="T24" s="345" t="str">
        <f t="shared" si="3"/>
        <v>ja</v>
      </c>
      <c r="U24" s="346">
        <f t="shared" si="7"/>
        <v>0.6583</v>
      </c>
      <c r="V24" s="347">
        <f t="shared" si="8"/>
        <v>0</v>
      </c>
      <c r="W24" s="341" t="str">
        <f t="shared" si="9"/>
        <v/>
      </c>
      <c r="X24" s="348"/>
      <c r="Y24" s="349"/>
    </row>
    <row r="25" spans="1:25" x14ac:dyDescent="0.2">
      <c r="A25" s="332" t="str">
        <f>IF(B25&lt;&gt;"&lt;Selecteer&gt;",MAX($A$4:A24)+1,"")</f>
        <v/>
      </c>
      <c r="B25" s="333" t="s">
        <v>35</v>
      </c>
      <c r="C25" s="334"/>
      <c r="D25" s="335"/>
      <c r="E25" s="336"/>
      <c r="F25" s="337"/>
      <c r="G25" s="338"/>
      <c r="H25" s="339">
        <f t="shared" si="4"/>
        <v>0</v>
      </c>
      <c r="I25" s="340">
        <f t="shared" si="5"/>
        <v>0</v>
      </c>
      <c r="J25" s="341">
        <f t="shared" si="0"/>
        <v>0</v>
      </c>
      <c r="K25" s="342"/>
      <c r="L25" s="338"/>
      <c r="M25" s="343"/>
      <c r="N25" s="338"/>
      <c r="O25" s="338"/>
      <c r="P25" s="339">
        <f t="shared" si="6"/>
        <v>0</v>
      </c>
      <c r="Q25" s="340">
        <f t="shared" si="1"/>
        <v>0</v>
      </c>
      <c r="R25" s="341">
        <f t="shared" si="2"/>
        <v>0</v>
      </c>
      <c r="S25" s="344" t="s">
        <v>136</v>
      </c>
      <c r="T25" s="345" t="str">
        <f t="shared" si="3"/>
        <v>ja</v>
      </c>
      <c r="U25" s="346">
        <f t="shared" si="7"/>
        <v>0.6583</v>
      </c>
      <c r="V25" s="347">
        <f t="shared" si="8"/>
        <v>0</v>
      </c>
      <c r="W25" s="341" t="str">
        <f t="shared" si="9"/>
        <v/>
      </c>
      <c r="X25" s="348"/>
      <c r="Y25" s="349"/>
    </row>
    <row r="26" spans="1:25" x14ac:dyDescent="0.2">
      <c r="A26" s="332" t="str">
        <f>IF(B26&lt;&gt;"&lt;Selecteer&gt;",MAX($A$4:A25)+1,"")</f>
        <v/>
      </c>
      <c r="B26" s="333" t="s">
        <v>35</v>
      </c>
      <c r="C26" s="334"/>
      <c r="D26" s="335"/>
      <c r="E26" s="336"/>
      <c r="F26" s="337"/>
      <c r="G26" s="338"/>
      <c r="H26" s="339">
        <f t="shared" si="4"/>
        <v>0</v>
      </c>
      <c r="I26" s="340">
        <f t="shared" si="5"/>
        <v>0</v>
      </c>
      <c r="J26" s="341">
        <f t="shared" si="0"/>
        <v>0</v>
      </c>
      <c r="K26" s="342"/>
      <c r="L26" s="338"/>
      <c r="M26" s="343"/>
      <c r="N26" s="338"/>
      <c r="O26" s="338"/>
      <c r="P26" s="339">
        <f t="shared" si="6"/>
        <v>0</v>
      </c>
      <c r="Q26" s="340">
        <f t="shared" si="1"/>
        <v>0</v>
      </c>
      <c r="R26" s="341">
        <f t="shared" si="2"/>
        <v>0</v>
      </c>
      <c r="S26" s="344" t="s">
        <v>136</v>
      </c>
      <c r="T26" s="345" t="str">
        <f t="shared" si="3"/>
        <v>ja</v>
      </c>
      <c r="U26" s="346">
        <f t="shared" si="7"/>
        <v>0.6583</v>
      </c>
      <c r="V26" s="347">
        <f t="shared" si="8"/>
        <v>0</v>
      </c>
      <c r="W26" s="341" t="str">
        <f t="shared" si="9"/>
        <v/>
      </c>
      <c r="X26" s="348"/>
      <c r="Y26" s="349"/>
    </row>
    <row r="27" spans="1:25" x14ac:dyDescent="0.2">
      <c r="A27" s="332" t="str">
        <f>IF(B27&lt;&gt;"&lt;Selecteer&gt;",MAX($A$4:A26)+1,"")</f>
        <v/>
      </c>
      <c r="B27" s="333" t="s">
        <v>35</v>
      </c>
      <c r="C27" s="334"/>
      <c r="D27" s="335"/>
      <c r="E27" s="336"/>
      <c r="F27" s="337"/>
      <c r="G27" s="338"/>
      <c r="H27" s="339">
        <f t="shared" si="4"/>
        <v>0</v>
      </c>
      <c r="I27" s="340">
        <f t="shared" si="5"/>
        <v>0</v>
      </c>
      <c r="J27" s="341">
        <f t="shared" si="0"/>
        <v>0</v>
      </c>
      <c r="K27" s="342"/>
      <c r="L27" s="338"/>
      <c r="M27" s="343"/>
      <c r="N27" s="338"/>
      <c r="O27" s="338"/>
      <c r="P27" s="339">
        <f t="shared" si="6"/>
        <v>0</v>
      </c>
      <c r="Q27" s="340">
        <f t="shared" si="1"/>
        <v>0</v>
      </c>
      <c r="R27" s="341">
        <f t="shared" si="2"/>
        <v>0</v>
      </c>
      <c r="S27" s="344" t="s">
        <v>136</v>
      </c>
      <c r="T27" s="345" t="str">
        <f t="shared" si="3"/>
        <v>ja</v>
      </c>
      <c r="U27" s="346">
        <f t="shared" si="7"/>
        <v>0.6583</v>
      </c>
      <c r="V27" s="347">
        <f t="shared" si="8"/>
        <v>0</v>
      </c>
      <c r="W27" s="341" t="str">
        <f t="shared" si="9"/>
        <v/>
      </c>
      <c r="X27" s="348"/>
      <c r="Y27" s="349"/>
    </row>
    <row r="28" spans="1:25" x14ac:dyDescent="0.2">
      <c r="A28" s="332" t="str">
        <f>IF(B28&lt;&gt;"&lt;Selecteer&gt;",MAX($A$4:A27)+1,"")</f>
        <v/>
      </c>
      <c r="B28" s="333" t="s">
        <v>35</v>
      </c>
      <c r="C28" s="334"/>
      <c r="D28" s="335"/>
      <c r="E28" s="336"/>
      <c r="F28" s="337"/>
      <c r="G28" s="338"/>
      <c r="H28" s="339">
        <f t="shared" si="4"/>
        <v>0</v>
      </c>
      <c r="I28" s="340">
        <f t="shared" si="5"/>
        <v>0</v>
      </c>
      <c r="J28" s="341">
        <f t="shared" si="0"/>
        <v>0</v>
      </c>
      <c r="K28" s="342"/>
      <c r="L28" s="338"/>
      <c r="M28" s="343"/>
      <c r="N28" s="338"/>
      <c r="O28" s="338"/>
      <c r="P28" s="339">
        <f t="shared" si="6"/>
        <v>0</v>
      </c>
      <c r="Q28" s="340">
        <f t="shared" si="1"/>
        <v>0</v>
      </c>
      <c r="R28" s="341">
        <f t="shared" si="2"/>
        <v>0</v>
      </c>
      <c r="S28" s="344" t="s">
        <v>136</v>
      </c>
      <c r="T28" s="345" t="str">
        <f t="shared" si="3"/>
        <v>ja</v>
      </c>
      <c r="U28" s="346">
        <f t="shared" si="7"/>
        <v>0.6583</v>
      </c>
      <c r="V28" s="347">
        <f t="shared" si="8"/>
        <v>0</v>
      </c>
      <c r="W28" s="341" t="str">
        <f t="shared" si="9"/>
        <v/>
      </c>
      <c r="X28" s="348"/>
      <c r="Y28" s="349"/>
    </row>
    <row r="29" spans="1:25" x14ac:dyDescent="0.2">
      <c r="A29" s="332" t="str">
        <f>IF(B29&lt;&gt;"&lt;Selecteer&gt;",MAX($A$4:A28)+1,"")</f>
        <v/>
      </c>
      <c r="B29" s="333" t="s">
        <v>35</v>
      </c>
      <c r="C29" s="334"/>
      <c r="D29" s="335"/>
      <c r="E29" s="336"/>
      <c r="F29" s="337"/>
      <c r="G29" s="338"/>
      <c r="H29" s="339">
        <f t="shared" si="4"/>
        <v>0</v>
      </c>
      <c r="I29" s="340">
        <f t="shared" si="5"/>
        <v>0</v>
      </c>
      <c r="J29" s="341">
        <f t="shared" si="0"/>
        <v>0</v>
      </c>
      <c r="K29" s="342"/>
      <c r="L29" s="338"/>
      <c r="M29" s="343"/>
      <c r="N29" s="338"/>
      <c r="O29" s="338"/>
      <c r="P29" s="339">
        <f t="shared" si="6"/>
        <v>0</v>
      </c>
      <c r="Q29" s="340">
        <f t="shared" si="1"/>
        <v>0</v>
      </c>
      <c r="R29" s="341">
        <f t="shared" si="2"/>
        <v>0</v>
      </c>
      <c r="S29" s="344" t="s">
        <v>136</v>
      </c>
      <c r="T29" s="345" t="str">
        <f t="shared" si="3"/>
        <v>ja</v>
      </c>
      <c r="U29" s="346">
        <f t="shared" si="7"/>
        <v>0.6583</v>
      </c>
      <c r="V29" s="347">
        <f t="shared" si="8"/>
        <v>0</v>
      </c>
      <c r="W29" s="341" t="str">
        <f t="shared" si="9"/>
        <v/>
      </c>
      <c r="X29" s="348"/>
      <c r="Y29" s="349"/>
    </row>
    <row r="30" spans="1:25" x14ac:dyDescent="0.2">
      <c r="A30" s="332" t="str">
        <f>IF(B30&lt;&gt;"&lt;Selecteer&gt;",MAX($A$4:A29)+1,"")</f>
        <v/>
      </c>
      <c r="B30" s="333" t="s">
        <v>35</v>
      </c>
      <c r="C30" s="334"/>
      <c r="D30" s="335"/>
      <c r="E30" s="336"/>
      <c r="F30" s="337"/>
      <c r="G30" s="338"/>
      <c r="H30" s="339">
        <f t="shared" si="4"/>
        <v>0</v>
      </c>
      <c r="I30" s="340">
        <f t="shared" si="5"/>
        <v>0</v>
      </c>
      <c r="J30" s="341">
        <f t="shared" si="0"/>
        <v>0</v>
      </c>
      <c r="K30" s="342"/>
      <c r="L30" s="338"/>
      <c r="M30" s="343"/>
      <c r="N30" s="338"/>
      <c r="O30" s="338"/>
      <c r="P30" s="339">
        <f t="shared" si="6"/>
        <v>0</v>
      </c>
      <c r="Q30" s="340">
        <f t="shared" si="1"/>
        <v>0</v>
      </c>
      <c r="R30" s="341">
        <f t="shared" si="2"/>
        <v>0</v>
      </c>
      <c r="S30" s="344" t="s">
        <v>136</v>
      </c>
      <c r="T30" s="345" t="str">
        <f t="shared" si="3"/>
        <v>ja</v>
      </c>
      <c r="U30" s="346">
        <f t="shared" si="7"/>
        <v>0.6583</v>
      </c>
      <c r="V30" s="347">
        <f t="shared" si="8"/>
        <v>0</v>
      </c>
      <c r="W30" s="341" t="str">
        <f t="shared" si="9"/>
        <v/>
      </c>
      <c r="X30" s="348"/>
      <c r="Y30" s="349"/>
    </row>
    <row r="31" spans="1:25" x14ac:dyDescent="0.2">
      <c r="A31" s="332" t="str">
        <f>IF(B31&lt;&gt;"&lt;Selecteer&gt;",MAX($A$4:A30)+1,"")</f>
        <v/>
      </c>
      <c r="B31" s="333" t="s">
        <v>35</v>
      </c>
      <c r="C31" s="334"/>
      <c r="D31" s="335"/>
      <c r="E31" s="336"/>
      <c r="F31" s="337"/>
      <c r="G31" s="338"/>
      <c r="H31" s="339">
        <f t="shared" si="4"/>
        <v>0</v>
      </c>
      <c r="I31" s="340">
        <f t="shared" si="5"/>
        <v>0</v>
      </c>
      <c r="J31" s="341">
        <f t="shared" si="0"/>
        <v>0</v>
      </c>
      <c r="K31" s="342"/>
      <c r="L31" s="338"/>
      <c r="M31" s="343"/>
      <c r="N31" s="338"/>
      <c r="O31" s="338"/>
      <c r="P31" s="339">
        <f t="shared" si="6"/>
        <v>0</v>
      </c>
      <c r="Q31" s="340">
        <f t="shared" si="1"/>
        <v>0</v>
      </c>
      <c r="R31" s="341">
        <f t="shared" si="2"/>
        <v>0</v>
      </c>
      <c r="S31" s="344" t="s">
        <v>136</v>
      </c>
      <c r="T31" s="345" t="str">
        <f t="shared" si="3"/>
        <v>ja</v>
      </c>
      <c r="U31" s="346">
        <f t="shared" si="7"/>
        <v>0.6583</v>
      </c>
      <c r="V31" s="347">
        <f t="shared" si="8"/>
        <v>0</v>
      </c>
      <c r="W31" s="341" t="str">
        <f t="shared" si="9"/>
        <v/>
      </c>
      <c r="X31" s="348"/>
      <c r="Y31" s="349"/>
    </row>
    <row r="32" spans="1:25" x14ac:dyDescent="0.2">
      <c r="A32" s="332" t="str">
        <f>IF(B32&lt;&gt;"&lt;Selecteer&gt;",MAX($A$4:A31)+1,"")</f>
        <v/>
      </c>
      <c r="B32" s="333" t="s">
        <v>35</v>
      </c>
      <c r="C32" s="334"/>
      <c r="D32" s="335"/>
      <c r="E32" s="336"/>
      <c r="F32" s="337"/>
      <c r="G32" s="338"/>
      <c r="H32" s="339">
        <f t="shared" si="4"/>
        <v>0</v>
      </c>
      <c r="I32" s="340">
        <f t="shared" si="5"/>
        <v>0</v>
      </c>
      <c r="J32" s="341">
        <f t="shared" si="0"/>
        <v>0</v>
      </c>
      <c r="K32" s="342"/>
      <c r="L32" s="338"/>
      <c r="M32" s="343"/>
      <c r="N32" s="338"/>
      <c r="O32" s="338"/>
      <c r="P32" s="339">
        <f t="shared" si="6"/>
        <v>0</v>
      </c>
      <c r="Q32" s="340">
        <f t="shared" si="1"/>
        <v>0</v>
      </c>
      <c r="R32" s="341">
        <f t="shared" si="2"/>
        <v>0</v>
      </c>
      <c r="S32" s="344" t="s">
        <v>136</v>
      </c>
      <c r="T32" s="345" t="str">
        <f t="shared" si="3"/>
        <v>ja</v>
      </c>
      <c r="U32" s="346">
        <f t="shared" si="7"/>
        <v>0.6583</v>
      </c>
      <c r="V32" s="347">
        <f t="shared" si="8"/>
        <v>0</v>
      </c>
      <c r="W32" s="341" t="str">
        <f t="shared" si="9"/>
        <v/>
      </c>
      <c r="X32" s="348"/>
      <c r="Y32" s="349"/>
    </row>
    <row r="33" spans="1:25" x14ac:dyDescent="0.2">
      <c r="A33" s="332" t="str">
        <f>IF(B33&lt;&gt;"&lt;Selecteer&gt;",MAX($A$4:A32)+1,"")</f>
        <v/>
      </c>
      <c r="B33" s="333" t="s">
        <v>35</v>
      </c>
      <c r="C33" s="334"/>
      <c r="D33" s="335"/>
      <c r="E33" s="336"/>
      <c r="F33" s="337"/>
      <c r="G33" s="338"/>
      <c r="H33" s="339">
        <f t="shared" si="4"/>
        <v>0</v>
      </c>
      <c r="I33" s="340">
        <f t="shared" si="5"/>
        <v>0</v>
      </c>
      <c r="J33" s="341">
        <f t="shared" si="0"/>
        <v>0</v>
      </c>
      <c r="K33" s="342"/>
      <c r="L33" s="338"/>
      <c r="M33" s="343"/>
      <c r="N33" s="338"/>
      <c r="O33" s="338"/>
      <c r="P33" s="339">
        <f t="shared" si="6"/>
        <v>0</v>
      </c>
      <c r="Q33" s="340">
        <f t="shared" si="1"/>
        <v>0</v>
      </c>
      <c r="R33" s="341">
        <f t="shared" si="2"/>
        <v>0</v>
      </c>
      <c r="S33" s="344" t="s">
        <v>136</v>
      </c>
      <c r="T33" s="345" t="str">
        <f t="shared" si="3"/>
        <v>ja</v>
      </c>
      <c r="U33" s="346">
        <f t="shared" si="7"/>
        <v>0.6583</v>
      </c>
      <c r="V33" s="347">
        <f t="shared" si="8"/>
        <v>0</v>
      </c>
      <c r="W33" s="341" t="str">
        <f t="shared" si="9"/>
        <v/>
      </c>
      <c r="X33" s="348"/>
      <c r="Y33" s="349"/>
    </row>
    <row r="34" spans="1:25" x14ac:dyDescent="0.2">
      <c r="A34" s="332" t="str">
        <f>IF(B34&lt;&gt;"&lt;Selecteer&gt;",MAX($A$4:A33)+1,"")</f>
        <v/>
      </c>
      <c r="B34" s="333" t="s">
        <v>35</v>
      </c>
      <c r="C34" s="334"/>
      <c r="D34" s="335"/>
      <c r="E34" s="336"/>
      <c r="F34" s="337"/>
      <c r="G34" s="338"/>
      <c r="H34" s="339">
        <f t="shared" si="4"/>
        <v>0</v>
      </c>
      <c r="I34" s="340">
        <f t="shared" si="5"/>
        <v>0</v>
      </c>
      <c r="J34" s="341">
        <f t="shared" si="0"/>
        <v>0</v>
      </c>
      <c r="K34" s="342"/>
      <c r="L34" s="338"/>
      <c r="M34" s="343"/>
      <c r="N34" s="338"/>
      <c r="O34" s="338"/>
      <c r="P34" s="339">
        <f t="shared" si="6"/>
        <v>0</v>
      </c>
      <c r="Q34" s="340">
        <f t="shared" si="1"/>
        <v>0</v>
      </c>
      <c r="R34" s="341">
        <f t="shared" si="2"/>
        <v>0</v>
      </c>
      <c r="S34" s="344" t="s">
        <v>136</v>
      </c>
      <c r="T34" s="345" t="str">
        <f t="shared" si="3"/>
        <v>ja</v>
      </c>
      <c r="U34" s="346">
        <f t="shared" si="7"/>
        <v>0.6583</v>
      </c>
      <c r="V34" s="347">
        <f t="shared" si="8"/>
        <v>0</v>
      </c>
      <c r="W34" s="341" t="str">
        <f t="shared" si="9"/>
        <v/>
      </c>
      <c r="X34" s="348"/>
      <c r="Y34" s="349"/>
    </row>
    <row r="35" spans="1:25" x14ac:dyDescent="0.2">
      <c r="A35" s="332" t="str">
        <f>IF(B35&lt;&gt;"&lt;Selecteer&gt;",MAX($A$4:A34)+1,"")</f>
        <v/>
      </c>
      <c r="B35" s="333" t="s">
        <v>35</v>
      </c>
      <c r="C35" s="334"/>
      <c r="D35" s="335"/>
      <c r="E35" s="336"/>
      <c r="F35" s="337"/>
      <c r="G35" s="338"/>
      <c r="H35" s="339">
        <f t="shared" si="4"/>
        <v>0</v>
      </c>
      <c r="I35" s="340">
        <f t="shared" si="5"/>
        <v>0</v>
      </c>
      <c r="J35" s="341">
        <f t="shared" si="0"/>
        <v>0</v>
      </c>
      <c r="K35" s="342"/>
      <c r="L35" s="338"/>
      <c r="M35" s="343"/>
      <c r="N35" s="338"/>
      <c r="O35" s="338"/>
      <c r="P35" s="339">
        <f t="shared" si="6"/>
        <v>0</v>
      </c>
      <c r="Q35" s="340">
        <f t="shared" si="1"/>
        <v>0</v>
      </c>
      <c r="R35" s="341">
        <f t="shared" si="2"/>
        <v>0</v>
      </c>
      <c r="S35" s="344" t="s">
        <v>136</v>
      </c>
      <c r="T35" s="345" t="str">
        <f t="shared" si="3"/>
        <v>ja</v>
      </c>
      <c r="U35" s="346">
        <f t="shared" si="7"/>
        <v>0.6583</v>
      </c>
      <c r="V35" s="347">
        <f t="shared" si="8"/>
        <v>0</v>
      </c>
      <c r="W35" s="341" t="str">
        <f t="shared" si="9"/>
        <v/>
      </c>
      <c r="X35" s="348"/>
      <c r="Y35" s="349"/>
    </row>
    <row r="36" spans="1:25" x14ac:dyDescent="0.2">
      <c r="A36" s="332" t="str">
        <f>IF(B36&lt;&gt;"&lt;Selecteer&gt;",MAX($A$4:A35)+1,"")</f>
        <v/>
      </c>
      <c r="B36" s="333" t="s">
        <v>35</v>
      </c>
      <c r="C36" s="334"/>
      <c r="D36" s="335"/>
      <c r="E36" s="336"/>
      <c r="F36" s="337"/>
      <c r="G36" s="338"/>
      <c r="H36" s="339">
        <f t="shared" si="4"/>
        <v>0</v>
      </c>
      <c r="I36" s="340">
        <f t="shared" si="5"/>
        <v>0</v>
      </c>
      <c r="J36" s="341">
        <f t="shared" si="0"/>
        <v>0</v>
      </c>
      <c r="K36" s="342"/>
      <c r="L36" s="338"/>
      <c r="M36" s="343"/>
      <c r="N36" s="338"/>
      <c r="O36" s="338"/>
      <c r="P36" s="339">
        <f t="shared" si="6"/>
        <v>0</v>
      </c>
      <c r="Q36" s="340">
        <f t="shared" si="1"/>
        <v>0</v>
      </c>
      <c r="R36" s="341">
        <f t="shared" si="2"/>
        <v>0</v>
      </c>
      <c r="S36" s="344" t="s">
        <v>136</v>
      </c>
      <c r="T36" s="345" t="str">
        <f t="shared" si="3"/>
        <v>ja</v>
      </c>
      <c r="U36" s="346">
        <f t="shared" si="7"/>
        <v>0.6583</v>
      </c>
      <c r="V36" s="347">
        <f t="shared" si="8"/>
        <v>0</v>
      </c>
      <c r="W36" s="341" t="str">
        <f t="shared" si="9"/>
        <v/>
      </c>
      <c r="X36" s="348"/>
      <c r="Y36" s="349"/>
    </row>
    <row r="37" spans="1:25" x14ac:dyDescent="0.2">
      <c r="A37" s="332" t="str">
        <f>IF(B37&lt;&gt;"&lt;Selecteer&gt;",MAX($A$4:A36)+1,"")</f>
        <v/>
      </c>
      <c r="B37" s="333" t="s">
        <v>35</v>
      </c>
      <c r="C37" s="334"/>
      <c r="D37" s="335"/>
      <c r="E37" s="336"/>
      <c r="F37" s="337"/>
      <c r="G37" s="338"/>
      <c r="H37" s="339">
        <f t="shared" si="4"/>
        <v>0</v>
      </c>
      <c r="I37" s="340">
        <f t="shared" si="5"/>
        <v>0</v>
      </c>
      <c r="J37" s="341">
        <f t="shared" ref="J37:J54" si="10">IF($B37="nee",IFERROR(ROUND(H37*(1+$U37)/I37,2),0),0)</f>
        <v>0</v>
      </c>
      <c r="K37" s="342"/>
      <c r="L37" s="338"/>
      <c r="M37" s="343"/>
      <c r="N37" s="338"/>
      <c r="O37" s="338"/>
      <c r="P37" s="339">
        <f t="shared" si="6"/>
        <v>0</v>
      </c>
      <c r="Q37" s="340">
        <f t="shared" ref="Q37:Q54" si="11">1720*M37/40</f>
        <v>0</v>
      </c>
      <c r="R37" s="341">
        <f t="shared" ref="R37:R54" si="12">IF($B37="nee",IFERROR(ROUND(P37*(1+$U37)/Q37,2),0),0)</f>
        <v>0</v>
      </c>
      <c r="S37" s="344" t="s">
        <v>136</v>
      </c>
      <c r="T37" s="345" t="str">
        <f t="shared" ref="T37:T54" si="13">IF(Methode_Keuze&lt;&gt;"",IF($C$2="Vereenvoudigde kostenoptie voor overige kosten","nee","ja"),"ja")</f>
        <v>ja</v>
      </c>
      <c r="U37" s="346">
        <f t="shared" si="7"/>
        <v>0.6583</v>
      </c>
      <c r="V37" s="347">
        <f t="shared" si="8"/>
        <v>0</v>
      </c>
      <c r="W37" s="341" t="str">
        <f t="shared" si="9"/>
        <v/>
      </c>
      <c r="X37" s="348"/>
      <c r="Y37" s="349"/>
    </row>
    <row r="38" spans="1:25" x14ac:dyDescent="0.2">
      <c r="A38" s="332" t="str">
        <f>IF(B38&lt;&gt;"&lt;Selecteer&gt;",MAX($A$4:A37)+1,"")</f>
        <v/>
      </c>
      <c r="B38" s="333" t="s">
        <v>35</v>
      </c>
      <c r="C38" s="334"/>
      <c r="D38" s="335"/>
      <c r="E38" s="336"/>
      <c r="F38" s="337"/>
      <c r="G38" s="338"/>
      <c r="H38" s="339">
        <f t="shared" si="4"/>
        <v>0</v>
      </c>
      <c r="I38" s="340">
        <f t="shared" si="5"/>
        <v>0</v>
      </c>
      <c r="J38" s="341">
        <f t="shared" si="10"/>
        <v>0</v>
      </c>
      <c r="K38" s="342"/>
      <c r="L38" s="338"/>
      <c r="M38" s="343"/>
      <c r="N38" s="338"/>
      <c r="O38" s="338"/>
      <c r="P38" s="339">
        <f t="shared" si="6"/>
        <v>0</v>
      </c>
      <c r="Q38" s="340">
        <f t="shared" si="11"/>
        <v>0</v>
      </c>
      <c r="R38" s="341">
        <f t="shared" si="12"/>
        <v>0</v>
      </c>
      <c r="S38" s="344" t="s">
        <v>136</v>
      </c>
      <c r="T38" s="345" t="str">
        <f t="shared" si="13"/>
        <v>ja</v>
      </c>
      <c r="U38" s="346">
        <f t="shared" si="7"/>
        <v>0.6583</v>
      </c>
      <c r="V38" s="347">
        <f t="shared" si="8"/>
        <v>0</v>
      </c>
      <c r="W38" s="341" t="str">
        <f t="shared" si="9"/>
        <v/>
      </c>
      <c r="X38" s="348"/>
      <c r="Y38" s="349"/>
    </row>
    <row r="39" spans="1:25" x14ac:dyDescent="0.2">
      <c r="A39" s="332" t="str">
        <f>IF(B39&lt;&gt;"&lt;Selecteer&gt;",MAX($A$4:A38)+1,"")</f>
        <v/>
      </c>
      <c r="B39" s="333" t="s">
        <v>35</v>
      </c>
      <c r="C39" s="334"/>
      <c r="D39" s="335"/>
      <c r="E39" s="336"/>
      <c r="F39" s="337"/>
      <c r="G39" s="338"/>
      <c r="H39" s="339">
        <f t="shared" si="4"/>
        <v>0</v>
      </c>
      <c r="I39" s="340">
        <f t="shared" si="5"/>
        <v>0</v>
      </c>
      <c r="J39" s="341">
        <f t="shared" si="10"/>
        <v>0</v>
      </c>
      <c r="K39" s="342"/>
      <c r="L39" s="338"/>
      <c r="M39" s="343"/>
      <c r="N39" s="338"/>
      <c r="O39" s="338"/>
      <c r="P39" s="339">
        <f t="shared" si="6"/>
        <v>0</v>
      </c>
      <c r="Q39" s="340">
        <f t="shared" si="11"/>
        <v>0</v>
      </c>
      <c r="R39" s="341">
        <f t="shared" si="12"/>
        <v>0</v>
      </c>
      <c r="S39" s="344" t="s">
        <v>136</v>
      </c>
      <c r="T39" s="345" t="str">
        <f t="shared" si="13"/>
        <v>ja</v>
      </c>
      <c r="U39" s="346">
        <f t="shared" si="7"/>
        <v>0.6583</v>
      </c>
      <c r="V39" s="347">
        <f t="shared" si="8"/>
        <v>0</v>
      </c>
      <c r="W39" s="341" t="str">
        <f t="shared" si="9"/>
        <v/>
      </c>
      <c r="X39" s="348"/>
      <c r="Y39" s="349"/>
    </row>
    <row r="40" spans="1:25" x14ac:dyDescent="0.2">
      <c r="A40" s="332" t="str">
        <f>IF(B40&lt;&gt;"&lt;Selecteer&gt;",MAX($A$4:A39)+1,"")</f>
        <v/>
      </c>
      <c r="B40" s="333" t="s">
        <v>35</v>
      </c>
      <c r="C40" s="334"/>
      <c r="D40" s="335"/>
      <c r="E40" s="336"/>
      <c r="F40" s="337"/>
      <c r="G40" s="338"/>
      <c r="H40" s="339">
        <f t="shared" si="4"/>
        <v>0</v>
      </c>
      <c r="I40" s="340">
        <f t="shared" si="5"/>
        <v>0</v>
      </c>
      <c r="J40" s="341">
        <f t="shared" si="10"/>
        <v>0</v>
      </c>
      <c r="K40" s="342"/>
      <c r="L40" s="338"/>
      <c r="M40" s="343"/>
      <c r="N40" s="338"/>
      <c r="O40" s="338"/>
      <c r="P40" s="339">
        <f t="shared" si="6"/>
        <v>0</v>
      </c>
      <c r="Q40" s="340">
        <f t="shared" si="11"/>
        <v>0</v>
      </c>
      <c r="R40" s="341">
        <f t="shared" si="12"/>
        <v>0</v>
      </c>
      <c r="S40" s="344" t="s">
        <v>136</v>
      </c>
      <c r="T40" s="345" t="str">
        <f t="shared" si="13"/>
        <v>ja</v>
      </c>
      <c r="U40" s="346">
        <f t="shared" si="7"/>
        <v>0.6583</v>
      </c>
      <c r="V40" s="347">
        <f t="shared" si="8"/>
        <v>0</v>
      </c>
      <c r="W40" s="341" t="str">
        <f t="shared" si="9"/>
        <v/>
      </c>
      <c r="X40" s="348"/>
      <c r="Y40" s="349"/>
    </row>
    <row r="41" spans="1:25" x14ac:dyDescent="0.2">
      <c r="A41" s="332" t="str">
        <f>IF(B41&lt;&gt;"&lt;Selecteer&gt;",MAX($A$4:A40)+1,"")</f>
        <v/>
      </c>
      <c r="B41" s="333" t="s">
        <v>35</v>
      </c>
      <c r="C41" s="334"/>
      <c r="D41" s="335"/>
      <c r="E41" s="336"/>
      <c r="F41" s="337"/>
      <c r="G41" s="338"/>
      <c r="H41" s="339">
        <f t="shared" si="4"/>
        <v>0</v>
      </c>
      <c r="I41" s="340">
        <f t="shared" si="5"/>
        <v>0</v>
      </c>
      <c r="J41" s="341">
        <f t="shared" si="10"/>
        <v>0</v>
      </c>
      <c r="K41" s="342"/>
      <c r="L41" s="338"/>
      <c r="M41" s="343"/>
      <c r="N41" s="338"/>
      <c r="O41" s="338"/>
      <c r="P41" s="339">
        <f t="shared" si="6"/>
        <v>0</v>
      </c>
      <c r="Q41" s="340">
        <f t="shared" si="11"/>
        <v>0</v>
      </c>
      <c r="R41" s="341">
        <f t="shared" si="12"/>
        <v>0</v>
      </c>
      <c r="S41" s="344" t="s">
        <v>136</v>
      </c>
      <c r="T41" s="345" t="str">
        <f t="shared" si="13"/>
        <v>ja</v>
      </c>
      <c r="U41" s="346">
        <f t="shared" si="7"/>
        <v>0.6583</v>
      </c>
      <c r="V41" s="347">
        <f t="shared" si="8"/>
        <v>0</v>
      </c>
      <c r="W41" s="341" t="str">
        <f t="shared" si="9"/>
        <v/>
      </c>
      <c r="X41" s="348"/>
      <c r="Y41" s="349"/>
    </row>
    <row r="42" spans="1:25" x14ac:dyDescent="0.2">
      <c r="A42" s="332" t="str">
        <f>IF(B42&lt;&gt;"&lt;Selecteer&gt;",MAX($A$4:A41)+1,"")</f>
        <v/>
      </c>
      <c r="B42" s="333" t="s">
        <v>35</v>
      </c>
      <c r="C42" s="334"/>
      <c r="D42" s="335"/>
      <c r="E42" s="336"/>
      <c r="F42" s="337"/>
      <c r="G42" s="338"/>
      <c r="H42" s="339">
        <f t="shared" si="4"/>
        <v>0</v>
      </c>
      <c r="I42" s="340">
        <f t="shared" si="5"/>
        <v>0</v>
      </c>
      <c r="J42" s="341">
        <f t="shared" si="10"/>
        <v>0</v>
      </c>
      <c r="K42" s="342"/>
      <c r="L42" s="338"/>
      <c r="M42" s="343"/>
      <c r="N42" s="338"/>
      <c r="O42" s="338"/>
      <c r="P42" s="339">
        <f t="shared" si="6"/>
        <v>0</v>
      </c>
      <c r="Q42" s="340">
        <f t="shared" si="11"/>
        <v>0</v>
      </c>
      <c r="R42" s="341">
        <f t="shared" si="12"/>
        <v>0</v>
      </c>
      <c r="S42" s="344" t="s">
        <v>136</v>
      </c>
      <c r="T42" s="345" t="str">
        <f t="shared" si="13"/>
        <v>ja</v>
      </c>
      <c r="U42" s="346">
        <f t="shared" si="7"/>
        <v>0.6583</v>
      </c>
      <c r="V42" s="347">
        <f t="shared" si="8"/>
        <v>0</v>
      </c>
      <c r="W42" s="341" t="str">
        <f t="shared" si="9"/>
        <v/>
      </c>
      <c r="X42" s="348"/>
      <c r="Y42" s="349"/>
    </row>
    <row r="43" spans="1:25" x14ac:dyDescent="0.2">
      <c r="A43" s="332" t="str">
        <f>IF(B43&lt;&gt;"&lt;Selecteer&gt;",MAX($A$4:A42)+1,"")</f>
        <v/>
      </c>
      <c r="B43" s="333" t="s">
        <v>35</v>
      </c>
      <c r="C43" s="334"/>
      <c r="D43" s="335"/>
      <c r="E43" s="336"/>
      <c r="F43" s="337"/>
      <c r="G43" s="338"/>
      <c r="H43" s="339">
        <f t="shared" si="4"/>
        <v>0</v>
      </c>
      <c r="I43" s="340">
        <f t="shared" si="5"/>
        <v>0</v>
      </c>
      <c r="J43" s="341">
        <f t="shared" si="10"/>
        <v>0</v>
      </c>
      <c r="K43" s="342"/>
      <c r="L43" s="338"/>
      <c r="M43" s="343"/>
      <c r="N43" s="338"/>
      <c r="O43" s="338"/>
      <c r="P43" s="339">
        <f t="shared" si="6"/>
        <v>0</v>
      </c>
      <c r="Q43" s="340">
        <f t="shared" si="11"/>
        <v>0</v>
      </c>
      <c r="R43" s="341">
        <f t="shared" si="12"/>
        <v>0</v>
      </c>
      <c r="S43" s="344" t="s">
        <v>136</v>
      </c>
      <c r="T43" s="345" t="str">
        <f t="shared" si="13"/>
        <v>ja</v>
      </c>
      <c r="U43" s="346">
        <f t="shared" si="7"/>
        <v>0.6583</v>
      </c>
      <c r="V43" s="347">
        <f t="shared" si="8"/>
        <v>0</v>
      </c>
      <c r="W43" s="341" t="str">
        <f t="shared" si="9"/>
        <v/>
      </c>
      <c r="X43" s="348"/>
      <c r="Y43" s="349"/>
    </row>
    <row r="44" spans="1:25" x14ac:dyDescent="0.2">
      <c r="A44" s="332" t="str">
        <f>IF(B44&lt;&gt;"&lt;Selecteer&gt;",MAX($A$4:A43)+1,"")</f>
        <v/>
      </c>
      <c r="B44" s="333" t="s">
        <v>35</v>
      </c>
      <c r="C44" s="334"/>
      <c r="D44" s="335"/>
      <c r="E44" s="336"/>
      <c r="F44" s="337"/>
      <c r="G44" s="338"/>
      <c r="H44" s="339">
        <f t="shared" si="4"/>
        <v>0</v>
      </c>
      <c r="I44" s="340">
        <f t="shared" si="5"/>
        <v>0</v>
      </c>
      <c r="J44" s="341">
        <f t="shared" si="10"/>
        <v>0</v>
      </c>
      <c r="K44" s="342"/>
      <c r="L44" s="338"/>
      <c r="M44" s="343"/>
      <c r="N44" s="338"/>
      <c r="O44" s="338"/>
      <c r="P44" s="339">
        <f t="shared" si="6"/>
        <v>0</v>
      </c>
      <c r="Q44" s="340">
        <f t="shared" si="11"/>
        <v>0</v>
      </c>
      <c r="R44" s="341">
        <f t="shared" si="12"/>
        <v>0</v>
      </c>
      <c r="S44" s="344" t="s">
        <v>136</v>
      </c>
      <c r="T44" s="345" t="str">
        <f t="shared" si="13"/>
        <v>ja</v>
      </c>
      <c r="U44" s="346">
        <f t="shared" si="7"/>
        <v>0.6583</v>
      </c>
      <c r="V44" s="347">
        <f t="shared" si="8"/>
        <v>0</v>
      </c>
      <c r="W44" s="341" t="str">
        <f t="shared" si="9"/>
        <v/>
      </c>
      <c r="X44" s="348"/>
      <c r="Y44" s="349"/>
    </row>
    <row r="45" spans="1:25" x14ac:dyDescent="0.2">
      <c r="A45" s="332" t="str">
        <f>IF(B45&lt;&gt;"&lt;Selecteer&gt;",MAX($A$4:A44)+1,"")</f>
        <v/>
      </c>
      <c r="B45" s="333" t="s">
        <v>35</v>
      </c>
      <c r="C45" s="334"/>
      <c r="D45" s="335"/>
      <c r="E45" s="336"/>
      <c r="F45" s="337"/>
      <c r="G45" s="338"/>
      <c r="H45" s="339">
        <f t="shared" si="4"/>
        <v>0</v>
      </c>
      <c r="I45" s="340">
        <f t="shared" si="5"/>
        <v>0</v>
      </c>
      <c r="J45" s="341">
        <f t="shared" si="10"/>
        <v>0</v>
      </c>
      <c r="K45" s="342"/>
      <c r="L45" s="338"/>
      <c r="M45" s="343"/>
      <c r="N45" s="338"/>
      <c r="O45" s="338"/>
      <c r="P45" s="339">
        <f t="shared" si="6"/>
        <v>0</v>
      </c>
      <c r="Q45" s="340">
        <f t="shared" si="11"/>
        <v>0</v>
      </c>
      <c r="R45" s="341">
        <f t="shared" si="12"/>
        <v>0</v>
      </c>
      <c r="S45" s="344" t="s">
        <v>136</v>
      </c>
      <c r="T45" s="345" t="str">
        <f t="shared" si="13"/>
        <v>ja</v>
      </c>
      <c r="U45" s="346">
        <f t="shared" si="7"/>
        <v>0.6583</v>
      </c>
      <c r="V45" s="347">
        <f t="shared" si="8"/>
        <v>0</v>
      </c>
      <c r="W45" s="341" t="str">
        <f t="shared" si="9"/>
        <v/>
      </c>
      <c r="X45" s="348"/>
      <c r="Y45" s="349"/>
    </row>
    <row r="46" spans="1:25" x14ac:dyDescent="0.2">
      <c r="A46" s="332" t="str">
        <f>IF(B46&lt;&gt;"&lt;Selecteer&gt;",MAX($A$4:A45)+1,"")</f>
        <v/>
      </c>
      <c r="B46" s="333" t="s">
        <v>35</v>
      </c>
      <c r="C46" s="334"/>
      <c r="D46" s="335"/>
      <c r="E46" s="336"/>
      <c r="F46" s="337"/>
      <c r="G46" s="338"/>
      <c r="H46" s="339">
        <f t="shared" si="4"/>
        <v>0</v>
      </c>
      <c r="I46" s="340">
        <f t="shared" si="5"/>
        <v>0</v>
      </c>
      <c r="J46" s="341">
        <f t="shared" si="10"/>
        <v>0</v>
      </c>
      <c r="K46" s="342"/>
      <c r="L46" s="338"/>
      <c r="M46" s="343"/>
      <c r="N46" s="338"/>
      <c r="O46" s="338"/>
      <c r="P46" s="339">
        <f t="shared" si="6"/>
        <v>0</v>
      </c>
      <c r="Q46" s="340">
        <f t="shared" si="11"/>
        <v>0</v>
      </c>
      <c r="R46" s="341">
        <f t="shared" si="12"/>
        <v>0</v>
      </c>
      <c r="S46" s="344" t="s">
        <v>136</v>
      </c>
      <c r="T46" s="345" t="str">
        <f t="shared" si="13"/>
        <v>ja</v>
      </c>
      <c r="U46" s="346">
        <f t="shared" si="7"/>
        <v>0.6583</v>
      </c>
      <c r="V46" s="347">
        <f t="shared" si="8"/>
        <v>0</v>
      </c>
      <c r="W46" s="341" t="str">
        <f t="shared" si="9"/>
        <v/>
      </c>
      <c r="X46" s="348"/>
      <c r="Y46" s="349"/>
    </row>
    <row r="47" spans="1:25" x14ac:dyDescent="0.2">
      <c r="A47" s="332" t="str">
        <f>IF(B47&lt;&gt;"&lt;Selecteer&gt;",MAX($A$4:A46)+1,"")</f>
        <v/>
      </c>
      <c r="B47" s="333" t="s">
        <v>35</v>
      </c>
      <c r="C47" s="334"/>
      <c r="D47" s="335"/>
      <c r="E47" s="336"/>
      <c r="F47" s="337"/>
      <c r="G47" s="338"/>
      <c r="H47" s="339">
        <f t="shared" si="4"/>
        <v>0</v>
      </c>
      <c r="I47" s="340">
        <f t="shared" si="5"/>
        <v>0</v>
      </c>
      <c r="J47" s="341">
        <f t="shared" si="10"/>
        <v>0</v>
      </c>
      <c r="K47" s="342"/>
      <c r="L47" s="338"/>
      <c r="M47" s="343"/>
      <c r="N47" s="338"/>
      <c r="O47" s="338"/>
      <c r="P47" s="339">
        <f t="shared" si="6"/>
        <v>0</v>
      </c>
      <c r="Q47" s="340">
        <f t="shared" si="11"/>
        <v>0</v>
      </c>
      <c r="R47" s="341">
        <f t="shared" si="12"/>
        <v>0</v>
      </c>
      <c r="S47" s="344" t="s">
        <v>136</v>
      </c>
      <c r="T47" s="345" t="str">
        <f t="shared" si="13"/>
        <v>ja</v>
      </c>
      <c r="U47" s="346">
        <f t="shared" si="7"/>
        <v>0.6583</v>
      </c>
      <c r="V47" s="347">
        <f t="shared" si="8"/>
        <v>0</v>
      </c>
      <c r="W47" s="341" t="str">
        <f t="shared" si="9"/>
        <v/>
      </c>
      <c r="X47" s="348"/>
      <c r="Y47" s="349"/>
    </row>
    <row r="48" spans="1:25" x14ac:dyDescent="0.2">
      <c r="A48" s="332" t="str">
        <f>IF(B48&lt;&gt;"&lt;Selecteer&gt;",MAX($A$4:A47)+1,"")</f>
        <v/>
      </c>
      <c r="B48" s="333" t="s">
        <v>35</v>
      </c>
      <c r="C48" s="334"/>
      <c r="D48" s="335"/>
      <c r="E48" s="336"/>
      <c r="F48" s="337"/>
      <c r="G48" s="338"/>
      <c r="H48" s="339">
        <f t="shared" si="4"/>
        <v>0</v>
      </c>
      <c r="I48" s="340">
        <f t="shared" si="5"/>
        <v>0</v>
      </c>
      <c r="J48" s="341">
        <f t="shared" si="10"/>
        <v>0</v>
      </c>
      <c r="K48" s="342"/>
      <c r="L48" s="338"/>
      <c r="M48" s="343"/>
      <c r="N48" s="338"/>
      <c r="O48" s="338"/>
      <c r="P48" s="339">
        <f t="shared" si="6"/>
        <v>0</v>
      </c>
      <c r="Q48" s="340">
        <f t="shared" si="11"/>
        <v>0</v>
      </c>
      <c r="R48" s="341">
        <f t="shared" si="12"/>
        <v>0</v>
      </c>
      <c r="S48" s="344" t="s">
        <v>136</v>
      </c>
      <c r="T48" s="345" t="str">
        <f t="shared" si="13"/>
        <v>ja</v>
      </c>
      <c r="U48" s="346">
        <f t="shared" si="7"/>
        <v>0.6583</v>
      </c>
      <c r="V48" s="347">
        <f t="shared" si="8"/>
        <v>0</v>
      </c>
      <c r="W48" s="341" t="str">
        <f t="shared" si="9"/>
        <v/>
      </c>
      <c r="X48" s="348"/>
      <c r="Y48" s="349"/>
    </row>
    <row r="49" spans="1:25" x14ac:dyDescent="0.2">
      <c r="A49" s="332" t="str">
        <f>IF(B49&lt;&gt;"&lt;Selecteer&gt;",MAX($A$4:A48)+1,"")</f>
        <v/>
      </c>
      <c r="B49" s="333" t="s">
        <v>35</v>
      </c>
      <c r="C49" s="334"/>
      <c r="D49" s="335"/>
      <c r="E49" s="336"/>
      <c r="F49" s="337"/>
      <c r="G49" s="338"/>
      <c r="H49" s="339">
        <f t="shared" si="4"/>
        <v>0</v>
      </c>
      <c r="I49" s="340">
        <f t="shared" si="5"/>
        <v>0</v>
      </c>
      <c r="J49" s="341">
        <f t="shared" si="10"/>
        <v>0</v>
      </c>
      <c r="K49" s="342"/>
      <c r="L49" s="338"/>
      <c r="M49" s="343"/>
      <c r="N49" s="338"/>
      <c r="O49" s="338"/>
      <c r="P49" s="339">
        <f t="shared" si="6"/>
        <v>0</v>
      </c>
      <c r="Q49" s="340">
        <f t="shared" si="11"/>
        <v>0</v>
      </c>
      <c r="R49" s="341">
        <f t="shared" si="12"/>
        <v>0</v>
      </c>
      <c r="S49" s="344" t="s">
        <v>136</v>
      </c>
      <c r="T49" s="345" t="str">
        <f t="shared" si="13"/>
        <v>ja</v>
      </c>
      <c r="U49" s="346">
        <f t="shared" si="7"/>
        <v>0.6583</v>
      </c>
      <c r="V49" s="347">
        <f t="shared" si="8"/>
        <v>0</v>
      </c>
      <c r="W49" s="341" t="str">
        <f t="shared" si="9"/>
        <v/>
      </c>
      <c r="X49" s="348"/>
      <c r="Y49" s="349"/>
    </row>
    <row r="50" spans="1:25" x14ac:dyDescent="0.2">
      <c r="A50" s="332" t="str">
        <f>IF(B50&lt;&gt;"&lt;Selecteer&gt;",MAX($A$4:A49)+1,"")</f>
        <v/>
      </c>
      <c r="B50" s="333" t="s">
        <v>35</v>
      </c>
      <c r="C50" s="334"/>
      <c r="D50" s="335"/>
      <c r="E50" s="336"/>
      <c r="F50" s="337"/>
      <c r="G50" s="338"/>
      <c r="H50" s="339">
        <f t="shared" si="4"/>
        <v>0</v>
      </c>
      <c r="I50" s="340">
        <f t="shared" si="5"/>
        <v>0</v>
      </c>
      <c r="J50" s="341">
        <f t="shared" si="10"/>
        <v>0</v>
      </c>
      <c r="K50" s="342"/>
      <c r="L50" s="338"/>
      <c r="M50" s="343"/>
      <c r="N50" s="338"/>
      <c r="O50" s="338"/>
      <c r="P50" s="339">
        <f t="shared" si="6"/>
        <v>0</v>
      </c>
      <c r="Q50" s="340">
        <f t="shared" si="11"/>
        <v>0</v>
      </c>
      <c r="R50" s="341">
        <f t="shared" si="12"/>
        <v>0</v>
      </c>
      <c r="S50" s="344" t="s">
        <v>136</v>
      </c>
      <c r="T50" s="345" t="str">
        <f t="shared" si="13"/>
        <v>ja</v>
      </c>
      <c r="U50" s="346">
        <f t="shared" si="7"/>
        <v>0.6583</v>
      </c>
      <c r="V50" s="347">
        <f t="shared" si="8"/>
        <v>0</v>
      </c>
      <c r="W50" s="341" t="str">
        <f t="shared" si="9"/>
        <v/>
      </c>
      <c r="X50" s="348"/>
      <c r="Y50" s="349"/>
    </row>
    <row r="51" spans="1:25" x14ac:dyDescent="0.2">
      <c r="A51" s="332" t="str">
        <f>IF(B51&lt;&gt;"&lt;Selecteer&gt;",MAX($A$4:A50)+1,"")</f>
        <v/>
      </c>
      <c r="B51" s="333" t="s">
        <v>35</v>
      </c>
      <c r="C51" s="334"/>
      <c r="D51" s="335"/>
      <c r="E51" s="336"/>
      <c r="F51" s="337"/>
      <c r="G51" s="338"/>
      <c r="H51" s="339">
        <f t="shared" si="4"/>
        <v>0</v>
      </c>
      <c r="I51" s="340">
        <f t="shared" si="5"/>
        <v>0</v>
      </c>
      <c r="J51" s="341">
        <f t="shared" si="10"/>
        <v>0</v>
      </c>
      <c r="K51" s="342"/>
      <c r="L51" s="338"/>
      <c r="M51" s="343"/>
      <c r="N51" s="338"/>
      <c r="O51" s="338"/>
      <c r="P51" s="339">
        <f t="shared" si="6"/>
        <v>0</v>
      </c>
      <c r="Q51" s="340">
        <f t="shared" si="11"/>
        <v>0</v>
      </c>
      <c r="R51" s="341">
        <f t="shared" si="12"/>
        <v>0</v>
      </c>
      <c r="S51" s="344" t="s">
        <v>136</v>
      </c>
      <c r="T51" s="345" t="str">
        <f t="shared" si="13"/>
        <v>ja</v>
      </c>
      <c r="U51" s="346">
        <f t="shared" si="7"/>
        <v>0.6583</v>
      </c>
      <c r="V51" s="347">
        <f t="shared" si="8"/>
        <v>0</v>
      </c>
      <c r="W51" s="341" t="str">
        <f t="shared" si="9"/>
        <v/>
      </c>
      <c r="X51" s="348"/>
      <c r="Y51" s="349"/>
    </row>
    <row r="52" spans="1:25" x14ac:dyDescent="0.2">
      <c r="A52" s="332" t="str">
        <f>IF(B52&lt;&gt;"&lt;Selecteer&gt;",MAX($A$4:A51)+1,"")</f>
        <v/>
      </c>
      <c r="B52" s="333" t="s">
        <v>35</v>
      </c>
      <c r="C52" s="334"/>
      <c r="D52" s="335"/>
      <c r="E52" s="336"/>
      <c r="F52" s="337"/>
      <c r="G52" s="338"/>
      <c r="H52" s="339">
        <f t="shared" si="4"/>
        <v>0</v>
      </c>
      <c r="I52" s="340">
        <f t="shared" si="5"/>
        <v>0</v>
      </c>
      <c r="J52" s="341">
        <f t="shared" si="10"/>
        <v>0</v>
      </c>
      <c r="K52" s="342"/>
      <c r="L52" s="338"/>
      <c r="M52" s="343"/>
      <c r="N52" s="338"/>
      <c r="O52" s="338"/>
      <c r="P52" s="339">
        <f t="shared" si="6"/>
        <v>0</v>
      </c>
      <c r="Q52" s="340">
        <f t="shared" si="11"/>
        <v>0</v>
      </c>
      <c r="R52" s="341">
        <f t="shared" si="12"/>
        <v>0</v>
      </c>
      <c r="S52" s="344" t="s">
        <v>136</v>
      </c>
      <c r="T52" s="345" t="str">
        <f t="shared" si="13"/>
        <v>ja</v>
      </c>
      <c r="U52" s="346">
        <f t="shared" si="7"/>
        <v>0.6583</v>
      </c>
      <c r="V52" s="347">
        <f t="shared" si="8"/>
        <v>0</v>
      </c>
      <c r="W52" s="341" t="str">
        <f t="shared" si="9"/>
        <v/>
      </c>
      <c r="X52" s="348"/>
      <c r="Y52" s="349"/>
    </row>
    <row r="53" spans="1:25" x14ac:dyDescent="0.2">
      <c r="A53" s="332" t="str">
        <f>IF(B53&lt;&gt;"&lt;Selecteer&gt;",MAX($A$4:A52)+1,"")</f>
        <v/>
      </c>
      <c r="B53" s="333" t="s">
        <v>35</v>
      </c>
      <c r="C53" s="334"/>
      <c r="D53" s="335"/>
      <c r="E53" s="336"/>
      <c r="F53" s="337"/>
      <c r="G53" s="338"/>
      <c r="H53" s="339">
        <f t="shared" si="4"/>
        <v>0</v>
      </c>
      <c r="I53" s="340">
        <f t="shared" si="5"/>
        <v>0</v>
      </c>
      <c r="J53" s="341">
        <f t="shared" si="10"/>
        <v>0</v>
      </c>
      <c r="K53" s="342"/>
      <c r="L53" s="338"/>
      <c r="M53" s="343"/>
      <c r="N53" s="338"/>
      <c r="O53" s="338"/>
      <c r="P53" s="339">
        <f t="shared" si="6"/>
        <v>0</v>
      </c>
      <c r="Q53" s="340">
        <f t="shared" si="11"/>
        <v>0</v>
      </c>
      <c r="R53" s="341">
        <f t="shared" si="12"/>
        <v>0</v>
      </c>
      <c r="S53" s="344" t="s">
        <v>136</v>
      </c>
      <c r="T53" s="345" t="str">
        <f t="shared" si="13"/>
        <v>ja</v>
      </c>
      <c r="U53" s="346">
        <f t="shared" si="7"/>
        <v>0.6583</v>
      </c>
      <c r="V53" s="347">
        <f t="shared" si="8"/>
        <v>0</v>
      </c>
      <c r="W53" s="341" t="str">
        <f t="shared" si="9"/>
        <v/>
      </c>
      <c r="X53" s="348"/>
      <c r="Y53" s="349"/>
    </row>
    <row r="54" spans="1:25" x14ac:dyDescent="0.2">
      <c r="A54" s="332" t="str">
        <f>IF(B54&lt;&gt;"&lt;Selecteer&gt;",MAX($A$4:A53)+1,"")</f>
        <v/>
      </c>
      <c r="B54" s="333" t="s">
        <v>35</v>
      </c>
      <c r="C54" s="334"/>
      <c r="D54" s="335"/>
      <c r="E54" s="336"/>
      <c r="F54" s="337"/>
      <c r="G54" s="338"/>
      <c r="H54" s="339">
        <f t="shared" si="4"/>
        <v>0</v>
      </c>
      <c r="I54" s="340">
        <f t="shared" si="5"/>
        <v>0</v>
      </c>
      <c r="J54" s="341">
        <f t="shared" si="10"/>
        <v>0</v>
      </c>
      <c r="K54" s="342"/>
      <c r="L54" s="338"/>
      <c r="M54" s="343"/>
      <c r="N54" s="338"/>
      <c r="O54" s="338"/>
      <c r="P54" s="339">
        <f t="shared" si="6"/>
        <v>0</v>
      </c>
      <c r="Q54" s="340">
        <f t="shared" si="11"/>
        <v>0</v>
      </c>
      <c r="R54" s="341">
        <f t="shared" si="12"/>
        <v>0</v>
      </c>
      <c r="S54" s="344" t="s">
        <v>136</v>
      </c>
      <c r="T54" s="345" t="str">
        <f t="shared" si="13"/>
        <v>ja</v>
      </c>
      <c r="U54" s="346">
        <f t="shared" si="7"/>
        <v>0.6583</v>
      </c>
      <c r="V54" s="347">
        <f t="shared" si="8"/>
        <v>0</v>
      </c>
      <c r="W54" s="341" t="str">
        <f t="shared" si="9"/>
        <v/>
      </c>
      <c r="X54" s="348"/>
      <c r="Y54" s="349"/>
    </row>
    <row r="57" spans="1:25" ht="15" customHeight="1" x14ac:dyDescent="0.25">
      <c r="U57" s="129"/>
    </row>
  </sheetData>
  <sheetProtection algorithmName="SHA-512" hashValue="gI63fe/hFOXX2cUm6GSx2J0SC52u2xM56rcYmzfm+XRBCNfpXeNw1D57RywDKd38T2Tmvh28eFU/rYkTD3kXsA==" saltValue="5HmampS1Q48mI6aUwohuWw==" spinCount="100000" sheet="1" objects="1" scenarios="1"/>
  <mergeCells count="3">
    <mergeCell ref="D3:J3"/>
    <mergeCell ref="K3:R3"/>
    <mergeCell ref="B3:C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hyperlinks>
    <hyperlink ref="B3:C3" r:id="rId1" display="https://abs.techletes.ai/subsidie-buddy-eip/?ref=bsnomg74jlcu" xr:uid="{A0C24719-0FAB-494E-8086-B2FE797F63BC}"/>
  </hyperlinks>
  <pageMargins left="0.70866141732283472" right="0.70866141732283472" top="0.74803149606299213" bottom="0.74803149606299213" header="0.31496062992125984" footer="0.31496062992125984"/>
  <pageSetup paperSize="9" scale="80" orientation="landscape" r:id="rId2"/>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W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6"/>
      <c r="B1" s="112" t="s">
        <v>72</v>
      </c>
      <c r="C1" s="221" t="str">
        <f>IF(OR('1. Aanvraaggegevens'!C2="",'1. Aanvraaggegevens'!C2=0),"Kies een openstelling op tabblad '1. Aanvraaggegevens'",'1. Aanvraaggegevens'!C2)</f>
        <v>Samenwerken aan innovatie (EIP) Digitalisering en Robotisering</v>
      </c>
      <c r="D1" s="113"/>
      <c r="E1" s="117"/>
      <c r="F1" s="117"/>
      <c r="G1" s="117"/>
      <c r="H1" s="117"/>
      <c r="I1" s="117"/>
      <c r="J1" s="117"/>
      <c r="K1" s="117"/>
      <c r="L1" s="117"/>
      <c r="M1" s="117"/>
      <c r="N1" s="117"/>
      <c r="O1" s="117"/>
      <c r="P1" s="117"/>
      <c r="Q1" s="117"/>
      <c r="R1" s="117"/>
      <c r="S1" s="117"/>
      <c r="T1" s="117"/>
      <c r="U1" s="117"/>
    </row>
    <row r="2" spans="1:21" ht="15" customHeight="1" x14ac:dyDescent="0.25">
      <c r="A2" s="118"/>
      <c r="B2" s="119" t="s">
        <v>20</v>
      </c>
      <c r="C2" s="220" t="str">
        <f>IF(OR('1. Aanvraaggegevens'!C8="",'1. Aanvraaggegevens'!C8=0),"Kies een berekeningsmethode op tabblad '1. Aanvraaggegevens'",'1. Aanvraaggegevens'!C8)</f>
        <v>Kies een berekeningsmethode op tabblad '1. Aanvraaggegevens'</v>
      </c>
      <c r="D2" s="120"/>
      <c r="E2" s="121"/>
      <c r="F2" s="121"/>
      <c r="G2" s="121"/>
      <c r="H2" s="121"/>
      <c r="I2" s="121"/>
      <c r="J2" s="121"/>
      <c r="K2" s="121"/>
      <c r="L2" s="121"/>
      <c r="M2" s="121"/>
      <c r="N2" s="121"/>
      <c r="O2" s="121"/>
      <c r="P2" s="121"/>
      <c r="Q2" s="121"/>
      <c r="R2" s="121"/>
      <c r="S2" s="121"/>
      <c r="T2" s="121"/>
      <c r="U2" s="121"/>
    </row>
    <row r="3" spans="1:21" ht="150.75" customHeight="1" x14ac:dyDescent="0.25">
      <c r="A3" s="110"/>
      <c r="B3" s="412" t="s">
        <v>551</v>
      </c>
      <c r="C3" s="412"/>
      <c r="D3" s="412"/>
      <c r="E3" s="412"/>
      <c r="F3" s="413"/>
      <c r="G3" s="259"/>
      <c r="H3" s="260"/>
      <c r="I3" s="417" t="str">
        <f>IF(COUNTIF($F$5:$F$250,Openstelling_Activiteit!$X$3)&gt;0,"Jaartal of Loonkosten nr (uit tabblad 4)","Loonkosten nr (uit tabblad 4)")</f>
        <v>Loonkosten nr (uit tabblad 4)</v>
      </c>
      <c r="J3" s="419" t="s">
        <v>4</v>
      </c>
      <c r="K3" s="420"/>
      <c r="L3" s="423" t="str">
        <f>IF(COUNTIF($F$5:$F$250,Openstelling_Activiteit!$X$3)&gt;0,"Aantal uur/ eenheden","Aantal uur")</f>
        <v>Aantal uur</v>
      </c>
      <c r="M3" s="424"/>
      <c r="N3" s="419" t="s">
        <v>50</v>
      </c>
      <c r="O3" s="420"/>
      <c r="P3" s="428" t="s">
        <v>6</v>
      </c>
      <c r="Q3" s="429"/>
      <c r="R3" s="428" t="s">
        <v>206</v>
      </c>
      <c r="S3" s="429"/>
      <c r="T3" s="425" t="s">
        <v>56</v>
      </c>
      <c r="U3" s="414" t="s">
        <v>61</v>
      </c>
    </row>
    <row r="4" spans="1:21" ht="27.75" customHeight="1" x14ac:dyDescent="0.25">
      <c r="A4" s="110"/>
      <c r="B4" s="430" t="s">
        <v>553</v>
      </c>
      <c r="C4" s="430"/>
      <c r="D4" s="430"/>
      <c r="E4" s="431"/>
      <c r="F4" s="110"/>
      <c r="G4" s="111"/>
      <c r="H4" s="261"/>
      <c r="I4" s="417"/>
      <c r="J4" s="421"/>
      <c r="K4" s="422"/>
      <c r="L4" s="398"/>
      <c r="M4" s="399"/>
      <c r="N4" s="421"/>
      <c r="O4" s="422"/>
      <c r="P4" s="72">
        <f ca="1" xml:space="preserve"> SUBTOTAL(9,P6:P250)</f>
        <v>0</v>
      </c>
      <c r="Q4" s="72">
        <f ca="1" xml:space="preserve"> SUBTOTAL(9,Q6:Q250)</f>
        <v>0</v>
      </c>
      <c r="R4" s="72">
        <f ca="1" xml:space="preserve"> SUBTOTAL(9,R6:R250)</f>
        <v>0</v>
      </c>
      <c r="S4" s="72">
        <f ca="1" xml:space="preserve"> SUBTOTAL(9,S6:S250)</f>
        <v>0</v>
      </c>
      <c r="T4" s="426"/>
      <c r="U4" s="415"/>
    </row>
    <row r="5" spans="1:21" ht="30" x14ac:dyDescent="0.25">
      <c r="A5" s="114" t="s">
        <v>134</v>
      </c>
      <c r="B5" s="114" t="s">
        <v>58</v>
      </c>
      <c r="C5" s="114" t="s">
        <v>2</v>
      </c>
      <c r="D5" s="114" t="s">
        <v>38</v>
      </c>
      <c r="E5" s="114" t="s">
        <v>152</v>
      </c>
      <c r="F5" s="114" t="s">
        <v>0</v>
      </c>
      <c r="G5" s="114" t="s">
        <v>320</v>
      </c>
      <c r="H5" s="262" t="s">
        <v>42</v>
      </c>
      <c r="I5" s="418" t="s">
        <v>198</v>
      </c>
      <c r="J5" s="71" t="s">
        <v>60</v>
      </c>
      <c r="K5" s="71" t="s">
        <v>59</v>
      </c>
      <c r="L5" s="71" t="s">
        <v>60</v>
      </c>
      <c r="M5" s="71" t="s">
        <v>59</v>
      </c>
      <c r="N5" s="71" t="s">
        <v>60</v>
      </c>
      <c r="O5" s="71" t="s">
        <v>59</v>
      </c>
      <c r="P5" s="71" t="s">
        <v>60</v>
      </c>
      <c r="Q5" s="71" t="s">
        <v>59</v>
      </c>
      <c r="R5" s="71" t="s">
        <v>60</v>
      </c>
      <c r="S5" s="71" t="s">
        <v>59</v>
      </c>
      <c r="T5" s="427"/>
      <c r="U5" s="416"/>
    </row>
    <row r="6" spans="1:21" x14ac:dyDescent="0.25">
      <c r="A6" s="312">
        <f>MAX($A$5:A5)+1</f>
        <v>1</v>
      </c>
      <c r="B6" s="299"/>
      <c r="C6" s="299"/>
      <c r="D6" s="299"/>
      <c r="E6" s="299"/>
      <c r="F6" s="299"/>
      <c r="G6" s="331"/>
      <c r="H6" s="313" t="str">
        <f ca="1">IFERROR(IF(VLOOKUP(F6,Kostentypen!$A$3:$E$21,3,0)=0,"",IF(OR(F6="Arbeidskosten",F6="Vergoeding"),VLOOKUP(G6,Tb_KostenTypen[],2,0),VLOOKUP(F6,Kostentypen!$A$3:$E$20,3,0))),"")</f>
        <v/>
      </c>
      <c r="I6" s="314"/>
      <c r="J6" s="315"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15"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2"/>
      <c r="M6" s="362"/>
      <c r="N6" s="316"/>
      <c r="O6" s="316"/>
      <c r="P6" s="317" t="str" cm="1">
        <f t="array" aca="1" ref="P6" ca="1">_xlfn.IFNA(_xlfn.IFS(T6="Dit kostentype hoeft u niet op te geven. Hiervoor wordt een forfait berekend.","",AND(J6&lt;&gt;"",H6="Vast tarief",F6="Vergoeding"),SUM(J6)*FLOOR(SUM(L6),0.0001),AND(J6&lt;&gt;"",OR(H6="Uurtarief",H6="Vast tarief")),SUM(J6)*FLOOR(SUM(L6),0.01),AND(N6&lt;&gt;"",H6="-"),FLOOR(SUM(N6),0.01)),"")</f>
        <v/>
      </c>
      <c r="Q6" s="317"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17" t="str" cm="1">
        <f t="array" aca="1" ref="R6" ca="1">IFERROR(_xlfn.IFS(OR(F6="",LEFT(Methode_Keuze,4)="Geen",Methode_Keuze=""),"",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17" t="str" cm="1">
        <f t="array" aca="1" ref="S6" ca="1">IFERROR(_xlfn.IFS(OR(F6="",LEFT(Methode_Keuze,4)="Geen",Methode_Keuze=""),"",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18" t="str">
        <f>IFERROR(VLOOKUP(F6,Tb_ProjectKosten[#All],11,0),"")</f>
        <v/>
      </c>
      <c r="U6" s="319"/>
    </row>
    <row r="7" spans="1:21" x14ac:dyDescent="0.25">
      <c r="A7" s="312">
        <f>MAX($A$5:A6)+1</f>
        <v>2</v>
      </c>
      <c r="B7" s="299"/>
      <c r="C7" s="299"/>
      <c r="D7" s="299"/>
      <c r="E7" s="299"/>
      <c r="F7" s="299"/>
      <c r="G7" s="331"/>
      <c r="H7" s="313" t="str">
        <f ca="1">IFERROR(IF(VLOOKUP(F7,Kostentypen!$A$3:$E$21,3,0)=0,"",IF(OR(F7="Arbeidskosten",F7="Vergoeding"),VLOOKUP(G7,Tb_KostenTypen[],2,0),VLOOKUP(F7,Kostentypen!$A$3:$E$20,3,0))),"")</f>
        <v/>
      </c>
      <c r="I7" s="314"/>
      <c r="J7" s="315"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15"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2"/>
      <c r="M7" s="362"/>
      <c r="N7" s="316"/>
      <c r="O7" s="316"/>
      <c r="P7" s="317" t="str" cm="1">
        <f t="array" aca="1" ref="P7" ca="1">_xlfn.IFNA(_xlfn.IFS(T7="Dit kostentype hoeft u niet op te geven. Hiervoor wordt een forfait berekend.","",AND(J7&lt;&gt;"",H7="Vast tarief",F7="Vergoeding"),SUM(J7)*FLOOR(SUM(L7),0.0001),AND(J7&lt;&gt;"",OR(H7="Uurtarief",H7="Vast tarief")),SUM(J7)*FLOOR(SUM(L7),0.01),AND(N7&lt;&gt;"",H7="-"),FLOOR(SUM(N7),0.01)),"")</f>
        <v/>
      </c>
      <c r="Q7" s="317"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17" t="str" cm="1">
        <f t="array" aca="1" ref="R7" ca="1">IFERROR(_xlfn.IFS(OR(F7="",LEFT(Methode_Keuze,4)="Geen",Methode_Keuze=""),"",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17" t="str" cm="1">
        <f t="array" aca="1" ref="S7" ca="1">IFERROR(_xlfn.IFS(OR(F7="",LEFT(Methode_Keuze,4)="Geen",Methode_Keuze=""),"",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18" t="str">
        <f>IFERROR(VLOOKUP(F7,Tb_ProjectKosten[#All],11,0),"")</f>
        <v/>
      </c>
      <c r="U7" s="319"/>
    </row>
    <row r="8" spans="1:21" x14ac:dyDescent="0.25">
      <c r="A8" s="312">
        <f>MAX($A$5:A7)+1</f>
        <v>3</v>
      </c>
      <c r="B8" s="299"/>
      <c r="C8" s="299"/>
      <c r="D8" s="299"/>
      <c r="E8" s="299"/>
      <c r="F8" s="299"/>
      <c r="G8" s="331"/>
      <c r="H8" s="313" t="str">
        <f ca="1">IFERROR(IF(VLOOKUP(F8,Kostentypen!$A$3:$E$21,3,0)=0,"",IF(OR(F8="Arbeidskosten",F8="Vergoeding"),VLOOKUP(G8,Tb_KostenTypen[],2,0),VLOOKUP(F8,Kostentypen!$A$3:$E$20,3,0))),"")</f>
        <v/>
      </c>
      <c r="I8" s="314"/>
      <c r="J8" s="315"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15"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2"/>
      <c r="M8" s="362"/>
      <c r="N8" s="316"/>
      <c r="O8" s="316"/>
      <c r="P8" s="317" t="str" cm="1">
        <f t="array" aca="1" ref="P8" ca="1">_xlfn.IFNA(_xlfn.IFS(T8="Dit kostentype hoeft u niet op te geven. Hiervoor wordt een forfait berekend.","",AND(J8&lt;&gt;"",H8="Vast tarief",F8="Vergoeding"),SUM(J8)*FLOOR(SUM(L8),0.0001),AND(J8&lt;&gt;"",OR(H8="Uurtarief",H8="Vast tarief")),SUM(J8)*FLOOR(SUM(L8),0.01),AND(N8&lt;&gt;"",H8="-"),FLOOR(SUM(N8),0.01)),"")</f>
        <v/>
      </c>
      <c r="Q8" s="317"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17" t="str" cm="1">
        <f t="array" aca="1" ref="R8" ca="1">IFERROR(_xlfn.IFS(OR(F8="",LEFT(Methode_Keuze,4)="Geen",Methode_Keuze=""),"",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17" t="str" cm="1">
        <f t="array" aca="1" ref="S8" ca="1">IFERROR(_xlfn.IFS(OR(F8="",LEFT(Methode_Keuze,4)="Geen",Methode_Keuze=""),"",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18" t="str">
        <f>IFERROR(VLOOKUP(F8,Tb_ProjectKosten[#All],11,0),"")</f>
        <v/>
      </c>
      <c r="U8" s="319"/>
    </row>
    <row r="9" spans="1:21" x14ac:dyDescent="0.25">
      <c r="A9" s="312">
        <f>MAX($A$5:A8)+1</f>
        <v>4</v>
      </c>
      <c r="B9" s="299"/>
      <c r="C9" s="299"/>
      <c r="D9" s="299"/>
      <c r="E9" s="299"/>
      <c r="F9" s="299"/>
      <c r="G9" s="331"/>
      <c r="H9" s="313" t="str">
        <f ca="1">IFERROR(IF(VLOOKUP(F9,Kostentypen!$A$3:$E$21,3,0)=0,"",IF(OR(F9="Arbeidskosten",F9="Vergoeding"),VLOOKUP(G9,Tb_KostenTypen[],2,0),VLOOKUP(F9,Kostentypen!$A$3:$E$20,3,0))),"")</f>
        <v/>
      </c>
      <c r="I9" s="314"/>
      <c r="J9" s="315"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15"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2"/>
      <c r="M9" s="362"/>
      <c r="N9" s="316"/>
      <c r="O9" s="316"/>
      <c r="P9" s="317" t="str" cm="1">
        <f t="array" aca="1" ref="P9" ca="1">_xlfn.IFNA(_xlfn.IFS(T9="Dit kostentype hoeft u niet op te geven. Hiervoor wordt een forfait berekend.","",AND(J9&lt;&gt;"",H9="Vast tarief",F9="Vergoeding"),SUM(J9)*FLOOR(SUM(L9),0.0001),AND(J9&lt;&gt;"",OR(H9="Uurtarief",H9="Vast tarief")),SUM(J9)*FLOOR(SUM(L9),0.01),AND(N9&lt;&gt;"",H9="-"),FLOOR(SUM(N9),0.01)),"")</f>
        <v/>
      </c>
      <c r="Q9" s="317"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17" t="str" cm="1">
        <f t="array" aca="1" ref="R9" ca="1">IFERROR(_xlfn.IFS(OR(F9="",LEFT(Methode_Keuze,4)="Geen",Methode_Keuze=""),"",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17" t="str" cm="1">
        <f t="array" aca="1" ref="S9" ca="1">IFERROR(_xlfn.IFS(OR(F9="",LEFT(Methode_Keuze,4)="Geen",Methode_Keuze=""),"",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18" t="str">
        <f>IFERROR(VLOOKUP(F9,Tb_ProjectKosten[#All],11,0),"")</f>
        <v/>
      </c>
      <c r="U9" s="319"/>
    </row>
    <row r="10" spans="1:21" x14ac:dyDescent="0.25">
      <c r="A10" s="312">
        <f>MAX($A$5:A9)+1</f>
        <v>5</v>
      </c>
      <c r="B10" s="299"/>
      <c r="C10" s="299"/>
      <c r="D10" s="299"/>
      <c r="E10" s="299"/>
      <c r="F10" s="299"/>
      <c r="G10" s="331"/>
      <c r="H10" s="313" t="str">
        <f ca="1">IFERROR(IF(VLOOKUP(F10,Kostentypen!$A$3:$E$21,3,0)=0,"",IF(OR(F10="Arbeidskosten",F10="Vergoeding"),VLOOKUP(G10,Tb_KostenTypen[],2,0),VLOOKUP(F10,Kostentypen!$A$3:$E$20,3,0))),"")</f>
        <v/>
      </c>
      <c r="I10" s="314"/>
      <c r="J10" s="315"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15"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2"/>
      <c r="M10" s="362"/>
      <c r="N10" s="316"/>
      <c r="O10" s="316"/>
      <c r="P10" s="317"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17"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17" t="str" cm="1">
        <f t="array" aca="1" ref="R10" ca="1">IFERROR(_xlfn.IFS(OR(F10="",LEFT(Methode_Keuze,4)="Geen",Methode_Keuze=""),"",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17" t="str" cm="1">
        <f t="array" aca="1" ref="S10" ca="1">IFERROR(_xlfn.IFS(OR(F10="",LEFT(Methode_Keuze,4)="Geen",Methode_Keuze=""),"",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18" t="str">
        <f>IFERROR(VLOOKUP(F10,Tb_ProjectKosten[#All],11,0),"")</f>
        <v/>
      </c>
      <c r="U10" s="319"/>
    </row>
    <row r="11" spans="1:21" x14ac:dyDescent="0.25">
      <c r="A11" s="312">
        <f>MAX($A$5:A10)+1</f>
        <v>6</v>
      </c>
      <c r="B11" s="299"/>
      <c r="C11" s="299"/>
      <c r="D11" s="299"/>
      <c r="E11" s="299"/>
      <c r="F11" s="390"/>
      <c r="G11" s="331"/>
      <c r="H11" s="313" t="str">
        <f ca="1">IFERROR(IF(VLOOKUP(F11,Kostentypen!$A$3:$E$21,3,0)=0,"",IF(OR(F11="Arbeidskosten",F11="Vergoeding"),VLOOKUP(G11,Tb_KostenTypen[],2,0),VLOOKUP(F11,Kostentypen!$A$3:$E$20,3,0))),"")</f>
        <v/>
      </c>
      <c r="I11" s="314"/>
      <c r="J11" s="315"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15"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2"/>
      <c r="M11" s="362"/>
      <c r="N11" s="316"/>
      <c r="O11" s="316"/>
      <c r="P11" s="317"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17"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17" t="str" cm="1">
        <f t="array" aca="1" ref="R11" ca="1">IFERROR(_xlfn.IFS(OR(F11="",LEFT(Methode_Keuze,4)="Geen",Methode_Keuze=""),"",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17" t="str" cm="1">
        <f t="array" aca="1" ref="S11" ca="1">IFERROR(_xlfn.IFS(OR(F11="",LEFT(Methode_Keuze,4)="Geen",Methode_Keuze=""),"",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18" t="str">
        <f>IFERROR(VLOOKUP(F11,Tb_ProjectKosten[#All],11,0),"")</f>
        <v/>
      </c>
      <c r="U11" s="319"/>
    </row>
    <row r="12" spans="1:21" x14ac:dyDescent="0.25">
      <c r="A12" s="312">
        <f>MAX($A$5:A11)+1</f>
        <v>7</v>
      </c>
      <c r="B12" s="299"/>
      <c r="C12" s="299"/>
      <c r="D12" s="299"/>
      <c r="E12" s="299"/>
      <c r="F12" s="389"/>
      <c r="G12" s="331"/>
      <c r="H12" s="313" t="str">
        <f ca="1">IFERROR(IF(VLOOKUP(F12,Kostentypen!$A$3:$E$21,3,0)=0,"",IF(OR(F12="Arbeidskosten",F12="Vergoeding"),VLOOKUP(G12,Tb_KostenTypen[],2,0),VLOOKUP(F12,Kostentypen!$A$3:$E$20,3,0))),"")</f>
        <v/>
      </c>
      <c r="I12" s="314"/>
      <c r="J12" s="315"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15"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2"/>
      <c r="M12" s="362"/>
      <c r="N12" s="316"/>
      <c r="O12" s="316"/>
      <c r="P12" s="317"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17"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17" t="str" cm="1">
        <f t="array" aca="1" ref="R12" ca="1">IFERROR(_xlfn.IFS(OR(F12="",LEFT(Methode_Keuze,4)="Geen",Methode_Keuze=""),"",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17" t="str" cm="1">
        <f t="array" aca="1" ref="S12" ca="1">IFERROR(_xlfn.IFS(OR(F12="",LEFT(Methode_Keuze,4)="Geen",Methode_Keuze=""),"",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18" t="str">
        <f>IFERROR(VLOOKUP(F12,Tb_ProjectKosten[#All],11,0),"")</f>
        <v/>
      </c>
      <c r="U12" s="319"/>
    </row>
    <row r="13" spans="1:21" x14ac:dyDescent="0.25">
      <c r="A13" s="312">
        <f>MAX($A$5:A12)+1</f>
        <v>8</v>
      </c>
      <c r="B13" s="299"/>
      <c r="C13" s="299"/>
      <c r="D13" s="299"/>
      <c r="E13" s="299"/>
      <c r="F13" s="299"/>
      <c r="G13" s="331"/>
      <c r="H13" s="313" t="str">
        <f ca="1">IFERROR(IF(VLOOKUP(F13,Kostentypen!$A$3:$E$21,3,0)=0,"",IF(OR(F13="Arbeidskosten",F13="Vergoeding"),VLOOKUP(G13,Tb_KostenTypen[],2,0),VLOOKUP(F13,Kostentypen!$A$3:$E$20,3,0))),"")</f>
        <v/>
      </c>
      <c r="I13" s="314"/>
      <c r="J13" s="315"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15"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2"/>
      <c r="M13" s="362"/>
      <c r="N13" s="316"/>
      <c r="O13" s="316"/>
      <c r="P13" s="317"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17"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17" t="str" cm="1">
        <f t="array" aca="1" ref="R13" ca="1">IFERROR(_xlfn.IFS(OR(F13="",LEFT(Methode_Keuze,4)="Geen",Methode_Keuze=""),"",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17" t="str" cm="1">
        <f t="array" aca="1" ref="S13" ca="1">IFERROR(_xlfn.IFS(OR(F13="",LEFT(Methode_Keuze,4)="Geen",Methode_Keuze=""),"",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18" t="str">
        <f>IFERROR(VLOOKUP(F13,Tb_ProjectKosten[#All],11,0),"")</f>
        <v/>
      </c>
      <c r="U13" s="319"/>
    </row>
    <row r="14" spans="1:21" x14ac:dyDescent="0.25">
      <c r="A14" s="312">
        <f>MAX($A$5:A13)+1</f>
        <v>9</v>
      </c>
      <c r="B14" s="299"/>
      <c r="C14" s="299"/>
      <c r="D14" s="390"/>
      <c r="E14" s="299"/>
      <c r="F14" s="299"/>
      <c r="G14" s="331"/>
      <c r="H14" s="313" t="str">
        <f ca="1">IFERROR(IF(VLOOKUP(F14,Kostentypen!$A$3:$E$21,3,0)=0,"",IF(OR(F14="Arbeidskosten",F14="Vergoeding"),VLOOKUP(G14,Tb_KostenTypen[],2,0),VLOOKUP(F14,Kostentypen!$A$3:$E$20,3,0))),"")</f>
        <v/>
      </c>
      <c r="I14" s="314"/>
      <c r="J14" s="315"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15"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2"/>
      <c r="M14" s="362"/>
      <c r="N14" s="316"/>
      <c r="O14" s="316"/>
      <c r="P14" s="317"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17"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17" t="str" cm="1">
        <f t="array" aca="1" ref="R14" ca="1">IFERROR(_xlfn.IFS(OR(F14="",LEFT(Methode_Keuze,4)="Geen",Methode_Keuze=""),"",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17" t="str" cm="1">
        <f t="array" aca="1" ref="S14" ca="1">IFERROR(_xlfn.IFS(OR(F14="",LEFT(Methode_Keuze,4)="Geen",Methode_Keuze=""),"",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18" t="str">
        <f>IFERROR(VLOOKUP(F14,Tb_ProjectKosten[#All],11,0),"")</f>
        <v/>
      </c>
      <c r="U14" s="319"/>
    </row>
    <row r="15" spans="1:21" x14ac:dyDescent="0.25">
      <c r="A15" s="312">
        <f>MAX($A$5:A14)+1</f>
        <v>10</v>
      </c>
      <c r="B15" s="299"/>
      <c r="C15" s="299"/>
      <c r="D15" s="389"/>
      <c r="E15" s="299"/>
      <c r="F15" s="299"/>
      <c r="G15" s="331"/>
      <c r="H15" s="313" t="str">
        <f ca="1">IFERROR(IF(VLOOKUP(F15,Kostentypen!$A$3:$E$21,3,0)=0,"",IF(OR(F15="Arbeidskosten",F15="Vergoeding"),VLOOKUP(G15,Tb_KostenTypen[],2,0),VLOOKUP(F15,Kostentypen!$A$3:$E$20,3,0))),"")</f>
        <v/>
      </c>
      <c r="I15" s="314"/>
      <c r="J15" s="315"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15"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2"/>
      <c r="M15" s="362"/>
      <c r="N15" s="316"/>
      <c r="O15" s="316"/>
      <c r="P15" s="317"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17"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17" t="str" cm="1">
        <f t="array" aca="1" ref="R15" ca="1">IFERROR(_xlfn.IFS(OR(F15="",LEFT(Methode_Keuze,4)="Geen",Methode_Keuze=""),"",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17" t="str" cm="1">
        <f t="array" aca="1" ref="S15" ca="1">IFERROR(_xlfn.IFS(OR(F15="",LEFT(Methode_Keuze,4)="Geen",Methode_Keuze=""),"",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18" t="str">
        <f>IFERROR(VLOOKUP(F15,Tb_ProjectKosten[#All],11,0),"")</f>
        <v/>
      </c>
      <c r="U15" s="319"/>
    </row>
    <row r="16" spans="1:21" x14ac:dyDescent="0.25">
      <c r="A16" s="312">
        <f>MAX($A$5:A15)+1</f>
        <v>11</v>
      </c>
      <c r="B16" s="299"/>
      <c r="C16" s="299"/>
      <c r="D16" s="299"/>
      <c r="E16" s="299"/>
      <c r="F16" s="299"/>
      <c r="G16" s="331"/>
      <c r="H16" s="313" t="str">
        <f ca="1">IFERROR(IF(VLOOKUP(F16,Kostentypen!$A$3:$E$21,3,0)=0,"",IF(OR(F16="Arbeidskosten",F16="Vergoeding"),VLOOKUP(G16,Tb_KostenTypen[],2,0),VLOOKUP(F16,Kostentypen!$A$3:$E$20,3,0))),"")</f>
        <v/>
      </c>
      <c r="I16" s="314"/>
      <c r="J16" s="315"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15"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2"/>
      <c r="M16" s="362"/>
      <c r="N16" s="316"/>
      <c r="O16" s="316"/>
      <c r="P16" s="317"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17"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17" t="str" cm="1">
        <f t="array" aca="1" ref="R16" ca="1">IFERROR(_xlfn.IFS(OR(F16="",LEFT(Methode_Keuze,4)="Geen",Methode_Keuze=""),"",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17" t="str" cm="1">
        <f t="array" aca="1" ref="S16" ca="1">IFERROR(_xlfn.IFS(OR(F16="",LEFT(Methode_Keuze,4)="Geen",Methode_Keuze=""),"",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18" t="str">
        <f>IFERROR(VLOOKUP(F16,Tb_ProjectKosten[#All],11,0),"")</f>
        <v/>
      </c>
      <c r="U16" s="319"/>
    </row>
    <row r="17" spans="1:21" x14ac:dyDescent="0.25">
      <c r="A17" s="312">
        <f>MAX($A$5:A16)+1</f>
        <v>12</v>
      </c>
      <c r="B17" s="299"/>
      <c r="C17" s="299"/>
      <c r="D17" s="299"/>
      <c r="E17" s="299"/>
      <c r="F17" s="299"/>
      <c r="G17" s="331"/>
      <c r="H17" s="313" t="str">
        <f ca="1">IFERROR(IF(VLOOKUP(F17,Kostentypen!$A$3:$E$21,3,0)=0,"",IF(OR(F17="Arbeidskosten",F17="Vergoeding"),VLOOKUP(G17,Tb_KostenTypen[],2,0),VLOOKUP(F17,Kostentypen!$A$3:$E$20,3,0))),"")</f>
        <v/>
      </c>
      <c r="I17" s="314"/>
      <c r="J17" s="315"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15"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2"/>
      <c r="M17" s="362"/>
      <c r="N17" s="316"/>
      <c r="O17" s="316"/>
      <c r="P17" s="317"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17"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17" t="str" cm="1">
        <f t="array" aca="1" ref="R17" ca="1">IFERROR(_xlfn.IFS(OR(F17="",LEFT(Methode_Keuze,4)="Geen",Methode_Keuze=""),"",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17" t="str" cm="1">
        <f t="array" aca="1" ref="S17" ca="1">IFERROR(_xlfn.IFS(OR(F17="",LEFT(Methode_Keuze,4)="Geen",Methode_Keuze=""),"",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18" t="str">
        <f>IFERROR(VLOOKUP(F17,Tb_ProjectKosten[#All],11,0),"")</f>
        <v/>
      </c>
      <c r="U17" s="319"/>
    </row>
    <row r="18" spans="1:21" x14ac:dyDescent="0.25">
      <c r="A18" s="312">
        <f>MAX($A$5:A17)+1</f>
        <v>13</v>
      </c>
      <c r="B18" s="299"/>
      <c r="C18" s="299"/>
      <c r="D18" s="299"/>
      <c r="E18" s="299"/>
      <c r="F18" s="299"/>
      <c r="G18" s="331"/>
      <c r="H18" s="313" t="str">
        <f ca="1">IFERROR(IF(VLOOKUP(F18,Kostentypen!$A$3:$E$21,3,0)=0,"",IF(OR(F18="Arbeidskosten",F18="Vergoeding"),VLOOKUP(G18,Tb_KostenTypen[],2,0),VLOOKUP(F18,Kostentypen!$A$3:$E$20,3,0))),"")</f>
        <v/>
      </c>
      <c r="I18" s="314"/>
      <c r="J18" s="315"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15"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2"/>
      <c r="M18" s="362"/>
      <c r="N18" s="316"/>
      <c r="O18" s="316"/>
      <c r="P18" s="317"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17"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17" t="str" cm="1">
        <f t="array" aca="1" ref="R18" ca="1">IFERROR(_xlfn.IFS(OR(F18="",LEFT(Methode_Keuze,4)="Geen",Methode_Keuze=""),"",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17" t="str" cm="1">
        <f t="array" aca="1" ref="S18" ca="1">IFERROR(_xlfn.IFS(OR(F18="",LEFT(Methode_Keuze,4)="Geen",Methode_Keuze=""),"",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18" t="str">
        <f>IFERROR(VLOOKUP(F18,Tb_ProjectKosten[#All],11,0),"")</f>
        <v/>
      </c>
      <c r="U18" s="319"/>
    </row>
    <row r="19" spans="1:21" x14ac:dyDescent="0.25">
      <c r="A19" s="312">
        <f>MAX($A$5:A18)+1</f>
        <v>14</v>
      </c>
      <c r="B19" s="299"/>
      <c r="C19" s="299"/>
      <c r="D19" s="299"/>
      <c r="E19" s="299"/>
      <c r="F19" s="299"/>
      <c r="G19" s="331"/>
      <c r="H19" s="313" t="str">
        <f ca="1">IFERROR(IF(VLOOKUP(F19,Kostentypen!$A$3:$E$21,3,0)=0,"",IF(OR(F19="Arbeidskosten",F19="Vergoeding"),VLOOKUP(G19,Tb_KostenTypen[],2,0),VLOOKUP(F19,Kostentypen!$A$3:$E$20,3,0))),"")</f>
        <v/>
      </c>
      <c r="I19" s="314"/>
      <c r="J19" s="315"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15"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2"/>
      <c r="M19" s="362"/>
      <c r="N19" s="316"/>
      <c r="O19" s="316"/>
      <c r="P19" s="317"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17"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17" t="str" cm="1">
        <f t="array" aca="1" ref="R19" ca="1">IFERROR(_xlfn.IFS(OR(F19="",LEFT(Methode_Keuze,4)="Geen",Methode_Keuze=""),"",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17" t="str" cm="1">
        <f t="array" aca="1" ref="S19" ca="1">IFERROR(_xlfn.IFS(OR(F19="",LEFT(Methode_Keuze,4)="Geen",Methode_Keuze=""),"",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18" t="str">
        <f>IFERROR(VLOOKUP(F19,Tb_ProjectKosten[#All],11,0),"")</f>
        <v/>
      </c>
      <c r="U19" s="319"/>
    </row>
    <row r="20" spans="1:21" x14ac:dyDescent="0.25">
      <c r="A20" s="312">
        <f>MAX($A$5:A19)+1</f>
        <v>15</v>
      </c>
      <c r="B20" s="299"/>
      <c r="C20" s="299"/>
      <c r="D20" s="299"/>
      <c r="E20" s="299"/>
      <c r="F20" s="299"/>
      <c r="G20" s="331"/>
      <c r="H20" s="313" t="str">
        <f ca="1">IFERROR(IF(VLOOKUP(F20,Kostentypen!$A$3:$E$21,3,0)=0,"",IF(OR(F20="Arbeidskosten",F20="Vergoeding"),VLOOKUP(G20,Tb_KostenTypen[],2,0),VLOOKUP(F20,Kostentypen!$A$3:$E$20,3,0))),"")</f>
        <v/>
      </c>
      <c r="I20" s="314"/>
      <c r="J20" s="315"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15"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2"/>
      <c r="M20" s="362"/>
      <c r="N20" s="316"/>
      <c r="O20" s="316"/>
      <c r="P20" s="317"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17"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17" t="str" cm="1">
        <f t="array" aca="1" ref="R20" ca="1">IFERROR(_xlfn.IFS(OR(F20="",LEFT(Methode_Keuze,4)="Geen",Methode_Keuze=""),"",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17" t="str" cm="1">
        <f t="array" aca="1" ref="S20" ca="1">IFERROR(_xlfn.IFS(OR(F20="",LEFT(Methode_Keuze,4)="Geen",Methode_Keuze=""),"",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18" t="str">
        <f>IFERROR(VLOOKUP(F20,Tb_ProjectKosten[#All],11,0),"")</f>
        <v/>
      </c>
      <c r="U20" s="319"/>
    </row>
    <row r="21" spans="1:21" x14ac:dyDescent="0.25">
      <c r="A21" s="312">
        <f>MAX($A$5:A20)+1</f>
        <v>16</v>
      </c>
      <c r="B21" s="299"/>
      <c r="C21" s="299"/>
      <c r="D21" s="299"/>
      <c r="E21" s="299"/>
      <c r="F21" s="299"/>
      <c r="G21" s="331"/>
      <c r="H21" s="313" t="str">
        <f ca="1">IFERROR(IF(VLOOKUP(F21,Kostentypen!$A$3:$E$21,3,0)=0,"",IF(OR(F21="Arbeidskosten",F21="Vergoeding"),VLOOKUP(G21,Tb_KostenTypen[],2,0),VLOOKUP(F21,Kostentypen!$A$3:$E$20,3,0))),"")</f>
        <v/>
      </c>
      <c r="I21" s="314"/>
      <c r="J21" s="315"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15"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2"/>
      <c r="M21" s="362"/>
      <c r="N21" s="316"/>
      <c r="O21" s="316"/>
      <c r="P21" s="317"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17"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17" t="str" cm="1">
        <f t="array" aca="1" ref="R21" ca="1">IFERROR(_xlfn.IFS(OR(F21="",LEFT(Methode_Keuze,4)="Geen",Methode_Keuze=""),"",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17" t="str" cm="1">
        <f t="array" aca="1" ref="S21" ca="1">IFERROR(_xlfn.IFS(OR(F21="",LEFT(Methode_Keuze,4)="Geen",Methode_Keuze=""),"",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18" t="str">
        <f>IFERROR(VLOOKUP(F21,Tb_ProjectKosten[#All],11,0),"")</f>
        <v/>
      </c>
      <c r="U21" s="319"/>
    </row>
    <row r="22" spans="1:21" x14ac:dyDescent="0.25">
      <c r="A22" s="312">
        <f>MAX($A$5:A21)+1</f>
        <v>17</v>
      </c>
      <c r="B22" s="299"/>
      <c r="C22" s="299"/>
      <c r="D22" s="299"/>
      <c r="E22" s="299"/>
      <c r="F22" s="299"/>
      <c r="G22" s="331"/>
      <c r="H22" s="313" t="str">
        <f ca="1">IFERROR(IF(VLOOKUP(F22,Kostentypen!$A$3:$E$21,3,0)=0,"",IF(OR(F22="Arbeidskosten",F22="Vergoeding"),VLOOKUP(G22,Tb_KostenTypen[],2,0),VLOOKUP(F22,Kostentypen!$A$3:$E$20,3,0))),"")</f>
        <v/>
      </c>
      <c r="I22" s="314"/>
      <c r="J22" s="315"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15"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2"/>
      <c r="M22" s="362"/>
      <c r="N22" s="316"/>
      <c r="O22" s="316"/>
      <c r="P22" s="317"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17"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17" t="str" cm="1">
        <f t="array" aca="1" ref="R22" ca="1">IFERROR(_xlfn.IFS(OR(F22="",LEFT(Methode_Keuze,4)="Geen",Methode_Keuze=""),"",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17" t="str" cm="1">
        <f t="array" aca="1" ref="S22" ca="1">IFERROR(_xlfn.IFS(OR(F22="",LEFT(Methode_Keuze,4)="Geen",Methode_Keuze=""),"",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18" t="str">
        <f>IFERROR(VLOOKUP(F22,Tb_ProjectKosten[#All],11,0),"")</f>
        <v/>
      </c>
      <c r="U22" s="319"/>
    </row>
    <row r="23" spans="1:21" x14ac:dyDescent="0.25">
      <c r="A23" s="312">
        <f>MAX($A$5:A22)+1</f>
        <v>18</v>
      </c>
      <c r="B23" s="299"/>
      <c r="C23" s="299"/>
      <c r="D23" s="299"/>
      <c r="E23" s="299"/>
      <c r="F23" s="299"/>
      <c r="G23" s="331"/>
      <c r="H23" s="313" t="str">
        <f ca="1">IFERROR(IF(VLOOKUP(F23,Kostentypen!$A$3:$E$21,3,0)=0,"",IF(OR(F23="Arbeidskosten",F23="Vergoeding"),VLOOKUP(G23,Tb_KostenTypen[],2,0),VLOOKUP(F23,Kostentypen!$A$3:$E$20,3,0))),"")</f>
        <v/>
      </c>
      <c r="I23" s="314"/>
      <c r="J23" s="315"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15"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2"/>
      <c r="M23" s="362"/>
      <c r="N23" s="316"/>
      <c r="O23" s="316"/>
      <c r="P23" s="317"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17"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17" t="str" cm="1">
        <f t="array" aca="1" ref="R23" ca="1">IFERROR(_xlfn.IFS(OR(F23="",LEFT(Methode_Keuze,4)="Geen",Methode_Keuze=""),"",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17" t="str" cm="1">
        <f t="array" aca="1" ref="S23" ca="1">IFERROR(_xlfn.IFS(OR(F23="",LEFT(Methode_Keuze,4)="Geen",Methode_Keuze=""),"",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18" t="str">
        <f>IFERROR(VLOOKUP(F23,Tb_ProjectKosten[#All],11,0),"")</f>
        <v/>
      </c>
      <c r="U23" s="319"/>
    </row>
    <row r="24" spans="1:21" x14ac:dyDescent="0.25">
      <c r="A24" s="312">
        <f>MAX($A$5:A23)+1</f>
        <v>19</v>
      </c>
      <c r="B24" s="299"/>
      <c r="C24" s="299"/>
      <c r="D24" s="299"/>
      <c r="E24" s="299"/>
      <c r="F24" s="299"/>
      <c r="G24" s="331"/>
      <c r="H24" s="313" t="str">
        <f ca="1">IFERROR(IF(VLOOKUP(F24,Kostentypen!$A$3:$E$21,3,0)=0,"",IF(OR(F24="Arbeidskosten",F24="Vergoeding"),VLOOKUP(G24,Tb_KostenTypen[],2,0),VLOOKUP(F24,Kostentypen!$A$3:$E$20,3,0))),"")</f>
        <v/>
      </c>
      <c r="I24" s="314"/>
      <c r="J24" s="315"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15"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2"/>
      <c r="M24" s="362"/>
      <c r="N24" s="316"/>
      <c r="O24" s="316"/>
      <c r="P24" s="317"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17"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17" t="str" cm="1">
        <f t="array" aca="1" ref="R24" ca="1">IFERROR(_xlfn.IFS(OR(F24="",LEFT(Methode_Keuze,4)="Geen",Methode_Keuze=""),"",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17" t="str" cm="1">
        <f t="array" aca="1" ref="S24" ca="1">IFERROR(_xlfn.IFS(OR(F24="",LEFT(Methode_Keuze,4)="Geen",Methode_Keuze=""),"",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18" t="str">
        <f>IFERROR(VLOOKUP(F24,Tb_ProjectKosten[#All],11,0),"")</f>
        <v/>
      </c>
      <c r="U24" s="319"/>
    </row>
    <row r="25" spans="1:21" x14ac:dyDescent="0.25">
      <c r="A25" s="312">
        <f>MAX($A$5:A24)+1</f>
        <v>20</v>
      </c>
      <c r="B25" s="299"/>
      <c r="C25" s="299"/>
      <c r="D25" s="299"/>
      <c r="E25" s="299"/>
      <c r="F25" s="299"/>
      <c r="G25" s="331"/>
      <c r="H25" s="313" t="str">
        <f ca="1">IFERROR(IF(VLOOKUP(F25,Kostentypen!$A$3:$E$21,3,0)=0,"",IF(OR(F25="Arbeidskosten",F25="Vergoeding"),VLOOKUP(G25,Tb_KostenTypen[],2,0),VLOOKUP(F25,Kostentypen!$A$3:$E$20,3,0))),"")</f>
        <v/>
      </c>
      <c r="I25" s="314"/>
      <c r="J25" s="315"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15"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2"/>
      <c r="M25" s="362"/>
      <c r="N25" s="316"/>
      <c r="O25" s="316"/>
      <c r="P25" s="317"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17"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17" t="str" cm="1">
        <f t="array" aca="1" ref="R25" ca="1">IFERROR(_xlfn.IFS(OR(F25="",LEFT(Methode_Keuze,4)="Geen",Methode_Keuze=""),"",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17" t="str" cm="1">
        <f t="array" aca="1" ref="S25" ca="1">IFERROR(_xlfn.IFS(OR(F25="",LEFT(Methode_Keuze,4)="Geen",Methode_Keuze=""),"",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18" t="str">
        <f>IFERROR(VLOOKUP(F25,Tb_ProjectKosten[#All],11,0),"")</f>
        <v/>
      </c>
      <c r="U25" s="319"/>
    </row>
    <row r="26" spans="1:21" x14ac:dyDescent="0.25">
      <c r="A26" s="312">
        <f>MAX($A$5:A25)+1</f>
        <v>21</v>
      </c>
      <c r="B26" s="299"/>
      <c r="C26" s="299"/>
      <c r="D26" s="299"/>
      <c r="E26" s="299"/>
      <c r="F26" s="299"/>
      <c r="G26" s="331"/>
      <c r="H26" s="313" t="str">
        <f ca="1">IFERROR(IF(VLOOKUP(F26,Kostentypen!$A$3:$E$21,3,0)=0,"",IF(OR(F26="Arbeidskosten",F26="Vergoeding"),VLOOKUP(G26,Tb_KostenTypen[],2,0),VLOOKUP(F26,Kostentypen!$A$3:$E$20,3,0))),"")</f>
        <v/>
      </c>
      <c r="I26" s="314"/>
      <c r="J26" s="315"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15"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2"/>
      <c r="M26" s="362"/>
      <c r="N26" s="316"/>
      <c r="O26" s="316"/>
      <c r="P26" s="317"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17"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17" t="str" cm="1">
        <f t="array" aca="1" ref="R26" ca="1">IFERROR(_xlfn.IFS(OR(F26="",LEFT(Methode_Keuze,4)="Geen",Methode_Keuze=""),"",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17" t="str" cm="1">
        <f t="array" aca="1" ref="S26" ca="1">IFERROR(_xlfn.IFS(OR(F26="",LEFT(Methode_Keuze,4)="Geen",Methode_Keuze=""),"",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18" t="str">
        <f>IFERROR(VLOOKUP(F26,Tb_ProjectKosten[#All],11,0),"")</f>
        <v/>
      </c>
      <c r="U26" s="319"/>
    </row>
    <row r="27" spans="1:21" x14ac:dyDescent="0.25">
      <c r="A27" s="312">
        <f>MAX($A$5:A26)+1</f>
        <v>22</v>
      </c>
      <c r="B27" s="299"/>
      <c r="C27" s="299"/>
      <c r="D27" s="299"/>
      <c r="E27" s="299"/>
      <c r="F27" s="299"/>
      <c r="G27" s="331"/>
      <c r="H27" s="313" t="str">
        <f ca="1">IFERROR(IF(VLOOKUP(F27,Kostentypen!$A$3:$E$21,3,0)=0,"",IF(OR(F27="Arbeidskosten",F27="Vergoeding"),VLOOKUP(G27,Tb_KostenTypen[],2,0),VLOOKUP(F27,Kostentypen!$A$3:$E$20,3,0))),"")</f>
        <v/>
      </c>
      <c r="I27" s="314"/>
      <c r="J27" s="315"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15"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2"/>
      <c r="M27" s="362"/>
      <c r="N27" s="316"/>
      <c r="O27" s="316"/>
      <c r="P27" s="317"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17"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17" t="str" cm="1">
        <f t="array" aca="1" ref="R27" ca="1">IFERROR(_xlfn.IFS(OR(F27="",LEFT(Methode_Keuze,4)="Geen",Methode_Keuze=""),"",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17" t="str" cm="1">
        <f t="array" aca="1" ref="S27" ca="1">IFERROR(_xlfn.IFS(OR(F27="",LEFT(Methode_Keuze,4)="Geen",Methode_Keuze=""),"",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18" t="str">
        <f>IFERROR(VLOOKUP(F27,Tb_ProjectKosten[#All],11,0),"")</f>
        <v/>
      </c>
      <c r="U27" s="319"/>
    </row>
    <row r="28" spans="1:21" x14ac:dyDescent="0.25">
      <c r="A28" s="312">
        <f>MAX($A$5:A27)+1</f>
        <v>23</v>
      </c>
      <c r="B28" s="299"/>
      <c r="C28" s="299"/>
      <c r="D28" s="299"/>
      <c r="E28" s="299"/>
      <c r="F28" s="299"/>
      <c r="G28" s="331"/>
      <c r="H28" s="313" t="str">
        <f ca="1">IFERROR(IF(VLOOKUP(F28,Kostentypen!$A$3:$E$21,3,0)=0,"",IF(OR(F28="Arbeidskosten",F28="Vergoeding"),VLOOKUP(G28,Tb_KostenTypen[],2,0),VLOOKUP(F28,Kostentypen!$A$3:$E$20,3,0))),"")</f>
        <v/>
      </c>
      <c r="I28" s="314"/>
      <c r="J28" s="315"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15"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2"/>
      <c r="M28" s="362"/>
      <c r="N28" s="316"/>
      <c r="O28" s="316"/>
      <c r="P28" s="317"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17"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17" t="str" cm="1">
        <f t="array" aca="1" ref="R28" ca="1">IFERROR(_xlfn.IFS(OR(F28="",LEFT(Methode_Keuze,4)="Geen",Methode_Keuze=""),"",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17" t="str" cm="1">
        <f t="array" aca="1" ref="S28" ca="1">IFERROR(_xlfn.IFS(OR(F28="",LEFT(Methode_Keuze,4)="Geen",Methode_Keuze=""),"",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18" t="str">
        <f>IFERROR(VLOOKUP(F28,Tb_ProjectKosten[#All],11,0),"")</f>
        <v/>
      </c>
      <c r="U28" s="319"/>
    </row>
    <row r="29" spans="1:21" x14ac:dyDescent="0.25">
      <c r="A29" s="312">
        <f>MAX($A$5:A28)+1</f>
        <v>24</v>
      </c>
      <c r="B29" s="299"/>
      <c r="C29" s="299"/>
      <c r="D29" s="299"/>
      <c r="E29" s="299"/>
      <c r="F29" s="299"/>
      <c r="G29" s="331"/>
      <c r="H29" s="313" t="str">
        <f ca="1">IFERROR(IF(VLOOKUP(F29,Kostentypen!$A$3:$E$21,3,0)=0,"",IF(OR(F29="Arbeidskosten",F29="Vergoeding"),VLOOKUP(G29,Tb_KostenTypen[],2,0),VLOOKUP(F29,Kostentypen!$A$3:$E$20,3,0))),"")</f>
        <v/>
      </c>
      <c r="I29" s="314"/>
      <c r="J29" s="315"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15"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2"/>
      <c r="M29" s="362"/>
      <c r="N29" s="316"/>
      <c r="O29" s="316"/>
      <c r="P29" s="317"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17"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17" t="str" cm="1">
        <f t="array" aca="1" ref="R29" ca="1">IFERROR(_xlfn.IFS(OR(F29="",LEFT(Methode_Keuze,4)="Geen",Methode_Keuze=""),"",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17" t="str" cm="1">
        <f t="array" aca="1" ref="S29" ca="1">IFERROR(_xlfn.IFS(OR(F29="",LEFT(Methode_Keuze,4)="Geen",Methode_Keuze=""),"",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18" t="str">
        <f>IFERROR(VLOOKUP(F29,Tb_ProjectKosten[#All],11,0),"")</f>
        <v/>
      </c>
      <c r="U29" s="319"/>
    </row>
    <row r="30" spans="1:21" x14ac:dyDescent="0.25">
      <c r="A30" s="312">
        <f>MAX($A$5:A29)+1</f>
        <v>25</v>
      </c>
      <c r="B30" s="299"/>
      <c r="C30" s="299"/>
      <c r="D30" s="299"/>
      <c r="E30" s="299"/>
      <c r="F30" s="299"/>
      <c r="G30" s="331"/>
      <c r="H30" s="313" t="str">
        <f ca="1">IFERROR(IF(VLOOKUP(F30,Kostentypen!$A$3:$E$21,3,0)=0,"",IF(OR(F30="Arbeidskosten",F30="Vergoeding"),VLOOKUP(G30,Tb_KostenTypen[],2,0),VLOOKUP(F30,Kostentypen!$A$3:$E$20,3,0))),"")</f>
        <v/>
      </c>
      <c r="I30" s="314"/>
      <c r="J30" s="315"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15"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2"/>
      <c r="M30" s="362"/>
      <c r="N30" s="316"/>
      <c r="O30" s="316"/>
      <c r="P30" s="317"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17"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17" t="str" cm="1">
        <f t="array" aca="1" ref="R30" ca="1">IFERROR(_xlfn.IFS(OR(F30="",LEFT(Methode_Keuze,4)="Geen",Methode_Keuze=""),"",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17" t="str" cm="1">
        <f t="array" aca="1" ref="S30" ca="1">IFERROR(_xlfn.IFS(OR(F30="",LEFT(Methode_Keuze,4)="Geen",Methode_Keuze=""),"",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18" t="str">
        <f>IFERROR(VLOOKUP(F30,Tb_ProjectKosten[#All],11,0),"")</f>
        <v/>
      </c>
      <c r="U30" s="319"/>
    </row>
    <row r="31" spans="1:21" x14ac:dyDescent="0.25">
      <c r="A31" s="312">
        <f>MAX($A$5:A30)+1</f>
        <v>26</v>
      </c>
      <c r="B31" s="299"/>
      <c r="C31" s="299"/>
      <c r="D31" s="299"/>
      <c r="E31" s="299"/>
      <c r="F31" s="299"/>
      <c r="G31" s="331"/>
      <c r="H31" s="313" t="str">
        <f ca="1">IFERROR(IF(VLOOKUP(F31,Kostentypen!$A$3:$E$21,3,0)=0,"",IF(OR(F31="Arbeidskosten",F31="Vergoeding"),VLOOKUP(G31,Tb_KostenTypen[],2,0),VLOOKUP(F31,Kostentypen!$A$3:$E$20,3,0))),"")</f>
        <v/>
      </c>
      <c r="I31" s="314"/>
      <c r="J31" s="315"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15"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2"/>
      <c r="M31" s="362"/>
      <c r="N31" s="316"/>
      <c r="O31" s="316"/>
      <c r="P31" s="317"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17"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17" t="str" cm="1">
        <f t="array" aca="1" ref="R31" ca="1">IFERROR(_xlfn.IFS(OR(F31="",LEFT(Methode_Keuze,4)="Geen",Methode_Keuze=""),"",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17" t="str" cm="1">
        <f t="array" aca="1" ref="S31" ca="1">IFERROR(_xlfn.IFS(OR(F31="",LEFT(Methode_Keuze,4)="Geen",Methode_Keuze=""),"",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18" t="str">
        <f>IFERROR(VLOOKUP(F31,Tb_ProjectKosten[#All],11,0),"")</f>
        <v/>
      </c>
      <c r="U31" s="319"/>
    </row>
    <row r="32" spans="1:21" x14ac:dyDescent="0.25">
      <c r="A32" s="312">
        <f>MAX($A$5:A31)+1</f>
        <v>27</v>
      </c>
      <c r="B32" s="299"/>
      <c r="C32" s="299"/>
      <c r="D32" s="299"/>
      <c r="E32" s="299"/>
      <c r="F32" s="299"/>
      <c r="G32" s="331"/>
      <c r="H32" s="313" t="str">
        <f ca="1">IFERROR(IF(VLOOKUP(F32,Kostentypen!$A$3:$E$21,3,0)=0,"",IF(OR(F32="Arbeidskosten",F32="Vergoeding"),VLOOKUP(G32,Tb_KostenTypen[],2,0),VLOOKUP(F32,Kostentypen!$A$3:$E$20,3,0))),"")</f>
        <v/>
      </c>
      <c r="I32" s="314"/>
      <c r="J32" s="315"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15"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2"/>
      <c r="M32" s="362"/>
      <c r="N32" s="316"/>
      <c r="O32" s="316"/>
      <c r="P32" s="317"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17"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17" t="str" cm="1">
        <f t="array" aca="1" ref="R32" ca="1">IFERROR(_xlfn.IFS(OR(F32="",LEFT(Methode_Keuze,4)="Geen",Methode_Keuze=""),"",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17" t="str" cm="1">
        <f t="array" aca="1" ref="S32" ca="1">IFERROR(_xlfn.IFS(OR(F32="",LEFT(Methode_Keuze,4)="Geen",Methode_Keuze=""),"",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18" t="str">
        <f>IFERROR(VLOOKUP(F32,Tb_ProjectKosten[#All],11,0),"")</f>
        <v/>
      </c>
      <c r="U32" s="319"/>
    </row>
    <row r="33" spans="1:21" x14ac:dyDescent="0.25">
      <c r="A33" s="312">
        <f>MAX($A$5:A32)+1</f>
        <v>28</v>
      </c>
      <c r="B33" s="299"/>
      <c r="C33" s="299"/>
      <c r="D33" s="299"/>
      <c r="E33" s="299"/>
      <c r="F33" s="299"/>
      <c r="G33" s="331"/>
      <c r="H33" s="313" t="str">
        <f ca="1">IFERROR(IF(VLOOKUP(F33,Kostentypen!$A$3:$E$21,3,0)=0,"",IF(OR(F33="Arbeidskosten",F33="Vergoeding"),VLOOKUP(G33,Tb_KostenTypen[],2,0),VLOOKUP(F33,Kostentypen!$A$3:$E$20,3,0))),"")</f>
        <v/>
      </c>
      <c r="I33" s="314"/>
      <c r="J33" s="315"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15"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2"/>
      <c r="M33" s="362"/>
      <c r="N33" s="316"/>
      <c r="O33" s="316"/>
      <c r="P33" s="317"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17"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17" t="str" cm="1">
        <f t="array" aca="1" ref="R33" ca="1">IFERROR(_xlfn.IFS(OR(F33="",LEFT(Methode_Keuze,4)="Geen",Methode_Keuze=""),"",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17" t="str" cm="1">
        <f t="array" aca="1" ref="S33" ca="1">IFERROR(_xlfn.IFS(OR(F33="",LEFT(Methode_Keuze,4)="Geen",Methode_Keuze=""),"",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18" t="str">
        <f>IFERROR(VLOOKUP(F33,Tb_ProjectKosten[#All],11,0),"")</f>
        <v/>
      </c>
      <c r="U33" s="319"/>
    </row>
    <row r="34" spans="1:21" x14ac:dyDescent="0.25">
      <c r="A34" s="312">
        <f>MAX($A$5:A33)+1</f>
        <v>29</v>
      </c>
      <c r="B34" s="299"/>
      <c r="C34" s="299"/>
      <c r="D34" s="299"/>
      <c r="E34" s="299"/>
      <c r="F34" s="299"/>
      <c r="G34" s="331"/>
      <c r="H34" s="313" t="str">
        <f ca="1">IFERROR(IF(VLOOKUP(F34,Kostentypen!$A$3:$E$21,3,0)=0,"",IF(OR(F34="Arbeidskosten",F34="Vergoeding"),VLOOKUP(G34,Tb_KostenTypen[],2,0),VLOOKUP(F34,Kostentypen!$A$3:$E$20,3,0))),"")</f>
        <v/>
      </c>
      <c r="I34" s="314"/>
      <c r="J34" s="315"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15"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2"/>
      <c r="M34" s="362"/>
      <c r="N34" s="316"/>
      <c r="O34" s="316"/>
      <c r="P34" s="317"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17"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17" t="str" cm="1">
        <f t="array" aca="1" ref="R34" ca="1">IFERROR(_xlfn.IFS(OR(F34="",LEFT(Methode_Keuze,4)="Geen",Methode_Keuze=""),"",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17" t="str" cm="1">
        <f t="array" aca="1" ref="S34" ca="1">IFERROR(_xlfn.IFS(OR(F34="",LEFT(Methode_Keuze,4)="Geen",Methode_Keuze=""),"",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18" t="str">
        <f>IFERROR(VLOOKUP(F34,Tb_ProjectKosten[#All],11,0),"")</f>
        <v/>
      </c>
      <c r="U34" s="319"/>
    </row>
    <row r="35" spans="1:21" x14ac:dyDescent="0.25">
      <c r="A35" s="312">
        <f>MAX($A$5:A34)+1</f>
        <v>30</v>
      </c>
      <c r="B35" s="299"/>
      <c r="C35" s="299"/>
      <c r="D35" s="299"/>
      <c r="E35" s="299"/>
      <c r="F35" s="299"/>
      <c r="G35" s="331"/>
      <c r="H35" s="313" t="str">
        <f ca="1">IFERROR(IF(VLOOKUP(F35,Kostentypen!$A$3:$E$21,3,0)=0,"",IF(OR(F35="Arbeidskosten",F35="Vergoeding"),VLOOKUP(G35,Tb_KostenTypen[],2,0),VLOOKUP(F35,Kostentypen!$A$3:$E$20,3,0))),"")</f>
        <v/>
      </c>
      <c r="I35" s="314"/>
      <c r="J35" s="315"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15"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2"/>
      <c r="M35" s="362"/>
      <c r="N35" s="316"/>
      <c r="O35" s="316"/>
      <c r="P35" s="317"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17"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17" t="str" cm="1">
        <f t="array" aca="1" ref="R35" ca="1">IFERROR(_xlfn.IFS(OR(F35="",LEFT(Methode_Keuze,4)="Geen",Methode_Keuze=""),"",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17" t="str" cm="1">
        <f t="array" aca="1" ref="S35" ca="1">IFERROR(_xlfn.IFS(OR(F35="",LEFT(Methode_Keuze,4)="Geen",Methode_Keuze=""),"",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18" t="str">
        <f>IFERROR(VLOOKUP(F35,Tb_ProjectKosten[#All],11,0),"")</f>
        <v/>
      </c>
      <c r="U35" s="319"/>
    </row>
    <row r="36" spans="1:21" x14ac:dyDescent="0.25">
      <c r="A36" s="312">
        <f>MAX($A$5:A35)+1</f>
        <v>31</v>
      </c>
      <c r="B36" s="299"/>
      <c r="C36" s="299"/>
      <c r="D36" s="299"/>
      <c r="E36" s="299"/>
      <c r="F36" s="299"/>
      <c r="G36" s="331"/>
      <c r="H36" s="313" t="str">
        <f ca="1">IFERROR(IF(VLOOKUP(F36,Kostentypen!$A$3:$E$21,3,0)=0,"",IF(OR(F36="Arbeidskosten",F36="Vergoeding"),VLOOKUP(G36,Tb_KostenTypen[],2,0),VLOOKUP(F36,Kostentypen!$A$3:$E$20,3,0))),"")</f>
        <v/>
      </c>
      <c r="I36" s="314"/>
      <c r="J36" s="315"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15"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2"/>
      <c r="M36" s="362"/>
      <c r="N36" s="316"/>
      <c r="O36" s="316"/>
      <c r="P36" s="317"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17"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17" t="str" cm="1">
        <f t="array" aca="1" ref="R36" ca="1">IFERROR(_xlfn.IFS(OR(F36="",LEFT(Methode_Keuze,4)="Geen",Methode_Keuze=""),"",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17" t="str" cm="1">
        <f t="array" aca="1" ref="S36" ca="1">IFERROR(_xlfn.IFS(OR(F36="",LEFT(Methode_Keuze,4)="Geen",Methode_Keuze=""),"",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18" t="str">
        <f>IFERROR(VLOOKUP(F36,Tb_ProjectKosten[#All],11,0),"")</f>
        <v/>
      </c>
      <c r="U36" s="319"/>
    </row>
    <row r="37" spans="1:21" x14ac:dyDescent="0.25">
      <c r="A37" s="312">
        <f>MAX($A$5:A36)+1</f>
        <v>32</v>
      </c>
      <c r="B37" s="299"/>
      <c r="C37" s="299"/>
      <c r="D37" s="299"/>
      <c r="E37" s="299"/>
      <c r="F37" s="299"/>
      <c r="G37" s="331"/>
      <c r="H37" s="313" t="str">
        <f ca="1">IFERROR(IF(VLOOKUP(F37,Kostentypen!$A$3:$E$21,3,0)=0,"",IF(OR(F37="Arbeidskosten",F37="Vergoeding"),VLOOKUP(G37,Tb_KostenTypen[],2,0),VLOOKUP(F37,Kostentypen!$A$3:$E$20,3,0))),"")</f>
        <v/>
      </c>
      <c r="I37" s="314"/>
      <c r="J37" s="315"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15"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2"/>
      <c r="M37" s="362"/>
      <c r="N37" s="316"/>
      <c r="O37" s="316"/>
      <c r="P37" s="317"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17"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17" t="str" cm="1">
        <f t="array" aca="1" ref="R37" ca="1">IFERROR(_xlfn.IFS(OR(F37="",LEFT(Methode_Keuze,4)="Geen",Methode_Keuze=""),"",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17" t="str" cm="1">
        <f t="array" aca="1" ref="S37" ca="1">IFERROR(_xlfn.IFS(OR(F37="",LEFT(Methode_Keuze,4)="Geen",Methode_Keuze=""),"",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18" t="str">
        <f>IFERROR(VLOOKUP(F37,Tb_ProjectKosten[#All],11,0),"")</f>
        <v/>
      </c>
      <c r="U37" s="319"/>
    </row>
    <row r="38" spans="1:21" x14ac:dyDescent="0.25">
      <c r="A38" s="312">
        <f>MAX($A$5:A37)+1</f>
        <v>33</v>
      </c>
      <c r="B38" s="299"/>
      <c r="C38" s="299"/>
      <c r="D38" s="299"/>
      <c r="E38" s="299"/>
      <c r="F38" s="299"/>
      <c r="G38" s="331"/>
      <c r="H38" s="313" t="str">
        <f ca="1">IFERROR(IF(VLOOKUP(F38,Kostentypen!$A$3:$E$21,3,0)=0,"",IF(OR(F38="Arbeidskosten",F38="Vergoeding"),VLOOKUP(G38,Tb_KostenTypen[],2,0),VLOOKUP(F38,Kostentypen!$A$3:$E$20,3,0))),"")</f>
        <v/>
      </c>
      <c r="I38" s="314"/>
      <c r="J38" s="315"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15"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2"/>
      <c r="M38" s="362"/>
      <c r="N38" s="316"/>
      <c r="O38" s="316"/>
      <c r="P38" s="317"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17"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17" t="str" cm="1">
        <f t="array" aca="1" ref="R38" ca="1">IFERROR(_xlfn.IFS(OR(F38="",LEFT(Methode_Keuze,4)="Geen",Methode_Keuze=""),"",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17" t="str" cm="1">
        <f t="array" aca="1" ref="S38" ca="1">IFERROR(_xlfn.IFS(OR(F38="",LEFT(Methode_Keuze,4)="Geen",Methode_Keuze=""),"",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18" t="str">
        <f>IFERROR(VLOOKUP(F38,Tb_ProjectKosten[#All],11,0),"")</f>
        <v/>
      </c>
      <c r="U38" s="319"/>
    </row>
    <row r="39" spans="1:21" x14ac:dyDescent="0.25">
      <c r="A39" s="312">
        <f>MAX($A$5:A38)+1</f>
        <v>34</v>
      </c>
      <c r="B39" s="299"/>
      <c r="C39" s="299"/>
      <c r="D39" s="299"/>
      <c r="E39" s="299"/>
      <c r="F39" s="299"/>
      <c r="G39" s="331"/>
      <c r="H39" s="313" t="str">
        <f ca="1">IFERROR(IF(VLOOKUP(F39,Kostentypen!$A$3:$E$21,3,0)=0,"",IF(OR(F39="Arbeidskosten",F39="Vergoeding"),VLOOKUP(G39,Tb_KostenTypen[],2,0),VLOOKUP(F39,Kostentypen!$A$3:$E$20,3,0))),"")</f>
        <v/>
      </c>
      <c r="I39" s="314"/>
      <c r="J39" s="315"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15"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2"/>
      <c r="M39" s="362"/>
      <c r="N39" s="316"/>
      <c r="O39" s="316"/>
      <c r="P39" s="317"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17"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17" t="str" cm="1">
        <f t="array" aca="1" ref="R39" ca="1">IFERROR(_xlfn.IFS(OR(F39="",LEFT(Methode_Keuze,4)="Geen",Methode_Keuze=""),"",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17" t="str" cm="1">
        <f t="array" aca="1" ref="S39" ca="1">IFERROR(_xlfn.IFS(OR(F39="",LEFT(Methode_Keuze,4)="Geen",Methode_Keuze=""),"",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18" t="str">
        <f>IFERROR(VLOOKUP(F39,Tb_ProjectKosten[#All],11,0),"")</f>
        <v/>
      </c>
      <c r="U39" s="319"/>
    </row>
    <row r="40" spans="1:21" x14ac:dyDescent="0.25">
      <c r="A40" s="312">
        <f>MAX($A$5:A39)+1</f>
        <v>35</v>
      </c>
      <c r="B40" s="299"/>
      <c r="C40" s="299"/>
      <c r="D40" s="299"/>
      <c r="E40" s="299"/>
      <c r="F40" s="299"/>
      <c r="G40" s="331"/>
      <c r="H40" s="313" t="str">
        <f ca="1">IFERROR(IF(VLOOKUP(F40,Kostentypen!$A$3:$E$21,3,0)=0,"",IF(OR(F40="Arbeidskosten",F40="Vergoeding"),VLOOKUP(G40,Tb_KostenTypen[],2,0),VLOOKUP(F40,Kostentypen!$A$3:$E$20,3,0))),"")</f>
        <v/>
      </c>
      <c r="I40" s="314"/>
      <c r="J40" s="315"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15"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2"/>
      <c r="M40" s="362"/>
      <c r="N40" s="316"/>
      <c r="O40" s="316"/>
      <c r="P40" s="317"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17"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17" t="str" cm="1">
        <f t="array" aca="1" ref="R40" ca="1">IFERROR(_xlfn.IFS(OR(F40="",LEFT(Methode_Keuze,4)="Geen",Methode_Keuze=""),"",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17" t="str" cm="1">
        <f t="array" aca="1" ref="S40" ca="1">IFERROR(_xlfn.IFS(OR(F40="",LEFT(Methode_Keuze,4)="Geen",Methode_Keuze=""),"",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18" t="str">
        <f>IFERROR(VLOOKUP(F40,Tb_ProjectKosten[#All],11,0),"")</f>
        <v/>
      </c>
      <c r="U40" s="319"/>
    </row>
    <row r="41" spans="1:21" x14ac:dyDescent="0.25">
      <c r="A41" s="312">
        <f>MAX($A$5:A40)+1</f>
        <v>36</v>
      </c>
      <c r="B41" s="299"/>
      <c r="C41" s="299"/>
      <c r="D41" s="299"/>
      <c r="E41" s="299"/>
      <c r="F41" s="299"/>
      <c r="G41" s="331"/>
      <c r="H41" s="313" t="str">
        <f ca="1">IFERROR(IF(VLOOKUP(F41,Kostentypen!$A$3:$E$21,3,0)=0,"",IF(OR(F41="Arbeidskosten",F41="Vergoeding"),VLOOKUP(G41,Tb_KostenTypen[],2,0),VLOOKUP(F41,Kostentypen!$A$3:$E$20,3,0))),"")</f>
        <v/>
      </c>
      <c r="I41" s="314"/>
      <c r="J41" s="315"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15"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2"/>
      <c r="M41" s="362"/>
      <c r="N41" s="316"/>
      <c r="O41" s="316"/>
      <c r="P41" s="317"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17"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17" t="str" cm="1">
        <f t="array" aca="1" ref="R41" ca="1">IFERROR(_xlfn.IFS(OR(F41="",LEFT(Methode_Keuze,4)="Geen",Methode_Keuze=""),"",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17" t="str" cm="1">
        <f t="array" aca="1" ref="S41" ca="1">IFERROR(_xlfn.IFS(OR(F41="",LEFT(Methode_Keuze,4)="Geen",Methode_Keuze=""),"",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18" t="str">
        <f>IFERROR(VLOOKUP(F41,Tb_ProjectKosten[#All],11,0),"")</f>
        <v/>
      </c>
      <c r="U41" s="319"/>
    </row>
    <row r="42" spans="1:21" x14ac:dyDescent="0.25">
      <c r="A42" s="312">
        <f>MAX($A$5:A41)+1</f>
        <v>37</v>
      </c>
      <c r="B42" s="299"/>
      <c r="C42" s="299"/>
      <c r="D42" s="299"/>
      <c r="E42" s="299"/>
      <c r="F42" s="299"/>
      <c r="G42" s="331"/>
      <c r="H42" s="313" t="str">
        <f ca="1">IFERROR(IF(VLOOKUP(F42,Kostentypen!$A$3:$E$21,3,0)=0,"",IF(OR(F42="Arbeidskosten",F42="Vergoeding"),VLOOKUP(G42,Tb_KostenTypen[],2,0),VLOOKUP(F42,Kostentypen!$A$3:$E$20,3,0))),"")</f>
        <v/>
      </c>
      <c r="I42" s="314"/>
      <c r="J42" s="315"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15"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2"/>
      <c r="M42" s="362"/>
      <c r="N42" s="316"/>
      <c r="O42" s="316"/>
      <c r="P42" s="317"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17"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17" t="str" cm="1">
        <f t="array" aca="1" ref="R42" ca="1">IFERROR(_xlfn.IFS(OR(F42="",LEFT(Methode_Keuze,4)="Geen",Methode_Keuze=""),"",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17" t="str" cm="1">
        <f t="array" aca="1" ref="S42" ca="1">IFERROR(_xlfn.IFS(OR(F42="",LEFT(Methode_Keuze,4)="Geen",Methode_Keuze=""),"",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18" t="str">
        <f>IFERROR(VLOOKUP(F42,Tb_ProjectKosten[#All],11,0),"")</f>
        <v/>
      </c>
      <c r="U42" s="319"/>
    </row>
    <row r="43" spans="1:21" x14ac:dyDescent="0.25">
      <c r="A43" s="312">
        <f>MAX($A$5:A42)+1</f>
        <v>38</v>
      </c>
      <c r="B43" s="299"/>
      <c r="C43" s="299"/>
      <c r="D43" s="299"/>
      <c r="E43" s="299"/>
      <c r="F43" s="299"/>
      <c r="G43" s="331"/>
      <c r="H43" s="313" t="str">
        <f ca="1">IFERROR(IF(VLOOKUP(F43,Kostentypen!$A$3:$E$21,3,0)=0,"",IF(OR(F43="Arbeidskosten",F43="Vergoeding"),VLOOKUP(G43,Tb_KostenTypen[],2,0),VLOOKUP(F43,Kostentypen!$A$3:$E$20,3,0))),"")</f>
        <v/>
      </c>
      <c r="I43" s="314"/>
      <c r="J43" s="315"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15"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2"/>
      <c r="M43" s="362"/>
      <c r="N43" s="316"/>
      <c r="O43" s="316"/>
      <c r="P43" s="317"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17"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17" t="str" cm="1">
        <f t="array" aca="1" ref="R43" ca="1">IFERROR(_xlfn.IFS(OR(F43="",LEFT(Methode_Keuze,4)="Geen",Methode_Keuze=""),"",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17" t="str" cm="1">
        <f t="array" aca="1" ref="S43" ca="1">IFERROR(_xlfn.IFS(OR(F43="",LEFT(Methode_Keuze,4)="Geen",Methode_Keuze=""),"",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18" t="str">
        <f>IFERROR(VLOOKUP(F43,Tb_ProjectKosten[#All],11,0),"")</f>
        <v/>
      </c>
      <c r="U43" s="319"/>
    </row>
    <row r="44" spans="1:21" x14ac:dyDescent="0.25">
      <c r="A44" s="312">
        <f>MAX($A$5:A43)+1</f>
        <v>39</v>
      </c>
      <c r="B44" s="299"/>
      <c r="C44" s="299"/>
      <c r="D44" s="299"/>
      <c r="E44" s="299"/>
      <c r="F44" s="299"/>
      <c r="G44" s="331"/>
      <c r="H44" s="313" t="str">
        <f ca="1">IFERROR(IF(VLOOKUP(F44,Kostentypen!$A$3:$E$21,3,0)=0,"",IF(OR(F44="Arbeidskosten",F44="Vergoeding"),VLOOKUP(G44,Tb_KostenTypen[],2,0),VLOOKUP(F44,Kostentypen!$A$3:$E$20,3,0))),"")</f>
        <v/>
      </c>
      <c r="I44" s="314"/>
      <c r="J44" s="315"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15"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2"/>
      <c r="M44" s="362"/>
      <c r="N44" s="316"/>
      <c r="O44" s="316"/>
      <c r="P44" s="317"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17"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17" t="str" cm="1">
        <f t="array" aca="1" ref="R44" ca="1">IFERROR(_xlfn.IFS(OR(F44="",LEFT(Methode_Keuze,4)="Geen",Methode_Keuze=""),"",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17" t="str" cm="1">
        <f t="array" aca="1" ref="S44" ca="1">IFERROR(_xlfn.IFS(OR(F44="",LEFT(Methode_Keuze,4)="Geen",Methode_Keuze=""),"",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18" t="str">
        <f>IFERROR(VLOOKUP(F44,Tb_ProjectKosten[#All],11,0),"")</f>
        <v/>
      </c>
      <c r="U44" s="319"/>
    </row>
    <row r="45" spans="1:21" x14ac:dyDescent="0.25">
      <c r="A45" s="312">
        <f>MAX($A$5:A44)+1</f>
        <v>40</v>
      </c>
      <c r="B45" s="299"/>
      <c r="C45" s="299"/>
      <c r="D45" s="299"/>
      <c r="E45" s="299"/>
      <c r="F45" s="299"/>
      <c r="G45" s="331"/>
      <c r="H45" s="313" t="str">
        <f ca="1">IFERROR(IF(VLOOKUP(F45,Kostentypen!$A$3:$E$21,3,0)=0,"",IF(OR(F45="Arbeidskosten",F45="Vergoeding"),VLOOKUP(G45,Tb_KostenTypen[],2,0),VLOOKUP(F45,Kostentypen!$A$3:$E$20,3,0))),"")</f>
        <v/>
      </c>
      <c r="I45" s="314"/>
      <c r="J45" s="315"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15"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2"/>
      <c r="M45" s="362"/>
      <c r="N45" s="316"/>
      <c r="O45" s="316"/>
      <c r="P45" s="317"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17"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17" t="str" cm="1">
        <f t="array" aca="1" ref="R45" ca="1">IFERROR(_xlfn.IFS(OR(F45="",LEFT(Methode_Keuze,4)="Geen",Methode_Keuze=""),"",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17" t="str" cm="1">
        <f t="array" aca="1" ref="S45" ca="1">IFERROR(_xlfn.IFS(OR(F45="",LEFT(Methode_Keuze,4)="Geen",Methode_Keuze=""),"",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18" t="str">
        <f>IFERROR(VLOOKUP(F45,Tb_ProjectKosten[#All],11,0),"")</f>
        <v/>
      </c>
      <c r="U45" s="319"/>
    </row>
    <row r="46" spans="1:21" x14ac:dyDescent="0.25">
      <c r="A46" s="312">
        <f>MAX($A$5:A45)+1</f>
        <v>41</v>
      </c>
      <c r="B46" s="299"/>
      <c r="C46" s="299"/>
      <c r="D46" s="299"/>
      <c r="E46" s="299"/>
      <c r="F46" s="299"/>
      <c r="G46" s="331"/>
      <c r="H46" s="313" t="str">
        <f ca="1">IFERROR(IF(VLOOKUP(F46,Kostentypen!$A$3:$E$21,3,0)=0,"",IF(OR(F46="Arbeidskosten",F46="Vergoeding"),VLOOKUP(G46,Tb_KostenTypen[],2,0),VLOOKUP(F46,Kostentypen!$A$3:$E$20,3,0))),"")</f>
        <v/>
      </c>
      <c r="I46" s="314"/>
      <c r="J46" s="315"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15"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2"/>
      <c r="M46" s="362"/>
      <c r="N46" s="316"/>
      <c r="O46" s="316"/>
      <c r="P46" s="317"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17"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17" t="str" cm="1">
        <f t="array" aca="1" ref="R46" ca="1">IFERROR(_xlfn.IFS(OR(F46="",LEFT(Methode_Keuze,4)="Geen",Methode_Keuze=""),"",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17" t="str" cm="1">
        <f t="array" aca="1" ref="S46" ca="1">IFERROR(_xlfn.IFS(OR(F46="",LEFT(Methode_Keuze,4)="Geen",Methode_Keuze=""),"",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18" t="str">
        <f>IFERROR(VLOOKUP(F46,Tb_ProjectKosten[#All],11,0),"")</f>
        <v/>
      </c>
      <c r="U46" s="319"/>
    </row>
    <row r="47" spans="1:21" x14ac:dyDescent="0.25">
      <c r="A47" s="312">
        <f>MAX($A$5:A46)+1</f>
        <v>42</v>
      </c>
      <c r="B47" s="299"/>
      <c r="C47" s="299"/>
      <c r="D47" s="299"/>
      <c r="E47" s="299"/>
      <c r="F47" s="299"/>
      <c r="G47" s="331"/>
      <c r="H47" s="313" t="str">
        <f ca="1">IFERROR(IF(VLOOKUP(F47,Kostentypen!$A$3:$E$21,3,0)=0,"",IF(OR(F47="Arbeidskosten",F47="Vergoeding"),VLOOKUP(G47,Tb_KostenTypen[],2,0),VLOOKUP(F47,Kostentypen!$A$3:$E$20,3,0))),"")</f>
        <v/>
      </c>
      <c r="I47" s="314"/>
      <c r="J47" s="315"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15"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2"/>
      <c r="M47" s="362"/>
      <c r="N47" s="316"/>
      <c r="O47" s="316"/>
      <c r="P47" s="317"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17"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17" t="str" cm="1">
        <f t="array" aca="1" ref="R47" ca="1">IFERROR(_xlfn.IFS(OR(F47="",LEFT(Methode_Keuze,4)="Geen",Methode_Keuze=""),"",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17" t="str" cm="1">
        <f t="array" aca="1" ref="S47" ca="1">IFERROR(_xlfn.IFS(OR(F47="",LEFT(Methode_Keuze,4)="Geen",Methode_Keuze=""),"",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18" t="str">
        <f>IFERROR(VLOOKUP(F47,Tb_ProjectKosten[#All],11,0),"")</f>
        <v/>
      </c>
      <c r="U47" s="319"/>
    </row>
    <row r="48" spans="1:21" x14ac:dyDescent="0.25">
      <c r="A48" s="312">
        <f>MAX($A$5:A47)+1</f>
        <v>43</v>
      </c>
      <c r="B48" s="299"/>
      <c r="C48" s="299"/>
      <c r="D48" s="299"/>
      <c r="E48" s="299"/>
      <c r="F48" s="299"/>
      <c r="G48" s="331"/>
      <c r="H48" s="313" t="str">
        <f ca="1">IFERROR(IF(VLOOKUP(F48,Kostentypen!$A$3:$E$21,3,0)=0,"",IF(OR(F48="Arbeidskosten",F48="Vergoeding"),VLOOKUP(G48,Tb_KostenTypen[],2,0),VLOOKUP(F48,Kostentypen!$A$3:$E$20,3,0))),"")</f>
        <v/>
      </c>
      <c r="I48" s="314"/>
      <c r="J48" s="315"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15"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2"/>
      <c r="M48" s="362"/>
      <c r="N48" s="316"/>
      <c r="O48" s="316"/>
      <c r="P48" s="317"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17"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17" t="str" cm="1">
        <f t="array" aca="1" ref="R48" ca="1">IFERROR(_xlfn.IFS(OR(F48="",LEFT(Methode_Keuze,4)="Geen",Methode_Keuze=""),"",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17" t="str" cm="1">
        <f t="array" aca="1" ref="S48" ca="1">IFERROR(_xlfn.IFS(OR(F48="",LEFT(Methode_Keuze,4)="Geen",Methode_Keuze=""),"",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18" t="str">
        <f>IFERROR(VLOOKUP(F48,Tb_ProjectKosten[#All],11,0),"")</f>
        <v/>
      </c>
      <c r="U48" s="319"/>
    </row>
    <row r="49" spans="1:21" x14ac:dyDescent="0.25">
      <c r="A49" s="312">
        <f>MAX($A$5:A48)+1</f>
        <v>44</v>
      </c>
      <c r="B49" s="299"/>
      <c r="C49" s="299"/>
      <c r="D49" s="299"/>
      <c r="E49" s="299"/>
      <c r="F49" s="299"/>
      <c r="G49" s="331"/>
      <c r="H49" s="313" t="str">
        <f ca="1">IFERROR(IF(VLOOKUP(F49,Kostentypen!$A$3:$E$21,3,0)=0,"",IF(OR(F49="Arbeidskosten",F49="Vergoeding"),VLOOKUP(G49,Tb_KostenTypen[],2,0),VLOOKUP(F49,Kostentypen!$A$3:$E$20,3,0))),"")</f>
        <v/>
      </c>
      <c r="I49" s="314"/>
      <c r="J49" s="315"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15"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2"/>
      <c r="M49" s="362"/>
      <c r="N49" s="316"/>
      <c r="O49" s="316"/>
      <c r="P49" s="317"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17"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17" t="str" cm="1">
        <f t="array" aca="1" ref="R49" ca="1">IFERROR(_xlfn.IFS(OR(F49="",LEFT(Methode_Keuze,4)="Geen",Methode_Keuze=""),"",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17" t="str" cm="1">
        <f t="array" aca="1" ref="S49" ca="1">IFERROR(_xlfn.IFS(OR(F49="",LEFT(Methode_Keuze,4)="Geen",Methode_Keuze=""),"",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18" t="str">
        <f>IFERROR(VLOOKUP(F49,Tb_ProjectKosten[#All],11,0),"")</f>
        <v/>
      </c>
      <c r="U49" s="319"/>
    </row>
    <row r="50" spans="1:21" x14ac:dyDescent="0.25">
      <c r="A50" s="312">
        <f>MAX($A$5:A49)+1</f>
        <v>45</v>
      </c>
      <c r="B50" s="299"/>
      <c r="C50" s="299"/>
      <c r="D50" s="299"/>
      <c r="E50" s="299"/>
      <c r="F50" s="299"/>
      <c r="G50" s="331"/>
      <c r="H50" s="313" t="str">
        <f ca="1">IFERROR(IF(VLOOKUP(F50,Kostentypen!$A$3:$E$21,3,0)=0,"",IF(OR(F50="Arbeidskosten",F50="Vergoeding"),VLOOKUP(G50,Tb_KostenTypen[],2,0),VLOOKUP(F50,Kostentypen!$A$3:$E$20,3,0))),"")</f>
        <v/>
      </c>
      <c r="I50" s="314"/>
      <c r="J50" s="315"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15"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2"/>
      <c r="M50" s="362"/>
      <c r="N50" s="316"/>
      <c r="O50" s="316"/>
      <c r="P50" s="317"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17"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17" t="str" cm="1">
        <f t="array" aca="1" ref="R50" ca="1">IFERROR(_xlfn.IFS(OR(F50="",LEFT(Methode_Keuze,4)="Geen",Methode_Keuze=""),"",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17" t="str" cm="1">
        <f t="array" aca="1" ref="S50" ca="1">IFERROR(_xlfn.IFS(OR(F50="",LEFT(Methode_Keuze,4)="Geen",Methode_Keuze=""),"",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18" t="str">
        <f>IFERROR(VLOOKUP(F50,Tb_ProjectKosten[#All],11,0),"")</f>
        <v/>
      </c>
      <c r="U50" s="319"/>
    </row>
    <row r="51" spans="1:21" x14ac:dyDescent="0.25">
      <c r="A51" s="312">
        <f>MAX($A$5:A50)+1</f>
        <v>46</v>
      </c>
      <c r="B51" s="299"/>
      <c r="C51" s="299"/>
      <c r="D51" s="299"/>
      <c r="E51" s="299"/>
      <c r="F51" s="299"/>
      <c r="G51" s="331"/>
      <c r="H51" s="313" t="str">
        <f ca="1">IFERROR(IF(VLOOKUP(F51,Kostentypen!$A$3:$E$21,3,0)=0,"",IF(OR(F51="Arbeidskosten",F51="Vergoeding"),VLOOKUP(G51,Tb_KostenTypen[],2,0),VLOOKUP(F51,Kostentypen!$A$3:$E$20,3,0))),"")</f>
        <v/>
      </c>
      <c r="I51" s="314"/>
      <c r="J51" s="315"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15"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2"/>
      <c r="M51" s="362"/>
      <c r="N51" s="316"/>
      <c r="O51" s="316"/>
      <c r="P51" s="317"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17"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17" t="str" cm="1">
        <f t="array" aca="1" ref="R51" ca="1">IFERROR(_xlfn.IFS(OR(F51="",LEFT(Methode_Keuze,4)="Geen",Methode_Keuze=""),"",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17" t="str" cm="1">
        <f t="array" aca="1" ref="S51" ca="1">IFERROR(_xlfn.IFS(OR(F51="",LEFT(Methode_Keuze,4)="Geen",Methode_Keuze=""),"",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18" t="str">
        <f>IFERROR(VLOOKUP(F51,Tb_ProjectKosten[#All],11,0),"")</f>
        <v/>
      </c>
      <c r="U51" s="319"/>
    </row>
    <row r="52" spans="1:21" x14ac:dyDescent="0.25">
      <c r="A52" s="312">
        <f>MAX($A$5:A51)+1</f>
        <v>47</v>
      </c>
      <c r="B52" s="299"/>
      <c r="C52" s="299"/>
      <c r="D52" s="299"/>
      <c r="E52" s="299"/>
      <c r="F52" s="299"/>
      <c r="G52" s="331"/>
      <c r="H52" s="313" t="str">
        <f ca="1">IFERROR(IF(VLOOKUP(F52,Kostentypen!$A$3:$E$21,3,0)=0,"",IF(OR(F52="Arbeidskosten",F52="Vergoeding"),VLOOKUP(G52,Tb_KostenTypen[],2,0),VLOOKUP(F52,Kostentypen!$A$3:$E$20,3,0))),"")</f>
        <v/>
      </c>
      <c r="I52" s="314"/>
      <c r="J52" s="315"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15"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2"/>
      <c r="M52" s="362"/>
      <c r="N52" s="316"/>
      <c r="O52" s="316"/>
      <c r="P52" s="317"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17"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17" t="str" cm="1">
        <f t="array" aca="1" ref="R52" ca="1">IFERROR(_xlfn.IFS(OR(F52="",LEFT(Methode_Keuze,4)="Geen",Methode_Keuze=""),"",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17" t="str" cm="1">
        <f t="array" aca="1" ref="S52" ca="1">IFERROR(_xlfn.IFS(OR(F52="",LEFT(Methode_Keuze,4)="Geen",Methode_Keuze=""),"",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18" t="str">
        <f>IFERROR(VLOOKUP(F52,Tb_ProjectKosten[#All],11,0),"")</f>
        <v/>
      </c>
      <c r="U52" s="319"/>
    </row>
    <row r="53" spans="1:21" x14ac:dyDescent="0.25">
      <c r="A53" s="312">
        <f>MAX($A$5:A52)+1</f>
        <v>48</v>
      </c>
      <c r="B53" s="299"/>
      <c r="C53" s="299"/>
      <c r="D53" s="299"/>
      <c r="E53" s="299"/>
      <c r="F53" s="299"/>
      <c r="G53" s="331"/>
      <c r="H53" s="313" t="str">
        <f ca="1">IFERROR(IF(VLOOKUP(F53,Kostentypen!$A$3:$E$21,3,0)=0,"",IF(OR(F53="Arbeidskosten",F53="Vergoeding"),VLOOKUP(G53,Tb_KostenTypen[],2,0),VLOOKUP(F53,Kostentypen!$A$3:$E$20,3,0))),"")</f>
        <v/>
      </c>
      <c r="I53" s="314"/>
      <c r="J53" s="315"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15"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2"/>
      <c r="M53" s="362"/>
      <c r="N53" s="316"/>
      <c r="O53" s="316"/>
      <c r="P53" s="317"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17"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17" t="str" cm="1">
        <f t="array" aca="1" ref="R53" ca="1">IFERROR(_xlfn.IFS(OR(F53="",LEFT(Methode_Keuze,4)="Geen",Methode_Keuze=""),"",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17" t="str" cm="1">
        <f t="array" aca="1" ref="S53" ca="1">IFERROR(_xlfn.IFS(OR(F53="",LEFT(Methode_Keuze,4)="Geen",Methode_Keuze=""),"",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18" t="str">
        <f>IFERROR(VLOOKUP(F53,Tb_ProjectKosten[#All],11,0),"")</f>
        <v/>
      </c>
      <c r="U53" s="319"/>
    </row>
    <row r="54" spans="1:21" x14ac:dyDescent="0.25">
      <c r="A54" s="312">
        <f>MAX($A$5:A53)+1</f>
        <v>49</v>
      </c>
      <c r="B54" s="299"/>
      <c r="C54" s="299"/>
      <c r="D54" s="299"/>
      <c r="E54" s="299"/>
      <c r="F54" s="299"/>
      <c r="G54" s="331"/>
      <c r="H54" s="313" t="str">
        <f ca="1">IFERROR(IF(VLOOKUP(F54,Kostentypen!$A$3:$E$21,3,0)=0,"",IF(OR(F54="Arbeidskosten",F54="Vergoeding"),VLOOKUP(G54,Tb_KostenTypen[],2,0),VLOOKUP(F54,Kostentypen!$A$3:$E$20,3,0))),"")</f>
        <v/>
      </c>
      <c r="I54" s="314"/>
      <c r="J54" s="315"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15"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2"/>
      <c r="M54" s="362"/>
      <c r="N54" s="316"/>
      <c r="O54" s="316"/>
      <c r="P54" s="317"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17"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17" t="str" cm="1">
        <f t="array" aca="1" ref="R54" ca="1">IFERROR(_xlfn.IFS(OR(F54="",LEFT(Methode_Keuze,4)="Geen",Methode_Keuze=""),"",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17" t="str" cm="1">
        <f t="array" aca="1" ref="S54" ca="1">IFERROR(_xlfn.IFS(OR(F54="",LEFT(Methode_Keuze,4)="Geen",Methode_Keuze=""),"",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18" t="str">
        <f>IFERROR(VLOOKUP(F54,Tb_ProjectKosten[#All],11,0),"")</f>
        <v/>
      </c>
      <c r="U54" s="319"/>
    </row>
    <row r="55" spans="1:21" x14ac:dyDescent="0.25">
      <c r="A55" s="312">
        <f>MAX($A$5:A54)+1</f>
        <v>50</v>
      </c>
      <c r="B55" s="299"/>
      <c r="C55" s="299"/>
      <c r="D55" s="299"/>
      <c r="E55" s="299"/>
      <c r="F55" s="299"/>
      <c r="G55" s="331"/>
      <c r="H55" s="313" t="str">
        <f ca="1">IFERROR(IF(VLOOKUP(F55,Kostentypen!$A$3:$E$21,3,0)=0,"",IF(OR(F55="Arbeidskosten",F55="Vergoeding"),VLOOKUP(G55,Tb_KostenTypen[],2,0),VLOOKUP(F55,Kostentypen!$A$3:$E$20,3,0))),"")</f>
        <v/>
      </c>
      <c r="I55" s="314"/>
      <c r="J55" s="315"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15"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2"/>
      <c r="M55" s="362"/>
      <c r="N55" s="316"/>
      <c r="O55" s="316"/>
      <c r="P55" s="317"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17"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17" t="str" cm="1">
        <f t="array" aca="1" ref="R55" ca="1">IFERROR(_xlfn.IFS(OR(F55="",LEFT(Methode_Keuze,4)="Geen",Methode_Keuze=""),"",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17" t="str" cm="1">
        <f t="array" aca="1" ref="S55" ca="1">IFERROR(_xlfn.IFS(OR(F55="",LEFT(Methode_Keuze,4)="Geen",Methode_Keuze=""),"",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18" t="str">
        <f>IFERROR(VLOOKUP(F55,Tb_ProjectKosten[#All],11,0),"")</f>
        <v/>
      </c>
      <c r="U55" s="319"/>
    </row>
    <row r="56" spans="1:21" x14ac:dyDescent="0.25">
      <c r="A56" s="312">
        <f>MAX($A$5:A55)+1</f>
        <v>51</v>
      </c>
      <c r="B56" s="299"/>
      <c r="C56" s="299"/>
      <c r="D56" s="299"/>
      <c r="E56" s="299"/>
      <c r="F56" s="299"/>
      <c r="G56" s="331"/>
      <c r="H56" s="313" t="str">
        <f ca="1">IFERROR(IF(VLOOKUP(F56,Kostentypen!$A$3:$E$21,3,0)=0,"",IF(OR(F56="Arbeidskosten",F56="Vergoeding"),VLOOKUP(G56,Tb_KostenTypen[],2,0),VLOOKUP(F56,Kostentypen!$A$3:$E$20,3,0))),"")</f>
        <v/>
      </c>
      <c r="I56" s="314"/>
      <c r="J56" s="315"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15"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2"/>
      <c r="M56" s="362"/>
      <c r="N56" s="316"/>
      <c r="O56" s="316"/>
      <c r="P56" s="317"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17"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17" t="str" cm="1">
        <f t="array" aca="1" ref="R56" ca="1">IFERROR(_xlfn.IFS(OR(F56="",LEFT(Methode_Keuze,4)="Geen",Methode_Keuze=""),"",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17" t="str" cm="1">
        <f t="array" aca="1" ref="S56" ca="1">IFERROR(_xlfn.IFS(OR(F56="",LEFT(Methode_Keuze,4)="Geen",Methode_Keuze=""),"",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18" t="str">
        <f>IFERROR(VLOOKUP(F56,Tb_ProjectKosten[#All],11,0),"")</f>
        <v/>
      </c>
      <c r="U56" s="319"/>
    </row>
    <row r="57" spans="1:21" x14ac:dyDescent="0.25">
      <c r="A57" s="312">
        <f>MAX($A$5:A56)+1</f>
        <v>52</v>
      </c>
      <c r="B57" s="299"/>
      <c r="C57" s="299"/>
      <c r="D57" s="299"/>
      <c r="E57" s="299"/>
      <c r="F57" s="299"/>
      <c r="G57" s="331"/>
      <c r="H57" s="313" t="str">
        <f ca="1">IFERROR(IF(VLOOKUP(F57,Kostentypen!$A$3:$E$21,3,0)=0,"",IF(OR(F57="Arbeidskosten",F57="Vergoeding"),VLOOKUP(G57,Tb_KostenTypen[],2,0),VLOOKUP(F57,Kostentypen!$A$3:$E$20,3,0))),"")</f>
        <v/>
      </c>
      <c r="I57" s="314"/>
      <c r="J57" s="315"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15"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2"/>
      <c r="M57" s="362"/>
      <c r="N57" s="316"/>
      <c r="O57" s="316"/>
      <c r="P57" s="317"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17"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17" t="str" cm="1">
        <f t="array" aca="1" ref="R57" ca="1">IFERROR(_xlfn.IFS(OR(F57="",LEFT(Methode_Keuze,4)="Geen",Methode_Keuze=""),"",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17" t="str" cm="1">
        <f t="array" aca="1" ref="S57" ca="1">IFERROR(_xlfn.IFS(OR(F57="",LEFT(Methode_Keuze,4)="Geen",Methode_Keuze=""),"",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18" t="str">
        <f>IFERROR(VLOOKUP(F57,Tb_ProjectKosten[#All],11,0),"")</f>
        <v/>
      </c>
      <c r="U57" s="319"/>
    </row>
    <row r="58" spans="1:21" x14ac:dyDescent="0.25">
      <c r="A58" s="312">
        <f>MAX($A$5:A57)+1</f>
        <v>53</v>
      </c>
      <c r="B58" s="299"/>
      <c r="C58" s="299"/>
      <c r="D58" s="299"/>
      <c r="E58" s="299"/>
      <c r="F58" s="299"/>
      <c r="G58" s="331"/>
      <c r="H58" s="313" t="str">
        <f ca="1">IFERROR(IF(VLOOKUP(F58,Kostentypen!$A$3:$E$21,3,0)=0,"",IF(OR(F58="Arbeidskosten",F58="Vergoeding"),VLOOKUP(G58,Tb_KostenTypen[],2,0),VLOOKUP(F58,Kostentypen!$A$3:$E$20,3,0))),"")</f>
        <v/>
      </c>
      <c r="I58" s="314"/>
      <c r="J58" s="315"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15"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2"/>
      <c r="M58" s="362"/>
      <c r="N58" s="316"/>
      <c r="O58" s="316"/>
      <c r="P58" s="317"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17"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17" t="str" cm="1">
        <f t="array" aca="1" ref="R58" ca="1">IFERROR(_xlfn.IFS(OR(F58="",LEFT(Methode_Keuze,4)="Geen",Methode_Keuze=""),"",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17" t="str" cm="1">
        <f t="array" aca="1" ref="S58" ca="1">IFERROR(_xlfn.IFS(OR(F58="",LEFT(Methode_Keuze,4)="Geen",Methode_Keuze=""),"",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18" t="str">
        <f>IFERROR(VLOOKUP(F58,Tb_ProjectKosten[#All],11,0),"")</f>
        <v/>
      </c>
      <c r="U58" s="319"/>
    </row>
    <row r="59" spans="1:21" x14ac:dyDescent="0.25">
      <c r="A59" s="312">
        <f>MAX($A$5:A58)+1</f>
        <v>54</v>
      </c>
      <c r="B59" s="299"/>
      <c r="C59" s="299"/>
      <c r="D59" s="299"/>
      <c r="E59" s="299"/>
      <c r="F59" s="299"/>
      <c r="G59" s="331"/>
      <c r="H59" s="313" t="str">
        <f ca="1">IFERROR(IF(VLOOKUP(F59,Kostentypen!$A$3:$E$21,3,0)=0,"",IF(OR(F59="Arbeidskosten",F59="Vergoeding"),VLOOKUP(G59,Tb_KostenTypen[],2,0),VLOOKUP(F59,Kostentypen!$A$3:$E$20,3,0))),"")</f>
        <v/>
      </c>
      <c r="I59" s="314"/>
      <c r="J59" s="315"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15"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2"/>
      <c r="M59" s="362"/>
      <c r="N59" s="316"/>
      <c r="O59" s="316"/>
      <c r="P59" s="317"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17"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17" t="str" cm="1">
        <f t="array" aca="1" ref="R59" ca="1">IFERROR(_xlfn.IFS(OR(F59="",LEFT(Methode_Keuze,4)="Geen",Methode_Keuze=""),"",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17" t="str" cm="1">
        <f t="array" aca="1" ref="S59" ca="1">IFERROR(_xlfn.IFS(OR(F59="",LEFT(Methode_Keuze,4)="Geen",Methode_Keuze=""),"",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18" t="str">
        <f>IFERROR(VLOOKUP(F59,Tb_ProjectKosten[#All],11,0),"")</f>
        <v/>
      </c>
      <c r="U59" s="319"/>
    </row>
    <row r="60" spans="1:21" x14ac:dyDescent="0.25">
      <c r="A60" s="312">
        <f>MAX($A$5:A59)+1</f>
        <v>55</v>
      </c>
      <c r="B60" s="299"/>
      <c r="C60" s="299"/>
      <c r="D60" s="299"/>
      <c r="E60" s="299"/>
      <c r="F60" s="299"/>
      <c r="G60" s="331"/>
      <c r="H60" s="313" t="str">
        <f ca="1">IFERROR(IF(VLOOKUP(F60,Kostentypen!$A$3:$E$21,3,0)=0,"",IF(OR(F60="Arbeidskosten",F60="Vergoeding"),VLOOKUP(G60,Tb_KostenTypen[],2,0),VLOOKUP(F60,Kostentypen!$A$3:$E$20,3,0))),"")</f>
        <v/>
      </c>
      <c r="I60" s="314"/>
      <c r="J60" s="315"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15"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2"/>
      <c r="M60" s="362"/>
      <c r="N60" s="316"/>
      <c r="O60" s="316"/>
      <c r="P60" s="317"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17"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17" t="str" cm="1">
        <f t="array" aca="1" ref="R60" ca="1">IFERROR(_xlfn.IFS(OR(F60="",LEFT(Methode_Keuze,4)="Geen",Methode_Keuze=""),"",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17" t="str" cm="1">
        <f t="array" aca="1" ref="S60" ca="1">IFERROR(_xlfn.IFS(OR(F60="",LEFT(Methode_Keuze,4)="Geen",Methode_Keuze=""),"",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18" t="str">
        <f>IFERROR(VLOOKUP(F60,Tb_ProjectKosten[#All],11,0),"")</f>
        <v/>
      </c>
      <c r="U60" s="319"/>
    </row>
    <row r="61" spans="1:21" x14ac:dyDescent="0.25">
      <c r="A61" s="312">
        <f>MAX($A$5:A60)+1</f>
        <v>56</v>
      </c>
      <c r="B61" s="299"/>
      <c r="C61" s="299"/>
      <c r="D61" s="299"/>
      <c r="E61" s="299"/>
      <c r="F61" s="299"/>
      <c r="G61" s="331"/>
      <c r="H61" s="313" t="str">
        <f ca="1">IFERROR(IF(VLOOKUP(F61,Kostentypen!$A$3:$E$21,3,0)=0,"",IF(OR(F61="Arbeidskosten",F61="Vergoeding"),VLOOKUP(G61,Tb_KostenTypen[],2,0),VLOOKUP(F61,Kostentypen!$A$3:$E$20,3,0))),"")</f>
        <v/>
      </c>
      <c r="I61" s="314"/>
      <c r="J61" s="315"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15"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2"/>
      <c r="M61" s="362"/>
      <c r="N61" s="316"/>
      <c r="O61" s="316"/>
      <c r="P61" s="317"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17"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17" t="str" cm="1">
        <f t="array" aca="1" ref="R61" ca="1">IFERROR(_xlfn.IFS(OR(F61="",LEFT(Methode_Keuze,4)="Geen",Methode_Keuze=""),"",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17" t="str" cm="1">
        <f t="array" aca="1" ref="S61" ca="1">IFERROR(_xlfn.IFS(OR(F61="",LEFT(Methode_Keuze,4)="Geen",Methode_Keuze=""),"",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18" t="str">
        <f>IFERROR(VLOOKUP(F61,Tb_ProjectKosten[#All],11,0),"")</f>
        <v/>
      </c>
      <c r="U61" s="319"/>
    </row>
    <row r="62" spans="1:21" x14ac:dyDescent="0.25">
      <c r="A62" s="312">
        <f>MAX($A$5:A61)+1</f>
        <v>57</v>
      </c>
      <c r="B62" s="299"/>
      <c r="C62" s="299"/>
      <c r="D62" s="299"/>
      <c r="E62" s="299"/>
      <c r="F62" s="299"/>
      <c r="G62" s="331"/>
      <c r="H62" s="313" t="str">
        <f ca="1">IFERROR(IF(VLOOKUP(F62,Kostentypen!$A$3:$E$21,3,0)=0,"",IF(OR(F62="Arbeidskosten",F62="Vergoeding"),VLOOKUP(G62,Tb_KostenTypen[],2,0),VLOOKUP(F62,Kostentypen!$A$3:$E$20,3,0))),"")</f>
        <v/>
      </c>
      <c r="I62" s="314"/>
      <c r="J62" s="315"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15"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2"/>
      <c r="M62" s="362"/>
      <c r="N62" s="316"/>
      <c r="O62" s="316"/>
      <c r="P62" s="317"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17"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17" t="str" cm="1">
        <f t="array" aca="1" ref="R62" ca="1">IFERROR(_xlfn.IFS(OR(F62="",LEFT(Methode_Keuze,4)="Geen",Methode_Keuze=""),"",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17" t="str" cm="1">
        <f t="array" aca="1" ref="S62" ca="1">IFERROR(_xlfn.IFS(OR(F62="",LEFT(Methode_Keuze,4)="Geen",Methode_Keuze=""),"",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18" t="str">
        <f>IFERROR(VLOOKUP(F62,Tb_ProjectKosten[#All],11,0),"")</f>
        <v/>
      </c>
      <c r="U62" s="319"/>
    </row>
    <row r="63" spans="1:21" x14ac:dyDescent="0.25">
      <c r="A63" s="312">
        <f>MAX($A$5:A62)+1</f>
        <v>58</v>
      </c>
      <c r="B63" s="299"/>
      <c r="C63" s="299"/>
      <c r="D63" s="299"/>
      <c r="E63" s="299"/>
      <c r="F63" s="299"/>
      <c r="G63" s="331"/>
      <c r="H63" s="313" t="str">
        <f ca="1">IFERROR(IF(VLOOKUP(F63,Kostentypen!$A$3:$E$21,3,0)=0,"",IF(OR(F63="Arbeidskosten",F63="Vergoeding"),VLOOKUP(G63,Tb_KostenTypen[],2,0),VLOOKUP(F63,Kostentypen!$A$3:$E$20,3,0))),"")</f>
        <v/>
      </c>
      <c r="I63" s="314"/>
      <c r="J63" s="315"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15"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2"/>
      <c r="M63" s="362"/>
      <c r="N63" s="316"/>
      <c r="O63" s="316"/>
      <c r="P63" s="317"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17"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17" t="str" cm="1">
        <f t="array" aca="1" ref="R63" ca="1">IFERROR(_xlfn.IFS(OR(F63="",LEFT(Methode_Keuze,4)="Geen",Methode_Keuze=""),"",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17" t="str" cm="1">
        <f t="array" aca="1" ref="S63" ca="1">IFERROR(_xlfn.IFS(OR(F63="",LEFT(Methode_Keuze,4)="Geen",Methode_Keuze=""),"",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18" t="str">
        <f>IFERROR(VLOOKUP(F63,Tb_ProjectKosten[#All],11,0),"")</f>
        <v/>
      </c>
      <c r="U63" s="319"/>
    </row>
    <row r="64" spans="1:21" x14ac:dyDescent="0.25">
      <c r="A64" s="312">
        <f>MAX($A$5:A63)+1</f>
        <v>59</v>
      </c>
      <c r="B64" s="299"/>
      <c r="C64" s="299"/>
      <c r="D64" s="299"/>
      <c r="E64" s="299"/>
      <c r="F64" s="299"/>
      <c r="G64" s="331"/>
      <c r="H64" s="313" t="str">
        <f ca="1">IFERROR(IF(VLOOKUP(F64,Kostentypen!$A$3:$E$21,3,0)=0,"",IF(OR(F64="Arbeidskosten",F64="Vergoeding"),VLOOKUP(G64,Tb_KostenTypen[],2,0),VLOOKUP(F64,Kostentypen!$A$3:$E$20,3,0))),"")</f>
        <v/>
      </c>
      <c r="I64" s="314"/>
      <c r="J64" s="315"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15"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2"/>
      <c r="M64" s="362"/>
      <c r="N64" s="316"/>
      <c r="O64" s="316"/>
      <c r="P64" s="317"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17"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17" t="str" cm="1">
        <f t="array" aca="1" ref="R64" ca="1">IFERROR(_xlfn.IFS(OR(F64="",LEFT(Methode_Keuze,4)="Geen",Methode_Keuze=""),"",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17" t="str" cm="1">
        <f t="array" aca="1" ref="S64" ca="1">IFERROR(_xlfn.IFS(OR(F64="",LEFT(Methode_Keuze,4)="Geen",Methode_Keuze=""),"",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18" t="str">
        <f>IFERROR(VLOOKUP(F64,Tb_ProjectKosten[#All],11,0),"")</f>
        <v/>
      </c>
      <c r="U64" s="319"/>
    </row>
    <row r="65" spans="1:21" x14ac:dyDescent="0.25">
      <c r="A65" s="312">
        <f>MAX($A$5:A64)+1</f>
        <v>60</v>
      </c>
      <c r="B65" s="299"/>
      <c r="C65" s="299"/>
      <c r="D65" s="299"/>
      <c r="E65" s="299"/>
      <c r="F65" s="299"/>
      <c r="G65" s="331"/>
      <c r="H65" s="313" t="str">
        <f ca="1">IFERROR(IF(VLOOKUP(F65,Kostentypen!$A$3:$E$21,3,0)=0,"",IF(OR(F65="Arbeidskosten",F65="Vergoeding"),VLOOKUP(G65,Tb_KostenTypen[],2,0),VLOOKUP(F65,Kostentypen!$A$3:$E$20,3,0))),"")</f>
        <v/>
      </c>
      <c r="I65" s="314"/>
      <c r="J65" s="315"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15"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2"/>
      <c r="M65" s="362"/>
      <c r="N65" s="316"/>
      <c r="O65" s="316"/>
      <c r="P65" s="317"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17"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17" t="str" cm="1">
        <f t="array" aca="1" ref="R65" ca="1">IFERROR(_xlfn.IFS(OR(F65="",LEFT(Methode_Keuze,4)="Geen",Methode_Keuze=""),"",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17" t="str" cm="1">
        <f t="array" aca="1" ref="S65" ca="1">IFERROR(_xlfn.IFS(OR(F65="",LEFT(Methode_Keuze,4)="Geen",Methode_Keuze=""),"",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18" t="str">
        <f>IFERROR(VLOOKUP(F65,Tb_ProjectKosten[#All],11,0),"")</f>
        <v/>
      </c>
      <c r="U65" s="319"/>
    </row>
    <row r="66" spans="1:21" x14ac:dyDescent="0.25">
      <c r="A66" s="312">
        <f>MAX($A$5:A65)+1</f>
        <v>61</v>
      </c>
      <c r="B66" s="299"/>
      <c r="C66" s="299"/>
      <c r="D66" s="299"/>
      <c r="E66" s="299"/>
      <c r="F66" s="299"/>
      <c r="G66" s="331"/>
      <c r="H66" s="313" t="str">
        <f ca="1">IFERROR(IF(VLOOKUP(F66,Kostentypen!$A$3:$E$21,3,0)=0,"",IF(OR(F66="Arbeidskosten",F66="Vergoeding"),VLOOKUP(G66,Tb_KostenTypen[],2,0),VLOOKUP(F66,Kostentypen!$A$3:$E$20,3,0))),"")</f>
        <v/>
      </c>
      <c r="I66" s="314"/>
      <c r="J66" s="315"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15"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2"/>
      <c r="M66" s="362"/>
      <c r="N66" s="316"/>
      <c r="O66" s="316"/>
      <c r="P66" s="317"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17"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17" t="str" cm="1">
        <f t="array" aca="1" ref="R66" ca="1">IFERROR(_xlfn.IFS(OR(F66="",LEFT(Methode_Keuze,4)="Geen",Methode_Keuze=""),"",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17" t="str" cm="1">
        <f t="array" aca="1" ref="S66" ca="1">IFERROR(_xlfn.IFS(OR(F66="",LEFT(Methode_Keuze,4)="Geen",Methode_Keuze=""),"",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18" t="str">
        <f>IFERROR(VLOOKUP(F66,Tb_ProjectKosten[#All],11,0),"")</f>
        <v/>
      </c>
      <c r="U66" s="319"/>
    </row>
    <row r="67" spans="1:21" x14ac:dyDescent="0.25">
      <c r="A67" s="312">
        <f>MAX($A$5:A66)+1</f>
        <v>62</v>
      </c>
      <c r="B67" s="299"/>
      <c r="C67" s="299"/>
      <c r="D67" s="299"/>
      <c r="E67" s="299"/>
      <c r="F67" s="299"/>
      <c r="G67" s="331"/>
      <c r="H67" s="313" t="str">
        <f ca="1">IFERROR(IF(VLOOKUP(F67,Kostentypen!$A$3:$E$21,3,0)=0,"",IF(OR(F67="Arbeidskosten",F67="Vergoeding"),VLOOKUP(G67,Tb_KostenTypen[],2,0),VLOOKUP(F67,Kostentypen!$A$3:$E$20,3,0))),"")</f>
        <v/>
      </c>
      <c r="I67" s="314"/>
      <c r="J67" s="315"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15"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2"/>
      <c r="M67" s="362"/>
      <c r="N67" s="316"/>
      <c r="O67" s="316"/>
      <c r="P67" s="317"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17"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17" t="str" cm="1">
        <f t="array" aca="1" ref="R67" ca="1">IFERROR(_xlfn.IFS(OR(F67="",LEFT(Methode_Keuze,4)="Geen",Methode_Keuze=""),"",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17" t="str" cm="1">
        <f t="array" aca="1" ref="S67" ca="1">IFERROR(_xlfn.IFS(OR(F67="",LEFT(Methode_Keuze,4)="Geen",Methode_Keuze=""),"",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18" t="str">
        <f>IFERROR(VLOOKUP(F67,Tb_ProjectKosten[#All],11,0),"")</f>
        <v/>
      </c>
      <c r="U67" s="319"/>
    </row>
    <row r="68" spans="1:21" x14ac:dyDescent="0.25">
      <c r="A68" s="312">
        <f>MAX($A$5:A67)+1</f>
        <v>63</v>
      </c>
      <c r="B68" s="299"/>
      <c r="C68" s="299"/>
      <c r="D68" s="299"/>
      <c r="E68" s="299"/>
      <c r="F68" s="299"/>
      <c r="G68" s="331"/>
      <c r="H68" s="313" t="str">
        <f ca="1">IFERROR(IF(VLOOKUP(F68,Kostentypen!$A$3:$E$21,3,0)=0,"",IF(OR(F68="Arbeidskosten",F68="Vergoeding"),VLOOKUP(G68,Tb_KostenTypen[],2,0),VLOOKUP(F68,Kostentypen!$A$3:$E$20,3,0))),"")</f>
        <v/>
      </c>
      <c r="I68" s="314"/>
      <c r="J68" s="315"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15"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2"/>
      <c r="M68" s="362"/>
      <c r="N68" s="316"/>
      <c r="O68" s="316"/>
      <c r="P68" s="317"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17"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17" t="str" cm="1">
        <f t="array" aca="1" ref="R68" ca="1">IFERROR(_xlfn.IFS(OR(F68="",LEFT(Methode_Keuze,4)="Geen",Methode_Keuze=""),"",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17" t="str" cm="1">
        <f t="array" aca="1" ref="S68" ca="1">IFERROR(_xlfn.IFS(OR(F68="",LEFT(Methode_Keuze,4)="Geen",Methode_Keuze=""),"",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18" t="str">
        <f>IFERROR(VLOOKUP(F68,Tb_ProjectKosten[#All],11,0),"")</f>
        <v/>
      </c>
      <c r="U68" s="319"/>
    </row>
    <row r="69" spans="1:21" x14ac:dyDescent="0.25">
      <c r="A69" s="312">
        <f>MAX($A$5:A68)+1</f>
        <v>64</v>
      </c>
      <c r="B69" s="299"/>
      <c r="C69" s="299"/>
      <c r="D69" s="299"/>
      <c r="E69" s="299"/>
      <c r="F69" s="299"/>
      <c r="G69" s="331"/>
      <c r="H69" s="313" t="str">
        <f ca="1">IFERROR(IF(VLOOKUP(F69,Kostentypen!$A$3:$E$21,3,0)=0,"",IF(OR(F69="Arbeidskosten",F69="Vergoeding"),VLOOKUP(G69,Tb_KostenTypen[],2,0),VLOOKUP(F69,Kostentypen!$A$3:$E$20,3,0))),"")</f>
        <v/>
      </c>
      <c r="I69" s="314"/>
      <c r="J69" s="315"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15"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2"/>
      <c r="M69" s="362"/>
      <c r="N69" s="316"/>
      <c r="O69" s="316"/>
      <c r="P69" s="317"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17"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17" t="str" cm="1">
        <f t="array" aca="1" ref="R69" ca="1">IFERROR(_xlfn.IFS(OR(F69="",LEFT(Methode_Keuze,4)="Geen",Methode_Keuze=""),"",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17" t="str" cm="1">
        <f t="array" aca="1" ref="S69" ca="1">IFERROR(_xlfn.IFS(OR(F69="",LEFT(Methode_Keuze,4)="Geen",Methode_Keuze=""),"",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18" t="str">
        <f>IFERROR(VLOOKUP(F69,Tb_ProjectKosten[#All],11,0),"")</f>
        <v/>
      </c>
      <c r="U69" s="319"/>
    </row>
    <row r="70" spans="1:21" x14ac:dyDescent="0.25">
      <c r="A70" s="312">
        <f>MAX($A$5:A69)+1</f>
        <v>65</v>
      </c>
      <c r="B70" s="299"/>
      <c r="C70" s="299"/>
      <c r="D70" s="299"/>
      <c r="E70" s="299"/>
      <c r="F70" s="299"/>
      <c r="G70" s="331"/>
      <c r="H70" s="313" t="str">
        <f ca="1">IFERROR(IF(VLOOKUP(F70,Kostentypen!$A$3:$E$21,3,0)=0,"",IF(OR(F70="Arbeidskosten",F70="Vergoeding"),VLOOKUP(G70,Tb_KostenTypen[],2,0),VLOOKUP(F70,Kostentypen!$A$3:$E$20,3,0))),"")</f>
        <v/>
      </c>
      <c r="I70" s="314"/>
      <c r="J70" s="315"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15"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2"/>
      <c r="M70" s="362"/>
      <c r="N70" s="316"/>
      <c r="O70" s="316"/>
      <c r="P70" s="317"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17"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17" t="str" cm="1">
        <f t="array" aca="1" ref="R70" ca="1">IFERROR(_xlfn.IFS(OR(F70="",LEFT(Methode_Keuze,4)="Geen",Methode_Keuze=""),"",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17" t="str" cm="1">
        <f t="array" aca="1" ref="S70" ca="1">IFERROR(_xlfn.IFS(OR(F70="",LEFT(Methode_Keuze,4)="Geen",Methode_Keuze=""),"",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18" t="str">
        <f>IFERROR(VLOOKUP(F70,Tb_ProjectKosten[#All],11,0),"")</f>
        <v/>
      </c>
      <c r="U70" s="319"/>
    </row>
    <row r="71" spans="1:21" x14ac:dyDescent="0.25">
      <c r="A71" s="312">
        <f>MAX($A$5:A70)+1</f>
        <v>66</v>
      </c>
      <c r="B71" s="299"/>
      <c r="C71" s="299"/>
      <c r="D71" s="299"/>
      <c r="E71" s="299"/>
      <c r="F71" s="299"/>
      <c r="G71" s="331"/>
      <c r="H71" s="313" t="str">
        <f ca="1">IFERROR(IF(VLOOKUP(F71,Kostentypen!$A$3:$E$21,3,0)=0,"",IF(OR(F71="Arbeidskosten",F71="Vergoeding"),VLOOKUP(G71,Tb_KostenTypen[],2,0),VLOOKUP(F71,Kostentypen!$A$3:$E$20,3,0))),"")</f>
        <v/>
      </c>
      <c r="I71" s="314"/>
      <c r="J71" s="315"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15"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2"/>
      <c r="M71" s="362"/>
      <c r="N71" s="316"/>
      <c r="O71" s="316"/>
      <c r="P71" s="317"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17"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17" t="str" cm="1">
        <f t="array" aca="1" ref="R71" ca="1">IFERROR(_xlfn.IFS(OR(F71="",LEFT(Methode_Keuze,4)="Geen",Methode_Keuze=""),"",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17" t="str" cm="1">
        <f t="array" aca="1" ref="S71" ca="1">IFERROR(_xlfn.IFS(OR(F71="",LEFT(Methode_Keuze,4)="Geen",Methode_Keuze=""),"",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18" t="str">
        <f>IFERROR(VLOOKUP(F71,Tb_ProjectKosten[#All],11,0),"")</f>
        <v/>
      </c>
      <c r="U71" s="319"/>
    </row>
    <row r="72" spans="1:21" x14ac:dyDescent="0.25">
      <c r="A72" s="312">
        <f>MAX($A$5:A71)+1</f>
        <v>67</v>
      </c>
      <c r="B72" s="299"/>
      <c r="C72" s="299"/>
      <c r="D72" s="299"/>
      <c r="E72" s="299"/>
      <c r="F72" s="299"/>
      <c r="G72" s="331"/>
      <c r="H72" s="313" t="str">
        <f ca="1">IFERROR(IF(VLOOKUP(F72,Kostentypen!$A$3:$E$21,3,0)=0,"",IF(OR(F72="Arbeidskosten",F72="Vergoeding"),VLOOKUP(G72,Tb_KostenTypen[],2,0),VLOOKUP(F72,Kostentypen!$A$3:$E$20,3,0))),"")</f>
        <v/>
      </c>
      <c r="I72" s="314"/>
      <c r="J72" s="315"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15"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2"/>
      <c r="M72" s="362"/>
      <c r="N72" s="316"/>
      <c r="O72" s="316"/>
      <c r="P72" s="317"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17"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17" t="str" cm="1">
        <f t="array" aca="1" ref="R72" ca="1">IFERROR(_xlfn.IFS(OR(F72="",LEFT(Methode_Keuze,4)="Geen",Methode_Keuze=""),"",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17" t="str" cm="1">
        <f t="array" aca="1" ref="S72" ca="1">IFERROR(_xlfn.IFS(OR(F72="",LEFT(Methode_Keuze,4)="Geen",Methode_Keuze=""),"",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18" t="str">
        <f>IFERROR(VLOOKUP(F72,Tb_ProjectKosten[#All],11,0),"")</f>
        <v/>
      </c>
      <c r="U72" s="319"/>
    </row>
    <row r="73" spans="1:21" x14ac:dyDescent="0.25">
      <c r="A73" s="312">
        <f>MAX($A$5:A72)+1</f>
        <v>68</v>
      </c>
      <c r="B73" s="299"/>
      <c r="C73" s="299"/>
      <c r="D73" s="299"/>
      <c r="E73" s="299"/>
      <c r="F73" s="299"/>
      <c r="G73" s="331"/>
      <c r="H73" s="313" t="str">
        <f ca="1">IFERROR(IF(VLOOKUP(F73,Kostentypen!$A$3:$E$21,3,0)=0,"",IF(OR(F73="Arbeidskosten",F73="Vergoeding"),VLOOKUP(G73,Tb_KostenTypen[],2,0),VLOOKUP(F73,Kostentypen!$A$3:$E$20,3,0))),"")</f>
        <v/>
      </c>
      <c r="I73" s="314"/>
      <c r="J73" s="315"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15"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2"/>
      <c r="M73" s="362"/>
      <c r="N73" s="316"/>
      <c r="O73" s="316"/>
      <c r="P73" s="317"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17"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17" t="str" cm="1">
        <f t="array" aca="1" ref="R73" ca="1">IFERROR(_xlfn.IFS(OR(F73="",LEFT(Methode_Keuze,4)="Geen",Methode_Keuze=""),"",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17" t="str" cm="1">
        <f t="array" aca="1" ref="S73" ca="1">IFERROR(_xlfn.IFS(OR(F73="",LEFT(Methode_Keuze,4)="Geen",Methode_Keuze=""),"",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18" t="str">
        <f>IFERROR(VLOOKUP(F73,Tb_ProjectKosten[#All],11,0),"")</f>
        <v/>
      </c>
      <c r="U73" s="319"/>
    </row>
    <row r="74" spans="1:21" x14ac:dyDescent="0.25">
      <c r="A74" s="312">
        <f>MAX($A$5:A73)+1</f>
        <v>69</v>
      </c>
      <c r="B74" s="299"/>
      <c r="C74" s="299"/>
      <c r="D74" s="299"/>
      <c r="E74" s="299"/>
      <c r="F74" s="299"/>
      <c r="G74" s="331"/>
      <c r="H74" s="313" t="str">
        <f ca="1">IFERROR(IF(VLOOKUP(F74,Kostentypen!$A$3:$E$21,3,0)=0,"",IF(OR(F74="Arbeidskosten",F74="Vergoeding"),VLOOKUP(G74,Tb_KostenTypen[],2,0),VLOOKUP(F74,Kostentypen!$A$3:$E$20,3,0))),"")</f>
        <v/>
      </c>
      <c r="I74" s="314"/>
      <c r="J74" s="315"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15"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2"/>
      <c r="M74" s="362"/>
      <c r="N74" s="316"/>
      <c r="O74" s="316"/>
      <c r="P74" s="317"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17"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17" t="str" cm="1">
        <f t="array" aca="1" ref="R74" ca="1">IFERROR(_xlfn.IFS(OR(F74="",LEFT(Methode_Keuze,4)="Geen",Methode_Keuze=""),"",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17" t="str" cm="1">
        <f t="array" aca="1" ref="S74" ca="1">IFERROR(_xlfn.IFS(OR(F74="",LEFT(Methode_Keuze,4)="Geen",Methode_Keuze=""),"",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18" t="str">
        <f>IFERROR(VLOOKUP(F74,Tb_ProjectKosten[#All],11,0),"")</f>
        <v/>
      </c>
      <c r="U74" s="319"/>
    </row>
    <row r="75" spans="1:21" x14ac:dyDescent="0.25">
      <c r="A75" s="312">
        <f>MAX($A$5:A74)+1</f>
        <v>70</v>
      </c>
      <c r="B75" s="299"/>
      <c r="C75" s="299"/>
      <c r="D75" s="299"/>
      <c r="E75" s="299"/>
      <c r="F75" s="299"/>
      <c r="G75" s="331"/>
      <c r="H75" s="313" t="str">
        <f ca="1">IFERROR(IF(VLOOKUP(F75,Kostentypen!$A$3:$E$21,3,0)=0,"",IF(OR(F75="Arbeidskosten",F75="Vergoeding"),VLOOKUP(G75,Tb_KostenTypen[],2,0),VLOOKUP(F75,Kostentypen!$A$3:$E$20,3,0))),"")</f>
        <v/>
      </c>
      <c r="I75" s="314"/>
      <c r="J75" s="315"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15"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2"/>
      <c r="M75" s="362"/>
      <c r="N75" s="316"/>
      <c r="O75" s="316"/>
      <c r="P75" s="317"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17"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17" t="str" cm="1">
        <f t="array" aca="1" ref="R75" ca="1">IFERROR(_xlfn.IFS(OR(F75="",LEFT(Methode_Keuze,4)="Geen",Methode_Keuze=""),"",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17" t="str" cm="1">
        <f t="array" aca="1" ref="S75" ca="1">IFERROR(_xlfn.IFS(OR(F75="",LEFT(Methode_Keuze,4)="Geen",Methode_Keuze=""),"",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18" t="str">
        <f>IFERROR(VLOOKUP(F75,Tb_ProjectKosten[#All],11,0),"")</f>
        <v/>
      </c>
      <c r="U75" s="319"/>
    </row>
    <row r="76" spans="1:21" x14ac:dyDescent="0.25">
      <c r="A76" s="312">
        <f>MAX($A$5:A75)+1</f>
        <v>71</v>
      </c>
      <c r="B76" s="299"/>
      <c r="C76" s="299"/>
      <c r="D76" s="299"/>
      <c r="E76" s="299"/>
      <c r="F76" s="299"/>
      <c r="G76" s="331"/>
      <c r="H76" s="313" t="str">
        <f ca="1">IFERROR(IF(VLOOKUP(F76,Kostentypen!$A$3:$E$21,3,0)=0,"",IF(OR(F76="Arbeidskosten",F76="Vergoeding"),VLOOKUP(G76,Tb_KostenTypen[],2,0),VLOOKUP(F76,Kostentypen!$A$3:$E$20,3,0))),"")</f>
        <v/>
      </c>
      <c r="I76" s="314"/>
      <c r="J76" s="315"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15"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2"/>
      <c r="M76" s="362"/>
      <c r="N76" s="316"/>
      <c r="O76" s="316"/>
      <c r="P76" s="317"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17"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17" t="str" cm="1">
        <f t="array" aca="1" ref="R76" ca="1">IFERROR(_xlfn.IFS(OR(F76="",LEFT(Methode_Keuze,4)="Geen",Methode_Keuze=""),"",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17" t="str" cm="1">
        <f t="array" aca="1" ref="S76" ca="1">IFERROR(_xlfn.IFS(OR(F76="",LEFT(Methode_Keuze,4)="Geen",Methode_Keuze=""),"",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18" t="str">
        <f>IFERROR(VLOOKUP(F76,Tb_ProjectKosten[#All],11,0),"")</f>
        <v/>
      </c>
      <c r="U76" s="319"/>
    </row>
    <row r="77" spans="1:21" x14ac:dyDescent="0.25">
      <c r="A77" s="312">
        <f>MAX($A$5:A76)+1</f>
        <v>72</v>
      </c>
      <c r="B77" s="299"/>
      <c r="C77" s="299"/>
      <c r="D77" s="299"/>
      <c r="E77" s="299"/>
      <c r="F77" s="299"/>
      <c r="G77" s="331"/>
      <c r="H77" s="313" t="str">
        <f ca="1">IFERROR(IF(VLOOKUP(F77,Kostentypen!$A$3:$E$21,3,0)=0,"",IF(OR(F77="Arbeidskosten",F77="Vergoeding"),VLOOKUP(G77,Tb_KostenTypen[],2,0),VLOOKUP(F77,Kostentypen!$A$3:$E$20,3,0))),"")</f>
        <v/>
      </c>
      <c r="I77" s="314"/>
      <c r="J77" s="315"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15"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2"/>
      <c r="M77" s="362"/>
      <c r="N77" s="316"/>
      <c r="O77" s="316"/>
      <c r="P77" s="317"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17"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17" t="str" cm="1">
        <f t="array" aca="1" ref="R77" ca="1">IFERROR(_xlfn.IFS(OR(F77="",LEFT(Methode_Keuze,4)="Geen",Methode_Keuze=""),"",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17" t="str" cm="1">
        <f t="array" aca="1" ref="S77" ca="1">IFERROR(_xlfn.IFS(OR(F77="",LEFT(Methode_Keuze,4)="Geen",Methode_Keuze=""),"",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18" t="str">
        <f>IFERROR(VLOOKUP(F77,Tb_ProjectKosten[#All],11,0),"")</f>
        <v/>
      </c>
      <c r="U77" s="319"/>
    </row>
    <row r="78" spans="1:21" x14ac:dyDescent="0.25">
      <c r="A78" s="312">
        <f>MAX($A$5:A77)+1</f>
        <v>73</v>
      </c>
      <c r="B78" s="299"/>
      <c r="C78" s="299"/>
      <c r="D78" s="299"/>
      <c r="E78" s="299"/>
      <c r="F78" s="299"/>
      <c r="G78" s="331"/>
      <c r="H78" s="313" t="str">
        <f ca="1">IFERROR(IF(VLOOKUP(F78,Kostentypen!$A$3:$E$21,3,0)=0,"",IF(OR(F78="Arbeidskosten",F78="Vergoeding"),VLOOKUP(G78,Tb_KostenTypen[],2,0),VLOOKUP(F78,Kostentypen!$A$3:$E$20,3,0))),"")</f>
        <v/>
      </c>
      <c r="I78" s="314"/>
      <c r="J78" s="315"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15"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2"/>
      <c r="M78" s="362"/>
      <c r="N78" s="316"/>
      <c r="O78" s="316"/>
      <c r="P78" s="317"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17"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17" t="str" cm="1">
        <f t="array" aca="1" ref="R78" ca="1">IFERROR(_xlfn.IFS(OR(F78="",LEFT(Methode_Keuze,4)="Geen",Methode_Keuze=""),"",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17" t="str" cm="1">
        <f t="array" aca="1" ref="S78" ca="1">IFERROR(_xlfn.IFS(OR(F78="",LEFT(Methode_Keuze,4)="Geen",Methode_Keuze=""),"",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18" t="str">
        <f>IFERROR(VLOOKUP(F78,Tb_ProjectKosten[#All],11,0),"")</f>
        <v/>
      </c>
      <c r="U78" s="319"/>
    </row>
    <row r="79" spans="1:21" x14ac:dyDescent="0.25">
      <c r="A79" s="312">
        <f>MAX($A$5:A78)+1</f>
        <v>74</v>
      </c>
      <c r="B79" s="299"/>
      <c r="C79" s="299"/>
      <c r="D79" s="299"/>
      <c r="E79" s="299"/>
      <c r="F79" s="299"/>
      <c r="G79" s="331"/>
      <c r="H79" s="313" t="str">
        <f ca="1">IFERROR(IF(VLOOKUP(F79,Kostentypen!$A$3:$E$21,3,0)=0,"",IF(OR(F79="Arbeidskosten",F79="Vergoeding"),VLOOKUP(G79,Tb_KostenTypen[],2,0),VLOOKUP(F79,Kostentypen!$A$3:$E$20,3,0))),"")</f>
        <v/>
      </c>
      <c r="I79" s="314"/>
      <c r="J79" s="315"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15"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2"/>
      <c r="M79" s="362"/>
      <c r="N79" s="316"/>
      <c r="O79" s="316"/>
      <c r="P79" s="317"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17"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17" t="str" cm="1">
        <f t="array" aca="1" ref="R79" ca="1">IFERROR(_xlfn.IFS(OR(F79="",LEFT(Methode_Keuze,4)="Geen",Methode_Keuze=""),"",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17" t="str" cm="1">
        <f t="array" aca="1" ref="S79" ca="1">IFERROR(_xlfn.IFS(OR(F79="",LEFT(Methode_Keuze,4)="Geen",Methode_Keuze=""),"",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18" t="str">
        <f>IFERROR(VLOOKUP(F79,Tb_ProjectKosten[#All],11,0),"")</f>
        <v/>
      </c>
      <c r="U79" s="319"/>
    </row>
    <row r="80" spans="1:21" x14ac:dyDescent="0.25">
      <c r="A80" s="312">
        <f>MAX($A$5:A79)+1</f>
        <v>75</v>
      </c>
      <c r="B80" s="299"/>
      <c r="C80" s="299"/>
      <c r="D80" s="299"/>
      <c r="E80" s="299"/>
      <c r="F80" s="299"/>
      <c r="G80" s="331"/>
      <c r="H80" s="313" t="str">
        <f ca="1">IFERROR(IF(VLOOKUP(F80,Kostentypen!$A$3:$E$21,3,0)=0,"",IF(OR(F80="Arbeidskosten",F80="Vergoeding"),VLOOKUP(G80,Tb_KostenTypen[],2,0),VLOOKUP(F80,Kostentypen!$A$3:$E$20,3,0))),"")</f>
        <v/>
      </c>
      <c r="I80" s="314"/>
      <c r="J80" s="315"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15"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2"/>
      <c r="M80" s="362"/>
      <c r="N80" s="316"/>
      <c r="O80" s="316"/>
      <c r="P80" s="317"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17"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17" t="str" cm="1">
        <f t="array" aca="1" ref="R80" ca="1">IFERROR(_xlfn.IFS(OR(F80="",LEFT(Methode_Keuze,4)="Geen",Methode_Keuze=""),"",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17" t="str" cm="1">
        <f t="array" aca="1" ref="S80" ca="1">IFERROR(_xlfn.IFS(OR(F80="",LEFT(Methode_Keuze,4)="Geen",Methode_Keuze=""),"",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18" t="str">
        <f>IFERROR(VLOOKUP(F80,Tb_ProjectKosten[#All],11,0),"")</f>
        <v/>
      </c>
      <c r="U80" s="319"/>
    </row>
    <row r="81" spans="1:21" x14ac:dyDescent="0.25">
      <c r="A81" s="312">
        <f>MAX($A$5:A80)+1</f>
        <v>76</v>
      </c>
      <c r="B81" s="299"/>
      <c r="C81" s="299"/>
      <c r="D81" s="299"/>
      <c r="E81" s="299"/>
      <c r="F81" s="299"/>
      <c r="G81" s="331"/>
      <c r="H81" s="313" t="str">
        <f ca="1">IFERROR(IF(VLOOKUP(F81,Kostentypen!$A$3:$E$21,3,0)=0,"",IF(OR(F81="Arbeidskosten",F81="Vergoeding"),VLOOKUP(G81,Tb_KostenTypen[],2,0),VLOOKUP(F81,Kostentypen!$A$3:$E$20,3,0))),"")</f>
        <v/>
      </c>
      <c r="I81" s="314"/>
      <c r="J81" s="315"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15"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2"/>
      <c r="M81" s="362"/>
      <c r="N81" s="316"/>
      <c r="O81" s="316"/>
      <c r="P81" s="317"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17"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17" t="str" cm="1">
        <f t="array" aca="1" ref="R81" ca="1">IFERROR(_xlfn.IFS(OR(F81="",LEFT(Methode_Keuze,4)="Geen",Methode_Keuze=""),"",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17" t="str" cm="1">
        <f t="array" aca="1" ref="S81" ca="1">IFERROR(_xlfn.IFS(OR(F81="",LEFT(Methode_Keuze,4)="Geen",Methode_Keuze=""),"",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18" t="str">
        <f>IFERROR(VLOOKUP(F81,Tb_ProjectKosten[#All],11,0),"")</f>
        <v/>
      </c>
      <c r="U81" s="319"/>
    </row>
    <row r="82" spans="1:21" x14ac:dyDescent="0.25">
      <c r="A82" s="312">
        <f>MAX($A$5:A81)+1</f>
        <v>77</v>
      </c>
      <c r="B82" s="299"/>
      <c r="C82" s="299"/>
      <c r="D82" s="299"/>
      <c r="E82" s="299"/>
      <c r="F82" s="299"/>
      <c r="G82" s="331"/>
      <c r="H82" s="313" t="str">
        <f ca="1">IFERROR(IF(VLOOKUP(F82,Kostentypen!$A$3:$E$21,3,0)=0,"",IF(OR(F82="Arbeidskosten",F82="Vergoeding"),VLOOKUP(G82,Tb_KostenTypen[],2,0),VLOOKUP(F82,Kostentypen!$A$3:$E$20,3,0))),"")</f>
        <v/>
      </c>
      <c r="I82" s="314"/>
      <c r="J82" s="315"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15"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2"/>
      <c r="M82" s="362"/>
      <c r="N82" s="316"/>
      <c r="O82" s="316"/>
      <c r="P82" s="317"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17"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17" t="str" cm="1">
        <f t="array" aca="1" ref="R82" ca="1">IFERROR(_xlfn.IFS(OR(F82="",LEFT(Methode_Keuze,4)="Geen",Methode_Keuze=""),"",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17" t="str" cm="1">
        <f t="array" aca="1" ref="S82" ca="1">IFERROR(_xlfn.IFS(OR(F82="",LEFT(Methode_Keuze,4)="Geen",Methode_Keuze=""),"",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18" t="str">
        <f>IFERROR(VLOOKUP(F82,Tb_ProjectKosten[#All],11,0),"")</f>
        <v/>
      </c>
      <c r="U82" s="319"/>
    </row>
    <row r="83" spans="1:21" x14ac:dyDescent="0.25">
      <c r="A83" s="312">
        <f>MAX($A$5:A82)+1</f>
        <v>78</v>
      </c>
      <c r="B83" s="299"/>
      <c r="C83" s="299"/>
      <c r="D83" s="299"/>
      <c r="E83" s="299"/>
      <c r="F83" s="299"/>
      <c r="G83" s="331"/>
      <c r="H83" s="313" t="str">
        <f ca="1">IFERROR(IF(VLOOKUP(F83,Kostentypen!$A$3:$E$21,3,0)=0,"",IF(OR(F83="Arbeidskosten",F83="Vergoeding"),VLOOKUP(G83,Tb_KostenTypen[],2,0),VLOOKUP(F83,Kostentypen!$A$3:$E$20,3,0))),"")</f>
        <v/>
      </c>
      <c r="I83" s="314"/>
      <c r="J83" s="315"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15"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2"/>
      <c r="M83" s="362"/>
      <c r="N83" s="316"/>
      <c r="O83" s="316"/>
      <c r="P83" s="317"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17"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17" t="str" cm="1">
        <f t="array" aca="1" ref="R83" ca="1">IFERROR(_xlfn.IFS(OR(F83="",LEFT(Methode_Keuze,4)="Geen",Methode_Keuze=""),"",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17" t="str" cm="1">
        <f t="array" aca="1" ref="S83" ca="1">IFERROR(_xlfn.IFS(OR(F83="",LEFT(Methode_Keuze,4)="Geen",Methode_Keuze=""),"",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18" t="str">
        <f>IFERROR(VLOOKUP(F83,Tb_ProjectKosten[#All],11,0),"")</f>
        <v/>
      </c>
      <c r="U83" s="319"/>
    </row>
    <row r="84" spans="1:21" x14ac:dyDescent="0.25">
      <c r="A84" s="312">
        <f>MAX($A$5:A83)+1</f>
        <v>79</v>
      </c>
      <c r="B84" s="299"/>
      <c r="C84" s="299"/>
      <c r="D84" s="299"/>
      <c r="E84" s="299"/>
      <c r="F84" s="299"/>
      <c r="G84" s="331"/>
      <c r="H84" s="313" t="str">
        <f ca="1">IFERROR(IF(VLOOKUP(F84,Kostentypen!$A$3:$E$21,3,0)=0,"",IF(OR(F84="Arbeidskosten",F84="Vergoeding"),VLOOKUP(G84,Tb_KostenTypen[],2,0),VLOOKUP(F84,Kostentypen!$A$3:$E$20,3,0))),"")</f>
        <v/>
      </c>
      <c r="I84" s="314"/>
      <c r="J84" s="315"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15"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2"/>
      <c r="M84" s="362"/>
      <c r="N84" s="316"/>
      <c r="O84" s="316"/>
      <c r="P84" s="317"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17"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17" t="str" cm="1">
        <f t="array" aca="1" ref="R84" ca="1">IFERROR(_xlfn.IFS(OR(F84="",LEFT(Methode_Keuze,4)="Geen",Methode_Keuze=""),"",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17" t="str" cm="1">
        <f t="array" aca="1" ref="S84" ca="1">IFERROR(_xlfn.IFS(OR(F84="",LEFT(Methode_Keuze,4)="Geen",Methode_Keuze=""),"",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18" t="str">
        <f>IFERROR(VLOOKUP(F84,Tb_ProjectKosten[#All],11,0),"")</f>
        <v/>
      </c>
      <c r="U84" s="319"/>
    </row>
    <row r="85" spans="1:21" x14ac:dyDescent="0.25">
      <c r="A85" s="312">
        <f>MAX($A$5:A84)+1</f>
        <v>80</v>
      </c>
      <c r="B85" s="299"/>
      <c r="C85" s="299"/>
      <c r="D85" s="299"/>
      <c r="E85" s="299"/>
      <c r="F85" s="299"/>
      <c r="G85" s="331"/>
      <c r="H85" s="313" t="str">
        <f ca="1">IFERROR(IF(VLOOKUP(F85,Kostentypen!$A$3:$E$21,3,0)=0,"",IF(OR(F85="Arbeidskosten",F85="Vergoeding"),VLOOKUP(G85,Tb_KostenTypen[],2,0),VLOOKUP(F85,Kostentypen!$A$3:$E$20,3,0))),"")</f>
        <v/>
      </c>
      <c r="I85" s="314"/>
      <c r="J85" s="315"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15"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2"/>
      <c r="M85" s="362"/>
      <c r="N85" s="316"/>
      <c r="O85" s="316"/>
      <c r="P85" s="317"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17"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17" t="str" cm="1">
        <f t="array" aca="1" ref="R85" ca="1">IFERROR(_xlfn.IFS(OR(F85="",LEFT(Methode_Keuze,4)="Geen",Methode_Keuze=""),"",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17" t="str" cm="1">
        <f t="array" aca="1" ref="S85" ca="1">IFERROR(_xlfn.IFS(OR(F85="",LEFT(Methode_Keuze,4)="Geen",Methode_Keuze=""),"",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18" t="str">
        <f>IFERROR(VLOOKUP(F85,Tb_ProjectKosten[#All],11,0),"")</f>
        <v/>
      </c>
      <c r="U85" s="319"/>
    </row>
    <row r="86" spans="1:21" x14ac:dyDescent="0.25">
      <c r="A86" s="312">
        <f>MAX($A$5:A85)+1</f>
        <v>81</v>
      </c>
      <c r="B86" s="299"/>
      <c r="C86" s="299"/>
      <c r="D86" s="299"/>
      <c r="E86" s="299"/>
      <c r="F86" s="299"/>
      <c r="G86" s="331"/>
      <c r="H86" s="313" t="str">
        <f ca="1">IFERROR(IF(VLOOKUP(F86,Kostentypen!$A$3:$E$21,3,0)=0,"",IF(OR(F86="Arbeidskosten",F86="Vergoeding"),VLOOKUP(G86,Tb_KostenTypen[],2,0),VLOOKUP(F86,Kostentypen!$A$3:$E$20,3,0))),"")</f>
        <v/>
      </c>
      <c r="I86" s="314"/>
      <c r="J86" s="315"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15"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2"/>
      <c r="M86" s="362"/>
      <c r="N86" s="316"/>
      <c r="O86" s="316"/>
      <c r="P86" s="317"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17"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17" t="str" cm="1">
        <f t="array" aca="1" ref="R86" ca="1">IFERROR(_xlfn.IFS(OR(F86="",LEFT(Methode_Keuze,4)="Geen",Methode_Keuze=""),"",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17" t="str" cm="1">
        <f t="array" aca="1" ref="S86" ca="1">IFERROR(_xlfn.IFS(OR(F86="",LEFT(Methode_Keuze,4)="Geen",Methode_Keuze=""),"",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18" t="str">
        <f>IFERROR(VLOOKUP(F86,Tb_ProjectKosten[#All],11,0),"")</f>
        <v/>
      </c>
      <c r="U86" s="319"/>
    </row>
    <row r="87" spans="1:21" x14ac:dyDescent="0.25">
      <c r="A87" s="312">
        <f>MAX($A$5:A86)+1</f>
        <v>82</v>
      </c>
      <c r="B87" s="299"/>
      <c r="C87" s="299"/>
      <c r="D87" s="299"/>
      <c r="E87" s="299"/>
      <c r="F87" s="299"/>
      <c r="G87" s="331"/>
      <c r="H87" s="313" t="str">
        <f ca="1">IFERROR(IF(VLOOKUP(F87,Kostentypen!$A$3:$E$21,3,0)=0,"",IF(OR(F87="Arbeidskosten",F87="Vergoeding"),VLOOKUP(G87,Tb_KostenTypen[],2,0),VLOOKUP(F87,Kostentypen!$A$3:$E$20,3,0))),"")</f>
        <v/>
      </c>
      <c r="I87" s="314"/>
      <c r="J87" s="315"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15"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2"/>
      <c r="M87" s="362"/>
      <c r="N87" s="316"/>
      <c r="O87" s="316"/>
      <c r="P87" s="317"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17"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17" t="str" cm="1">
        <f t="array" aca="1" ref="R87" ca="1">IFERROR(_xlfn.IFS(OR(F87="",LEFT(Methode_Keuze,4)="Geen",Methode_Keuze=""),"",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17" t="str" cm="1">
        <f t="array" aca="1" ref="S87" ca="1">IFERROR(_xlfn.IFS(OR(F87="",LEFT(Methode_Keuze,4)="Geen",Methode_Keuze=""),"",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18" t="str">
        <f>IFERROR(VLOOKUP(F87,Tb_ProjectKosten[#All],11,0),"")</f>
        <v/>
      </c>
      <c r="U87" s="319"/>
    </row>
    <row r="88" spans="1:21" x14ac:dyDescent="0.25">
      <c r="A88" s="312">
        <f>MAX($A$5:A87)+1</f>
        <v>83</v>
      </c>
      <c r="B88" s="299"/>
      <c r="C88" s="299"/>
      <c r="D88" s="299"/>
      <c r="E88" s="299"/>
      <c r="F88" s="299"/>
      <c r="G88" s="331"/>
      <c r="H88" s="313" t="str">
        <f ca="1">IFERROR(IF(VLOOKUP(F88,Kostentypen!$A$3:$E$21,3,0)=0,"",IF(OR(F88="Arbeidskosten",F88="Vergoeding"),VLOOKUP(G88,Tb_KostenTypen[],2,0),VLOOKUP(F88,Kostentypen!$A$3:$E$20,3,0))),"")</f>
        <v/>
      </c>
      <c r="I88" s="314"/>
      <c r="J88" s="315"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15"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2"/>
      <c r="M88" s="362"/>
      <c r="N88" s="316"/>
      <c r="O88" s="316"/>
      <c r="P88" s="317"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17"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17" t="str" cm="1">
        <f t="array" aca="1" ref="R88" ca="1">IFERROR(_xlfn.IFS(OR(F88="",LEFT(Methode_Keuze,4)="Geen",Methode_Keuze=""),"",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17" t="str" cm="1">
        <f t="array" aca="1" ref="S88" ca="1">IFERROR(_xlfn.IFS(OR(F88="",LEFT(Methode_Keuze,4)="Geen",Methode_Keuze=""),"",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18" t="str">
        <f>IFERROR(VLOOKUP(F88,Tb_ProjectKosten[#All],11,0),"")</f>
        <v/>
      </c>
      <c r="U88" s="319"/>
    </row>
    <row r="89" spans="1:21" x14ac:dyDescent="0.25">
      <c r="A89" s="312">
        <f>MAX($A$5:A88)+1</f>
        <v>84</v>
      </c>
      <c r="B89" s="299"/>
      <c r="C89" s="299"/>
      <c r="D89" s="299"/>
      <c r="E89" s="299"/>
      <c r="F89" s="299"/>
      <c r="G89" s="331"/>
      <c r="H89" s="313" t="str">
        <f ca="1">IFERROR(IF(VLOOKUP(F89,Kostentypen!$A$3:$E$21,3,0)=0,"",IF(OR(F89="Arbeidskosten",F89="Vergoeding"),VLOOKUP(G89,Tb_KostenTypen[],2,0),VLOOKUP(F89,Kostentypen!$A$3:$E$20,3,0))),"")</f>
        <v/>
      </c>
      <c r="I89" s="314"/>
      <c r="J89" s="315"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15"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2"/>
      <c r="M89" s="362"/>
      <c r="N89" s="316"/>
      <c r="O89" s="316"/>
      <c r="P89" s="317"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17"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17" t="str" cm="1">
        <f t="array" aca="1" ref="R89" ca="1">IFERROR(_xlfn.IFS(OR(F89="",LEFT(Methode_Keuze,4)="Geen",Methode_Keuze=""),"",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17" t="str" cm="1">
        <f t="array" aca="1" ref="S89" ca="1">IFERROR(_xlfn.IFS(OR(F89="",LEFT(Methode_Keuze,4)="Geen",Methode_Keuze=""),"",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18" t="str">
        <f>IFERROR(VLOOKUP(F89,Tb_ProjectKosten[#All],11,0),"")</f>
        <v/>
      </c>
      <c r="U89" s="319"/>
    </row>
    <row r="90" spans="1:21" x14ac:dyDescent="0.25">
      <c r="A90" s="312">
        <f>MAX($A$5:A89)+1</f>
        <v>85</v>
      </c>
      <c r="B90" s="299"/>
      <c r="C90" s="299"/>
      <c r="D90" s="299"/>
      <c r="E90" s="299"/>
      <c r="F90" s="299"/>
      <c r="G90" s="331"/>
      <c r="H90" s="313" t="str">
        <f ca="1">IFERROR(IF(VLOOKUP(F90,Kostentypen!$A$3:$E$21,3,0)=0,"",IF(OR(F90="Arbeidskosten",F90="Vergoeding"),VLOOKUP(G90,Tb_KostenTypen[],2,0),VLOOKUP(F90,Kostentypen!$A$3:$E$20,3,0))),"")</f>
        <v/>
      </c>
      <c r="I90" s="314"/>
      <c r="J90" s="315"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15"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2"/>
      <c r="M90" s="362"/>
      <c r="N90" s="316"/>
      <c r="O90" s="316"/>
      <c r="P90" s="317"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17"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17" t="str" cm="1">
        <f t="array" aca="1" ref="R90" ca="1">IFERROR(_xlfn.IFS(OR(F90="",LEFT(Methode_Keuze,4)="Geen",Methode_Keuze=""),"",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17" t="str" cm="1">
        <f t="array" aca="1" ref="S90" ca="1">IFERROR(_xlfn.IFS(OR(F90="",LEFT(Methode_Keuze,4)="Geen",Methode_Keuze=""),"",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18" t="str">
        <f>IFERROR(VLOOKUP(F90,Tb_ProjectKosten[#All],11,0),"")</f>
        <v/>
      </c>
      <c r="U90" s="319"/>
    </row>
    <row r="91" spans="1:21" x14ac:dyDescent="0.25">
      <c r="A91" s="312">
        <f>MAX($A$5:A90)+1</f>
        <v>86</v>
      </c>
      <c r="B91" s="299"/>
      <c r="C91" s="299"/>
      <c r="D91" s="299"/>
      <c r="E91" s="299"/>
      <c r="F91" s="299"/>
      <c r="G91" s="331"/>
      <c r="H91" s="313" t="str">
        <f ca="1">IFERROR(IF(VLOOKUP(F91,Kostentypen!$A$3:$E$21,3,0)=0,"",IF(OR(F91="Arbeidskosten",F91="Vergoeding"),VLOOKUP(G91,Tb_KostenTypen[],2,0),VLOOKUP(F91,Kostentypen!$A$3:$E$20,3,0))),"")</f>
        <v/>
      </c>
      <c r="I91" s="314"/>
      <c r="J91" s="315"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15"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2"/>
      <c r="M91" s="362"/>
      <c r="N91" s="316"/>
      <c r="O91" s="316"/>
      <c r="P91" s="317"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17"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17" t="str" cm="1">
        <f t="array" aca="1" ref="R91" ca="1">IFERROR(_xlfn.IFS(OR(F91="",LEFT(Methode_Keuze,4)="Geen",Methode_Keuze=""),"",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17" t="str" cm="1">
        <f t="array" aca="1" ref="S91" ca="1">IFERROR(_xlfn.IFS(OR(F91="",LEFT(Methode_Keuze,4)="Geen",Methode_Keuze=""),"",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18" t="str">
        <f>IFERROR(VLOOKUP(F91,Tb_ProjectKosten[#All],11,0),"")</f>
        <v/>
      </c>
      <c r="U91" s="319"/>
    </row>
    <row r="92" spans="1:21" x14ac:dyDescent="0.25">
      <c r="A92" s="312">
        <f>MAX($A$5:A91)+1</f>
        <v>87</v>
      </c>
      <c r="B92" s="299"/>
      <c r="C92" s="299"/>
      <c r="D92" s="299"/>
      <c r="E92" s="299"/>
      <c r="F92" s="299"/>
      <c r="G92" s="331"/>
      <c r="H92" s="313" t="str">
        <f ca="1">IFERROR(IF(VLOOKUP(F92,Kostentypen!$A$3:$E$21,3,0)=0,"",IF(OR(F92="Arbeidskosten",F92="Vergoeding"),VLOOKUP(G92,Tb_KostenTypen[],2,0),VLOOKUP(F92,Kostentypen!$A$3:$E$20,3,0))),"")</f>
        <v/>
      </c>
      <c r="I92" s="314"/>
      <c r="J92" s="315"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15"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2"/>
      <c r="M92" s="362"/>
      <c r="N92" s="316"/>
      <c r="O92" s="316"/>
      <c r="P92" s="317"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17"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17" t="str" cm="1">
        <f t="array" aca="1" ref="R92" ca="1">IFERROR(_xlfn.IFS(OR(F92="",LEFT(Methode_Keuze,4)="Geen",Methode_Keuze=""),"",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17" t="str" cm="1">
        <f t="array" aca="1" ref="S92" ca="1">IFERROR(_xlfn.IFS(OR(F92="",LEFT(Methode_Keuze,4)="Geen",Methode_Keuze=""),"",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18" t="str">
        <f>IFERROR(VLOOKUP(F92,Tb_ProjectKosten[#All],11,0),"")</f>
        <v/>
      </c>
      <c r="U92" s="319"/>
    </row>
    <row r="93" spans="1:21" x14ac:dyDescent="0.25">
      <c r="A93" s="312">
        <f>MAX($A$5:A92)+1</f>
        <v>88</v>
      </c>
      <c r="B93" s="299"/>
      <c r="C93" s="299"/>
      <c r="D93" s="299"/>
      <c r="E93" s="299"/>
      <c r="F93" s="299"/>
      <c r="G93" s="331"/>
      <c r="H93" s="313" t="str">
        <f ca="1">IFERROR(IF(VLOOKUP(F93,Kostentypen!$A$3:$E$21,3,0)=0,"",IF(OR(F93="Arbeidskosten",F93="Vergoeding"),VLOOKUP(G93,Tb_KostenTypen[],2,0),VLOOKUP(F93,Kostentypen!$A$3:$E$20,3,0))),"")</f>
        <v/>
      </c>
      <c r="I93" s="314"/>
      <c r="J93" s="315"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15"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2"/>
      <c r="M93" s="362"/>
      <c r="N93" s="316"/>
      <c r="O93" s="316"/>
      <c r="P93" s="317"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17"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17" t="str" cm="1">
        <f t="array" aca="1" ref="R93" ca="1">IFERROR(_xlfn.IFS(OR(F93="",LEFT(Methode_Keuze,4)="Geen",Methode_Keuze=""),"",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17" t="str" cm="1">
        <f t="array" aca="1" ref="S93" ca="1">IFERROR(_xlfn.IFS(OR(F93="",LEFT(Methode_Keuze,4)="Geen",Methode_Keuze=""),"",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18" t="str">
        <f>IFERROR(VLOOKUP(F93,Tb_ProjectKosten[#All],11,0),"")</f>
        <v/>
      </c>
      <c r="U93" s="319"/>
    </row>
    <row r="94" spans="1:21" x14ac:dyDescent="0.25">
      <c r="A94" s="312">
        <f>MAX($A$5:A93)+1</f>
        <v>89</v>
      </c>
      <c r="B94" s="299"/>
      <c r="C94" s="299"/>
      <c r="D94" s="299"/>
      <c r="E94" s="299"/>
      <c r="F94" s="299"/>
      <c r="G94" s="331"/>
      <c r="H94" s="313" t="str">
        <f ca="1">IFERROR(IF(VLOOKUP(F94,Kostentypen!$A$3:$E$21,3,0)=0,"",IF(OR(F94="Arbeidskosten",F94="Vergoeding"),VLOOKUP(G94,Tb_KostenTypen[],2,0),VLOOKUP(F94,Kostentypen!$A$3:$E$20,3,0))),"")</f>
        <v/>
      </c>
      <c r="I94" s="314"/>
      <c r="J94" s="315"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15"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2"/>
      <c r="M94" s="362"/>
      <c r="N94" s="316"/>
      <c r="O94" s="316"/>
      <c r="P94" s="317"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17"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17" t="str" cm="1">
        <f t="array" aca="1" ref="R94" ca="1">IFERROR(_xlfn.IFS(OR(F94="",LEFT(Methode_Keuze,4)="Geen",Methode_Keuze=""),"",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17" t="str" cm="1">
        <f t="array" aca="1" ref="S94" ca="1">IFERROR(_xlfn.IFS(OR(F94="",LEFT(Methode_Keuze,4)="Geen",Methode_Keuze=""),"",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18" t="str">
        <f>IFERROR(VLOOKUP(F94,Tb_ProjectKosten[#All],11,0),"")</f>
        <v/>
      </c>
      <c r="U94" s="319"/>
    </row>
    <row r="95" spans="1:21" x14ac:dyDescent="0.25">
      <c r="A95" s="312">
        <f>MAX($A$5:A94)+1</f>
        <v>90</v>
      </c>
      <c r="B95" s="299"/>
      <c r="C95" s="299"/>
      <c r="D95" s="299"/>
      <c r="E95" s="299"/>
      <c r="F95" s="299"/>
      <c r="G95" s="331"/>
      <c r="H95" s="313" t="str">
        <f ca="1">IFERROR(IF(VLOOKUP(F95,Kostentypen!$A$3:$E$21,3,0)=0,"",IF(OR(F95="Arbeidskosten",F95="Vergoeding"),VLOOKUP(G95,Tb_KostenTypen[],2,0),VLOOKUP(F95,Kostentypen!$A$3:$E$20,3,0))),"")</f>
        <v/>
      </c>
      <c r="I95" s="314"/>
      <c r="J95" s="315"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15"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2"/>
      <c r="M95" s="362"/>
      <c r="N95" s="316"/>
      <c r="O95" s="316"/>
      <c r="P95" s="317"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17"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17" t="str" cm="1">
        <f t="array" aca="1" ref="R95" ca="1">IFERROR(_xlfn.IFS(OR(F95="",LEFT(Methode_Keuze,4)="Geen",Methode_Keuze=""),"",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17" t="str" cm="1">
        <f t="array" aca="1" ref="S95" ca="1">IFERROR(_xlfn.IFS(OR(F95="",LEFT(Methode_Keuze,4)="Geen",Methode_Keuze=""),"",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18" t="str">
        <f>IFERROR(VLOOKUP(F95,Tb_ProjectKosten[#All],11,0),"")</f>
        <v/>
      </c>
      <c r="U95" s="319"/>
    </row>
    <row r="96" spans="1:21" x14ac:dyDescent="0.25">
      <c r="A96" s="312">
        <f>MAX($A$5:A95)+1</f>
        <v>91</v>
      </c>
      <c r="B96" s="299"/>
      <c r="C96" s="299"/>
      <c r="D96" s="299"/>
      <c r="E96" s="299"/>
      <c r="F96" s="299"/>
      <c r="G96" s="331"/>
      <c r="H96" s="313" t="str">
        <f ca="1">IFERROR(IF(VLOOKUP(F96,Kostentypen!$A$3:$E$21,3,0)=0,"",IF(OR(F96="Arbeidskosten",F96="Vergoeding"),VLOOKUP(G96,Tb_KostenTypen[],2,0),VLOOKUP(F96,Kostentypen!$A$3:$E$20,3,0))),"")</f>
        <v/>
      </c>
      <c r="I96" s="314"/>
      <c r="J96" s="315"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15"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2"/>
      <c r="M96" s="362"/>
      <c r="N96" s="316"/>
      <c r="O96" s="316"/>
      <c r="P96" s="317"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17"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17" t="str" cm="1">
        <f t="array" aca="1" ref="R96" ca="1">IFERROR(_xlfn.IFS(OR(F96="",LEFT(Methode_Keuze,4)="Geen",Methode_Keuze=""),"",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17" t="str" cm="1">
        <f t="array" aca="1" ref="S96" ca="1">IFERROR(_xlfn.IFS(OR(F96="",LEFT(Methode_Keuze,4)="Geen",Methode_Keuze=""),"",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18" t="str">
        <f>IFERROR(VLOOKUP(F96,Tb_ProjectKosten[#All],11,0),"")</f>
        <v/>
      </c>
      <c r="U96" s="319"/>
    </row>
    <row r="97" spans="1:21" x14ac:dyDescent="0.25">
      <c r="A97" s="312">
        <f>MAX($A$5:A96)+1</f>
        <v>92</v>
      </c>
      <c r="B97" s="299"/>
      <c r="C97" s="299"/>
      <c r="D97" s="299"/>
      <c r="E97" s="299"/>
      <c r="F97" s="299"/>
      <c r="G97" s="331"/>
      <c r="H97" s="313" t="str">
        <f ca="1">IFERROR(IF(VLOOKUP(F97,Kostentypen!$A$3:$E$21,3,0)=0,"",IF(OR(F97="Arbeidskosten",F97="Vergoeding"),VLOOKUP(G97,Tb_KostenTypen[],2,0),VLOOKUP(F97,Kostentypen!$A$3:$E$20,3,0))),"")</f>
        <v/>
      </c>
      <c r="I97" s="314"/>
      <c r="J97" s="315"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15"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2"/>
      <c r="M97" s="362"/>
      <c r="N97" s="316"/>
      <c r="O97" s="316"/>
      <c r="P97" s="317"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17"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17" t="str" cm="1">
        <f t="array" aca="1" ref="R97" ca="1">IFERROR(_xlfn.IFS(OR(F97="",LEFT(Methode_Keuze,4)="Geen",Methode_Keuze=""),"",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17" t="str" cm="1">
        <f t="array" aca="1" ref="S97" ca="1">IFERROR(_xlfn.IFS(OR(F97="",LEFT(Methode_Keuze,4)="Geen",Methode_Keuze=""),"",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18" t="str">
        <f>IFERROR(VLOOKUP(F97,Tb_ProjectKosten[#All],11,0),"")</f>
        <v/>
      </c>
      <c r="U97" s="319"/>
    </row>
    <row r="98" spans="1:21" x14ac:dyDescent="0.25">
      <c r="A98" s="312">
        <f>MAX($A$5:A97)+1</f>
        <v>93</v>
      </c>
      <c r="B98" s="299"/>
      <c r="C98" s="299"/>
      <c r="D98" s="299"/>
      <c r="E98" s="299"/>
      <c r="F98" s="299"/>
      <c r="G98" s="331"/>
      <c r="H98" s="313" t="str">
        <f ca="1">IFERROR(IF(VLOOKUP(F98,Kostentypen!$A$3:$E$21,3,0)=0,"",IF(OR(F98="Arbeidskosten",F98="Vergoeding"),VLOOKUP(G98,Tb_KostenTypen[],2,0),VLOOKUP(F98,Kostentypen!$A$3:$E$20,3,0))),"")</f>
        <v/>
      </c>
      <c r="I98" s="314"/>
      <c r="J98" s="315"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15"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2"/>
      <c r="M98" s="362"/>
      <c r="N98" s="316"/>
      <c r="O98" s="316"/>
      <c r="P98" s="317"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17"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17" t="str" cm="1">
        <f t="array" aca="1" ref="R98" ca="1">IFERROR(_xlfn.IFS(OR(F98="",LEFT(Methode_Keuze,4)="Geen",Methode_Keuze=""),"",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17" t="str" cm="1">
        <f t="array" aca="1" ref="S98" ca="1">IFERROR(_xlfn.IFS(OR(F98="",LEFT(Methode_Keuze,4)="Geen",Methode_Keuze=""),"",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18" t="str">
        <f>IFERROR(VLOOKUP(F98,Tb_ProjectKosten[#All],11,0),"")</f>
        <v/>
      </c>
      <c r="U98" s="319"/>
    </row>
    <row r="99" spans="1:21" x14ac:dyDescent="0.25">
      <c r="A99" s="312">
        <f>MAX($A$5:A98)+1</f>
        <v>94</v>
      </c>
      <c r="B99" s="299"/>
      <c r="C99" s="299"/>
      <c r="D99" s="299"/>
      <c r="E99" s="299"/>
      <c r="F99" s="299"/>
      <c r="G99" s="331"/>
      <c r="H99" s="313" t="str">
        <f ca="1">IFERROR(IF(VLOOKUP(F99,Kostentypen!$A$3:$E$21,3,0)=0,"",IF(OR(F99="Arbeidskosten",F99="Vergoeding"),VLOOKUP(G99,Tb_KostenTypen[],2,0),VLOOKUP(F99,Kostentypen!$A$3:$E$20,3,0))),"")</f>
        <v/>
      </c>
      <c r="I99" s="314"/>
      <c r="J99" s="315"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15"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2"/>
      <c r="M99" s="362"/>
      <c r="N99" s="316"/>
      <c r="O99" s="316"/>
      <c r="P99" s="317"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17"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17" t="str" cm="1">
        <f t="array" aca="1" ref="R99" ca="1">IFERROR(_xlfn.IFS(OR(F99="",LEFT(Methode_Keuze,4)="Geen",Methode_Keuze=""),"",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17" t="str" cm="1">
        <f t="array" aca="1" ref="S99" ca="1">IFERROR(_xlfn.IFS(OR(F99="",LEFT(Methode_Keuze,4)="Geen",Methode_Keuze=""),"",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18" t="str">
        <f>IFERROR(VLOOKUP(F99,Tb_ProjectKosten[#All],11,0),"")</f>
        <v/>
      </c>
      <c r="U99" s="319"/>
    </row>
    <row r="100" spans="1:21" x14ac:dyDescent="0.25">
      <c r="A100" s="312">
        <f>MAX($A$5:A99)+1</f>
        <v>95</v>
      </c>
      <c r="B100" s="299"/>
      <c r="C100" s="299"/>
      <c r="D100" s="299"/>
      <c r="E100" s="299"/>
      <c r="F100" s="299"/>
      <c r="G100" s="331"/>
      <c r="H100" s="313" t="str">
        <f ca="1">IFERROR(IF(VLOOKUP(F100,Kostentypen!$A$3:$E$21,3,0)=0,"",IF(OR(F100="Arbeidskosten",F100="Vergoeding"),VLOOKUP(G100,Tb_KostenTypen[],2,0),VLOOKUP(F100,Kostentypen!$A$3:$E$20,3,0))),"")</f>
        <v/>
      </c>
      <c r="I100" s="314"/>
      <c r="J100" s="315"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15"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2"/>
      <c r="M100" s="362"/>
      <c r="N100" s="316"/>
      <c r="O100" s="316"/>
      <c r="P100" s="317"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17"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17" t="str" cm="1">
        <f t="array" aca="1" ref="R100" ca="1">IFERROR(_xlfn.IFS(OR(F100="",LEFT(Methode_Keuze,4)="Geen",Methode_Keuze=""),"",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17" t="str" cm="1">
        <f t="array" aca="1" ref="S100" ca="1">IFERROR(_xlfn.IFS(OR(F100="",LEFT(Methode_Keuze,4)="Geen",Methode_Keuze=""),"",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18" t="str">
        <f>IFERROR(VLOOKUP(F100,Tb_ProjectKosten[#All],11,0),"")</f>
        <v/>
      </c>
      <c r="U100" s="319"/>
    </row>
    <row r="101" spans="1:21" x14ac:dyDescent="0.25">
      <c r="A101" s="312">
        <f>MAX($A$5:A100)+1</f>
        <v>96</v>
      </c>
      <c r="B101" s="299"/>
      <c r="C101" s="299"/>
      <c r="D101" s="299"/>
      <c r="E101" s="299"/>
      <c r="F101" s="299"/>
      <c r="G101" s="331"/>
      <c r="H101" s="313" t="str">
        <f ca="1">IFERROR(IF(VLOOKUP(F101,Kostentypen!$A$3:$E$21,3,0)=0,"",IF(OR(F101="Arbeidskosten",F101="Vergoeding"),VLOOKUP(G101,Tb_KostenTypen[],2,0),VLOOKUP(F101,Kostentypen!$A$3:$E$20,3,0))),"")</f>
        <v/>
      </c>
      <c r="I101" s="314"/>
      <c r="J101" s="315"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15"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2"/>
      <c r="M101" s="362"/>
      <c r="N101" s="316"/>
      <c r="O101" s="316"/>
      <c r="P101" s="317"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17"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17" t="str" cm="1">
        <f t="array" aca="1" ref="R101" ca="1">IFERROR(_xlfn.IFS(OR(F101="",LEFT(Methode_Keuze,4)="Geen",Methode_Keuze=""),"",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17" t="str" cm="1">
        <f t="array" aca="1" ref="S101" ca="1">IFERROR(_xlfn.IFS(OR(F101="",LEFT(Methode_Keuze,4)="Geen",Methode_Keuze=""),"",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18" t="str">
        <f>IFERROR(VLOOKUP(F101,Tb_ProjectKosten[#All],11,0),"")</f>
        <v/>
      </c>
      <c r="U101" s="319"/>
    </row>
    <row r="102" spans="1:21" x14ac:dyDescent="0.25">
      <c r="A102" s="312">
        <f>MAX($A$5:A101)+1</f>
        <v>97</v>
      </c>
      <c r="B102" s="299"/>
      <c r="C102" s="299"/>
      <c r="D102" s="299"/>
      <c r="E102" s="299"/>
      <c r="F102" s="299"/>
      <c r="G102" s="331"/>
      <c r="H102" s="313" t="str">
        <f ca="1">IFERROR(IF(VLOOKUP(F102,Kostentypen!$A$3:$E$21,3,0)=0,"",IF(OR(F102="Arbeidskosten",F102="Vergoeding"),VLOOKUP(G102,Tb_KostenTypen[],2,0),VLOOKUP(F102,Kostentypen!$A$3:$E$20,3,0))),"")</f>
        <v/>
      </c>
      <c r="I102" s="314"/>
      <c r="J102" s="315"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15"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2"/>
      <c r="M102" s="362"/>
      <c r="N102" s="316"/>
      <c r="O102" s="316"/>
      <c r="P102" s="317"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17"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17" t="str" cm="1">
        <f t="array" aca="1" ref="R102" ca="1">IFERROR(_xlfn.IFS(OR(F102="",LEFT(Methode_Keuze,4)="Geen",Methode_Keuze=""),"",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17" t="str" cm="1">
        <f t="array" aca="1" ref="S102" ca="1">IFERROR(_xlfn.IFS(OR(F102="",LEFT(Methode_Keuze,4)="Geen",Methode_Keuze=""),"",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18" t="str">
        <f>IFERROR(VLOOKUP(F102,Tb_ProjectKosten[#All],11,0),"")</f>
        <v/>
      </c>
      <c r="U102" s="319"/>
    </row>
    <row r="103" spans="1:21" x14ac:dyDescent="0.25">
      <c r="A103" s="312">
        <f>MAX($A$5:A102)+1</f>
        <v>98</v>
      </c>
      <c r="B103" s="299"/>
      <c r="C103" s="299"/>
      <c r="D103" s="299"/>
      <c r="E103" s="299"/>
      <c r="F103" s="299"/>
      <c r="G103" s="331"/>
      <c r="H103" s="313" t="str">
        <f ca="1">IFERROR(IF(VLOOKUP(F103,Kostentypen!$A$3:$E$21,3,0)=0,"",IF(OR(F103="Arbeidskosten",F103="Vergoeding"),VLOOKUP(G103,Tb_KostenTypen[],2,0),VLOOKUP(F103,Kostentypen!$A$3:$E$20,3,0))),"")</f>
        <v/>
      </c>
      <c r="I103" s="314"/>
      <c r="J103" s="315"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15"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2"/>
      <c r="M103" s="362"/>
      <c r="N103" s="316"/>
      <c r="O103" s="316"/>
      <c r="P103" s="317"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17"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17" t="str" cm="1">
        <f t="array" aca="1" ref="R103" ca="1">IFERROR(_xlfn.IFS(OR(F103="",LEFT(Methode_Keuze,4)="Geen",Methode_Keuze=""),"",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17" t="str" cm="1">
        <f t="array" aca="1" ref="S103" ca="1">IFERROR(_xlfn.IFS(OR(F103="",LEFT(Methode_Keuze,4)="Geen",Methode_Keuze=""),"",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18" t="str">
        <f>IFERROR(VLOOKUP(F103,Tb_ProjectKosten[#All],11,0),"")</f>
        <v/>
      </c>
      <c r="U103" s="319"/>
    </row>
    <row r="104" spans="1:21" x14ac:dyDescent="0.25">
      <c r="A104" s="312">
        <f>MAX($A$5:A103)+1</f>
        <v>99</v>
      </c>
      <c r="B104" s="299"/>
      <c r="C104" s="299"/>
      <c r="D104" s="299"/>
      <c r="E104" s="299"/>
      <c r="F104" s="299"/>
      <c r="G104" s="331"/>
      <c r="H104" s="313" t="str">
        <f ca="1">IFERROR(IF(VLOOKUP(F104,Kostentypen!$A$3:$E$21,3,0)=0,"",IF(OR(F104="Arbeidskosten",F104="Vergoeding"),VLOOKUP(G104,Tb_KostenTypen[],2,0),VLOOKUP(F104,Kostentypen!$A$3:$E$20,3,0))),"")</f>
        <v/>
      </c>
      <c r="I104" s="314"/>
      <c r="J104" s="315"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15"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2"/>
      <c r="M104" s="362"/>
      <c r="N104" s="316"/>
      <c r="O104" s="316"/>
      <c r="P104" s="317"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17"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17" t="str" cm="1">
        <f t="array" aca="1" ref="R104" ca="1">IFERROR(_xlfn.IFS(OR(F104="",LEFT(Methode_Keuze,4)="Geen",Methode_Keuze=""),"",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17" t="str" cm="1">
        <f t="array" aca="1" ref="S104" ca="1">IFERROR(_xlfn.IFS(OR(F104="",LEFT(Methode_Keuze,4)="Geen",Methode_Keuze=""),"",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18" t="str">
        <f>IFERROR(VLOOKUP(F104,Tb_ProjectKosten[#All],11,0),"")</f>
        <v/>
      </c>
      <c r="U104" s="319"/>
    </row>
    <row r="105" spans="1:21" x14ac:dyDescent="0.25">
      <c r="A105" s="312">
        <f>MAX($A$5:A104)+1</f>
        <v>100</v>
      </c>
      <c r="B105" s="299"/>
      <c r="C105" s="299"/>
      <c r="D105" s="299"/>
      <c r="E105" s="299"/>
      <c r="F105" s="299"/>
      <c r="G105" s="331"/>
      <c r="H105" s="313" t="str">
        <f ca="1">IFERROR(IF(VLOOKUP(F105,Kostentypen!$A$3:$E$21,3,0)=0,"",IF(OR(F105="Arbeidskosten",F105="Vergoeding"),VLOOKUP(G105,Tb_KostenTypen[],2,0),VLOOKUP(F105,Kostentypen!$A$3:$E$20,3,0))),"")</f>
        <v/>
      </c>
      <c r="I105" s="314"/>
      <c r="J105" s="315"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15"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2"/>
      <c r="M105" s="362"/>
      <c r="N105" s="316"/>
      <c r="O105" s="316"/>
      <c r="P105" s="317"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17"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17" t="str" cm="1">
        <f t="array" aca="1" ref="R105" ca="1">IFERROR(_xlfn.IFS(OR(F105="",LEFT(Methode_Keuze,4)="Geen",Methode_Keuze=""),"",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17" t="str" cm="1">
        <f t="array" aca="1" ref="S105" ca="1">IFERROR(_xlfn.IFS(OR(F105="",LEFT(Methode_Keuze,4)="Geen",Methode_Keuze=""),"",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18" t="str">
        <f>IFERROR(VLOOKUP(F105,Tb_ProjectKosten[#All],11,0),"")</f>
        <v/>
      </c>
      <c r="U105" s="319"/>
    </row>
    <row r="106" spans="1:21" x14ac:dyDescent="0.25">
      <c r="A106" s="312">
        <f>MAX($A$5:A105)+1</f>
        <v>101</v>
      </c>
      <c r="B106" s="299"/>
      <c r="C106" s="299"/>
      <c r="D106" s="299"/>
      <c r="E106" s="299"/>
      <c r="F106" s="299"/>
      <c r="G106" s="331"/>
      <c r="H106" s="313" t="str">
        <f ca="1">IFERROR(IF(VLOOKUP(F106,Kostentypen!$A$3:$E$21,3,0)=0,"",IF(OR(F106="Arbeidskosten",F106="Vergoeding"),VLOOKUP(G106,Tb_KostenTypen[],2,0),VLOOKUP(F106,Kostentypen!$A$3:$E$20,3,0))),"")</f>
        <v/>
      </c>
      <c r="I106" s="314"/>
      <c r="J106" s="315"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15"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2"/>
      <c r="M106" s="362"/>
      <c r="N106" s="316"/>
      <c r="O106" s="316"/>
      <c r="P106" s="317"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17"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17" t="str" cm="1">
        <f t="array" aca="1" ref="R106" ca="1">IFERROR(_xlfn.IFS(OR(F106="",LEFT(Methode_Keuze,4)="Geen",Methode_Keuze=""),"",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17" t="str" cm="1">
        <f t="array" aca="1" ref="S106" ca="1">IFERROR(_xlfn.IFS(OR(F106="",LEFT(Methode_Keuze,4)="Geen",Methode_Keuze=""),"",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18" t="str">
        <f>IFERROR(VLOOKUP(F106,Tb_ProjectKosten[#All],11,0),"")</f>
        <v/>
      </c>
      <c r="U106" s="319"/>
    </row>
    <row r="107" spans="1:21" x14ac:dyDescent="0.25">
      <c r="A107" s="312">
        <f>MAX($A$5:A106)+1</f>
        <v>102</v>
      </c>
      <c r="B107" s="299"/>
      <c r="C107" s="299"/>
      <c r="D107" s="299"/>
      <c r="E107" s="299"/>
      <c r="F107" s="299"/>
      <c r="G107" s="331"/>
      <c r="H107" s="313" t="str">
        <f ca="1">IFERROR(IF(VLOOKUP(F107,Kostentypen!$A$3:$E$21,3,0)=0,"",IF(OR(F107="Arbeidskosten",F107="Vergoeding"),VLOOKUP(G107,Tb_KostenTypen[],2,0),VLOOKUP(F107,Kostentypen!$A$3:$E$20,3,0))),"")</f>
        <v/>
      </c>
      <c r="I107" s="314"/>
      <c r="J107" s="315"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15"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2"/>
      <c r="M107" s="362"/>
      <c r="N107" s="316"/>
      <c r="O107" s="316"/>
      <c r="P107" s="317"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17"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17" t="str" cm="1">
        <f t="array" aca="1" ref="R107" ca="1">IFERROR(_xlfn.IFS(OR(F107="",LEFT(Methode_Keuze,4)="Geen",Methode_Keuze=""),"",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17" t="str" cm="1">
        <f t="array" aca="1" ref="S107" ca="1">IFERROR(_xlfn.IFS(OR(F107="",LEFT(Methode_Keuze,4)="Geen",Methode_Keuze=""),"",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18" t="str">
        <f>IFERROR(VLOOKUP(F107,Tb_ProjectKosten[#All],11,0),"")</f>
        <v/>
      </c>
      <c r="U107" s="319"/>
    </row>
    <row r="108" spans="1:21" x14ac:dyDescent="0.25">
      <c r="A108" s="312">
        <f>MAX($A$5:A107)+1</f>
        <v>103</v>
      </c>
      <c r="B108" s="299"/>
      <c r="C108" s="299"/>
      <c r="D108" s="299"/>
      <c r="E108" s="299"/>
      <c r="F108" s="299"/>
      <c r="G108" s="331"/>
      <c r="H108" s="313" t="str">
        <f ca="1">IFERROR(IF(VLOOKUP(F108,Kostentypen!$A$3:$E$21,3,0)=0,"",IF(OR(F108="Arbeidskosten",F108="Vergoeding"),VLOOKUP(G108,Tb_KostenTypen[],2,0),VLOOKUP(F108,Kostentypen!$A$3:$E$20,3,0))),"")</f>
        <v/>
      </c>
      <c r="I108" s="314"/>
      <c r="J108" s="315"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15"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2"/>
      <c r="M108" s="362"/>
      <c r="N108" s="316"/>
      <c r="O108" s="316"/>
      <c r="P108" s="317"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17"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17" t="str" cm="1">
        <f t="array" aca="1" ref="R108" ca="1">IFERROR(_xlfn.IFS(OR(F108="",LEFT(Methode_Keuze,4)="Geen",Methode_Keuze=""),"",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17" t="str" cm="1">
        <f t="array" aca="1" ref="S108" ca="1">IFERROR(_xlfn.IFS(OR(F108="",LEFT(Methode_Keuze,4)="Geen",Methode_Keuze=""),"",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18" t="str">
        <f>IFERROR(VLOOKUP(F108,Tb_ProjectKosten[#All],11,0),"")</f>
        <v/>
      </c>
      <c r="U108" s="319"/>
    </row>
    <row r="109" spans="1:21" x14ac:dyDescent="0.25">
      <c r="A109" s="312">
        <f>MAX($A$5:A108)+1</f>
        <v>104</v>
      </c>
      <c r="B109" s="299"/>
      <c r="C109" s="299"/>
      <c r="D109" s="299"/>
      <c r="E109" s="299"/>
      <c r="F109" s="299"/>
      <c r="G109" s="331"/>
      <c r="H109" s="313" t="str">
        <f ca="1">IFERROR(IF(VLOOKUP(F109,Kostentypen!$A$3:$E$21,3,0)=0,"",IF(OR(F109="Arbeidskosten",F109="Vergoeding"),VLOOKUP(G109,Tb_KostenTypen[],2,0),VLOOKUP(F109,Kostentypen!$A$3:$E$20,3,0))),"")</f>
        <v/>
      </c>
      <c r="I109" s="314"/>
      <c r="J109" s="315"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15"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2"/>
      <c r="M109" s="362"/>
      <c r="N109" s="316"/>
      <c r="O109" s="316"/>
      <c r="P109" s="317"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17"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17" t="str" cm="1">
        <f t="array" aca="1" ref="R109" ca="1">IFERROR(_xlfn.IFS(OR(F109="",LEFT(Methode_Keuze,4)="Geen",Methode_Keuze=""),"",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17" t="str" cm="1">
        <f t="array" aca="1" ref="S109" ca="1">IFERROR(_xlfn.IFS(OR(F109="",LEFT(Methode_Keuze,4)="Geen",Methode_Keuze=""),"",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18" t="str">
        <f>IFERROR(VLOOKUP(F109,Tb_ProjectKosten[#All],11,0),"")</f>
        <v/>
      </c>
      <c r="U109" s="319"/>
    </row>
    <row r="110" spans="1:21" x14ac:dyDescent="0.25">
      <c r="A110" s="312">
        <f>MAX($A$5:A109)+1</f>
        <v>105</v>
      </c>
      <c r="B110" s="299"/>
      <c r="C110" s="299"/>
      <c r="D110" s="299"/>
      <c r="E110" s="299"/>
      <c r="F110" s="299"/>
      <c r="G110" s="331"/>
      <c r="H110" s="313" t="str">
        <f ca="1">IFERROR(IF(VLOOKUP(F110,Kostentypen!$A$3:$E$21,3,0)=0,"",IF(OR(F110="Arbeidskosten",F110="Vergoeding"),VLOOKUP(G110,Tb_KostenTypen[],2,0),VLOOKUP(F110,Kostentypen!$A$3:$E$20,3,0))),"")</f>
        <v/>
      </c>
      <c r="I110" s="314"/>
      <c r="J110" s="315"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15"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2"/>
      <c r="M110" s="362"/>
      <c r="N110" s="316"/>
      <c r="O110" s="316"/>
      <c r="P110" s="317"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17"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17" t="str" cm="1">
        <f t="array" aca="1" ref="R110" ca="1">IFERROR(_xlfn.IFS(OR(F110="",LEFT(Methode_Keuze,4)="Geen",Methode_Keuze=""),"",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17" t="str" cm="1">
        <f t="array" aca="1" ref="S110" ca="1">IFERROR(_xlfn.IFS(OR(F110="",LEFT(Methode_Keuze,4)="Geen",Methode_Keuze=""),"",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18" t="str">
        <f>IFERROR(VLOOKUP(F110,Tb_ProjectKosten[#All],11,0),"")</f>
        <v/>
      </c>
      <c r="U110" s="319"/>
    </row>
    <row r="111" spans="1:21" x14ac:dyDescent="0.25">
      <c r="A111" s="312">
        <f>MAX($A$5:A110)+1</f>
        <v>106</v>
      </c>
      <c r="B111" s="299"/>
      <c r="C111" s="299"/>
      <c r="D111" s="299"/>
      <c r="E111" s="299"/>
      <c r="F111" s="299"/>
      <c r="G111" s="331"/>
      <c r="H111" s="313" t="str">
        <f ca="1">IFERROR(IF(VLOOKUP(F111,Kostentypen!$A$3:$E$21,3,0)=0,"",IF(OR(F111="Arbeidskosten",F111="Vergoeding"),VLOOKUP(G111,Tb_KostenTypen[],2,0),VLOOKUP(F111,Kostentypen!$A$3:$E$20,3,0))),"")</f>
        <v/>
      </c>
      <c r="I111" s="314"/>
      <c r="J111" s="315"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15"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2"/>
      <c r="M111" s="362"/>
      <c r="N111" s="316"/>
      <c r="O111" s="316"/>
      <c r="P111" s="317"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17"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17" t="str" cm="1">
        <f t="array" aca="1" ref="R111" ca="1">IFERROR(_xlfn.IFS(OR(F111="",LEFT(Methode_Keuze,4)="Geen",Methode_Keuze=""),"",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17" t="str" cm="1">
        <f t="array" aca="1" ref="S111" ca="1">IFERROR(_xlfn.IFS(OR(F111="",LEFT(Methode_Keuze,4)="Geen",Methode_Keuze=""),"",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18" t="str">
        <f>IFERROR(VLOOKUP(F111,Tb_ProjectKosten[#All],11,0),"")</f>
        <v/>
      </c>
      <c r="U111" s="319"/>
    </row>
    <row r="112" spans="1:21" x14ac:dyDescent="0.25">
      <c r="A112" s="312">
        <f>MAX($A$5:A111)+1</f>
        <v>107</v>
      </c>
      <c r="B112" s="299"/>
      <c r="C112" s="299"/>
      <c r="D112" s="299"/>
      <c r="E112" s="299"/>
      <c r="F112" s="299"/>
      <c r="G112" s="331"/>
      <c r="H112" s="313" t="str">
        <f ca="1">IFERROR(IF(VLOOKUP(F112,Kostentypen!$A$3:$E$21,3,0)=0,"",IF(OR(F112="Arbeidskosten",F112="Vergoeding"),VLOOKUP(G112,Tb_KostenTypen[],2,0),VLOOKUP(F112,Kostentypen!$A$3:$E$20,3,0))),"")</f>
        <v/>
      </c>
      <c r="I112" s="314"/>
      <c r="J112" s="315"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15"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2"/>
      <c r="M112" s="362"/>
      <c r="N112" s="316"/>
      <c r="O112" s="316"/>
      <c r="P112" s="317"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17"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17" t="str" cm="1">
        <f t="array" aca="1" ref="R112" ca="1">IFERROR(_xlfn.IFS(OR(F112="",LEFT(Methode_Keuze,4)="Geen",Methode_Keuze=""),"",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17" t="str" cm="1">
        <f t="array" aca="1" ref="S112" ca="1">IFERROR(_xlfn.IFS(OR(F112="",LEFT(Methode_Keuze,4)="Geen",Methode_Keuze=""),"",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18" t="str">
        <f>IFERROR(VLOOKUP(F112,Tb_ProjectKosten[#All],11,0),"")</f>
        <v/>
      </c>
      <c r="U112" s="319"/>
    </row>
    <row r="113" spans="1:21" x14ac:dyDescent="0.25">
      <c r="A113" s="312">
        <f>MAX($A$5:A112)+1</f>
        <v>108</v>
      </c>
      <c r="B113" s="299"/>
      <c r="C113" s="299"/>
      <c r="D113" s="299"/>
      <c r="E113" s="299"/>
      <c r="F113" s="299"/>
      <c r="G113" s="331"/>
      <c r="H113" s="313" t="str">
        <f ca="1">IFERROR(IF(VLOOKUP(F113,Kostentypen!$A$3:$E$21,3,0)=0,"",IF(OR(F113="Arbeidskosten",F113="Vergoeding"),VLOOKUP(G113,Tb_KostenTypen[],2,0),VLOOKUP(F113,Kostentypen!$A$3:$E$20,3,0))),"")</f>
        <v/>
      </c>
      <c r="I113" s="314"/>
      <c r="J113" s="315"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15"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2"/>
      <c r="M113" s="362"/>
      <c r="N113" s="316"/>
      <c r="O113" s="316"/>
      <c r="P113" s="317"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17"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17" t="str" cm="1">
        <f t="array" aca="1" ref="R113" ca="1">IFERROR(_xlfn.IFS(OR(F113="",LEFT(Methode_Keuze,4)="Geen",Methode_Keuze=""),"",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17" t="str" cm="1">
        <f t="array" aca="1" ref="S113" ca="1">IFERROR(_xlfn.IFS(OR(F113="",LEFT(Methode_Keuze,4)="Geen",Methode_Keuze=""),"",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18" t="str">
        <f>IFERROR(VLOOKUP(F113,Tb_ProjectKosten[#All],11,0),"")</f>
        <v/>
      </c>
      <c r="U113" s="319"/>
    </row>
    <row r="114" spans="1:21" x14ac:dyDescent="0.25">
      <c r="A114" s="312">
        <f>MAX($A$5:A113)+1</f>
        <v>109</v>
      </c>
      <c r="B114" s="299"/>
      <c r="C114" s="299"/>
      <c r="D114" s="299"/>
      <c r="E114" s="299"/>
      <c r="F114" s="299"/>
      <c r="G114" s="331"/>
      <c r="H114" s="313" t="str">
        <f ca="1">IFERROR(IF(VLOOKUP(F114,Kostentypen!$A$3:$E$21,3,0)=0,"",IF(OR(F114="Arbeidskosten",F114="Vergoeding"),VLOOKUP(G114,Tb_KostenTypen[],2,0),VLOOKUP(F114,Kostentypen!$A$3:$E$20,3,0))),"")</f>
        <v/>
      </c>
      <c r="I114" s="314"/>
      <c r="J114" s="315"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15"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2"/>
      <c r="M114" s="362"/>
      <c r="N114" s="316"/>
      <c r="O114" s="316"/>
      <c r="P114" s="317"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17"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17" t="str" cm="1">
        <f t="array" aca="1" ref="R114" ca="1">IFERROR(_xlfn.IFS(OR(F114="",LEFT(Methode_Keuze,4)="Geen",Methode_Keuze=""),"",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17" t="str" cm="1">
        <f t="array" aca="1" ref="S114" ca="1">IFERROR(_xlfn.IFS(OR(F114="",LEFT(Methode_Keuze,4)="Geen",Methode_Keuze=""),"",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18" t="str">
        <f>IFERROR(VLOOKUP(F114,Tb_ProjectKosten[#All],11,0),"")</f>
        <v/>
      </c>
      <c r="U114" s="319"/>
    </row>
    <row r="115" spans="1:21" x14ac:dyDescent="0.25">
      <c r="A115" s="312">
        <f>MAX($A$5:A114)+1</f>
        <v>110</v>
      </c>
      <c r="B115" s="299"/>
      <c r="C115" s="299"/>
      <c r="D115" s="299"/>
      <c r="E115" s="299"/>
      <c r="F115" s="299"/>
      <c r="G115" s="331"/>
      <c r="H115" s="313" t="str">
        <f ca="1">IFERROR(IF(VLOOKUP(F115,Kostentypen!$A$3:$E$21,3,0)=0,"",IF(OR(F115="Arbeidskosten",F115="Vergoeding"),VLOOKUP(G115,Tb_KostenTypen[],2,0),VLOOKUP(F115,Kostentypen!$A$3:$E$20,3,0))),"")</f>
        <v/>
      </c>
      <c r="I115" s="314"/>
      <c r="J115" s="315"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15"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2"/>
      <c r="M115" s="362"/>
      <c r="N115" s="316"/>
      <c r="O115" s="316"/>
      <c r="P115" s="317"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17"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17" t="str" cm="1">
        <f t="array" aca="1" ref="R115" ca="1">IFERROR(_xlfn.IFS(OR(F115="",LEFT(Methode_Keuze,4)="Geen",Methode_Keuze=""),"",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17" t="str" cm="1">
        <f t="array" aca="1" ref="S115" ca="1">IFERROR(_xlfn.IFS(OR(F115="",LEFT(Methode_Keuze,4)="Geen",Methode_Keuze=""),"",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18" t="str">
        <f>IFERROR(VLOOKUP(F115,Tb_ProjectKosten[#All],11,0),"")</f>
        <v/>
      </c>
      <c r="U115" s="319"/>
    </row>
    <row r="116" spans="1:21" x14ac:dyDescent="0.25">
      <c r="A116" s="312">
        <f>MAX($A$5:A115)+1</f>
        <v>111</v>
      </c>
      <c r="B116" s="299"/>
      <c r="C116" s="299"/>
      <c r="D116" s="299"/>
      <c r="E116" s="299"/>
      <c r="F116" s="299"/>
      <c r="G116" s="331"/>
      <c r="H116" s="313" t="str">
        <f ca="1">IFERROR(IF(VLOOKUP(F116,Kostentypen!$A$3:$E$21,3,0)=0,"",IF(OR(F116="Arbeidskosten",F116="Vergoeding"),VLOOKUP(G116,Tb_KostenTypen[],2,0),VLOOKUP(F116,Kostentypen!$A$3:$E$20,3,0))),"")</f>
        <v/>
      </c>
      <c r="I116" s="314"/>
      <c r="J116" s="315"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15"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2"/>
      <c r="M116" s="362"/>
      <c r="N116" s="316"/>
      <c r="O116" s="316"/>
      <c r="P116" s="317"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17"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17" t="str" cm="1">
        <f t="array" aca="1" ref="R116" ca="1">IFERROR(_xlfn.IFS(OR(F116="",LEFT(Methode_Keuze,4)="Geen",Methode_Keuze=""),"",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17" t="str" cm="1">
        <f t="array" aca="1" ref="S116" ca="1">IFERROR(_xlfn.IFS(OR(F116="",LEFT(Methode_Keuze,4)="Geen",Methode_Keuze=""),"",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18" t="str">
        <f>IFERROR(VLOOKUP(F116,Tb_ProjectKosten[#All],11,0),"")</f>
        <v/>
      </c>
      <c r="U116" s="319"/>
    </row>
    <row r="117" spans="1:21" x14ac:dyDescent="0.25">
      <c r="A117" s="312">
        <f>MAX($A$5:A116)+1</f>
        <v>112</v>
      </c>
      <c r="B117" s="299"/>
      <c r="C117" s="299"/>
      <c r="D117" s="299"/>
      <c r="E117" s="299"/>
      <c r="F117" s="299"/>
      <c r="G117" s="331"/>
      <c r="H117" s="313" t="str">
        <f ca="1">IFERROR(IF(VLOOKUP(F117,Kostentypen!$A$3:$E$21,3,0)=0,"",IF(OR(F117="Arbeidskosten",F117="Vergoeding"),VLOOKUP(G117,Tb_KostenTypen[],2,0),VLOOKUP(F117,Kostentypen!$A$3:$E$20,3,0))),"")</f>
        <v/>
      </c>
      <c r="I117" s="314"/>
      <c r="J117" s="315"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15"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2"/>
      <c r="M117" s="362"/>
      <c r="N117" s="316"/>
      <c r="O117" s="316"/>
      <c r="P117" s="317"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17"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17" t="str" cm="1">
        <f t="array" aca="1" ref="R117" ca="1">IFERROR(_xlfn.IFS(OR(F117="",LEFT(Methode_Keuze,4)="Geen",Methode_Keuze=""),"",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17" t="str" cm="1">
        <f t="array" aca="1" ref="S117" ca="1">IFERROR(_xlfn.IFS(OR(F117="",LEFT(Methode_Keuze,4)="Geen",Methode_Keuze=""),"",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18" t="str">
        <f>IFERROR(VLOOKUP(F117,Tb_ProjectKosten[#All],11,0),"")</f>
        <v/>
      </c>
      <c r="U117" s="319"/>
    </row>
    <row r="118" spans="1:21" x14ac:dyDescent="0.25">
      <c r="A118" s="312">
        <f>MAX($A$5:A117)+1</f>
        <v>113</v>
      </c>
      <c r="B118" s="299"/>
      <c r="C118" s="299"/>
      <c r="D118" s="299"/>
      <c r="E118" s="299"/>
      <c r="F118" s="299"/>
      <c r="G118" s="331"/>
      <c r="H118" s="313" t="str">
        <f ca="1">IFERROR(IF(VLOOKUP(F118,Kostentypen!$A$3:$E$21,3,0)=0,"",IF(OR(F118="Arbeidskosten",F118="Vergoeding"),VLOOKUP(G118,Tb_KostenTypen[],2,0),VLOOKUP(F118,Kostentypen!$A$3:$E$20,3,0))),"")</f>
        <v/>
      </c>
      <c r="I118" s="314"/>
      <c r="J118" s="315"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15"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2"/>
      <c r="M118" s="362"/>
      <c r="N118" s="316"/>
      <c r="O118" s="316"/>
      <c r="P118" s="317"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17"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17" t="str" cm="1">
        <f t="array" aca="1" ref="R118" ca="1">IFERROR(_xlfn.IFS(OR(F118="",LEFT(Methode_Keuze,4)="Geen",Methode_Keuze=""),"",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17" t="str" cm="1">
        <f t="array" aca="1" ref="S118" ca="1">IFERROR(_xlfn.IFS(OR(F118="",LEFT(Methode_Keuze,4)="Geen",Methode_Keuze=""),"",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18" t="str">
        <f>IFERROR(VLOOKUP(F118,Tb_ProjectKosten[#All],11,0),"")</f>
        <v/>
      </c>
      <c r="U118" s="319"/>
    </row>
    <row r="119" spans="1:21" x14ac:dyDescent="0.25">
      <c r="A119" s="312">
        <f>MAX($A$5:A118)+1</f>
        <v>114</v>
      </c>
      <c r="B119" s="299"/>
      <c r="C119" s="299"/>
      <c r="D119" s="299"/>
      <c r="E119" s="299"/>
      <c r="F119" s="299"/>
      <c r="G119" s="331"/>
      <c r="H119" s="313" t="str">
        <f ca="1">IFERROR(IF(VLOOKUP(F119,Kostentypen!$A$3:$E$21,3,0)=0,"",IF(OR(F119="Arbeidskosten",F119="Vergoeding"),VLOOKUP(G119,Tb_KostenTypen[],2,0),VLOOKUP(F119,Kostentypen!$A$3:$E$20,3,0))),"")</f>
        <v/>
      </c>
      <c r="I119" s="314"/>
      <c r="J119" s="315"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15"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2"/>
      <c r="M119" s="362"/>
      <c r="N119" s="316"/>
      <c r="O119" s="316"/>
      <c r="P119" s="317"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17"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17" t="str" cm="1">
        <f t="array" aca="1" ref="R119" ca="1">IFERROR(_xlfn.IFS(OR(F119="",LEFT(Methode_Keuze,4)="Geen",Methode_Keuze=""),"",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17" t="str" cm="1">
        <f t="array" aca="1" ref="S119" ca="1">IFERROR(_xlfn.IFS(OR(F119="",LEFT(Methode_Keuze,4)="Geen",Methode_Keuze=""),"",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18" t="str">
        <f>IFERROR(VLOOKUP(F119,Tb_ProjectKosten[#All],11,0),"")</f>
        <v/>
      </c>
      <c r="U119" s="319"/>
    </row>
    <row r="120" spans="1:21" x14ac:dyDescent="0.25">
      <c r="A120" s="312">
        <f>MAX($A$5:A119)+1</f>
        <v>115</v>
      </c>
      <c r="B120" s="299"/>
      <c r="C120" s="299"/>
      <c r="D120" s="299"/>
      <c r="E120" s="299"/>
      <c r="F120" s="299"/>
      <c r="G120" s="331"/>
      <c r="H120" s="313" t="str">
        <f ca="1">IFERROR(IF(VLOOKUP(F120,Kostentypen!$A$3:$E$21,3,0)=0,"",IF(OR(F120="Arbeidskosten",F120="Vergoeding"),VLOOKUP(G120,Tb_KostenTypen[],2,0),VLOOKUP(F120,Kostentypen!$A$3:$E$20,3,0))),"")</f>
        <v/>
      </c>
      <c r="I120" s="314"/>
      <c r="J120" s="315"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15"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2"/>
      <c r="M120" s="362"/>
      <c r="N120" s="316"/>
      <c r="O120" s="316"/>
      <c r="P120" s="317"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17"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17" t="str" cm="1">
        <f t="array" aca="1" ref="R120" ca="1">IFERROR(_xlfn.IFS(OR(F120="",LEFT(Methode_Keuze,4)="Geen",Methode_Keuze=""),"",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17" t="str" cm="1">
        <f t="array" aca="1" ref="S120" ca="1">IFERROR(_xlfn.IFS(OR(F120="",LEFT(Methode_Keuze,4)="Geen",Methode_Keuze=""),"",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18" t="str">
        <f>IFERROR(VLOOKUP(F120,Tb_ProjectKosten[#All],11,0),"")</f>
        <v/>
      </c>
      <c r="U120" s="319"/>
    </row>
    <row r="121" spans="1:21" x14ac:dyDescent="0.25">
      <c r="A121" s="312">
        <f>MAX($A$5:A120)+1</f>
        <v>116</v>
      </c>
      <c r="B121" s="299"/>
      <c r="C121" s="299"/>
      <c r="D121" s="299"/>
      <c r="E121" s="299"/>
      <c r="F121" s="299"/>
      <c r="G121" s="331"/>
      <c r="H121" s="313" t="str">
        <f ca="1">IFERROR(IF(VLOOKUP(F121,Kostentypen!$A$3:$E$21,3,0)=0,"",IF(OR(F121="Arbeidskosten",F121="Vergoeding"),VLOOKUP(G121,Tb_KostenTypen[],2,0),VLOOKUP(F121,Kostentypen!$A$3:$E$20,3,0))),"")</f>
        <v/>
      </c>
      <c r="I121" s="314"/>
      <c r="J121" s="315"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15"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2"/>
      <c r="M121" s="362"/>
      <c r="N121" s="316"/>
      <c r="O121" s="316"/>
      <c r="P121" s="317"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17"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17" t="str" cm="1">
        <f t="array" aca="1" ref="R121" ca="1">IFERROR(_xlfn.IFS(OR(F121="",LEFT(Methode_Keuze,4)="Geen",Methode_Keuze=""),"",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17" t="str" cm="1">
        <f t="array" aca="1" ref="S121" ca="1">IFERROR(_xlfn.IFS(OR(F121="",LEFT(Methode_Keuze,4)="Geen",Methode_Keuze=""),"",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18" t="str">
        <f>IFERROR(VLOOKUP(F121,Tb_ProjectKosten[#All],11,0),"")</f>
        <v/>
      </c>
      <c r="U121" s="319"/>
    </row>
    <row r="122" spans="1:21" x14ac:dyDescent="0.25">
      <c r="A122" s="312">
        <f>MAX($A$5:A121)+1</f>
        <v>117</v>
      </c>
      <c r="B122" s="299"/>
      <c r="C122" s="299"/>
      <c r="D122" s="299"/>
      <c r="E122" s="299"/>
      <c r="F122" s="299"/>
      <c r="G122" s="331"/>
      <c r="H122" s="313" t="str">
        <f ca="1">IFERROR(IF(VLOOKUP(F122,Kostentypen!$A$3:$E$21,3,0)=0,"",IF(OR(F122="Arbeidskosten",F122="Vergoeding"),VLOOKUP(G122,Tb_KostenTypen[],2,0),VLOOKUP(F122,Kostentypen!$A$3:$E$20,3,0))),"")</f>
        <v/>
      </c>
      <c r="I122" s="314"/>
      <c r="J122" s="315"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15"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2"/>
      <c r="M122" s="362"/>
      <c r="N122" s="316"/>
      <c r="O122" s="316"/>
      <c r="P122" s="317"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17"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17" t="str" cm="1">
        <f t="array" aca="1" ref="R122" ca="1">IFERROR(_xlfn.IFS(OR(F122="",LEFT(Methode_Keuze,4)="Geen",Methode_Keuze=""),"",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17" t="str" cm="1">
        <f t="array" aca="1" ref="S122" ca="1">IFERROR(_xlfn.IFS(OR(F122="",LEFT(Methode_Keuze,4)="Geen",Methode_Keuze=""),"",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18" t="str">
        <f>IFERROR(VLOOKUP(F122,Tb_ProjectKosten[#All],11,0),"")</f>
        <v/>
      </c>
      <c r="U122" s="319"/>
    </row>
    <row r="123" spans="1:21" x14ac:dyDescent="0.25">
      <c r="A123" s="312">
        <f>MAX($A$5:A122)+1</f>
        <v>118</v>
      </c>
      <c r="B123" s="299"/>
      <c r="C123" s="299"/>
      <c r="D123" s="299"/>
      <c r="E123" s="299"/>
      <c r="F123" s="299"/>
      <c r="G123" s="331"/>
      <c r="H123" s="313" t="str">
        <f ca="1">IFERROR(IF(VLOOKUP(F123,Kostentypen!$A$3:$E$21,3,0)=0,"",IF(OR(F123="Arbeidskosten",F123="Vergoeding"),VLOOKUP(G123,Tb_KostenTypen[],2,0),VLOOKUP(F123,Kostentypen!$A$3:$E$20,3,0))),"")</f>
        <v/>
      </c>
      <c r="I123" s="314"/>
      <c r="J123" s="315"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15"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2"/>
      <c r="M123" s="362"/>
      <c r="N123" s="316"/>
      <c r="O123" s="316"/>
      <c r="P123" s="317"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17"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17" t="str" cm="1">
        <f t="array" aca="1" ref="R123" ca="1">IFERROR(_xlfn.IFS(OR(F123="",LEFT(Methode_Keuze,4)="Geen",Methode_Keuze=""),"",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17" t="str" cm="1">
        <f t="array" aca="1" ref="S123" ca="1">IFERROR(_xlfn.IFS(OR(F123="",LEFT(Methode_Keuze,4)="Geen",Methode_Keuze=""),"",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18" t="str">
        <f>IFERROR(VLOOKUP(F123,Tb_ProjectKosten[#All],11,0),"")</f>
        <v/>
      </c>
      <c r="U123" s="319"/>
    </row>
    <row r="124" spans="1:21" x14ac:dyDescent="0.25">
      <c r="A124" s="312">
        <f>MAX($A$5:A123)+1</f>
        <v>119</v>
      </c>
      <c r="B124" s="299"/>
      <c r="C124" s="299"/>
      <c r="D124" s="299"/>
      <c r="E124" s="299"/>
      <c r="F124" s="299"/>
      <c r="G124" s="331"/>
      <c r="H124" s="313" t="str">
        <f ca="1">IFERROR(IF(VLOOKUP(F124,Kostentypen!$A$3:$E$21,3,0)=0,"",IF(OR(F124="Arbeidskosten",F124="Vergoeding"),VLOOKUP(G124,Tb_KostenTypen[],2,0),VLOOKUP(F124,Kostentypen!$A$3:$E$20,3,0))),"")</f>
        <v/>
      </c>
      <c r="I124" s="314"/>
      <c r="J124" s="315"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15"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2"/>
      <c r="M124" s="362"/>
      <c r="N124" s="316"/>
      <c r="O124" s="316"/>
      <c r="P124" s="317"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17"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17" t="str" cm="1">
        <f t="array" aca="1" ref="R124" ca="1">IFERROR(_xlfn.IFS(OR(F124="",LEFT(Methode_Keuze,4)="Geen",Methode_Keuze=""),"",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17" t="str" cm="1">
        <f t="array" aca="1" ref="S124" ca="1">IFERROR(_xlfn.IFS(OR(F124="",LEFT(Methode_Keuze,4)="Geen",Methode_Keuze=""),"",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18" t="str">
        <f>IFERROR(VLOOKUP(F124,Tb_ProjectKosten[#All],11,0),"")</f>
        <v/>
      </c>
      <c r="U124" s="319"/>
    </row>
    <row r="125" spans="1:21" x14ac:dyDescent="0.25">
      <c r="A125" s="312">
        <f>MAX($A$5:A124)+1</f>
        <v>120</v>
      </c>
      <c r="B125" s="299"/>
      <c r="C125" s="299"/>
      <c r="D125" s="299"/>
      <c r="E125" s="299"/>
      <c r="F125" s="299"/>
      <c r="G125" s="331"/>
      <c r="H125" s="313" t="str">
        <f ca="1">IFERROR(IF(VLOOKUP(F125,Kostentypen!$A$3:$E$21,3,0)=0,"",IF(OR(F125="Arbeidskosten",F125="Vergoeding"),VLOOKUP(G125,Tb_KostenTypen[],2,0),VLOOKUP(F125,Kostentypen!$A$3:$E$20,3,0))),"")</f>
        <v/>
      </c>
      <c r="I125" s="314"/>
      <c r="J125" s="315"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15"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2"/>
      <c r="M125" s="362"/>
      <c r="N125" s="316"/>
      <c r="O125" s="316"/>
      <c r="P125" s="317"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17"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17" t="str" cm="1">
        <f t="array" aca="1" ref="R125" ca="1">IFERROR(_xlfn.IFS(OR(F125="",LEFT(Methode_Keuze,4)="Geen",Methode_Keuze=""),"",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17" t="str" cm="1">
        <f t="array" aca="1" ref="S125" ca="1">IFERROR(_xlfn.IFS(OR(F125="",LEFT(Methode_Keuze,4)="Geen",Methode_Keuze=""),"",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18" t="str">
        <f>IFERROR(VLOOKUP(F125,Tb_ProjectKosten[#All],11,0),"")</f>
        <v/>
      </c>
      <c r="U125" s="319"/>
    </row>
    <row r="126" spans="1:21" x14ac:dyDescent="0.25">
      <c r="A126" s="312">
        <f>MAX($A$5:A125)+1</f>
        <v>121</v>
      </c>
      <c r="B126" s="299"/>
      <c r="C126" s="299"/>
      <c r="D126" s="299"/>
      <c r="E126" s="299"/>
      <c r="F126" s="299"/>
      <c r="G126" s="331"/>
      <c r="H126" s="313" t="str">
        <f ca="1">IFERROR(IF(VLOOKUP(F126,Kostentypen!$A$3:$E$21,3,0)=0,"",IF(OR(F126="Arbeidskosten",F126="Vergoeding"),VLOOKUP(G126,Tb_KostenTypen[],2,0),VLOOKUP(F126,Kostentypen!$A$3:$E$20,3,0))),"")</f>
        <v/>
      </c>
      <c r="I126" s="314"/>
      <c r="J126" s="315"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15"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2"/>
      <c r="M126" s="362"/>
      <c r="N126" s="316"/>
      <c r="O126" s="316"/>
      <c r="P126" s="317"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17"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17" t="str" cm="1">
        <f t="array" aca="1" ref="R126" ca="1">IFERROR(_xlfn.IFS(OR(F126="",LEFT(Methode_Keuze,4)="Geen",Methode_Keuze=""),"",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17" t="str" cm="1">
        <f t="array" aca="1" ref="S126" ca="1">IFERROR(_xlfn.IFS(OR(F126="",LEFT(Methode_Keuze,4)="Geen",Methode_Keuze=""),"",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18" t="str">
        <f>IFERROR(VLOOKUP(F126,Tb_ProjectKosten[#All],11,0),"")</f>
        <v/>
      </c>
      <c r="U126" s="319"/>
    </row>
    <row r="127" spans="1:21" x14ac:dyDescent="0.25">
      <c r="A127" s="312">
        <f>MAX($A$5:A126)+1</f>
        <v>122</v>
      </c>
      <c r="B127" s="299"/>
      <c r="C127" s="299"/>
      <c r="D127" s="299"/>
      <c r="E127" s="299"/>
      <c r="F127" s="299"/>
      <c r="G127" s="331"/>
      <c r="H127" s="313" t="str">
        <f ca="1">IFERROR(IF(VLOOKUP(F127,Kostentypen!$A$3:$E$21,3,0)=0,"",IF(OR(F127="Arbeidskosten",F127="Vergoeding"),VLOOKUP(G127,Tb_KostenTypen[],2,0),VLOOKUP(F127,Kostentypen!$A$3:$E$20,3,0))),"")</f>
        <v/>
      </c>
      <c r="I127" s="314"/>
      <c r="J127" s="315"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15"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2"/>
      <c r="M127" s="362"/>
      <c r="N127" s="316"/>
      <c r="O127" s="316"/>
      <c r="P127" s="317"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17"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17" t="str" cm="1">
        <f t="array" aca="1" ref="R127" ca="1">IFERROR(_xlfn.IFS(OR(F127="",LEFT(Methode_Keuze,4)="Geen",Methode_Keuze=""),"",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17" t="str" cm="1">
        <f t="array" aca="1" ref="S127" ca="1">IFERROR(_xlfn.IFS(OR(F127="",LEFT(Methode_Keuze,4)="Geen",Methode_Keuze=""),"",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18" t="str">
        <f>IFERROR(VLOOKUP(F127,Tb_ProjectKosten[#All],11,0),"")</f>
        <v/>
      </c>
      <c r="U127" s="319"/>
    </row>
    <row r="128" spans="1:21" x14ac:dyDescent="0.25">
      <c r="A128" s="312">
        <f>MAX($A$5:A127)+1</f>
        <v>123</v>
      </c>
      <c r="B128" s="299"/>
      <c r="C128" s="299"/>
      <c r="D128" s="299"/>
      <c r="E128" s="299"/>
      <c r="F128" s="299"/>
      <c r="G128" s="331"/>
      <c r="H128" s="313" t="str">
        <f ca="1">IFERROR(IF(VLOOKUP(F128,Kostentypen!$A$3:$E$21,3,0)=0,"",IF(OR(F128="Arbeidskosten",F128="Vergoeding"),VLOOKUP(G128,Tb_KostenTypen[],2,0),VLOOKUP(F128,Kostentypen!$A$3:$E$20,3,0))),"")</f>
        <v/>
      </c>
      <c r="I128" s="314"/>
      <c r="J128" s="315"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15"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2"/>
      <c r="M128" s="362"/>
      <c r="N128" s="316"/>
      <c r="O128" s="316"/>
      <c r="P128" s="317"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17"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17" t="str" cm="1">
        <f t="array" aca="1" ref="R128" ca="1">IFERROR(_xlfn.IFS(OR(F128="",LEFT(Methode_Keuze,4)="Geen",Methode_Keuze=""),"",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17" t="str" cm="1">
        <f t="array" aca="1" ref="S128" ca="1">IFERROR(_xlfn.IFS(OR(F128="",LEFT(Methode_Keuze,4)="Geen",Methode_Keuze=""),"",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18" t="str">
        <f>IFERROR(VLOOKUP(F128,Tb_ProjectKosten[#All],11,0),"")</f>
        <v/>
      </c>
      <c r="U128" s="319"/>
    </row>
    <row r="129" spans="1:21" x14ac:dyDescent="0.25">
      <c r="A129" s="312">
        <f>MAX($A$5:A128)+1</f>
        <v>124</v>
      </c>
      <c r="B129" s="299"/>
      <c r="C129" s="299"/>
      <c r="D129" s="299"/>
      <c r="E129" s="299"/>
      <c r="F129" s="299"/>
      <c r="G129" s="331"/>
      <c r="H129" s="313" t="str">
        <f ca="1">IFERROR(IF(VLOOKUP(F129,Kostentypen!$A$3:$E$21,3,0)=0,"",IF(OR(F129="Arbeidskosten",F129="Vergoeding"),VLOOKUP(G129,Tb_KostenTypen[],2,0),VLOOKUP(F129,Kostentypen!$A$3:$E$20,3,0))),"")</f>
        <v/>
      </c>
      <c r="I129" s="314"/>
      <c r="J129" s="315"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15"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2"/>
      <c r="M129" s="362"/>
      <c r="N129" s="316"/>
      <c r="O129" s="316"/>
      <c r="P129" s="317"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17"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17" t="str" cm="1">
        <f t="array" aca="1" ref="R129" ca="1">IFERROR(_xlfn.IFS(OR(F129="",LEFT(Methode_Keuze,4)="Geen",Methode_Keuze=""),"",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17" t="str" cm="1">
        <f t="array" aca="1" ref="S129" ca="1">IFERROR(_xlfn.IFS(OR(F129="",LEFT(Methode_Keuze,4)="Geen",Methode_Keuze=""),"",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18" t="str">
        <f>IFERROR(VLOOKUP(F129,Tb_ProjectKosten[#All],11,0),"")</f>
        <v/>
      </c>
      <c r="U129" s="319"/>
    </row>
    <row r="130" spans="1:21" x14ac:dyDescent="0.25">
      <c r="A130" s="312">
        <f>MAX($A$5:A129)+1</f>
        <v>125</v>
      </c>
      <c r="B130" s="299"/>
      <c r="C130" s="299"/>
      <c r="D130" s="299"/>
      <c r="E130" s="299"/>
      <c r="F130" s="299"/>
      <c r="G130" s="331"/>
      <c r="H130" s="313" t="str">
        <f ca="1">IFERROR(IF(VLOOKUP(F130,Kostentypen!$A$3:$E$21,3,0)=0,"",IF(OR(F130="Arbeidskosten",F130="Vergoeding"),VLOOKUP(G130,Tb_KostenTypen[],2,0),VLOOKUP(F130,Kostentypen!$A$3:$E$20,3,0))),"")</f>
        <v/>
      </c>
      <c r="I130" s="314"/>
      <c r="J130" s="315"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15"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2"/>
      <c r="M130" s="362"/>
      <c r="N130" s="316"/>
      <c r="O130" s="316"/>
      <c r="P130" s="317"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17"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17" t="str" cm="1">
        <f t="array" aca="1" ref="R130" ca="1">IFERROR(_xlfn.IFS(OR(F130="",LEFT(Methode_Keuze,4)="Geen",Methode_Keuze=""),"",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17" t="str" cm="1">
        <f t="array" aca="1" ref="S130" ca="1">IFERROR(_xlfn.IFS(OR(F130="",LEFT(Methode_Keuze,4)="Geen",Methode_Keuze=""),"",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18" t="str">
        <f>IFERROR(VLOOKUP(F130,Tb_ProjectKosten[#All],11,0),"")</f>
        <v/>
      </c>
      <c r="U130" s="319"/>
    </row>
    <row r="131" spans="1:21" x14ac:dyDescent="0.25">
      <c r="A131" s="312">
        <f>MAX($A$5:A130)+1</f>
        <v>126</v>
      </c>
      <c r="B131" s="299"/>
      <c r="C131" s="299"/>
      <c r="D131" s="299"/>
      <c r="E131" s="299"/>
      <c r="F131" s="299"/>
      <c r="G131" s="331"/>
      <c r="H131" s="313" t="str">
        <f ca="1">IFERROR(IF(VLOOKUP(F131,Kostentypen!$A$3:$E$21,3,0)=0,"",IF(OR(F131="Arbeidskosten",F131="Vergoeding"),VLOOKUP(G131,Tb_KostenTypen[],2,0),VLOOKUP(F131,Kostentypen!$A$3:$E$20,3,0))),"")</f>
        <v/>
      </c>
      <c r="I131" s="314"/>
      <c r="J131" s="315"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15"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2"/>
      <c r="M131" s="362"/>
      <c r="N131" s="316"/>
      <c r="O131" s="316"/>
      <c r="P131" s="317"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17"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17" t="str" cm="1">
        <f t="array" aca="1" ref="R131" ca="1">IFERROR(_xlfn.IFS(OR(F131="",LEFT(Methode_Keuze,4)="Geen",Methode_Keuze=""),"",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17" t="str" cm="1">
        <f t="array" aca="1" ref="S131" ca="1">IFERROR(_xlfn.IFS(OR(F131="",LEFT(Methode_Keuze,4)="Geen",Methode_Keuze=""),"",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18" t="str">
        <f>IFERROR(VLOOKUP(F131,Tb_ProjectKosten[#All],11,0),"")</f>
        <v/>
      </c>
      <c r="U131" s="319"/>
    </row>
    <row r="132" spans="1:21" x14ac:dyDescent="0.25">
      <c r="A132" s="312">
        <f>MAX($A$5:A131)+1</f>
        <v>127</v>
      </c>
      <c r="B132" s="299"/>
      <c r="C132" s="299"/>
      <c r="D132" s="299"/>
      <c r="E132" s="299"/>
      <c r="F132" s="299"/>
      <c r="G132" s="331"/>
      <c r="H132" s="313" t="str">
        <f ca="1">IFERROR(IF(VLOOKUP(F132,Kostentypen!$A$3:$E$21,3,0)=0,"",IF(OR(F132="Arbeidskosten",F132="Vergoeding"),VLOOKUP(G132,Tb_KostenTypen[],2,0),VLOOKUP(F132,Kostentypen!$A$3:$E$20,3,0))),"")</f>
        <v/>
      </c>
      <c r="I132" s="314"/>
      <c r="J132" s="315"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15"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2"/>
      <c r="M132" s="362"/>
      <c r="N132" s="316"/>
      <c r="O132" s="316"/>
      <c r="P132" s="317"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17"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17" t="str" cm="1">
        <f t="array" aca="1" ref="R132" ca="1">IFERROR(_xlfn.IFS(OR(F132="",LEFT(Methode_Keuze,4)="Geen",Methode_Keuze=""),"",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17" t="str" cm="1">
        <f t="array" aca="1" ref="S132" ca="1">IFERROR(_xlfn.IFS(OR(F132="",LEFT(Methode_Keuze,4)="Geen",Methode_Keuze=""),"",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18" t="str">
        <f>IFERROR(VLOOKUP(F132,Tb_ProjectKosten[#All],11,0),"")</f>
        <v/>
      </c>
      <c r="U132" s="319"/>
    </row>
    <row r="133" spans="1:21" x14ac:dyDescent="0.25">
      <c r="A133" s="312">
        <f>MAX($A$5:A132)+1</f>
        <v>128</v>
      </c>
      <c r="B133" s="299"/>
      <c r="C133" s="299"/>
      <c r="D133" s="299"/>
      <c r="E133" s="299"/>
      <c r="F133" s="299"/>
      <c r="G133" s="331"/>
      <c r="H133" s="313" t="str">
        <f ca="1">IFERROR(IF(VLOOKUP(F133,Kostentypen!$A$3:$E$21,3,0)=0,"",IF(OR(F133="Arbeidskosten",F133="Vergoeding"),VLOOKUP(G133,Tb_KostenTypen[],2,0),VLOOKUP(F133,Kostentypen!$A$3:$E$20,3,0))),"")</f>
        <v/>
      </c>
      <c r="I133" s="314"/>
      <c r="J133" s="315"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15"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2"/>
      <c r="M133" s="362"/>
      <c r="N133" s="316"/>
      <c r="O133" s="316"/>
      <c r="P133" s="317"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17"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17" t="str" cm="1">
        <f t="array" aca="1" ref="R133" ca="1">IFERROR(_xlfn.IFS(OR(F133="",LEFT(Methode_Keuze,4)="Geen",Methode_Keuze=""),"",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17" t="str" cm="1">
        <f t="array" aca="1" ref="S133" ca="1">IFERROR(_xlfn.IFS(OR(F133="",LEFT(Methode_Keuze,4)="Geen",Methode_Keuze=""),"",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18" t="str">
        <f>IFERROR(VLOOKUP(F133,Tb_ProjectKosten[#All],11,0),"")</f>
        <v/>
      </c>
      <c r="U133" s="319"/>
    </row>
    <row r="134" spans="1:21" x14ac:dyDescent="0.25">
      <c r="A134" s="312">
        <f>MAX($A$5:A133)+1</f>
        <v>129</v>
      </c>
      <c r="B134" s="299"/>
      <c r="C134" s="299"/>
      <c r="D134" s="299"/>
      <c r="E134" s="299"/>
      <c r="F134" s="299"/>
      <c r="G134" s="331"/>
      <c r="H134" s="313" t="str">
        <f ca="1">IFERROR(IF(VLOOKUP(F134,Kostentypen!$A$3:$E$21,3,0)=0,"",IF(OR(F134="Arbeidskosten",F134="Vergoeding"),VLOOKUP(G134,Tb_KostenTypen[],2,0),VLOOKUP(F134,Kostentypen!$A$3:$E$20,3,0))),"")</f>
        <v/>
      </c>
      <c r="I134" s="314"/>
      <c r="J134" s="315"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15"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2"/>
      <c r="M134" s="362"/>
      <c r="N134" s="316"/>
      <c r="O134" s="316"/>
      <c r="P134" s="317"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17"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17" t="str" cm="1">
        <f t="array" aca="1" ref="R134" ca="1">IFERROR(_xlfn.IFS(OR(F134="",LEFT(Methode_Keuze,4)="Geen",Methode_Keuze=""),"",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17" t="str" cm="1">
        <f t="array" aca="1" ref="S134" ca="1">IFERROR(_xlfn.IFS(OR(F134="",LEFT(Methode_Keuze,4)="Geen",Methode_Keuze=""),"",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18" t="str">
        <f>IFERROR(VLOOKUP(F134,Tb_ProjectKosten[#All],11,0),"")</f>
        <v/>
      </c>
      <c r="U134" s="319"/>
    </row>
    <row r="135" spans="1:21" x14ac:dyDescent="0.25">
      <c r="A135" s="312">
        <f>MAX($A$5:A134)+1</f>
        <v>130</v>
      </c>
      <c r="B135" s="299"/>
      <c r="C135" s="299"/>
      <c r="D135" s="299"/>
      <c r="E135" s="299"/>
      <c r="F135" s="299"/>
      <c r="G135" s="331"/>
      <c r="H135" s="313" t="str">
        <f ca="1">IFERROR(IF(VLOOKUP(F135,Kostentypen!$A$3:$E$21,3,0)=0,"",IF(OR(F135="Arbeidskosten",F135="Vergoeding"),VLOOKUP(G135,Tb_KostenTypen[],2,0),VLOOKUP(F135,Kostentypen!$A$3:$E$20,3,0))),"")</f>
        <v/>
      </c>
      <c r="I135" s="314"/>
      <c r="J135" s="315"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15"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2"/>
      <c r="M135" s="362"/>
      <c r="N135" s="316"/>
      <c r="O135" s="316"/>
      <c r="P135" s="317"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17"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17" t="str" cm="1">
        <f t="array" aca="1" ref="R135" ca="1">IFERROR(_xlfn.IFS(OR(F135="",LEFT(Methode_Keuze,4)="Geen",Methode_Keuze=""),"",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17" t="str" cm="1">
        <f t="array" aca="1" ref="S135" ca="1">IFERROR(_xlfn.IFS(OR(F135="",LEFT(Methode_Keuze,4)="Geen",Methode_Keuze=""),"",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18" t="str">
        <f>IFERROR(VLOOKUP(F135,Tb_ProjectKosten[#All],11,0),"")</f>
        <v/>
      </c>
      <c r="U135" s="319"/>
    </row>
    <row r="136" spans="1:21" x14ac:dyDescent="0.25">
      <c r="A136" s="312">
        <f>MAX($A$5:A135)+1</f>
        <v>131</v>
      </c>
      <c r="B136" s="299"/>
      <c r="C136" s="299"/>
      <c r="D136" s="299"/>
      <c r="E136" s="299"/>
      <c r="F136" s="299"/>
      <c r="G136" s="331"/>
      <c r="H136" s="313" t="str">
        <f ca="1">IFERROR(IF(VLOOKUP(F136,Kostentypen!$A$3:$E$21,3,0)=0,"",IF(OR(F136="Arbeidskosten",F136="Vergoeding"),VLOOKUP(G136,Tb_KostenTypen[],2,0),VLOOKUP(F136,Kostentypen!$A$3:$E$20,3,0))),"")</f>
        <v/>
      </c>
      <c r="I136" s="314"/>
      <c r="J136" s="315"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15"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2"/>
      <c r="M136" s="362"/>
      <c r="N136" s="316"/>
      <c r="O136" s="316"/>
      <c r="P136" s="317"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17"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17" t="str" cm="1">
        <f t="array" aca="1" ref="R136" ca="1">IFERROR(_xlfn.IFS(OR(F136="",LEFT(Methode_Keuze,4)="Geen",Methode_Keuze=""),"",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17" t="str" cm="1">
        <f t="array" aca="1" ref="S136" ca="1">IFERROR(_xlfn.IFS(OR(F136="",LEFT(Methode_Keuze,4)="Geen",Methode_Keuze=""),"",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18" t="str">
        <f>IFERROR(VLOOKUP(F136,Tb_ProjectKosten[#All],11,0),"")</f>
        <v/>
      </c>
      <c r="U136" s="319"/>
    </row>
    <row r="137" spans="1:21" x14ac:dyDescent="0.25">
      <c r="A137" s="312">
        <f>MAX($A$5:A136)+1</f>
        <v>132</v>
      </c>
      <c r="B137" s="299"/>
      <c r="C137" s="299"/>
      <c r="D137" s="299"/>
      <c r="E137" s="299"/>
      <c r="F137" s="299"/>
      <c r="G137" s="331"/>
      <c r="H137" s="313" t="str">
        <f ca="1">IFERROR(IF(VLOOKUP(F137,Kostentypen!$A$3:$E$21,3,0)=0,"",IF(OR(F137="Arbeidskosten",F137="Vergoeding"),VLOOKUP(G137,Tb_KostenTypen[],2,0),VLOOKUP(F137,Kostentypen!$A$3:$E$20,3,0))),"")</f>
        <v/>
      </c>
      <c r="I137" s="314"/>
      <c r="J137" s="315"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15"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2"/>
      <c r="M137" s="362"/>
      <c r="N137" s="316"/>
      <c r="O137" s="316"/>
      <c r="P137" s="317"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17"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17" t="str" cm="1">
        <f t="array" aca="1" ref="R137" ca="1">IFERROR(_xlfn.IFS(OR(F137="",LEFT(Methode_Keuze,4)="Geen",Methode_Keuze=""),"",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17" t="str" cm="1">
        <f t="array" aca="1" ref="S137" ca="1">IFERROR(_xlfn.IFS(OR(F137="",LEFT(Methode_Keuze,4)="Geen",Methode_Keuze=""),"",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18" t="str">
        <f>IFERROR(VLOOKUP(F137,Tb_ProjectKosten[#All],11,0),"")</f>
        <v/>
      </c>
      <c r="U137" s="319"/>
    </row>
    <row r="138" spans="1:21" x14ac:dyDescent="0.25">
      <c r="A138" s="312">
        <f>MAX($A$5:A137)+1</f>
        <v>133</v>
      </c>
      <c r="B138" s="299"/>
      <c r="C138" s="299"/>
      <c r="D138" s="299"/>
      <c r="E138" s="299"/>
      <c r="F138" s="299"/>
      <c r="G138" s="331"/>
      <c r="H138" s="313" t="str">
        <f ca="1">IFERROR(IF(VLOOKUP(F138,Kostentypen!$A$3:$E$21,3,0)=0,"",IF(OR(F138="Arbeidskosten",F138="Vergoeding"),VLOOKUP(G138,Tb_KostenTypen[],2,0),VLOOKUP(F138,Kostentypen!$A$3:$E$20,3,0))),"")</f>
        <v/>
      </c>
      <c r="I138" s="314"/>
      <c r="J138" s="315"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15"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2"/>
      <c r="M138" s="362"/>
      <c r="N138" s="316"/>
      <c r="O138" s="316"/>
      <c r="P138" s="317"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17"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17" t="str" cm="1">
        <f t="array" aca="1" ref="R138" ca="1">IFERROR(_xlfn.IFS(OR(F138="",LEFT(Methode_Keuze,4)="Geen",Methode_Keuze=""),"",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17" t="str" cm="1">
        <f t="array" aca="1" ref="S138" ca="1">IFERROR(_xlfn.IFS(OR(F138="",LEFT(Methode_Keuze,4)="Geen",Methode_Keuze=""),"",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18" t="str">
        <f>IFERROR(VLOOKUP(F138,Tb_ProjectKosten[#All],11,0),"")</f>
        <v/>
      </c>
      <c r="U138" s="319"/>
    </row>
    <row r="139" spans="1:21" x14ac:dyDescent="0.25">
      <c r="A139" s="312">
        <f>MAX($A$5:A138)+1</f>
        <v>134</v>
      </c>
      <c r="B139" s="299"/>
      <c r="C139" s="299"/>
      <c r="D139" s="299"/>
      <c r="E139" s="299"/>
      <c r="F139" s="299"/>
      <c r="G139" s="331"/>
      <c r="H139" s="313" t="str">
        <f ca="1">IFERROR(IF(VLOOKUP(F139,Kostentypen!$A$3:$E$21,3,0)=0,"",IF(OR(F139="Arbeidskosten",F139="Vergoeding"),VLOOKUP(G139,Tb_KostenTypen[],2,0),VLOOKUP(F139,Kostentypen!$A$3:$E$20,3,0))),"")</f>
        <v/>
      </c>
      <c r="I139" s="314"/>
      <c r="J139" s="315"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15"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2"/>
      <c r="M139" s="362"/>
      <c r="N139" s="316"/>
      <c r="O139" s="316"/>
      <c r="P139" s="317"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17"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17" t="str" cm="1">
        <f t="array" aca="1" ref="R139" ca="1">IFERROR(_xlfn.IFS(OR(F139="",LEFT(Methode_Keuze,4)="Geen",Methode_Keuze=""),"",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17" t="str" cm="1">
        <f t="array" aca="1" ref="S139" ca="1">IFERROR(_xlfn.IFS(OR(F139="",LEFT(Methode_Keuze,4)="Geen",Methode_Keuze=""),"",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18" t="str">
        <f>IFERROR(VLOOKUP(F139,Tb_ProjectKosten[#All],11,0),"")</f>
        <v/>
      </c>
      <c r="U139" s="319"/>
    </row>
    <row r="140" spans="1:21" x14ac:dyDescent="0.25">
      <c r="A140" s="312">
        <f>MAX($A$5:A139)+1</f>
        <v>135</v>
      </c>
      <c r="B140" s="299"/>
      <c r="C140" s="299"/>
      <c r="D140" s="299"/>
      <c r="E140" s="299"/>
      <c r="F140" s="299"/>
      <c r="G140" s="331"/>
      <c r="H140" s="313" t="str">
        <f ca="1">IFERROR(IF(VLOOKUP(F140,Kostentypen!$A$3:$E$21,3,0)=0,"",IF(OR(F140="Arbeidskosten",F140="Vergoeding"),VLOOKUP(G140,Tb_KostenTypen[],2,0),VLOOKUP(F140,Kostentypen!$A$3:$E$20,3,0))),"")</f>
        <v/>
      </c>
      <c r="I140" s="314"/>
      <c r="J140" s="315"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15"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2"/>
      <c r="M140" s="362"/>
      <c r="N140" s="316"/>
      <c r="O140" s="316"/>
      <c r="P140" s="317"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17"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17" t="str" cm="1">
        <f t="array" aca="1" ref="R140" ca="1">IFERROR(_xlfn.IFS(OR(F140="",LEFT(Methode_Keuze,4)="Geen",Methode_Keuze=""),"",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17" t="str" cm="1">
        <f t="array" aca="1" ref="S140" ca="1">IFERROR(_xlfn.IFS(OR(F140="",LEFT(Methode_Keuze,4)="Geen",Methode_Keuze=""),"",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18" t="str">
        <f>IFERROR(VLOOKUP(F140,Tb_ProjectKosten[#All],11,0),"")</f>
        <v/>
      </c>
      <c r="U140" s="319"/>
    </row>
    <row r="141" spans="1:21" x14ac:dyDescent="0.25">
      <c r="A141" s="312">
        <f>MAX($A$5:A140)+1</f>
        <v>136</v>
      </c>
      <c r="B141" s="299"/>
      <c r="C141" s="299"/>
      <c r="D141" s="299"/>
      <c r="E141" s="299"/>
      <c r="F141" s="299"/>
      <c r="G141" s="331"/>
      <c r="H141" s="313" t="str">
        <f ca="1">IFERROR(IF(VLOOKUP(F141,Kostentypen!$A$3:$E$21,3,0)=0,"",IF(OR(F141="Arbeidskosten",F141="Vergoeding"),VLOOKUP(G141,Tb_KostenTypen[],2,0),VLOOKUP(F141,Kostentypen!$A$3:$E$20,3,0))),"")</f>
        <v/>
      </c>
      <c r="I141" s="314"/>
      <c r="J141" s="315"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15"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2"/>
      <c r="M141" s="362"/>
      <c r="N141" s="316"/>
      <c r="O141" s="316"/>
      <c r="P141" s="317"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17"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17" t="str" cm="1">
        <f t="array" aca="1" ref="R141" ca="1">IFERROR(_xlfn.IFS(OR(F141="",LEFT(Methode_Keuze,4)="Geen",Methode_Keuze=""),"",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17" t="str" cm="1">
        <f t="array" aca="1" ref="S141" ca="1">IFERROR(_xlfn.IFS(OR(F141="",LEFT(Methode_Keuze,4)="Geen",Methode_Keuze=""),"",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18" t="str">
        <f>IFERROR(VLOOKUP(F141,Tb_ProjectKosten[#All],11,0),"")</f>
        <v/>
      </c>
      <c r="U141" s="319"/>
    </row>
    <row r="142" spans="1:21" x14ac:dyDescent="0.25">
      <c r="A142" s="312">
        <f>MAX($A$5:A141)+1</f>
        <v>137</v>
      </c>
      <c r="B142" s="299"/>
      <c r="C142" s="299"/>
      <c r="D142" s="299"/>
      <c r="E142" s="299"/>
      <c r="F142" s="299"/>
      <c r="G142" s="331"/>
      <c r="H142" s="313" t="str">
        <f ca="1">IFERROR(IF(VLOOKUP(F142,Kostentypen!$A$3:$E$21,3,0)=0,"",IF(OR(F142="Arbeidskosten",F142="Vergoeding"),VLOOKUP(G142,Tb_KostenTypen[],2,0),VLOOKUP(F142,Kostentypen!$A$3:$E$20,3,0))),"")</f>
        <v/>
      </c>
      <c r="I142" s="314"/>
      <c r="J142" s="315"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15"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2"/>
      <c r="M142" s="362"/>
      <c r="N142" s="316"/>
      <c r="O142" s="316"/>
      <c r="P142" s="317"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17"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17" t="str" cm="1">
        <f t="array" aca="1" ref="R142" ca="1">IFERROR(_xlfn.IFS(OR(F142="",LEFT(Methode_Keuze,4)="Geen",Methode_Keuze=""),"",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17" t="str" cm="1">
        <f t="array" aca="1" ref="S142" ca="1">IFERROR(_xlfn.IFS(OR(F142="",LEFT(Methode_Keuze,4)="Geen",Methode_Keuze=""),"",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18" t="str">
        <f>IFERROR(VLOOKUP(F142,Tb_ProjectKosten[#All],11,0),"")</f>
        <v/>
      </c>
      <c r="U142" s="319"/>
    </row>
    <row r="143" spans="1:21" x14ac:dyDescent="0.25">
      <c r="A143" s="312">
        <f>MAX($A$5:A142)+1</f>
        <v>138</v>
      </c>
      <c r="B143" s="299"/>
      <c r="C143" s="299"/>
      <c r="D143" s="299"/>
      <c r="E143" s="299"/>
      <c r="F143" s="299"/>
      <c r="G143" s="331"/>
      <c r="H143" s="313" t="str">
        <f ca="1">IFERROR(IF(VLOOKUP(F143,Kostentypen!$A$3:$E$21,3,0)=0,"",IF(OR(F143="Arbeidskosten",F143="Vergoeding"),VLOOKUP(G143,Tb_KostenTypen[],2,0),VLOOKUP(F143,Kostentypen!$A$3:$E$20,3,0))),"")</f>
        <v/>
      </c>
      <c r="I143" s="314"/>
      <c r="J143" s="315"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15"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2"/>
      <c r="M143" s="362"/>
      <c r="N143" s="316"/>
      <c r="O143" s="316"/>
      <c r="P143" s="317"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17"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17" t="str" cm="1">
        <f t="array" aca="1" ref="R143" ca="1">IFERROR(_xlfn.IFS(OR(F143="",LEFT(Methode_Keuze,4)="Geen",Methode_Keuze=""),"",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17" t="str" cm="1">
        <f t="array" aca="1" ref="S143" ca="1">IFERROR(_xlfn.IFS(OR(F143="",LEFT(Methode_Keuze,4)="Geen",Methode_Keuze=""),"",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18" t="str">
        <f>IFERROR(VLOOKUP(F143,Tb_ProjectKosten[#All],11,0),"")</f>
        <v/>
      </c>
      <c r="U143" s="319"/>
    </row>
    <row r="144" spans="1:21" x14ac:dyDescent="0.25">
      <c r="A144" s="312">
        <f>MAX($A$5:A143)+1</f>
        <v>139</v>
      </c>
      <c r="B144" s="299"/>
      <c r="C144" s="299"/>
      <c r="D144" s="299"/>
      <c r="E144" s="299"/>
      <c r="F144" s="299"/>
      <c r="G144" s="331"/>
      <c r="H144" s="313" t="str">
        <f ca="1">IFERROR(IF(VLOOKUP(F144,Kostentypen!$A$3:$E$21,3,0)=0,"",IF(OR(F144="Arbeidskosten",F144="Vergoeding"),VLOOKUP(G144,Tb_KostenTypen[],2,0),VLOOKUP(F144,Kostentypen!$A$3:$E$20,3,0))),"")</f>
        <v/>
      </c>
      <c r="I144" s="314"/>
      <c r="J144" s="315"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15"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2"/>
      <c r="M144" s="362"/>
      <c r="N144" s="316"/>
      <c r="O144" s="316"/>
      <c r="P144" s="317"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17"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17" t="str" cm="1">
        <f t="array" aca="1" ref="R144" ca="1">IFERROR(_xlfn.IFS(OR(F144="",LEFT(Methode_Keuze,4)="Geen",Methode_Keuze=""),"",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17" t="str" cm="1">
        <f t="array" aca="1" ref="S144" ca="1">IFERROR(_xlfn.IFS(OR(F144="",LEFT(Methode_Keuze,4)="Geen",Methode_Keuze=""),"",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18" t="str">
        <f>IFERROR(VLOOKUP(F144,Tb_ProjectKosten[#All],11,0),"")</f>
        <v/>
      </c>
      <c r="U144" s="319"/>
    </row>
    <row r="145" spans="1:21" x14ac:dyDescent="0.25">
      <c r="A145" s="312">
        <f>MAX($A$5:A144)+1</f>
        <v>140</v>
      </c>
      <c r="B145" s="299"/>
      <c r="C145" s="299"/>
      <c r="D145" s="299"/>
      <c r="E145" s="299"/>
      <c r="F145" s="299"/>
      <c r="G145" s="331"/>
      <c r="H145" s="313" t="str">
        <f ca="1">IFERROR(IF(VLOOKUP(F145,Kostentypen!$A$3:$E$21,3,0)=0,"",IF(OR(F145="Arbeidskosten",F145="Vergoeding"),VLOOKUP(G145,Tb_KostenTypen[],2,0),VLOOKUP(F145,Kostentypen!$A$3:$E$20,3,0))),"")</f>
        <v/>
      </c>
      <c r="I145" s="314"/>
      <c r="J145" s="315"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15"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2"/>
      <c r="M145" s="362"/>
      <c r="N145" s="316"/>
      <c r="O145" s="316"/>
      <c r="P145" s="317"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17"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17" t="str" cm="1">
        <f t="array" aca="1" ref="R145" ca="1">IFERROR(_xlfn.IFS(OR(F145="",LEFT(Methode_Keuze,4)="Geen",Methode_Keuze=""),"",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17" t="str" cm="1">
        <f t="array" aca="1" ref="S145" ca="1">IFERROR(_xlfn.IFS(OR(F145="",LEFT(Methode_Keuze,4)="Geen",Methode_Keuze=""),"",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18" t="str">
        <f>IFERROR(VLOOKUP(F145,Tb_ProjectKosten[#All],11,0),"")</f>
        <v/>
      </c>
      <c r="U145" s="319"/>
    </row>
    <row r="146" spans="1:21" x14ac:dyDescent="0.25">
      <c r="A146" s="312">
        <f>MAX($A$5:A145)+1</f>
        <v>141</v>
      </c>
      <c r="B146" s="299"/>
      <c r="C146" s="299"/>
      <c r="D146" s="299"/>
      <c r="E146" s="299"/>
      <c r="F146" s="299"/>
      <c r="G146" s="331"/>
      <c r="H146" s="313" t="str">
        <f ca="1">IFERROR(IF(VLOOKUP(F146,Kostentypen!$A$3:$E$21,3,0)=0,"",IF(OR(F146="Arbeidskosten",F146="Vergoeding"),VLOOKUP(G146,Tb_KostenTypen[],2,0),VLOOKUP(F146,Kostentypen!$A$3:$E$20,3,0))),"")</f>
        <v/>
      </c>
      <c r="I146" s="314"/>
      <c r="J146" s="315"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15"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2"/>
      <c r="M146" s="362"/>
      <c r="N146" s="316"/>
      <c r="O146" s="316"/>
      <c r="P146" s="317"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17"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17" t="str" cm="1">
        <f t="array" aca="1" ref="R146" ca="1">IFERROR(_xlfn.IFS(OR(F146="",LEFT(Methode_Keuze,4)="Geen",Methode_Keuze=""),"",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17" t="str" cm="1">
        <f t="array" aca="1" ref="S146" ca="1">IFERROR(_xlfn.IFS(OR(F146="",LEFT(Methode_Keuze,4)="Geen",Methode_Keuze=""),"",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18" t="str">
        <f>IFERROR(VLOOKUP(F146,Tb_ProjectKosten[#All],11,0),"")</f>
        <v/>
      </c>
      <c r="U146" s="319"/>
    </row>
    <row r="147" spans="1:21" x14ac:dyDescent="0.25">
      <c r="A147" s="312">
        <f>MAX($A$5:A146)+1</f>
        <v>142</v>
      </c>
      <c r="B147" s="299"/>
      <c r="C147" s="299"/>
      <c r="D147" s="299"/>
      <c r="E147" s="299"/>
      <c r="F147" s="299"/>
      <c r="G147" s="331"/>
      <c r="H147" s="313" t="str">
        <f ca="1">IFERROR(IF(VLOOKUP(F147,Kostentypen!$A$3:$E$21,3,0)=0,"",IF(OR(F147="Arbeidskosten",F147="Vergoeding"),VLOOKUP(G147,Tb_KostenTypen[],2,0),VLOOKUP(F147,Kostentypen!$A$3:$E$20,3,0))),"")</f>
        <v/>
      </c>
      <c r="I147" s="314"/>
      <c r="J147" s="315"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15"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2"/>
      <c r="M147" s="362"/>
      <c r="N147" s="316"/>
      <c r="O147" s="316"/>
      <c r="P147" s="317"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17"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17" t="str" cm="1">
        <f t="array" aca="1" ref="R147" ca="1">IFERROR(_xlfn.IFS(OR(F147="",LEFT(Methode_Keuze,4)="Geen",Methode_Keuze=""),"",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17" t="str" cm="1">
        <f t="array" aca="1" ref="S147" ca="1">IFERROR(_xlfn.IFS(OR(F147="",LEFT(Methode_Keuze,4)="Geen",Methode_Keuze=""),"",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18" t="str">
        <f>IFERROR(VLOOKUP(F147,Tb_ProjectKosten[#All],11,0),"")</f>
        <v/>
      </c>
      <c r="U147" s="319"/>
    </row>
    <row r="148" spans="1:21" x14ac:dyDescent="0.25">
      <c r="A148" s="312">
        <f>MAX($A$5:A147)+1</f>
        <v>143</v>
      </c>
      <c r="B148" s="299"/>
      <c r="C148" s="299"/>
      <c r="D148" s="299"/>
      <c r="E148" s="299"/>
      <c r="F148" s="299"/>
      <c r="G148" s="331"/>
      <c r="H148" s="313" t="str">
        <f ca="1">IFERROR(IF(VLOOKUP(F148,Kostentypen!$A$3:$E$21,3,0)=0,"",IF(OR(F148="Arbeidskosten",F148="Vergoeding"),VLOOKUP(G148,Tb_KostenTypen[],2,0),VLOOKUP(F148,Kostentypen!$A$3:$E$20,3,0))),"")</f>
        <v/>
      </c>
      <c r="I148" s="314"/>
      <c r="J148" s="315"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15"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2"/>
      <c r="M148" s="362"/>
      <c r="N148" s="316"/>
      <c r="O148" s="316"/>
      <c r="P148" s="317"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17"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17" t="str" cm="1">
        <f t="array" aca="1" ref="R148" ca="1">IFERROR(_xlfn.IFS(OR(F148="",LEFT(Methode_Keuze,4)="Geen",Methode_Keuze=""),"",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17" t="str" cm="1">
        <f t="array" aca="1" ref="S148" ca="1">IFERROR(_xlfn.IFS(OR(F148="",LEFT(Methode_Keuze,4)="Geen",Methode_Keuze=""),"",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18" t="str">
        <f>IFERROR(VLOOKUP(F148,Tb_ProjectKosten[#All],11,0),"")</f>
        <v/>
      </c>
      <c r="U148" s="319"/>
    </row>
    <row r="149" spans="1:21" x14ac:dyDescent="0.25">
      <c r="A149" s="312">
        <f>MAX($A$5:A148)+1</f>
        <v>144</v>
      </c>
      <c r="B149" s="299"/>
      <c r="C149" s="299"/>
      <c r="D149" s="299"/>
      <c r="E149" s="299"/>
      <c r="F149" s="299"/>
      <c r="G149" s="331"/>
      <c r="H149" s="313" t="str">
        <f ca="1">IFERROR(IF(VLOOKUP(F149,Kostentypen!$A$3:$E$21,3,0)=0,"",IF(OR(F149="Arbeidskosten",F149="Vergoeding"),VLOOKUP(G149,Tb_KostenTypen[],2,0),VLOOKUP(F149,Kostentypen!$A$3:$E$20,3,0))),"")</f>
        <v/>
      </c>
      <c r="I149" s="314"/>
      <c r="J149" s="315"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15"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2"/>
      <c r="M149" s="362"/>
      <c r="N149" s="316"/>
      <c r="O149" s="316"/>
      <c r="P149" s="317"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17"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17" t="str" cm="1">
        <f t="array" aca="1" ref="R149" ca="1">IFERROR(_xlfn.IFS(OR(F149="",LEFT(Methode_Keuze,4)="Geen",Methode_Keuze=""),"",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17" t="str" cm="1">
        <f t="array" aca="1" ref="S149" ca="1">IFERROR(_xlfn.IFS(OR(F149="",LEFT(Methode_Keuze,4)="Geen",Methode_Keuze=""),"",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18" t="str">
        <f>IFERROR(VLOOKUP(F149,Tb_ProjectKosten[#All],11,0),"")</f>
        <v/>
      </c>
      <c r="U149" s="319"/>
    </row>
    <row r="150" spans="1:21" x14ac:dyDescent="0.25">
      <c r="A150" s="312">
        <f>MAX($A$5:A149)+1</f>
        <v>145</v>
      </c>
      <c r="B150" s="299"/>
      <c r="C150" s="299"/>
      <c r="D150" s="299"/>
      <c r="E150" s="299"/>
      <c r="F150" s="299"/>
      <c r="G150" s="331"/>
      <c r="H150" s="313" t="str">
        <f ca="1">IFERROR(IF(VLOOKUP(F150,Kostentypen!$A$3:$E$21,3,0)=0,"",IF(OR(F150="Arbeidskosten",F150="Vergoeding"),VLOOKUP(G150,Tb_KostenTypen[],2,0),VLOOKUP(F150,Kostentypen!$A$3:$E$20,3,0))),"")</f>
        <v/>
      </c>
      <c r="I150" s="314"/>
      <c r="J150" s="315"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15"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2"/>
      <c r="M150" s="362"/>
      <c r="N150" s="316"/>
      <c r="O150" s="316"/>
      <c r="P150" s="317"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17"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17" t="str" cm="1">
        <f t="array" aca="1" ref="R150" ca="1">IFERROR(_xlfn.IFS(OR(F150="",LEFT(Methode_Keuze,4)="Geen",Methode_Keuze=""),"",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17" t="str" cm="1">
        <f t="array" aca="1" ref="S150" ca="1">IFERROR(_xlfn.IFS(OR(F150="",LEFT(Methode_Keuze,4)="Geen",Methode_Keuze=""),"",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18" t="str">
        <f>IFERROR(VLOOKUP(F150,Tb_ProjectKosten[#All],11,0),"")</f>
        <v/>
      </c>
      <c r="U150" s="319"/>
    </row>
    <row r="151" spans="1:21" x14ac:dyDescent="0.25">
      <c r="A151" s="312">
        <f>MAX($A$5:A150)+1</f>
        <v>146</v>
      </c>
      <c r="B151" s="299"/>
      <c r="C151" s="299"/>
      <c r="D151" s="299"/>
      <c r="E151" s="299"/>
      <c r="F151" s="299"/>
      <c r="G151" s="331"/>
      <c r="H151" s="313" t="str">
        <f ca="1">IFERROR(IF(VLOOKUP(F151,Kostentypen!$A$3:$E$21,3,0)=0,"",IF(OR(F151="Arbeidskosten",F151="Vergoeding"),VLOOKUP(G151,Tb_KostenTypen[],2,0),VLOOKUP(F151,Kostentypen!$A$3:$E$20,3,0))),"")</f>
        <v/>
      </c>
      <c r="I151" s="314"/>
      <c r="J151" s="315"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15"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2"/>
      <c r="M151" s="362"/>
      <c r="N151" s="316"/>
      <c r="O151" s="316"/>
      <c r="P151" s="317"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17"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17" t="str" cm="1">
        <f t="array" aca="1" ref="R151" ca="1">IFERROR(_xlfn.IFS(OR(F151="",LEFT(Methode_Keuze,4)="Geen",Methode_Keuze=""),"",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17" t="str" cm="1">
        <f t="array" aca="1" ref="S151" ca="1">IFERROR(_xlfn.IFS(OR(F151="",LEFT(Methode_Keuze,4)="Geen",Methode_Keuze=""),"",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18" t="str">
        <f>IFERROR(VLOOKUP(F151,Tb_ProjectKosten[#All],11,0),"")</f>
        <v/>
      </c>
      <c r="U151" s="319"/>
    </row>
    <row r="152" spans="1:21" x14ac:dyDescent="0.25">
      <c r="A152" s="312">
        <f>MAX($A$5:A151)+1</f>
        <v>147</v>
      </c>
      <c r="B152" s="299"/>
      <c r="C152" s="299"/>
      <c r="D152" s="299"/>
      <c r="E152" s="299"/>
      <c r="F152" s="299"/>
      <c r="G152" s="331"/>
      <c r="H152" s="313" t="str">
        <f ca="1">IFERROR(IF(VLOOKUP(F152,Kostentypen!$A$3:$E$21,3,0)=0,"",IF(OR(F152="Arbeidskosten",F152="Vergoeding"),VLOOKUP(G152,Tb_KostenTypen[],2,0),VLOOKUP(F152,Kostentypen!$A$3:$E$20,3,0))),"")</f>
        <v/>
      </c>
      <c r="I152" s="314"/>
      <c r="J152" s="315"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15"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2"/>
      <c r="M152" s="362"/>
      <c r="N152" s="316"/>
      <c r="O152" s="316"/>
      <c r="P152" s="317"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17"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17" t="str" cm="1">
        <f t="array" aca="1" ref="R152" ca="1">IFERROR(_xlfn.IFS(OR(F152="",LEFT(Methode_Keuze,4)="Geen",Methode_Keuze=""),"",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17" t="str" cm="1">
        <f t="array" aca="1" ref="S152" ca="1">IFERROR(_xlfn.IFS(OR(F152="",LEFT(Methode_Keuze,4)="Geen",Methode_Keuze=""),"",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18" t="str">
        <f>IFERROR(VLOOKUP(F152,Tb_ProjectKosten[#All],11,0),"")</f>
        <v/>
      </c>
      <c r="U152" s="319"/>
    </row>
    <row r="153" spans="1:21" x14ac:dyDescent="0.25">
      <c r="A153" s="312">
        <f>MAX($A$5:A152)+1</f>
        <v>148</v>
      </c>
      <c r="B153" s="299"/>
      <c r="C153" s="299"/>
      <c r="D153" s="299"/>
      <c r="E153" s="299"/>
      <c r="F153" s="299"/>
      <c r="G153" s="331"/>
      <c r="H153" s="313" t="str">
        <f ca="1">IFERROR(IF(VLOOKUP(F153,Kostentypen!$A$3:$E$21,3,0)=0,"",IF(OR(F153="Arbeidskosten",F153="Vergoeding"),VLOOKUP(G153,Tb_KostenTypen[],2,0),VLOOKUP(F153,Kostentypen!$A$3:$E$20,3,0))),"")</f>
        <v/>
      </c>
      <c r="I153" s="314"/>
      <c r="J153" s="315"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15"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2"/>
      <c r="M153" s="362"/>
      <c r="N153" s="316"/>
      <c r="O153" s="316"/>
      <c r="P153" s="317"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17"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17" t="str" cm="1">
        <f t="array" aca="1" ref="R153" ca="1">IFERROR(_xlfn.IFS(OR(F153="",LEFT(Methode_Keuze,4)="Geen",Methode_Keuze=""),"",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17" t="str" cm="1">
        <f t="array" aca="1" ref="S153" ca="1">IFERROR(_xlfn.IFS(OR(F153="",LEFT(Methode_Keuze,4)="Geen",Methode_Keuze=""),"",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18" t="str">
        <f>IFERROR(VLOOKUP(F153,Tb_ProjectKosten[#All],11,0),"")</f>
        <v/>
      </c>
      <c r="U153" s="319"/>
    </row>
    <row r="154" spans="1:21" x14ac:dyDescent="0.25">
      <c r="A154" s="312">
        <f>MAX($A$5:A153)+1</f>
        <v>149</v>
      </c>
      <c r="B154" s="299"/>
      <c r="C154" s="299"/>
      <c r="D154" s="299"/>
      <c r="E154" s="299"/>
      <c r="F154" s="299"/>
      <c r="G154" s="331"/>
      <c r="H154" s="313" t="str">
        <f ca="1">IFERROR(IF(VLOOKUP(F154,Kostentypen!$A$3:$E$21,3,0)=0,"",IF(OR(F154="Arbeidskosten",F154="Vergoeding"),VLOOKUP(G154,Tb_KostenTypen[],2,0),VLOOKUP(F154,Kostentypen!$A$3:$E$20,3,0))),"")</f>
        <v/>
      </c>
      <c r="I154" s="314"/>
      <c r="J154" s="315"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15"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2"/>
      <c r="M154" s="362"/>
      <c r="N154" s="316"/>
      <c r="O154" s="316"/>
      <c r="P154" s="317"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17"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17" t="str" cm="1">
        <f t="array" aca="1" ref="R154" ca="1">IFERROR(_xlfn.IFS(OR(F154="",LEFT(Methode_Keuze,4)="Geen",Methode_Keuze=""),"",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17" t="str" cm="1">
        <f t="array" aca="1" ref="S154" ca="1">IFERROR(_xlfn.IFS(OR(F154="",LEFT(Methode_Keuze,4)="Geen",Methode_Keuze=""),"",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18" t="str">
        <f>IFERROR(VLOOKUP(F154,Tb_ProjectKosten[#All],11,0),"")</f>
        <v/>
      </c>
      <c r="U154" s="319"/>
    </row>
    <row r="155" spans="1:21" x14ac:dyDescent="0.25">
      <c r="A155" s="312">
        <f>MAX($A$5:A154)+1</f>
        <v>150</v>
      </c>
      <c r="B155" s="299"/>
      <c r="C155" s="299"/>
      <c r="D155" s="299"/>
      <c r="E155" s="299"/>
      <c r="F155" s="299"/>
      <c r="G155" s="331"/>
      <c r="H155" s="313" t="str">
        <f ca="1">IFERROR(IF(VLOOKUP(F155,Kostentypen!$A$3:$E$21,3,0)=0,"",IF(OR(F155="Arbeidskosten",F155="Vergoeding"),VLOOKUP(G155,Tb_KostenTypen[],2,0),VLOOKUP(F155,Kostentypen!$A$3:$E$20,3,0))),"")</f>
        <v/>
      </c>
      <c r="I155" s="314"/>
      <c r="J155" s="315"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15"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2"/>
      <c r="M155" s="362"/>
      <c r="N155" s="316"/>
      <c r="O155" s="316"/>
      <c r="P155" s="317"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17"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17" t="str" cm="1">
        <f t="array" aca="1" ref="R155" ca="1">IFERROR(_xlfn.IFS(OR(F155="",LEFT(Methode_Keuze,4)="Geen",Methode_Keuze=""),"",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17" t="str" cm="1">
        <f t="array" aca="1" ref="S155" ca="1">IFERROR(_xlfn.IFS(OR(F155="",LEFT(Methode_Keuze,4)="Geen",Methode_Keuze=""),"",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18" t="str">
        <f>IFERROR(VLOOKUP(F155,Tb_ProjectKosten[#All],11,0),"")</f>
        <v/>
      </c>
      <c r="U155" s="319"/>
    </row>
    <row r="156" spans="1:21" x14ac:dyDescent="0.25">
      <c r="A156" s="312">
        <f>MAX($A$5:A155)+1</f>
        <v>151</v>
      </c>
      <c r="B156" s="299"/>
      <c r="C156" s="299"/>
      <c r="D156" s="299"/>
      <c r="E156" s="299"/>
      <c r="F156" s="299"/>
      <c r="G156" s="331"/>
      <c r="H156" s="313" t="str">
        <f ca="1">IFERROR(IF(VLOOKUP(F156,Kostentypen!$A$3:$E$21,3,0)=0,"",IF(OR(F156="Arbeidskosten",F156="Vergoeding"),VLOOKUP(G156,Tb_KostenTypen[],2,0),VLOOKUP(F156,Kostentypen!$A$3:$E$20,3,0))),"")</f>
        <v/>
      </c>
      <c r="I156" s="314"/>
      <c r="J156" s="315"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15"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2"/>
      <c r="M156" s="362"/>
      <c r="N156" s="316"/>
      <c r="O156" s="316"/>
      <c r="P156" s="317"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17"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17" t="str" cm="1">
        <f t="array" aca="1" ref="R156" ca="1">IFERROR(_xlfn.IFS(OR(F156="",LEFT(Methode_Keuze,4)="Geen",Methode_Keuze=""),"",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17" t="str" cm="1">
        <f t="array" aca="1" ref="S156" ca="1">IFERROR(_xlfn.IFS(OR(F156="",LEFT(Methode_Keuze,4)="Geen",Methode_Keuze=""),"",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18" t="str">
        <f>IFERROR(VLOOKUP(F156,Tb_ProjectKosten[#All],11,0),"")</f>
        <v/>
      </c>
      <c r="U156" s="319"/>
    </row>
    <row r="157" spans="1:21" x14ac:dyDescent="0.25">
      <c r="A157" s="312">
        <f>MAX($A$5:A156)+1</f>
        <v>152</v>
      </c>
      <c r="B157" s="299"/>
      <c r="C157" s="299"/>
      <c r="D157" s="299"/>
      <c r="E157" s="299"/>
      <c r="F157" s="299"/>
      <c r="G157" s="331"/>
      <c r="H157" s="313" t="str">
        <f ca="1">IFERROR(IF(VLOOKUP(F157,Kostentypen!$A$3:$E$21,3,0)=0,"",IF(OR(F157="Arbeidskosten",F157="Vergoeding"),VLOOKUP(G157,Tb_KostenTypen[],2,0),VLOOKUP(F157,Kostentypen!$A$3:$E$20,3,0))),"")</f>
        <v/>
      </c>
      <c r="I157" s="314"/>
      <c r="J157" s="315"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15"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2"/>
      <c r="M157" s="362"/>
      <c r="N157" s="316"/>
      <c r="O157" s="316"/>
      <c r="P157" s="317"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17"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17" t="str" cm="1">
        <f t="array" aca="1" ref="R157" ca="1">IFERROR(_xlfn.IFS(OR(F157="",LEFT(Methode_Keuze,4)="Geen",Methode_Keuze=""),"",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17" t="str" cm="1">
        <f t="array" aca="1" ref="S157" ca="1">IFERROR(_xlfn.IFS(OR(F157="",LEFT(Methode_Keuze,4)="Geen",Methode_Keuze=""),"",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18" t="str">
        <f>IFERROR(VLOOKUP(F157,Tb_ProjectKosten[#All],11,0),"")</f>
        <v/>
      </c>
      <c r="U157" s="319"/>
    </row>
    <row r="158" spans="1:21" x14ac:dyDescent="0.25">
      <c r="A158" s="312">
        <f>MAX($A$5:A157)+1</f>
        <v>153</v>
      </c>
      <c r="B158" s="299"/>
      <c r="C158" s="299"/>
      <c r="D158" s="299"/>
      <c r="E158" s="299"/>
      <c r="F158" s="299"/>
      <c r="G158" s="331"/>
      <c r="H158" s="313" t="str">
        <f ca="1">IFERROR(IF(VLOOKUP(F158,Kostentypen!$A$3:$E$21,3,0)=0,"",IF(OR(F158="Arbeidskosten",F158="Vergoeding"),VLOOKUP(G158,Tb_KostenTypen[],2,0),VLOOKUP(F158,Kostentypen!$A$3:$E$20,3,0))),"")</f>
        <v/>
      </c>
      <c r="I158" s="314"/>
      <c r="J158" s="315"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15"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2"/>
      <c r="M158" s="362"/>
      <c r="N158" s="316"/>
      <c r="O158" s="316"/>
      <c r="P158" s="317"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17"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17" t="str" cm="1">
        <f t="array" aca="1" ref="R158" ca="1">IFERROR(_xlfn.IFS(OR(F158="",LEFT(Methode_Keuze,4)="Geen",Methode_Keuze=""),"",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17" t="str" cm="1">
        <f t="array" aca="1" ref="S158" ca="1">IFERROR(_xlfn.IFS(OR(F158="",LEFT(Methode_Keuze,4)="Geen",Methode_Keuze=""),"",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18" t="str">
        <f>IFERROR(VLOOKUP(F158,Tb_ProjectKosten[#All],11,0),"")</f>
        <v/>
      </c>
      <c r="U158" s="319"/>
    </row>
    <row r="159" spans="1:21" x14ac:dyDescent="0.25">
      <c r="A159" s="312">
        <f>MAX($A$5:A158)+1</f>
        <v>154</v>
      </c>
      <c r="B159" s="299"/>
      <c r="C159" s="299"/>
      <c r="D159" s="299"/>
      <c r="E159" s="299"/>
      <c r="F159" s="299"/>
      <c r="G159" s="331"/>
      <c r="H159" s="313" t="str">
        <f ca="1">IFERROR(IF(VLOOKUP(F159,Kostentypen!$A$3:$E$21,3,0)=0,"",IF(OR(F159="Arbeidskosten",F159="Vergoeding"),VLOOKUP(G159,Tb_KostenTypen[],2,0),VLOOKUP(F159,Kostentypen!$A$3:$E$20,3,0))),"")</f>
        <v/>
      </c>
      <c r="I159" s="314"/>
      <c r="J159" s="315"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15"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2"/>
      <c r="M159" s="362"/>
      <c r="N159" s="316"/>
      <c r="O159" s="316"/>
      <c r="P159" s="317"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17"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17" t="str" cm="1">
        <f t="array" aca="1" ref="R159" ca="1">IFERROR(_xlfn.IFS(OR(F159="",LEFT(Methode_Keuze,4)="Geen",Methode_Keuze=""),"",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17" t="str" cm="1">
        <f t="array" aca="1" ref="S159" ca="1">IFERROR(_xlfn.IFS(OR(F159="",LEFT(Methode_Keuze,4)="Geen",Methode_Keuze=""),"",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18" t="str">
        <f>IFERROR(VLOOKUP(F159,Tb_ProjectKosten[#All],11,0),"")</f>
        <v/>
      </c>
      <c r="U159" s="319"/>
    </row>
    <row r="160" spans="1:21" x14ac:dyDescent="0.25">
      <c r="A160" s="312">
        <f>MAX($A$5:A159)+1</f>
        <v>155</v>
      </c>
      <c r="B160" s="299"/>
      <c r="C160" s="299"/>
      <c r="D160" s="299"/>
      <c r="E160" s="299"/>
      <c r="F160" s="299"/>
      <c r="G160" s="331"/>
      <c r="H160" s="313" t="str">
        <f ca="1">IFERROR(IF(VLOOKUP(F160,Kostentypen!$A$3:$E$21,3,0)=0,"",IF(OR(F160="Arbeidskosten",F160="Vergoeding"),VLOOKUP(G160,Tb_KostenTypen[],2,0),VLOOKUP(F160,Kostentypen!$A$3:$E$20,3,0))),"")</f>
        <v/>
      </c>
      <c r="I160" s="314"/>
      <c r="J160" s="315"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15"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2"/>
      <c r="M160" s="362"/>
      <c r="N160" s="316"/>
      <c r="O160" s="316"/>
      <c r="P160" s="317"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17"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17" t="str" cm="1">
        <f t="array" aca="1" ref="R160" ca="1">IFERROR(_xlfn.IFS(OR(F160="",LEFT(Methode_Keuze,4)="Geen",Methode_Keuze=""),"",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17" t="str" cm="1">
        <f t="array" aca="1" ref="S160" ca="1">IFERROR(_xlfn.IFS(OR(F160="",LEFT(Methode_Keuze,4)="Geen",Methode_Keuze=""),"",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18" t="str">
        <f>IFERROR(VLOOKUP(F160,Tb_ProjectKosten[#All],11,0),"")</f>
        <v/>
      </c>
      <c r="U160" s="319"/>
    </row>
    <row r="161" spans="1:21" x14ac:dyDescent="0.25">
      <c r="A161" s="312">
        <f>MAX($A$5:A160)+1</f>
        <v>156</v>
      </c>
      <c r="B161" s="299"/>
      <c r="C161" s="299"/>
      <c r="D161" s="299"/>
      <c r="E161" s="299"/>
      <c r="F161" s="299"/>
      <c r="G161" s="331"/>
      <c r="H161" s="313" t="str">
        <f ca="1">IFERROR(IF(VLOOKUP(F161,Kostentypen!$A$3:$E$21,3,0)=0,"",IF(OR(F161="Arbeidskosten",F161="Vergoeding"),VLOOKUP(G161,Tb_KostenTypen[],2,0),VLOOKUP(F161,Kostentypen!$A$3:$E$20,3,0))),"")</f>
        <v/>
      </c>
      <c r="I161" s="314"/>
      <c r="J161" s="315"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15"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2"/>
      <c r="M161" s="362"/>
      <c r="N161" s="316"/>
      <c r="O161" s="316"/>
      <c r="P161" s="317"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17"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17" t="str" cm="1">
        <f t="array" aca="1" ref="R161" ca="1">IFERROR(_xlfn.IFS(OR(F161="",LEFT(Methode_Keuze,4)="Geen",Methode_Keuze=""),"",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17" t="str" cm="1">
        <f t="array" aca="1" ref="S161" ca="1">IFERROR(_xlfn.IFS(OR(F161="",LEFT(Methode_Keuze,4)="Geen",Methode_Keuze=""),"",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18" t="str">
        <f>IFERROR(VLOOKUP(F161,Tb_ProjectKosten[#All],11,0),"")</f>
        <v/>
      </c>
      <c r="U161" s="319"/>
    </row>
    <row r="162" spans="1:21" x14ac:dyDescent="0.25">
      <c r="A162" s="312">
        <f>MAX($A$5:A161)+1</f>
        <v>157</v>
      </c>
      <c r="B162" s="299"/>
      <c r="C162" s="299"/>
      <c r="D162" s="299"/>
      <c r="E162" s="299"/>
      <c r="F162" s="299"/>
      <c r="G162" s="331"/>
      <c r="H162" s="313" t="str">
        <f ca="1">IFERROR(IF(VLOOKUP(F162,Kostentypen!$A$3:$E$21,3,0)=0,"",IF(OR(F162="Arbeidskosten",F162="Vergoeding"),VLOOKUP(G162,Tb_KostenTypen[],2,0),VLOOKUP(F162,Kostentypen!$A$3:$E$20,3,0))),"")</f>
        <v/>
      </c>
      <c r="I162" s="314"/>
      <c r="J162" s="315"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15"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2"/>
      <c r="M162" s="362"/>
      <c r="N162" s="316"/>
      <c r="O162" s="316"/>
      <c r="P162" s="317"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17"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17" t="str" cm="1">
        <f t="array" aca="1" ref="R162" ca="1">IFERROR(_xlfn.IFS(OR(F162="",LEFT(Methode_Keuze,4)="Geen",Methode_Keuze=""),"",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17" t="str" cm="1">
        <f t="array" aca="1" ref="S162" ca="1">IFERROR(_xlfn.IFS(OR(F162="",LEFT(Methode_Keuze,4)="Geen",Methode_Keuze=""),"",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18" t="str">
        <f>IFERROR(VLOOKUP(F162,Tb_ProjectKosten[#All],11,0),"")</f>
        <v/>
      </c>
      <c r="U162" s="319"/>
    </row>
    <row r="163" spans="1:21" x14ac:dyDescent="0.25">
      <c r="A163" s="312">
        <f>MAX($A$5:A162)+1</f>
        <v>158</v>
      </c>
      <c r="B163" s="299"/>
      <c r="C163" s="299"/>
      <c r="D163" s="299"/>
      <c r="E163" s="299"/>
      <c r="F163" s="299"/>
      <c r="G163" s="331"/>
      <c r="H163" s="313" t="str">
        <f ca="1">IFERROR(IF(VLOOKUP(F163,Kostentypen!$A$3:$E$21,3,0)=0,"",IF(OR(F163="Arbeidskosten",F163="Vergoeding"),VLOOKUP(G163,Tb_KostenTypen[],2,0),VLOOKUP(F163,Kostentypen!$A$3:$E$20,3,0))),"")</f>
        <v/>
      </c>
      <c r="I163" s="314"/>
      <c r="J163" s="315"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15"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2"/>
      <c r="M163" s="362"/>
      <c r="N163" s="316"/>
      <c r="O163" s="316"/>
      <c r="P163" s="317"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17"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17" t="str" cm="1">
        <f t="array" aca="1" ref="R163" ca="1">IFERROR(_xlfn.IFS(OR(F163="",LEFT(Methode_Keuze,4)="Geen",Methode_Keuze=""),"",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17" t="str" cm="1">
        <f t="array" aca="1" ref="S163" ca="1">IFERROR(_xlfn.IFS(OR(F163="",LEFT(Methode_Keuze,4)="Geen",Methode_Keuze=""),"",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18" t="str">
        <f>IFERROR(VLOOKUP(F163,Tb_ProjectKosten[#All],11,0),"")</f>
        <v/>
      </c>
      <c r="U163" s="319"/>
    </row>
    <row r="164" spans="1:21" x14ac:dyDescent="0.25">
      <c r="A164" s="312">
        <f>MAX($A$5:A163)+1</f>
        <v>159</v>
      </c>
      <c r="B164" s="299"/>
      <c r="C164" s="299"/>
      <c r="D164" s="299"/>
      <c r="E164" s="299"/>
      <c r="F164" s="299"/>
      <c r="G164" s="331"/>
      <c r="H164" s="313" t="str">
        <f ca="1">IFERROR(IF(VLOOKUP(F164,Kostentypen!$A$3:$E$21,3,0)=0,"",IF(OR(F164="Arbeidskosten",F164="Vergoeding"),VLOOKUP(G164,Tb_KostenTypen[],2,0),VLOOKUP(F164,Kostentypen!$A$3:$E$20,3,0))),"")</f>
        <v/>
      </c>
      <c r="I164" s="314"/>
      <c r="J164" s="315"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15"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2"/>
      <c r="M164" s="362"/>
      <c r="N164" s="316"/>
      <c r="O164" s="316"/>
      <c r="P164" s="317"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17"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17" t="str" cm="1">
        <f t="array" aca="1" ref="R164" ca="1">IFERROR(_xlfn.IFS(OR(F164="",LEFT(Methode_Keuze,4)="Geen",Methode_Keuze=""),"",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17" t="str" cm="1">
        <f t="array" aca="1" ref="S164" ca="1">IFERROR(_xlfn.IFS(OR(F164="",LEFT(Methode_Keuze,4)="Geen",Methode_Keuze=""),"",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18" t="str">
        <f>IFERROR(VLOOKUP(F164,Tb_ProjectKosten[#All],11,0),"")</f>
        <v/>
      </c>
      <c r="U164" s="319"/>
    </row>
    <row r="165" spans="1:21" x14ac:dyDescent="0.25">
      <c r="A165" s="312">
        <f>MAX($A$5:A164)+1</f>
        <v>160</v>
      </c>
      <c r="B165" s="299"/>
      <c r="C165" s="299"/>
      <c r="D165" s="299"/>
      <c r="E165" s="299"/>
      <c r="F165" s="299"/>
      <c r="G165" s="331"/>
      <c r="H165" s="313" t="str">
        <f ca="1">IFERROR(IF(VLOOKUP(F165,Kostentypen!$A$3:$E$21,3,0)=0,"",IF(OR(F165="Arbeidskosten",F165="Vergoeding"),VLOOKUP(G165,Tb_KostenTypen[],2,0),VLOOKUP(F165,Kostentypen!$A$3:$E$20,3,0))),"")</f>
        <v/>
      </c>
      <c r="I165" s="314"/>
      <c r="J165" s="315"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15"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2"/>
      <c r="M165" s="362"/>
      <c r="N165" s="316"/>
      <c r="O165" s="316"/>
      <c r="P165" s="317"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17"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17" t="str" cm="1">
        <f t="array" aca="1" ref="R165" ca="1">IFERROR(_xlfn.IFS(OR(F165="",LEFT(Methode_Keuze,4)="Geen",Methode_Keuze=""),"",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17" t="str" cm="1">
        <f t="array" aca="1" ref="S165" ca="1">IFERROR(_xlfn.IFS(OR(F165="",LEFT(Methode_Keuze,4)="Geen",Methode_Keuze=""),"",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18" t="str">
        <f>IFERROR(VLOOKUP(F165,Tb_ProjectKosten[#All],11,0),"")</f>
        <v/>
      </c>
      <c r="U165" s="319"/>
    </row>
    <row r="166" spans="1:21" x14ac:dyDescent="0.25">
      <c r="A166" s="312">
        <f>MAX($A$5:A165)+1</f>
        <v>161</v>
      </c>
      <c r="B166" s="299"/>
      <c r="C166" s="299"/>
      <c r="D166" s="299"/>
      <c r="E166" s="299"/>
      <c r="F166" s="299"/>
      <c r="G166" s="331"/>
      <c r="H166" s="313" t="str">
        <f ca="1">IFERROR(IF(VLOOKUP(F166,Kostentypen!$A$3:$E$21,3,0)=0,"",IF(OR(F166="Arbeidskosten",F166="Vergoeding"),VLOOKUP(G166,Tb_KostenTypen[],2,0),VLOOKUP(F166,Kostentypen!$A$3:$E$20,3,0))),"")</f>
        <v/>
      </c>
      <c r="I166" s="314"/>
      <c r="J166" s="315"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15"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2"/>
      <c r="M166" s="362"/>
      <c r="N166" s="316"/>
      <c r="O166" s="316"/>
      <c r="P166" s="317"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17"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17" t="str" cm="1">
        <f t="array" aca="1" ref="R166" ca="1">IFERROR(_xlfn.IFS(OR(F166="",LEFT(Methode_Keuze,4)="Geen",Methode_Keuze=""),"",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17" t="str" cm="1">
        <f t="array" aca="1" ref="S166" ca="1">IFERROR(_xlfn.IFS(OR(F166="",LEFT(Methode_Keuze,4)="Geen",Methode_Keuze=""),"",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18" t="str">
        <f>IFERROR(VLOOKUP(F166,Tb_ProjectKosten[#All],11,0),"")</f>
        <v/>
      </c>
      <c r="U166" s="319"/>
    </row>
    <row r="167" spans="1:21" x14ac:dyDescent="0.25">
      <c r="A167" s="312">
        <f>MAX($A$5:A166)+1</f>
        <v>162</v>
      </c>
      <c r="B167" s="299"/>
      <c r="C167" s="299"/>
      <c r="D167" s="299"/>
      <c r="E167" s="299"/>
      <c r="F167" s="299"/>
      <c r="G167" s="331"/>
      <c r="H167" s="313" t="str">
        <f ca="1">IFERROR(IF(VLOOKUP(F167,Kostentypen!$A$3:$E$21,3,0)=0,"",IF(OR(F167="Arbeidskosten",F167="Vergoeding"),VLOOKUP(G167,Tb_KostenTypen[],2,0),VLOOKUP(F167,Kostentypen!$A$3:$E$20,3,0))),"")</f>
        <v/>
      </c>
      <c r="I167" s="314"/>
      <c r="J167" s="315"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15"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2"/>
      <c r="M167" s="362"/>
      <c r="N167" s="316"/>
      <c r="O167" s="316"/>
      <c r="P167" s="317"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17"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17" t="str" cm="1">
        <f t="array" aca="1" ref="R167" ca="1">IFERROR(_xlfn.IFS(OR(F167="",LEFT(Methode_Keuze,4)="Geen",Methode_Keuze=""),"",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17" t="str" cm="1">
        <f t="array" aca="1" ref="S167" ca="1">IFERROR(_xlfn.IFS(OR(F167="",LEFT(Methode_Keuze,4)="Geen",Methode_Keuze=""),"",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18" t="str">
        <f>IFERROR(VLOOKUP(F167,Tb_ProjectKosten[#All],11,0),"")</f>
        <v/>
      </c>
      <c r="U167" s="319"/>
    </row>
    <row r="168" spans="1:21" x14ac:dyDescent="0.25">
      <c r="A168" s="312">
        <f>MAX($A$5:A167)+1</f>
        <v>163</v>
      </c>
      <c r="B168" s="299"/>
      <c r="C168" s="299"/>
      <c r="D168" s="299"/>
      <c r="E168" s="299"/>
      <c r="F168" s="299"/>
      <c r="G168" s="331"/>
      <c r="H168" s="313" t="str">
        <f ca="1">IFERROR(IF(VLOOKUP(F168,Kostentypen!$A$3:$E$21,3,0)=0,"",IF(OR(F168="Arbeidskosten",F168="Vergoeding"),VLOOKUP(G168,Tb_KostenTypen[],2,0),VLOOKUP(F168,Kostentypen!$A$3:$E$20,3,0))),"")</f>
        <v/>
      </c>
      <c r="I168" s="314"/>
      <c r="J168" s="315"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15"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2"/>
      <c r="M168" s="362"/>
      <c r="N168" s="316"/>
      <c r="O168" s="316"/>
      <c r="P168" s="317"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17"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17" t="str" cm="1">
        <f t="array" aca="1" ref="R168" ca="1">IFERROR(_xlfn.IFS(OR(F168="",LEFT(Methode_Keuze,4)="Geen",Methode_Keuze=""),"",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17" t="str" cm="1">
        <f t="array" aca="1" ref="S168" ca="1">IFERROR(_xlfn.IFS(OR(F168="",LEFT(Methode_Keuze,4)="Geen",Methode_Keuze=""),"",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18" t="str">
        <f>IFERROR(VLOOKUP(F168,Tb_ProjectKosten[#All],11,0),"")</f>
        <v/>
      </c>
      <c r="U168" s="319"/>
    </row>
    <row r="169" spans="1:21" x14ac:dyDescent="0.25">
      <c r="A169" s="312">
        <f>MAX($A$5:A168)+1</f>
        <v>164</v>
      </c>
      <c r="B169" s="299"/>
      <c r="C169" s="299"/>
      <c r="D169" s="299"/>
      <c r="E169" s="299"/>
      <c r="F169" s="299"/>
      <c r="G169" s="331"/>
      <c r="H169" s="313" t="str">
        <f ca="1">IFERROR(IF(VLOOKUP(F169,Kostentypen!$A$3:$E$21,3,0)=0,"",IF(OR(F169="Arbeidskosten",F169="Vergoeding"),VLOOKUP(G169,Tb_KostenTypen[],2,0),VLOOKUP(F169,Kostentypen!$A$3:$E$20,3,0))),"")</f>
        <v/>
      </c>
      <c r="I169" s="314"/>
      <c r="J169" s="315"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15"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2"/>
      <c r="M169" s="362"/>
      <c r="N169" s="316"/>
      <c r="O169" s="316"/>
      <c r="P169" s="317"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17"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17" t="str" cm="1">
        <f t="array" aca="1" ref="R169" ca="1">IFERROR(_xlfn.IFS(OR(F169="",LEFT(Methode_Keuze,4)="Geen",Methode_Keuze=""),"",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17" t="str" cm="1">
        <f t="array" aca="1" ref="S169" ca="1">IFERROR(_xlfn.IFS(OR(F169="",LEFT(Methode_Keuze,4)="Geen",Methode_Keuze=""),"",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18" t="str">
        <f>IFERROR(VLOOKUP(F169,Tb_ProjectKosten[#All],11,0),"")</f>
        <v/>
      </c>
      <c r="U169" s="319"/>
    </row>
    <row r="170" spans="1:21" x14ac:dyDescent="0.25">
      <c r="A170" s="312">
        <f>MAX($A$5:A169)+1</f>
        <v>165</v>
      </c>
      <c r="B170" s="299"/>
      <c r="C170" s="299"/>
      <c r="D170" s="299"/>
      <c r="E170" s="299"/>
      <c r="F170" s="299"/>
      <c r="G170" s="331"/>
      <c r="H170" s="313" t="str">
        <f ca="1">IFERROR(IF(VLOOKUP(F170,Kostentypen!$A$3:$E$21,3,0)=0,"",IF(OR(F170="Arbeidskosten",F170="Vergoeding"),VLOOKUP(G170,Tb_KostenTypen[],2,0),VLOOKUP(F170,Kostentypen!$A$3:$E$20,3,0))),"")</f>
        <v/>
      </c>
      <c r="I170" s="314"/>
      <c r="J170" s="315"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15"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2"/>
      <c r="M170" s="362"/>
      <c r="N170" s="316"/>
      <c r="O170" s="316"/>
      <c r="P170" s="317"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17"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17" t="str" cm="1">
        <f t="array" aca="1" ref="R170" ca="1">IFERROR(_xlfn.IFS(OR(F170="",LEFT(Methode_Keuze,4)="Geen",Methode_Keuze=""),"",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17" t="str" cm="1">
        <f t="array" aca="1" ref="S170" ca="1">IFERROR(_xlfn.IFS(OR(F170="",LEFT(Methode_Keuze,4)="Geen",Methode_Keuze=""),"",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18" t="str">
        <f>IFERROR(VLOOKUP(F170,Tb_ProjectKosten[#All],11,0),"")</f>
        <v/>
      </c>
      <c r="U170" s="319"/>
    </row>
    <row r="171" spans="1:21" x14ac:dyDescent="0.25">
      <c r="A171" s="312">
        <f>MAX($A$5:A170)+1</f>
        <v>166</v>
      </c>
      <c r="B171" s="299"/>
      <c r="C171" s="299"/>
      <c r="D171" s="299"/>
      <c r="E171" s="299"/>
      <c r="F171" s="299"/>
      <c r="G171" s="331"/>
      <c r="H171" s="313" t="str">
        <f ca="1">IFERROR(IF(VLOOKUP(F171,Kostentypen!$A$3:$E$21,3,0)=0,"",IF(OR(F171="Arbeidskosten",F171="Vergoeding"),VLOOKUP(G171,Tb_KostenTypen[],2,0),VLOOKUP(F171,Kostentypen!$A$3:$E$20,3,0))),"")</f>
        <v/>
      </c>
      <c r="I171" s="314"/>
      <c r="J171" s="315"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15"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2"/>
      <c r="M171" s="362"/>
      <c r="N171" s="316"/>
      <c r="O171" s="316"/>
      <c r="P171" s="317"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17"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17" t="str" cm="1">
        <f t="array" aca="1" ref="R171" ca="1">IFERROR(_xlfn.IFS(OR(F171="",LEFT(Methode_Keuze,4)="Geen",Methode_Keuze=""),"",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17" t="str" cm="1">
        <f t="array" aca="1" ref="S171" ca="1">IFERROR(_xlfn.IFS(OR(F171="",LEFT(Methode_Keuze,4)="Geen",Methode_Keuze=""),"",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18" t="str">
        <f>IFERROR(VLOOKUP(F171,Tb_ProjectKosten[#All],11,0),"")</f>
        <v/>
      </c>
      <c r="U171" s="319"/>
    </row>
    <row r="172" spans="1:21" x14ac:dyDescent="0.25">
      <c r="A172" s="312">
        <f>MAX($A$5:A171)+1</f>
        <v>167</v>
      </c>
      <c r="B172" s="299"/>
      <c r="C172" s="299"/>
      <c r="D172" s="299"/>
      <c r="E172" s="299"/>
      <c r="F172" s="299"/>
      <c r="G172" s="331"/>
      <c r="H172" s="313" t="str">
        <f ca="1">IFERROR(IF(VLOOKUP(F172,Kostentypen!$A$3:$E$21,3,0)=0,"",IF(OR(F172="Arbeidskosten",F172="Vergoeding"),VLOOKUP(G172,Tb_KostenTypen[],2,0),VLOOKUP(F172,Kostentypen!$A$3:$E$20,3,0))),"")</f>
        <v/>
      </c>
      <c r="I172" s="314"/>
      <c r="J172" s="315"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15"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2"/>
      <c r="M172" s="362"/>
      <c r="N172" s="316"/>
      <c r="O172" s="316"/>
      <c r="P172" s="317"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17"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17" t="str" cm="1">
        <f t="array" aca="1" ref="R172" ca="1">IFERROR(_xlfn.IFS(OR(F172="",LEFT(Methode_Keuze,4)="Geen",Methode_Keuze=""),"",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17" t="str" cm="1">
        <f t="array" aca="1" ref="S172" ca="1">IFERROR(_xlfn.IFS(OR(F172="",LEFT(Methode_Keuze,4)="Geen",Methode_Keuze=""),"",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18" t="str">
        <f>IFERROR(VLOOKUP(F172,Tb_ProjectKosten[#All],11,0),"")</f>
        <v/>
      </c>
      <c r="U172" s="319"/>
    </row>
    <row r="173" spans="1:21" x14ac:dyDescent="0.25">
      <c r="A173" s="312">
        <f>MAX($A$5:A172)+1</f>
        <v>168</v>
      </c>
      <c r="B173" s="299"/>
      <c r="C173" s="299"/>
      <c r="D173" s="299"/>
      <c r="E173" s="299"/>
      <c r="F173" s="299"/>
      <c r="G173" s="331"/>
      <c r="H173" s="313" t="str">
        <f ca="1">IFERROR(IF(VLOOKUP(F173,Kostentypen!$A$3:$E$21,3,0)=0,"",IF(OR(F173="Arbeidskosten",F173="Vergoeding"),VLOOKUP(G173,Tb_KostenTypen[],2,0),VLOOKUP(F173,Kostentypen!$A$3:$E$20,3,0))),"")</f>
        <v/>
      </c>
      <c r="I173" s="314"/>
      <c r="J173" s="315"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15"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2"/>
      <c r="M173" s="362"/>
      <c r="N173" s="316"/>
      <c r="O173" s="316"/>
      <c r="P173" s="317"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17"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17" t="str" cm="1">
        <f t="array" aca="1" ref="R173" ca="1">IFERROR(_xlfn.IFS(OR(F173="",LEFT(Methode_Keuze,4)="Geen",Methode_Keuze=""),"",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17" t="str" cm="1">
        <f t="array" aca="1" ref="S173" ca="1">IFERROR(_xlfn.IFS(OR(F173="",LEFT(Methode_Keuze,4)="Geen",Methode_Keuze=""),"",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18" t="str">
        <f>IFERROR(VLOOKUP(F173,Tb_ProjectKosten[#All],11,0),"")</f>
        <v/>
      </c>
      <c r="U173" s="319"/>
    </row>
    <row r="174" spans="1:21" x14ac:dyDescent="0.25">
      <c r="A174" s="312">
        <f>MAX($A$5:A173)+1</f>
        <v>169</v>
      </c>
      <c r="B174" s="299"/>
      <c r="C174" s="299"/>
      <c r="D174" s="299"/>
      <c r="E174" s="299"/>
      <c r="F174" s="299"/>
      <c r="G174" s="331"/>
      <c r="H174" s="313" t="str">
        <f ca="1">IFERROR(IF(VLOOKUP(F174,Kostentypen!$A$3:$E$21,3,0)=0,"",IF(OR(F174="Arbeidskosten",F174="Vergoeding"),VLOOKUP(G174,Tb_KostenTypen[],2,0),VLOOKUP(F174,Kostentypen!$A$3:$E$20,3,0))),"")</f>
        <v/>
      </c>
      <c r="I174" s="314"/>
      <c r="J174" s="315"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15"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2"/>
      <c r="M174" s="362"/>
      <c r="N174" s="316"/>
      <c r="O174" s="316"/>
      <c r="P174" s="317"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17"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17" t="str" cm="1">
        <f t="array" aca="1" ref="R174" ca="1">IFERROR(_xlfn.IFS(OR(F174="",LEFT(Methode_Keuze,4)="Geen",Methode_Keuze=""),"",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17" t="str" cm="1">
        <f t="array" aca="1" ref="S174" ca="1">IFERROR(_xlfn.IFS(OR(F174="",LEFT(Methode_Keuze,4)="Geen",Methode_Keuze=""),"",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18" t="str">
        <f>IFERROR(VLOOKUP(F174,Tb_ProjectKosten[#All],11,0),"")</f>
        <v/>
      </c>
      <c r="U174" s="319"/>
    </row>
    <row r="175" spans="1:21" x14ac:dyDescent="0.25">
      <c r="A175" s="312">
        <f>MAX($A$5:A174)+1</f>
        <v>170</v>
      </c>
      <c r="B175" s="299"/>
      <c r="C175" s="299"/>
      <c r="D175" s="299"/>
      <c r="E175" s="299"/>
      <c r="F175" s="299"/>
      <c r="G175" s="331"/>
      <c r="H175" s="313" t="str">
        <f ca="1">IFERROR(IF(VLOOKUP(F175,Kostentypen!$A$3:$E$21,3,0)=0,"",IF(OR(F175="Arbeidskosten",F175="Vergoeding"),VLOOKUP(G175,Tb_KostenTypen[],2,0),VLOOKUP(F175,Kostentypen!$A$3:$E$20,3,0))),"")</f>
        <v/>
      </c>
      <c r="I175" s="314"/>
      <c r="J175" s="315"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15"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2"/>
      <c r="M175" s="362"/>
      <c r="N175" s="316"/>
      <c r="O175" s="316"/>
      <c r="P175" s="317"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17"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17" t="str" cm="1">
        <f t="array" aca="1" ref="R175" ca="1">IFERROR(_xlfn.IFS(OR(F175="",LEFT(Methode_Keuze,4)="Geen",Methode_Keuze=""),"",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17" t="str" cm="1">
        <f t="array" aca="1" ref="S175" ca="1">IFERROR(_xlfn.IFS(OR(F175="",LEFT(Methode_Keuze,4)="Geen",Methode_Keuze=""),"",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18" t="str">
        <f>IFERROR(VLOOKUP(F175,Tb_ProjectKosten[#All],11,0),"")</f>
        <v/>
      </c>
      <c r="U175" s="319"/>
    </row>
    <row r="176" spans="1:21" x14ac:dyDescent="0.25">
      <c r="A176" s="312">
        <f>MAX($A$5:A175)+1</f>
        <v>171</v>
      </c>
      <c r="B176" s="299"/>
      <c r="C176" s="299"/>
      <c r="D176" s="299"/>
      <c r="E176" s="299"/>
      <c r="F176" s="299"/>
      <c r="G176" s="331"/>
      <c r="H176" s="313" t="str">
        <f ca="1">IFERROR(IF(VLOOKUP(F176,Kostentypen!$A$3:$E$21,3,0)=0,"",IF(OR(F176="Arbeidskosten",F176="Vergoeding"),VLOOKUP(G176,Tb_KostenTypen[],2,0),VLOOKUP(F176,Kostentypen!$A$3:$E$20,3,0))),"")</f>
        <v/>
      </c>
      <c r="I176" s="314"/>
      <c r="J176" s="315"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15"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2"/>
      <c r="M176" s="362"/>
      <c r="N176" s="316"/>
      <c r="O176" s="316"/>
      <c r="P176" s="317"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17"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17" t="str" cm="1">
        <f t="array" aca="1" ref="R176" ca="1">IFERROR(_xlfn.IFS(OR(F176="",LEFT(Methode_Keuze,4)="Geen",Methode_Keuze=""),"",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17" t="str" cm="1">
        <f t="array" aca="1" ref="S176" ca="1">IFERROR(_xlfn.IFS(OR(F176="",LEFT(Methode_Keuze,4)="Geen",Methode_Keuze=""),"",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18" t="str">
        <f>IFERROR(VLOOKUP(F176,Tb_ProjectKosten[#All],11,0),"")</f>
        <v/>
      </c>
      <c r="U176" s="319"/>
    </row>
    <row r="177" spans="1:21" x14ac:dyDescent="0.25">
      <c r="A177" s="312">
        <f>MAX($A$5:A176)+1</f>
        <v>172</v>
      </c>
      <c r="B177" s="299"/>
      <c r="C177" s="299"/>
      <c r="D177" s="299"/>
      <c r="E177" s="299"/>
      <c r="F177" s="299"/>
      <c r="G177" s="331"/>
      <c r="H177" s="313" t="str">
        <f ca="1">IFERROR(IF(VLOOKUP(F177,Kostentypen!$A$3:$E$21,3,0)=0,"",IF(OR(F177="Arbeidskosten",F177="Vergoeding"),VLOOKUP(G177,Tb_KostenTypen[],2,0),VLOOKUP(F177,Kostentypen!$A$3:$E$20,3,0))),"")</f>
        <v/>
      </c>
      <c r="I177" s="314"/>
      <c r="J177" s="315"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15"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2"/>
      <c r="M177" s="362"/>
      <c r="N177" s="316"/>
      <c r="O177" s="316"/>
      <c r="P177" s="317"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17"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17" t="str" cm="1">
        <f t="array" aca="1" ref="R177" ca="1">IFERROR(_xlfn.IFS(OR(F177="",LEFT(Methode_Keuze,4)="Geen",Methode_Keuze=""),"",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17" t="str" cm="1">
        <f t="array" aca="1" ref="S177" ca="1">IFERROR(_xlfn.IFS(OR(F177="",LEFT(Methode_Keuze,4)="Geen",Methode_Keuze=""),"",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18" t="str">
        <f>IFERROR(VLOOKUP(F177,Tb_ProjectKosten[#All],11,0),"")</f>
        <v/>
      </c>
      <c r="U177" s="319"/>
    </row>
    <row r="178" spans="1:21" x14ac:dyDescent="0.25">
      <c r="A178" s="312">
        <f>MAX($A$5:A177)+1</f>
        <v>173</v>
      </c>
      <c r="B178" s="299"/>
      <c r="C178" s="299"/>
      <c r="D178" s="299"/>
      <c r="E178" s="299"/>
      <c r="F178" s="299"/>
      <c r="G178" s="331"/>
      <c r="H178" s="313" t="str">
        <f ca="1">IFERROR(IF(VLOOKUP(F178,Kostentypen!$A$3:$E$21,3,0)=0,"",IF(OR(F178="Arbeidskosten",F178="Vergoeding"),VLOOKUP(G178,Tb_KostenTypen[],2,0),VLOOKUP(F178,Kostentypen!$A$3:$E$20,3,0))),"")</f>
        <v/>
      </c>
      <c r="I178" s="314"/>
      <c r="J178" s="315"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15"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2"/>
      <c r="M178" s="362"/>
      <c r="N178" s="316"/>
      <c r="O178" s="316"/>
      <c r="P178" s="317"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17"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17" t="str" cm="1">
        <f t="array" aca="1" ref="R178" ca="1">IFERROR(_xlfn.IFS(OR(F178="",LEFT(Methode_Keuze,4)="Geen",Methode_Keuze=""),"",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17" t="str" cm="1">
        <f t="array" aca="1" ref="S178" ca="1">IFERROR(_xlfn.IFS(OR(F178="",LEFT(Methode_Keuze,4)="Geen",Methode_Keuze=""),"",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18" t="str">
        <f>IFERROR(VLOOKUP(F178,Tb_ProjectKosten[#All],11,0),"")</f>
        <v/>
      </c>
      <c r="U178" s="319"/>
    </row>
    <row r="179" spans="1:21" x14ac:dyDescent="0.25">
      <c r="A179" s="312">
        <f>MAX($A$5:A178)+1</f>
        <v>174</v>
      </c>
      <c r="B179" s="299"/>
      <c r="C179" s="299"/>
      <c r="D179" s="299"/>
      <c r="E179" s="299"/>
      <c r="F179" s="299"/>
      <c r="G179" s="331"/>
      <c r="H179" s="313" t="str">
        <f ca="1">IFERROR(IF(VLOOKUP(F179,Kostentypen!$A$3:$E$21,3,0)=0,"",IF(OR(F179="Arbeidskosten",F179="Vergoeding"),VLOOKUP(G179,Tb_KostenTypen[],2,0),VLOOKUP(F179,Kostentypen!$A$3:$E$20,3,0))),"")</f>
        <v/>
      </c>
      <c r="I179" s="314"/>
      <c r="J179" s="315"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15"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2"/>
      <c r="M179" s="362"/>
      <c r="N179" s="316"/>
      <c r="O179" s="316"/>
      <c r="P179" s="317"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17"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17" t="str" cm="1">
        <f t="array" aca="1" ref="R179" ca="1">IFERROR(_xlfn.IFS(OR(F179="",LEFT(Methode_Keuze,4)="Geen",Methode_Keuze=""),"",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17" t="str" cm="1">
        <f t="array" aca="1" ref="S179" ca="1">IFERROR(_xlfn.IFS(OR(F179="",LEFT(Methode_Keuze,4)="Geen",Methode_Keuze=""),"",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18" t="str">
        <f>IFERROR(VLOOKUP(F179,Tb_ProjectKosten[#All],11,0),"")</f>
        <v/>
      </c>
      <c r="U179" s="319"/>
    </row>
    <row r="180" spans="1:21" x14ac:dyDescent="0.25">
      <c r="A180" s="312">
        <f>MAX($A$5:A179)+1</f>
        <v>175</v>
      </c>
      <c r="B180" s="299"/>
      <c r="C180" s="299"/>
      <c r="D180" s="299"/>
      <c r="E180" s="299"/>
      <c r="F180" s="299"/>
      <c r="G180" s="331"/>
      <c r="H180" s="313" t="str">
        <f ca="1">IFERROR(IF(VLOOKUP(F180,Kostentypen!$A$3:$E$21,3,0)=0,"",IF(OR(F180="Arbeidskosten",F180="Vergoeding"),VLOOKUP(G180,Tb_KostenTypen[],2,0),VLOOKUP(F180,Kostentypen!$A$3:$E$20,3,0))),"")</f>
        <v/>
      </c>
      <c r="I180" s="314"/>
      <c r="J180" s="315"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15"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2"/>
      <c r="M180" s="362"/>
      <c r="N180" s="316"/>
      <c r="O180" s="316"/>
      <c r="P180" s="317"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17"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17" t="str" cm="1">
        <f t="array" aca="1" ref="R180" ca="1">IFERROR(_xlfn.IFS(OR(F180="",LEFT(Methode_Keuze,4)="Geen",Methode_Keuze=""),"",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17" t="str" cm="1">
        <f t="array" aca="1" ref="S180" ca="1">IFERROR(_xlfn.IFS(OR(F180="",LEFT(Methode_Keuze,4)="Geen",Methode_Keuze=""),"",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18" t="str">
        <f>IFERROR(VLOOKUP(F180,Tb_ProjectKosten[#All],11,0),"")</f>
        <v/>
      </c>
      <c r="U180" s="319"/>
    </row>
    <row r="181" spans="1:21" x14ac:dyDescent="0.25">
      <c r="A181" s="312">
        <f>MAX($A$5:A180)+1</f>
        <v>176</v>
      </c>
      <c r="B181" s="299"/>
      <c r="C181" s="299"/>
      <c r="D181" s="299"/>
      <c r="E181" s="299"/>
      <c r="F181" s="299"/>
      <c r="G181" s="331"/>
      <c r="H181" s="313" t="str">
        <f ca="1">IFERROR(IF(VLOOKUP(F181,Kostentypen!$A$3:$E$21,3,0)=0,"",IF(OR(F181="Arbeidskosten",F181="Vergoeding"),VLOOKUP(G181,Tb_KostenTypen[],2,0),VLOOKUP(F181,Kostentypen!$A$3:$E$20,3,0))),"")</f>
        <v/>
      </c>
      <c r="I181" s="314"/>
      <c r="J181" s="315"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15"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2"/>
      <c r="M181" s="362"/>
      <c r="N181" s="316"/>
      <c r="O181" s="316"/>
      <c r="P181" s="317"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17"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17" t="str" cm="1">
        <f t="array" aca="1" ref="R181" ca="1">IFERROR(_xlfn.IFS(OR(F181="",LEFT(Methode_Keuze,4)="Geen",Methode_Keuze=""),"",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17" t="str" cm="1">
        <f t="array" aca="1" ref="S181" ca="1">IFERROR(_xlfn.IFS(OR(F181="",LEFT(Methode_Keuze,4)="Geen",Methode_Keuze=""),"",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18" t="str">
        <f>IFERROR(VLOOKUP(F181,Tb_ProjectKosten[#All],11,0),"")</f>
        <v/>
      </c>
      <c r="U181" s="319"/>
    </row>
    <row r="182" spans="1:21" x14ac:dyDescent="0.25">
      <c r="A182" s="312">
        <f>MAX($A$5:A181)+1</f>
        <v>177</v>
      </c>
      <c r="B182" s="299"/>
      <c r="C182" s="299"/>
      <c r="D182" s="299"/>
      <c r="E182" s="299"/>
      <c r="F182" s="299"/>
      <c r="G182" s="331"/>
      <c r="H182" s="313" t="str">
        <f ca="1">IFERROR(IF(VLOOKUP(F182,Kostentypen!$A$3:$E$21,3,0)=0,"",IF(OR(F182="Arbeidskosten",F182="Vergoeding"),VLOOKUP(G182,Tb_KostenTypen[],2,0),VLOOKUP(F182,Kostentypen!$A$3:$E$20,3,0))),"")</f>
        <v/>
      </c>
      <c r="I182" s="314"/>
      <c r="J182" s="315"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15"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2"/>
      <c r="M182" s="362"/>
      <c r="N182" s="316"/>
      <c r="O182" s="316"/>
      <c r="P182" s="317"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17"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17" t="str" cm="1">
        <f t="array" aca="1" ref="R182" ca="1">IFERROR(_xlfn.IFS(OR(F182="",LEFT(Methode_Keuze,4)="Geen",Methode_Keuze=""),"",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17" t="str" cm="1">
        <f t="array" aca="1" ref="S182" ca="1">IFERROR(_xlfn.IFS(OR(F182="",LEFT(Methode_Keuze,4)="Geen",Methode_Keuze=""),"",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18" t="str">
        <f>IFERROR(VLOOKUP(F182,Tb_ProjectKosten[#All],11,0),"")</f>
        <v/>
      </c>
      <c r="U182" s="319"/>
    </row>
    <row r="183" spans="1:21" x14ac:dyDescent="0.25">
      <c r="A183" s="312">
        <f>MAX($A$5:A182)+1</f>
        <v>178</v>
      </c>
      <c r="B183" s="299"/>
      <c r="C183" s="299"/>
      <c r="D183" s="299"/>
      <c r="E183" s="299"/>
      <c r="F183" s="299"/>
      <c r="G183" s="331"/>
      <c r="H183" s="313" t="str">
        <f ca="1">IFERROR(IF(VLOOKUP(F183,Kostentypen!$A$3:$E$21,3,0)=0,"",IF(OR(F183="Arbeidskosten",F183="Vergoeding"),VLOOKUP(G183,Tb_KostenTypen[],2,0),VLOOKUP(F183,Kostentypen!$A$3:$E$20,3,0))),"")</f>
        <v/>
      </c>
      <c r="I183" s="314"/>
      <c r="J183" s="315"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15"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2"/>
      <c r="M183" s="362"/>
      <c r="N183" s="316"/>
      <c r="O183" s="316"/>
      <c r="P183" s="317"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17"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17" t="str" cm="1">
        <f t="array" aca="1" ref="R183" ca="1">IFERROR(_xlfn.IFS(OR(F183="",LEFT(Methode_Keuze,4)="Geen",Methode_Keuze=""),"",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17" t="str" cm="1">
        <f t="array" aca="1" ref="S183" ca="1">IFERROR(_xlfn.IFS(OR(F183="",LEFT(Methode_Keuze,4)="Geen",Methode_Keuze=""),"",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18" t="str">
        <f>IFERROR(VLOOKUP(F183,Tb_ProjectKosten[#All],11,0),"")</f>
        <v/>
      </c>
      <c r="U183" s="319"/>
    </row>
    <row r="184" spans="1:21" x14ac:dyDescent="0.25">
      <c r="A184" s="312">
        <f>MAX($A$5:A183)+1</f>
        <v>179</v>
      </c>
      <c r="B184" s="299"/>
      <c r="C184" s="299"/>
      <c r="D184" s="299"/>
      <c r="E184" s="299"/>
      <c r="F184" s="299"/>
      <c r="G184" s="331"/>
      <c r="H184" s="313" t="str">
        <f ca="1">IFERROR(IF(VLOOKUP(F184,Kostentypen!$A$3:$E$21,3,0)=0,"",IF(OR(F184="Arbeidskosten",F184="Vergoeding"),VLOOKUP(G184,Tb_KostenTypen[],2,0),VLOOKUP(F184,Kostentypen!$A$3:$E$20,3,0))),"")</f>
        <v/>
      </c>
      <c r="I184" s="314"/>
      <c r="J184" s="315"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15"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2"/>
      <c r="M184" s="362"/>
      <c r="N184" s="316"/>
      <c r="O184" s="316"/>
      <c r="P184" s="317"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17"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17" t="str" cm="1">
        <f t="array" aca="1" ref="R184" ca="1">IFERROR(_xlfn.IFS(OR(F184="",LEFT(Methode_Keuze,4)="Geen",Methode_Keuze=""),"",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17" t="str" cm="1">
        <f t="array" aca="1" ref="S184" ca="1">IFERROR(_xlfn.IFS(OR(F184="",LEFT(Methode_Keuze,4)="Geen",Methode_Keuze=""),"",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18" t="str">
        <f>IFERROR(VLOOKUP(F184,Tb_ProjectKosten[#All],11,0),"")</f>
        <v/>
      </c>
      <c r="U184" s="319"/>
    </row>
    <row r="185" spans="1:21" x14ac:dyDescent="0.25">
      <c r="A185" s="312">
        <f>MAX($A$5:A184)+1</f>
        <v>180</v>
      </c>
      <c r="B185" s="299"/>
      <c r="C185" s="299"/>
      <c r="D185" s="299"/>
      <c r="E185" s="299"/>
      <c r="F185" s="299"/>
      <c r="G185" s="331"/>
      <c r="H185" s="313" t="str">
        <f ca="1">IFERROR(IF(VLOOKUP(F185,Kostentypen!$A$3:$E$21,3,0)=0,"",IF(OR(F185="Arbeidskosten",F185="Vergoeding"),VLOOKUP(G185,Tb_KostenTypen[],2,0),VLOOKUP(F185,Kostentypen!$A$3:$E$20,3,0))),"")</f>
        <v/>
      </c>
      <c r="I185" s="314"/>
      <c r="J185" s="315"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15"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2"/>
      <c r="M185" s="362"/>
      <c r="N185" s="316"/>
      <c r="O185" s="316"/>
      <c r="P185" s="317"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17"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17" t="str" cm="1">
        <f t="array" aca="1" ref="R185" ca="1">IFERROR(_xlfn.IFS(OR(F185="",LEFT(Methode_Keuze,4)="Geen",Methode_Keuze=""),"",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17" t="str" cm="1">
        <f t="array" aca="1" ref="S185" ca="1">IFERROR(_xlfn.IFS(OR(F185="",LEFT(Methode_Keuze,4)="Geen",Methode_Keuze=""),"",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18" t="str">
        <f>IFERROR(VLOOKUP(F185,Tb_ProjectKosten[#All],11,0),"")</f>
        <v/>
      </c>
      <c r="U185" s="319"/>
    </row>
    <row r="186" spans="1:21" x14ac:dyDescent="0.25">
      <c r="A186" s="312">
        <f>MAX($A$5:A185)+1</f>
        <v>181</v>
      </c>
      <c r="B186" s="299"/>
      <c r="C186" s="299"/>
      <c r="D186" s="299"/>
      <c r="E186" s="299"/>
      <c r="F186" s="299"/>
      <c r="G186" s="331"/>
      <c r="H186" s="313" t="str">
        <f ca="1">IFERROR(IF(VLOOKUP(F186,Kostentypen!$A$3:$E$21,3,0)=0,"",IF(OR(F186="Arbeidskosten",F186="Vergoeding"),VLOOKUP(G186,Tb_KostenTypen[],2,0),VLOOKUP(F186,Kostentypen!$A$3:$E$20,3,0))),"")</f>
        <v/>
      </c>
      <c r="I186" s="314"/>
      <c r="J186" s="315"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15"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2"/>
      <c r="M186" s="362"/>
      <c r="N186" s="316"/>
      <c r="O186" s="316"/>
      <c r="P186" s="317"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17"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17" t="str" cm="1">
        <f t="array" aca="1" ref="R186" ca="1">IFERROR(_xlfn.IFS(OR(F186="",LEFT(Methode_Keuze,4)="Geen",Methode_Keuze=""),"",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17" t="str" cm="1">
        <f t="array" aca="1" ref="S186" ca="1">IFERROR(_xlfn.IFS(OR(F186="",LEFT(Methode_Keuze,4)="Geen",Methode_Keuze=""),"",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18" t="str">
        <f>IFERROR(VLOOKUP(F186,Tb_ProjectKosten[#All],11,0),"")</f>
        <v/>
      </c>
      <c r="U186" s="319"/>
    </row>
    <row r="187" spans="1:21" x14ac:dyDescent="0.25">
      <c r="A187" s="312">
        <f>MAX($A$5:A186)+1</f>
        <v>182</v>
      </c>
      <c r="B187" s="299"/>
      <c r="C187" s="299"/>
      <c r="D187" s="299"/>
      <c r="E187" s="299"/>
      <c r="F187" s="299"/>
      <c r="G187" s="331"/>
      <c r="H187" s="313" t="str">
        <f ca="1">IFERROR(IF(VLOOKUP(F187,Kostentypen!$A$3:$E$21,3,0)=0,"",IF(OR(F187="Arbeidskosten",F187="Vergoeding"),VLOOKUP(G187,Tb_KostenTypen[],2,0),VLOOKUP(F187,Kostentypen!$A$3:$E$20,3,0))),"")</f>
        <v/>
      </c>
      <c r="I187" s="314"/>
      <c r="J187" s="315"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15"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2"/>
      <c r="M187" s="362"/>
      <c r="N187" s="316"/>
      <c r="O187" s="316"/>
      <c r="P187" s="317"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17"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17" t="str" cm="1">
        <f t="array" aca="1" ref="R187" ca="1">IFERROR(_xlfn.IFS(OR(F187="",LEFT(Methode_Keuze,4)="Geen",Methode_Keuze=""),"",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17" t="str" cm="1">
        <f t="array" aca="1" ref="S187" ca="1">IFERROR(_xlfn.IFS(OR(F187="",LEFT(Methode_Keuze,4)="Geen",Methode_Keuze=""),"",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18" t="str">
        <f>IFERROR(VLOOKUP(F187,Tb_ProjectKosten[#All],11,0),"")</f>
        <v/>
      </c>
      <c r="U187" s="319"/>
    </row>
    <row r="188" spans="1:21" x14ac:dyDescent="0.25">
      <c r="A188" s="312">
        <f>MAX($A$5:A187)+1</f>
        <v>183</v>
      </c>
      <c r="B188" s="299"/>
      <c r="C188" s="299"/>
      <c r="D188" s="299"/>
      <c r="E188" s="299"/>
      <c r="F188" s="299"/>
      <c r="G188" s="331"/>
      <c r="H188" s="313" t="str">
        <f ca="1">IFERROR(IF(VLOOKUP(F188,Kostentypen!$A$3:$E$21,3,0)=0,"",IF(OR(F188="Arbeidskosten",F188="Vergoeding"),VLOOKUP(G188,Tb_KostenTypen[],2,0),VLOOKUP(F188,Kostentypen!$A$3:$E$20,3,0))),"")</f>
        <v/>
      </c>
      <c r="I188" s="314"/>
      <c r="J188" s="315"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15"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2"/>
      <c r="M188" s="362"/>
      <c r="N188" s="316"/>
      <c r="O188" s="316"/>
      <c r="P188" s="317"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17"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17" t="str" cm="1">
        <f t="array" aca="1" ref="R188" ca="1">IFERROR(_xlfn.IFS(OR(F188="",LEFT(Methode_Keuze,4)="Geen",Methode_Keuze=""),"",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17" t="str" cm="1">
        <f t="array" aca="1" ref="S188" ca="1">IFERROR(_xlfn.IFS(OR(F188="",LEFT(Methode_Keuze,4)="Geen",Methode_Keuze=""),"",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18" t="str">
        <f>IFERROR(VLOOKUP(F188,Tb_ProjectKosten[#All],11,0),"")</f>
        <v/>
      </c>
      <c r="U188" s="319"/>
    </row>
    <row r="189" spans="1:21" x14ac:dyDescent="0.25">
      <c r="A189" s="312">
        <f>MAX($A$5:A188)+1</f>
        <v>184</v>
      </c>
      <c r="B189" s="299"/>
      <c r="C189" s="299"/>
      <c r="D189" s="299"/>
      <c r="E189" s="299"/>
      <c r="F189" s="299"/>
      <c r="G189" s="331"/>
      <c r="H189" s="313" t="str">
        <f ca="1">IFERROR(IF(VLOOKUP(F189,Kostentypen!$A$3:$E$21,3,0)=0,"",IF(OR(F189="Arbeidskosten",F189="Vergoeding"),VLOOKUP(G189,Tb_KostenTypen[],2,0),VLOOKUP(F189,Kostentypen!$A$3:$E$20,3,0))),"")</f>
        <v/>
      </c>
      <c r="I189" s="314"/>
      <c r="J189" s="315"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15"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2"/>
      <c r="M189" s="362"/>
      <c r="N189" s="316"/>
      <c r="O189" s="316"/>
      <c r="P189" s="317"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17"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17" t="str" cm="1">
        <f t="array" aca="1" ref="R189" ca="1">IFERROR(_xlfn.IFS(OR(F189="",LEFT(Methode_Keuze,4)="Geen",Methode_Keuze=""),"",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17" t="str" cm="1">
        <f t="array" aca="1" ref="S189" ca="1">IFERROR(_xlfn.IFS(OR(F189="",LEFT(Methode_Keuze,4)="Geen",Methode_Keuze=""),"",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18" t="str">
        <f>IFERROR(VLOOKUP(F189,Tb_ProjectKosten[#All],11,0),"")</f>
        <v/>
      </c>
      <c r="U189" s="319"/>
    </row>
    <row r="190" spans="1:21" x14ac:dyDescent="0.25">
      <c r="A190" s="312">
        <f>MAX($A$5:A189)+1</f>
        <v>185</v>
      </c>
      <c r="B190" s="299"/>
      <c r="C190" s="299"/>
      <c r="D190" s="299"/>
      <c r="E190" s="299"/>
      <c r="F190" s="299"/>
      <c r="G190" s="331"/>
      <c r="H190" s="313" t="str">
        <f ca="1">IFERROR(IF(VLOOKUP(F190,Kostentypen!$A$3:$E$21,3,0)=0,"",IF(OR(F190="Arbeidskosten",F190="Vergoeding"),VLOOKUP(G190,Tb_KostenTypen[],2,0),VLOOKUP(F190,Kostentypen!$A$3:$E$20,3,0))),"")</f>
        <v/>
      </c>
      <c r="I190" s="314"/>
      <c r="J190" s="315"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15"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2"/>
      <c r="M190" s="362"/>
      <c r="N190" s="316"/>
      <c r="O190" s="316"/>
      <c r="P190" s="317"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17"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17" t="str" cm="1">
        <f t="array" aca="1" ref="R190" ca="1">IFERROR(_xlfn.IFS(OR(F190="",LEFT(Methode_Keuze,4)="Geen",Methode_Keuze=""),"",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17" t="str" cm="1">
        <f t="array" aca="1" ref="S190" ca="1">IFERROR(_xlfn.IFS(OR(F190="",LEFT(Methode_Keuze,4)="Geen",Methode_Keuze=""),"",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18" t="str">
        <f>IFERROR(VLOOKUP(F190,Tb_ProjectKosten[#All],11,0),"")</f>
        <v/>
      </c>
      <c r="U190" s="319"/>
    </row>
    <row r="191" spans="1:21" x14ac:dyDescent="0.25">
      <c r="A191" s="312">
        <f>MAX($A$5:A190)+1</f>
        <v>186</v>
      </c>
      <c r="B191" s="299"/>
      <c r="C191" s="299"/>
      <c r="D191" s="299"/>
      <c r="E191" s="299"/>
      <c r="F191" s="299"/>
      <c r="G191" s="331"/>
      <c r="H191" s="313" t="str">
        <f ca="1">IFERROR(IF(VLOOKUP(F191,Kostentypen!$A$3:$E$21,3,0)=0,"",IF(OR(F191="Arbeidskosten",F191="Vergoeding"),VLOOKUP(G191,Tb_KostenTypen[],2,0),VLOOKUP(F191,Kostentypen!$A$3:$E$20,3,0))),"")</f>
        <v/>
      </c>
      <c r="I191" s="314"/>
      <c r="J191" s="315"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15"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2"/>
      <c r="M191" s="362"/>
      <c r="N191" s="316"/>
      <c r="O191" s="316"/>
      <c r="P191" s="317"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17"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17" t="str" cm="1">
        <f t="array" aca="1" ref="R191" ca="1">IFERROR(_xlfn.IFS(OR(F191="",LEFT(Methode_Keuze,4)="Geen",Methode_Keuze=""),"",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17" t="str" cm="1">
        <f t="array" aca="1" ref="S191" ca="1">IFERROR(_xlfn.IFS(OR(F191="",LEFT(Methode_Keuze,4)="Geen",Methode_Keuze=""),"",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18" t="str">
        <f>IFERROR(VLOOKUP(F191,Tb_ProjectKosten[#All],11,0),"")</f>
        <v/>
      </c>
      <c r="U191" s="319"/>
    </row>
    <row r="192" spans="1:21" x14ac:dyDescent="0.25">
      <c r="A192" s="312">
        <f>MAX($A$5:A191)+1</f>
        <v>187</v>
      </c>
      <c r="B192" s="299"/>
      <c r="C192" s="299"/>
      <c r="D192" s="299"/>
      <c r="E192" s="299"/>
      <c r="F192" s="299"/>
      <c r="G192" s="331"/>
      <c r="H192" s="313" t="str">
        <f ca="1">IFERROR(IF(VLOOKUP(F192,Kostentypen!$A$3:$E$21,3,0)=0,"",IF(OR(F192="Arbeidskosten",F192="Vergoeding"),VLOOKUP(G192,Tb_KostenTypen[],2,0),VLOOKUP(F192,Kostentypen!$A$3:$E$20,3,0))),"")</f>
        <v/>
      </c>
      <c r="I192" s="314"/>
      <c r="J192" s="315"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15"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2"/>
      <c r="M192" s="362"/>
      <c r="N192" s="316"/>
      <c r="O192" s="316"/>
      <c r="P192" s="317"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17"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17" t="str" cm="1">
        <f t="array" aca="1" ref="R192" ca="1">IFERROR(_xlfn.IFS(OR(F192="",LEFT(Methode_Keuze,4)="Geen",Methode_Keuze=""),"",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17" t="str" cm="1">
        <f t="array" aca="1" ref="S192" ca="1">IFERROR(_xlfn.IFS(OR(F192="",LEFT(Methode_Keuze,4)="Geen",Methode_Keuze=""),"",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18" t="str">
        <f>IFERROR(VLOOKUP(F192,Tb_ProjectKosten[#All],11,0),"")</f>
        <v/>
      </c>
      <c r="U192" s="319"/>
    </row>
    <row r="193" spans="1:21" x14ac:dyDescent="0.25">
      <c r="A193" s="312">
        <f>MAX($A$5:A192)+1</f>
        <v>188</v>
      </c>
      <c r="B193" s="299"/>
      <c r="C193" s="299"/>
      <c r="D193" s="299"/>
      <c r="E193" s="299"/>
      <c r="F193" s="299"/>
      <c r="G193" s="331"/>
      <c r="H193" s="313" t="str">
        <f ca="1">IFERROR(IF(VLOOKUP(F193,Kostentypen!$A$3:$E$21,3,0)=0,"",IF(OR(F193="Arbeidskosten",F193="Vergoeding"),VLOOKUP(G193,Tb_KostenTypen[],2,0),VLOOKUP(F193,Kostentypen!$A$3:$E$20,3,0))),"")</f>
        <v/>
      </c>
      <c r="I193" s="314"/>
      <c r="J193" s="315"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15"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2"/>
      <c r="M193" s="362"/>
      <c r="N193" s="316"/>
      <c r="O193" s="316"/>
      <c r="P193" s="317"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17"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17" t="str" cm="1">
        <f t="array" aca="1" ref="R193" ca="1">IFERROR(_xlfn.IFS(OR(F193="",LEFT(Methode_Keuze,4)="Geen",Methode_Keuze=""),"",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17" t="str" cm="1">
        <f t="array" aca="1" ref="S193" ca="1">IFERROR(_xlfn.IFS(OR(F193="",LEFT(Methode_Keuze,4)="Geen",Methode_Keuze=""),"",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18" t="str">
        <f>IFERROR(VLOOKUP(F193,Tb_ProjectKosten[#All],11,0),"")</f>
        <v/>
      </c>
      <c r="U193" s="319"/>
    </row>
    <row r="194" spans="1:21" x14ac:dyDescent="0.25">
      <c r="A194" s="312">
        <f>MAX($A$5:A193)+1</f>
        <v>189</v>
      </c>
      <c r="B194" s="299"/>
      <c r="C194" s="299"/>
      <c r="D194" s="299"/>
      <c r="E194" s="299"/>
      <c r="F194" s="299"/>
      <c r="G194" s="331"/>
      <c r="H194" s="313" t="str">
        <f ca="1">IFERROR(IF(VLOOKUP(F194,Kostentypen!$A$3:$E$21,3,0)=0,"",IF(OR(F194="Arbeidskosten",F194="Vergoeding"),VLOOKUP(G194,Tb_KostenTypen[],2,0),VLOOKUP(F194,Kostentypen!$A$3:$E$20,3,0))),"")</f>
        <v/>
      </c>
      <c r="I194" s="314"/>
      <c r="J194" s="315"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15"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2"/>
      <c r="M194" s="362"/>
      <c r="N194" s="316"/>
      <c r="O194" s="316"/>
      <c r="P194" s="317"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17"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17" t="str" cm="1">
        <f t="array" aca="1" ref="R194" ca="1">IFERROR(_xlfn.IFS(OR(F194="",LEFT(Methode_Keuze,4)="Geen",Methode_Keuze=""),"",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17" t="str" cm="1">
        <f t="array" aca="1" ref="S194" ca="1">IFERROR(_xlfn.IFS(OR(F194="",LEFT(Methode_Keuze,4)="Geen",Methode_Keuze=""),"",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18" t="str">
        <f>IFERROR(VLOOKUP(F194,Tb_ProjectKosten[#All],11,0),"")</f>
        <v/>
      </c>
      <c r="U194" s="319"/>
    </row>
    <row r="195" spans="1:21" x14ac:dyDescent="0.25">
      <c r="A195" s="312">
        <f>MAX($A$5:A194)+1</f>
        <v>190</v>
      </c>
      <c r="B195" s="299"/>
      <c r="C195" s="299"/>
      <c r="D195" s="299"/>
      <c r="E195" s="299"/>
      <c r="F195" s="299"/>
      <c r="G195" s="331"/>
      <c r="H195" s="313" t="str">
        <f ca="1">IFERROR(IF(VLOOKUP(F195,Kostentypen!$A$3:$E$21,3,0)=0,"",IF(OR(F195="Arbeidskosten",F195="Vergoeding"),VLOOKUP(G195,Tb_KostenTypen[],2,0),VLOOKUP(F195,Kostentypen!$A$3:$E$20,3,0))),"")</f>
        <v/>
      </c>
      <c r="I195" s="314"/>
      <c r="J195" s="315"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15"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2"/>
      <c r="M195" s="362"/>
      <c r="N195" s="316"/>
      <c r="O195" s="316"/>
      <c r="P195" s="317"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17"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17" t="str" cm="1">
        <f t="array" aca="1" ref="R195" ca="1">IFERROR(_xlfn.IFS(OR(F195="",LEFT(Methode_Keuze,4)="Geen",Methode_Keuze=""),"",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17" t="str" cm="1">
        <f t="array" aca="1" ref="S195" ca="1">IFERROR(_xlfn.IFS(OR(F195="",LEFT(Methode_Keuze,4)="Geen",Methode_Keuze=""),"",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18" t="str">
        <f>IFERROR(VLOOKUP(F195,Tb_ProjectKosten[#All],11,0),"")</f>
        <v/>
      </c>
      <c r="U195" s="319"/>
    </row>
    <row r="196" spans="1:21" x14ac:dyDescent="0.25">
      <c r="A196" s="312">
        <f>MAX($A$5:A195)+1</f>
        <v>191</v>
      </c>
      <c r="B196" s="299"/>
      <c r="C196" s="299"/>
      <c r="D196" s="299"/>
      <c r="E196" s="299"/>
      <c r="F196" s="299"/>
      <c r="G196" s="331"/>
      <c r="H196" s="313" t="str">
        <f ca="1">IFERROR(IF(VLOOKUP(F196,Kostentypen!$A$3:$E$21,3,0)=0,"",IF(OR(F196="Arbeidskosten",F196="Vergoeding"),VLOOKUP(G196,Tb_KostenTypen[],2,0),VLOOKUP(F196,Kostentypen!$A$3:$E$20,3,0))),"")</f>
        <v/>
      </c>
      <c r="I196" s="314"/>
      <c r="J196" s="315"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15"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2"/>
      <c r="M196" s="362"/>
      <c r="N196" s="316"/>
      <c r="O196" s="316"/>
      <c r="P196" s="317"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17"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17" t="str" cm="1">
        <f t="array" aca="1" ref="R196" ca="1">IFERROR(_xlfn.IFS(OR(F196="",LEFT(Methode_Keuze,4)="Geen",Methode_Keuze=""),"",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17" t="str" cm="1">
        <f t="array" aca="1" ref="S196" ca="1">IFERROR(_xlfn.IFS(OR(F196="",LEFT(Methode_Keuze,4)="Geen",Methode_Keuze=""),"",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18" t="str">
        <f>IFERROR(VLOOKUP(F196,Tb_ProjectKosten[#All],11,0),"")</f>
        <v/>
      </c>
      <c r="U196" s="319"/>
    </row>
    <row r="197" spans="1:21" x14ac:dyDescent="0.25">
      <c r="A197" s="312">
        <f>MAX($A$5:A196)+1</f>
        <v>192</v>
      </c>
      <c r="B197" s="299"/>
      <c r="C197" s="299"/>
      <c r="D197" s="299"/>
      <c r="E197" s="299"/>
      <c r="F197" s="299"/>
      <c r="G197" s="331"/>
      <c r="H197" s="313" t="str">
        <f ca="1">IFERROR(IF(VLOOKUP(F197,Kostentypen!$A$3:$E$21,3,0)=0,"",IF(OR(F197="Arbeidskosten",F197="Vergoeding"),VLOOKUP(G197,Tb_KostenTypen[],2,0),VLOOKUP(F197,Kostentypen!$A$3:$E$20,3,0))),"")</f>
        <v/>
      </c>
      <c r="I197" s="314"/>
      <c r="J197" s="315"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15"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2"/>
      <c r="M197" s="362"/>
      <c r="N197" s="316"/>
      <c r="O197" s="316"/>
      <c r="P197" s="317"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17"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17" t="str" cm="1">
        <f t="array" aca="1" ref="R197" ca="1">IFERROR(_xlfn.IFS(OR(F197="",LEFT(Methode_Keuze,4)="Geen",Methode_Keuze=""),"",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17" t="str" cm="1">
        <f t="array" aca="1" ref="S197" ca="1">IFERROR(_xlfn.IFS(OR(F197="",LEFT(Methode_Keuze,4)="Geen",Methode_Keuze=""),"",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18" t="str">
        <f>IFERROR(VLOOKUP(F197,Tb_ProjectKosten[#All],11,0),"")</f>
        <v/>
      </c>
      <c r="U197" s="319"/>
    </row>
    <row r="198" spans="1:21" x14ac:dyDescent="0.25">
      <c r="A198" s="312">
        <f>MAX($A$5:A197)+1</f>
        <v>193</v>
      </c>
      <c r="B198" s="299"/>
      <c r="C198" s="299"/>
      <c r="D198" s="299"/>
      <c r="E198" s="299"/>
      <c r="F198" s="299"/>
      <c r="G198" s="331"/>
      <c r="H198" s="313" t="str">
        <f ca="1">IFERROR(IF(VLOOKUP(F198,Kostentypen!$A$3:$E$21,3,0)=0,"",IF(OR(F198="Arbeidskosten",F198="Vergoeding"),VLOOKUP(G198,Tb_KostenTypen[],2,0),VLOOKUP(F198,Kostentypen!$A$3:$E$20,3,0))),"")</f>
        <v/>
      </c>
      <c r="I198" s="314"/>
      <c r="J198" s="315"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15"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2"/>
      <c r="M198" s="362"/>
      <c r="N198" s="316"/>
      <c r="O198" s="316"/>
      <c r="P198" s="317"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17"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17" t="str" cm="1">
        <f t="array" aca="1" ref="R198" ca="1">IFERROR(_xlfn.IFS(OR(F198="",LEFT(Methode_Keuze,4)="Geen",Methode_Keuze=""),"",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17" t="str" cm="1">
        <f t="array" aca="1" ref="S198" ca="1">IFERROR(_xlfn.IFS(OR(F198="",LEFT(Methode_Keuze,4)="Geen",Methode_Keuze=""),"",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18" t="str">
        <f>IFERROR(VLOOKUP(F198,Tb_ProjectKosten[#All],11,0),"")</f>
        <v/>
      </c>
      <c r="U198" s="319"/>
    </row>
    <row r="199" spans="1:21" x14ac:dyDescent="0.25">
      <c r="A199" s="312">
        <f>MAX($A$5:A198)+1</f>
        <v>194</v>
      </c>
      <c r="B199" s="299"/>
      <c r="C199" s="299"/>
      <c r="D199" s="299"/>
      <c r="E199" s="299"/>
      <c r="F199" s="299"/>
      <c r="G199" s="331"/>
      <c r="H199" s="313" t="str">
        <f ca="1">IFERROR(IF(VLOOKUP(F199,Kostentypen!$A$3:$E$21,3,0)=0,"",IF(OR(F199="Arbeidskosten",F199="Vergoeding"),VLOOKUP(G199,Tb_KostenTypen[],2,0),VLOOKUP(F199,Kostentypen!$A$3:$E$20,3,0))),"")</f>
        <v/>
      </c>
      <c r="I199" s="314"/>
      <c r="J199" s="315"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15"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2"/>
      <c r="M199" s="362"/>
      <c r="N199" s="316"/>
      <c r="O199" s="316"/>
      <c r="P199" s="317"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17"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17" t="str" cm="1">
        <f t="array" aca="1" ref="R199" ca="1">IFERROR(_xlfn.IFS(OR(F199="",LEFT(Methode_Keuze,4)="Geen",Methode_Keuze=""),"",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17" t="str" cm="1">
        <f t="array" aca="1" ref="S199" ca="1">IFERROR(_xlfn.IFS(OR(F199="",LEFT(Methode_Keuze,4)="Geen",Methode_Keuze=""),"",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18" t="str">
        <f>IFERROR(VLOOKUP(F199,Tb_ProjectKosten[#All],11,0),"")</f>
        <v/>
      </c>
      <c r="U199" s="319"/>
    </row>
    <row r="200" spans="1:21" x14ac:dyDescent="0.25">
      <c r="A200" s="312">
        <f>MAX($A$5:A199)+1</f>
        <v>195</v>
      </c>
      <c r="B200" s="299"/>
      <c r="C200" s="299"/>
      <c r="D200" s="299"/>
      <c r="E200" s="299"/>
      <c r="F200" s="299"/>
      <c r="G200" s="331"/>
      <c r="H200" s="313" t="str">
        <f ca="1">IFERROR(IF(VLOOKUP(F200,Kostentypen!$A$3:$E$21,3,0)=0,"",IF(OR(F200="Arbeidskosten",F200="Vergoeding"),VLOOKUP(G200,Tb_KostenTypen[],2,0),VLOOKUP(F200,Kostentypen!$A$3:$E$20,3,0))),"")</f>
        <v/>
      </c>
      <c r="I200" s="314"/>
      <c r="J200" s="315"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15"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2"/>
      <c r="M200" s="362"/>
      <c r="N200" s="316"/>
      <c r="O200" s="316"/>
      <c r="P200" s="317"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17"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17" t="str" cm="1">
        <f t="array" aca="1" ref="R200" ca="1">IFERROR(_xlfn.IFS(OR(F200="",LEFT(Methode_Keuze,4)="Geen",Methode_Keuze=""),"",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17" t="str" cm="1">
        <f t="array" aca="1" ref="S200" ca="1">IFERROR(_xlfn.IFS(OR(F200="",LEFT(Methode_Keuze,4)="Geen",Methode_Keuze=""),"",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18" t="str">
        <f>IFERROR(VLOOKUP(F200,Tb_ProjectKosten[#All],11,0),"")</f>
        <v/>
      </c>
      <c r="U200" s="319"/>
    </row>
    <row r="201" spans="1:21" x14ac:dyDescent="0.25">
      <c r="A201" s="312">
        <f>MAX($A$5:A200)+1</f>
        <v>196</v>
      </c>
      <c r="B201" s="299"/>
      <c r="C201" s="299"/>
      <c r="D201" s="299"/>
      <c r="E201" s="299"/>
      <c r="F201" s="299"/>
      <c r="G201" s="331"/>
      <c r="H201" s="313" t="str">
        <f ca="1">IFERROR(IF(VLOOKUP(F201,Kostentypen!$A$3:$E$21,3,0)=0,"",IF(OR(F201="Arbeidskosten",F201="Vergoeding"),VLOOKUP(G201,Tb_KostenTypen[],2,0),VLOOKUP(F201,Kostentypen!$A$3:$E$20,3,0))),"")</f>
        <v/>
      </c>
      <c r="I201" s="314"/>
      <c r="J201" s="315"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15"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2"/>
      <c r="M201" s="362"/>
      <c r="N201" s="316"/>
      <c r="O201" s="316"/>
      <c r="P201" s="317"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17"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17" t="str" cm="1">
        <f t="array" aca="1" ref="R201" ca="1">IFERROR(_xlfn.IFS(OR(F201="",LEFT(Methode_Keuze,4)="Geen",Methode_Keuze=""),"",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17" t="str" cm="1">
        <f t="array" aca="1" ref="S201" ca="1">IFERROR(_xlfn.IFS(OR(F201="",LEFT(Methode_Keuze,4)="Geen",Methode_Keuze=""),"",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18" t="str">
        <f>IFERROR(VLOOKUP(F201,Tb_ProjectKosten[#All],11,0),"")</f>
        <v/>
      </c>
      <c r="U201" s="319"/>
    </row>
    <row r="202" spans="1:21" x14ac:dyDescent="0.25">
      <c r="A202" s="312">
        <f>MAX($A$5:A201)+1</f>
        <v>197</v>
      </c>
      <c r="B202" s="299"/>
      <c r="C202" s="299"/>
      <c r="D202" s="299"/>
      <c r="E202" s="299"/>
      <c r="F202" s="299"/>
      <c r="G202" s="331"/>
      <c r="H202" s="313" t="str">
        <f ca="1">IFERROR(IF(VLOOKUP(F202,Kostentypen!$A$3:$E$21,3,0)=0,"",IF(OR(F202="Arbeidskosten",F202="Vergoeding"),VLOOKUP(G202,Tb_KostenTypen[],2,0),VLOOKUP(F202,Kostentypen!$A$3:$E$20,3,0))),"")</f>
        <v/>
      </c>
      <c r="I202" s="314"/>
      <c r="J202" s="315"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15"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2"/>
      <c r="M202" s="362"/>
      <c r="N202" s="316"/>
      <c r="O202" s="316"/>
      <c r="P202" s="317"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17"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17" t="str" cm="1">
        <f t="array" aca="1" ref="R202" ca="1">IFERROR(_xlfn.IFS(OR(F202="",LEFT(Methode_Keuze,4)="Geen",Methode_Keuze=""),"",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17" t="str" cm="1">
        <f t="array" aca="1" ref="S202" ca="1">IFERROR(_xlfn.IFS(OR(F202="",LEFT(Methode_Keuze,4)="Geen",Methode_Keuze=""),"",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18" t="str">
        <f>IFERROR(VLOOKUP(F202,Tb_ProjectKosten[#All],11,0),"")</f>
        <v/>
      </c>
      <c r="U202" s="319"/>
    </row>
    <row r="203" spans="1:21" x14ac:dyDescent="0.25">
      <c r="A203" s="312">
        <f>MAX($A$5:A202)+1</f>
        <v>198</v>
      </c>
      <c r="B203" s="299"/>
      <c r="C203" s="299"/>
      <c r="D203" s="299"/>
      <c r="E203" s="299"/>
      <c r="F203" s="299"/>
      <c r="G203" s="331"/>
      <c r="H203" s="313" t="str">
        <f ca="1">IFERROR(IF(VLOOKUP(F203,Kostentypen!$A$3:$E$21,3,0)=0,"",IF(OR(F203="Arbeidskosten",F203="Vergoeding"),VLOOKUP(G203,Tb_KostenTypen[],2,0),VLOOKUP(F203,Kostentypen!$A$3:$E$20,3,0))),"")</f>
        <v/>
      </c>
      <c r="I203" s="314"/>
      <c r="J203" s="315"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15"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2"/>
      <c r="M203" s="362"/>
      <c r="N203" s="316"/>
      <c r="O203" s="316"/>
      <c r="P203" s="317"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17"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17" t="str" cm="1">
        <f t="array" aca="1" ref="R203" ca="1">IFERROR(_xlfn.IFS(OR(F203="",LEFT(Methode_Keuze,4)="Geen",Methode_Keuze=""),"",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17" t="str" cm="1">
        <f t="array" aca="1" ref="S203" ca="1">IFERROR(_xlfn.IFS(OR(F203="",LEFT(Methode_Keuze,4)="Geen",Methode_Keuze=""),"",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18" t="str">
        <f>IFERROR(VLOOKUP(F203,Tb_ProjectKosten[#All],11,0),"")</f>
        <v/>
      </c>
      <c r="U203" s="319"/>
    </row>
    <row r="204" spans="1:21" x14ac:dyDescent="0.25">
      <c r="A204" s="312">
        <f>MAX($A$5:A203)+1</f>
        <v>199</v>
      </c>
      <c r="B204" s="299"/>
      <c r="C204" s="299"/>
      <c r="D204" s="299"/>
      <c r="E204" s="299"/>
      <c r="F204" s="299"/>
      <c r="G204" s="331"/>
      <c r="H204" s="313" t="str">
        <f ca="1">IFERROR(IF(VLOOKUP(F204,Kostentypen!$A$3:$E$21,3,0)=0,"",IF(OR(F204="Arbeidskosten",F204="Vergoeding"),VLOOKUP(G204,Tb_KostenTypen[],2,0),VLOOKUP(F204,Kostentypen!$A$3:$E$20,3,0))),"")</f>
        <v/>
      </c>
      <c r="I204" s="314"/>
      <c r="J204" s="315"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15"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2"/>
      <c r="M204" s="362"/>
      <c r="N204" s="316"/>
      <c r="O204" s="316"/>
      <c r="P204" s="317"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17"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17" t="str" cm="1">
        <f t="array" aca="1" ref="R204" ca="1">IFERROR(_xlfn.IFS(OR(F204="",LEFT(Methode_Keuze,4)="Geen",Methode_Keuze=""),"",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17" t="str" cm="1">
        <f t="array" aca="1" ref="S204" ca="1">IFERROR(_xlfn.IFS(OR(F204="",LEFT(Methode_Keuze,4)="Geen",Methode_Keuze=""),"",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18" t="str">
        <f>IFERROR(VLOOKUP(F204,Tb_ProjectKosten[#All],11,0),"")</f>
        <v/>
      </c>
      <c r="U204" s="319"/>
    </row>
    <row r="205" spans="1:21" x14ac:dyDescent="0.25">
      <c r="A205" s="312">
        <f>MAX($A$5:A204)+1</f>
        <v>200</v>
      </c>
      <c r="B205" s="299"/>
      <c r="C205" s="299"/>
      <c r="D205" s="299"/>
      <c r="E205" s="299"/>
      <c r="F205" s="299"/>
      <c r="G205" s="331"/>
      <c r="H205" s="313" t="str">
        <f ca="1">IFERROR(IF(VLOOKUP(F205,Kostentypen!$A$3:$E$21,3,0)=0,"",IF(OR(F205="Arbeidskosten",F205="Vergoeding"),VLOOKUP(G205,Tb_KostenTypen[],2,0),VLOOKUP(F205,Kostentypen!$A$3:$E$20,3,0))),"")</f>
        <v/>
      </c>
      <c r="I205" s="314"/>
      <c r="J205" s="315"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15"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2"/>
      <c r="M205" s="362"/>
      <c r="N205" s="316"/>
      <c r="O205" s="316"/>
      <c r="P205" s="317"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17"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17" t="str" cm="1">
        <f t="array" aca="1" ref="R205" ca="1">IFERROR(_xlfn.IFS(OR(F205="",LEFT(Methode_Keuze,4)="Geen",Methode_Keuze=""),"",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17" t="str" cm="1">
        <f t="array" aca="1" ref="S205" ca="1">IFERROR(_xlfn.IFS(OR(F205="",LEFT(Methode_Keuze,4)="Geen",Methode_Keuze=""),"",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18" t="str">
        <f>IFERROR(VLOOKUP(F205,Tb_ProjectKosten[#All],11,0),"")</f>
        <v/>
      </c>
      <c r="U205" s="319"/>
    </row>
    <row r="206" spans="1:21" x14ac:dyDescent="0.25">
      <c r="A206" s="312">
        <f>MAX($A$5:A205)+1</f>
        <v>201</v>
      </c>
      <c r="B206" s="299"/>
      <c r="C206" s="299"/>
      <c r="D206" s="299"/>
      <c r="E206" s="299"/>
      <c r="F206" s="299"/>
      <c r="G206" s="331"/>
      <c r="H206" s="313" t="str">
        <f ca="1">IFERROR(IF(VLOOKUP(F206,Kostentypen!$A$3:$E$21,3,0)=0,"",IF(OR(F206="Arbeidskosten",F206="Vergoeding"),VLOOKUP(G206,Tb_KostenTypen[],2,0),VLOOKUP(F206,Kostentypen!$A$3:$E$20,3,0))),"")</f>
        <v/>
      </c>
      <c r="I206" s="314"/>
      <c r="J206" s="315"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15"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2"/>
      <c r="M206" s="362"/>
      <c r="N206" s="316"/>
      <c r="O206" s="316"/>
      <c r="P206" s="317"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17"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17" t="str" cm="1">
        <f t="array" aca="1" ref="R206" ca="1">IFERROR(_xlfn.IFS(OR(F206="",LEFT(Methode_Keuze,4)="Geen",Methode_Keuze=""),"",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17" t="str" cm="1">
        <f t="array" aca="1" ref="S206" ca="1">IFERROR(_xlfn.IFS(OR(F206="",LEFT(Methode_Keuze,4)="Geen",Methode_Keuze=""),"",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18" t="str">
        <f>IFERROR(VLOOKUP(F206,Tb_ProjectKosten[#All],11,0),"")</f>
        <v/>
      </c>
      <c r="U206" s="319"/>
    </row>
    <row r="207" spans="1:21" x14ac:dyDescent="0.25">
      <c r="A207" s="312">
        <f>MAX($A$5:A206)+1</f>
        <v>202</v>
      </c>
      <c r="B207" s="299"/>
      <c r="C207" s="299"/>
      <c r="D207" s="299"/>
      <c r="E207" s="299"/>
      <c r="F207" s="299"/>
      <c r="G207" s="331"/>
      <c r="H207" s="313" t="str">
        <f ca="1">IFERROR(IF(VLOOKUP(F207,Kostentypen!$A$3:$E$21,3,0)=0,"",IF(OR(F207="Arbeidskosten",F207="Vergoeding"),VLOOKUP(G207,Tb_KostenTypen[],2,0),VLOOKUP(F207,Kostentypen!$A$3:$E$20,3,0))),"")</f>
        <v/>
      </c>
      <c r="I207" s="314"/>
      <c r="J207" s="315"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15"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2"/>
      <c r="M207" s="362"/>
      <c r="N207" s="316"/>
      <c r="O207" s="316"/>
      <c r="P207" s="317"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17"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17" t="str" cm="1">
        <f t="array" aca="1" ref="R207" ca="1">IFERROR(_xlfn.IFS(OR(F207="",LEFT(Methode_Keuze,4)="Geen",Methode_Keuze=""),"",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17" t="str" cm="1">
        <f t="array" aca="1" ref="S207" ca="1">IFERROR(_xlfn.IFS(OR(F207="",LEFT(Methode_Keuze,4)="Geen",Methode_Keuze=""),"",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18" t="str">
        <f>IFERROR(VLOOKUP(F207,Tb_ProjectKosten[#All],11,0),"")</f>
        <v/>
      </c>
      <c r="U207" s="319"/>
    </row>
    <row r="208" spans="1:21" x14ac:dyDescent="0.25">
      <c r="A208" s="312">
        <f>MAX($A$5:A207)+1</f>
        <v>203</v>
      </c>
      <c r="B208" s="299"/>
      <c r="C208" s="299"/>
      <c r="D208" s="299"/>
      <c r="E208" s="299"/>
      <c r="F208" s="299"/>
      <c r="G208" s="331"/>
      <c r="H208" s="313" t="str">
        <f ca="1">IFERROR(IF(VLOOKUP(F208,Kostentypen!$A$3:$E$21,3,0)=0,"",IF(OR(F208="Arbeidskosten",F208="Vergoeding"),VLOOKUP(G208,Tb_KostenTypen[],2,0),VLOOKUP(F208,Kostentypen!$A$3:$E$20,3,0))),"")</f>
        <v/>
      </c>
      <c r="I208" s="314"/>
      <c r="J208" s="315"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15"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2"/>
      <c r="M208" s="362"/>
      <c r="N208" s="316"/>
      <c r="O208" s="316"/>
      <c r="P208" s="317"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17"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17" t="str" cm="1">
        <f t="array" aca="1" ref="R208" ca="1">IFERROR(_xlfn.IFS(OR(F208="",LEFT(Methode_Keuze,4)="Geen",Methode_Keuze=""),"",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17" t="str" cm="1">
        <f t="array" aca="1" ref="S208" ca="1">IFERROR(_xlfn.IFS(OR(F208="",LEFT(Methode_Keuze,4)="Geen",Methode_Keuze=""),"",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18" t="str">
        <f>IFERROR(VLOOKUP(F208,Tb_ProjectKosten[#All],11,0),"")</f>
        <v/>
      </c>
      <c r="U208" s="319"/>
    </row>
    <row r="209" spans="1:21" x14ac:dyDescent="0.25">
      <c r="A209" s="312">
        <f>MAX($A$5:A208)+1</f>
        <v>204</v>
      </c>
      <c r="B209" s="299"/>
      <c r="C209" s="299"/>
      <c r="D209" s="299"/>
      <c r="E209" s="299"/>
      <c r="F209" s="299"/>
      <c r="G209" s="331"/>
      <c r="H209" s="313" t="str">
        <f ca="1">IFERROR(IF(VLOOKUP(F209,Kostentypen!$A$3:$E$21,3,0)=0,"",IF(OR(F209="Arbeidskosten",F209="Vergoeding"),VLOOKUP(G209,Tb_KostenTypen[],2,0),VLOOKUP(F209,Kostentypen!$A$3:$E$20,3,0))),"")</f>
        <v/>
      </c>
      <c r="I209" s="314"/>
      <c r="J209" s="315"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15"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2"/>
      <c r="M209" s="362"/>
      <c r="N209" s="316"/>
      <c r="O209" s="316"/>
      <c r="P209" s="317"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17"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17" t="str" cm="1">
        <f t="array" aca="1" ref="R209" ca="1">IFERROR(_xlfn.IFS(OR(F209="",LEFT(Methode_Keuze,4)="Geen",Methode_Keuze=""),"",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17" t="str" cm="1">
        <f t="array" aca="1" ref="S209" ca="1">IFERROR(_xlfn.IFS(OR(F209="",LEFT(Methode_Keuze,4)="Geen",Methode_Keuze=""),"",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18" t="str">
        <f>IFERROR(VLOOKUP(F209,Tb_ProjectKosten[#All],11,0),"")</f>
        <v/>
      </c>
      <c r="U209" s="319"/>
    </row>
    <row r="210" spans="1:21" x14ac:dyDescent="0.25">
      <c r="A210" s="312">
        <f>MAX($A$5:A209)+1</f>
        <v>205</v>
      </c>
      <c r="B210" s="299"/>
      <c r="C210" s="299"/>
      <c r="D210" s="299"/>
      <c r="E210" s="299"/>
      <c r="F210" s="299"/>
      <c r="G210" s="331"/>
      <c r="H210" s="313" t="str">
        <f ca="1">IFERROR(IF(VLOOKUP(F210,Kostentypen!$A$3:$E$21,3,0)=0,"",IF(OR(F210="Arbeidskosten",F210="Vergoeding"),VLOOKUP(G210,Tb_KostenTypen[],2,0),VLOOKUP(F210,Kostentypen!$A$3:$E$20,3,0))),"")</f>
        <v/>
      </c>
      <c r="I210" s="314"/>
      <c r="J210" s="315"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15"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2"/>
      <c r="M210" s="362"/>
      <c r="N210" s="316"/>
      <c r="O210" s="316"/>
      <c r="P210" s="317"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17"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17" t="str" cm="1">
        <f t="array" aca="1" ref="R210" ca="1">IFERROR(_xlfn.IFS(OR(F210="",LEFT(Methode_Keuze,4)="Geen",Methode_Keuze=""),"",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17" t="str" cm="1">
        <f t="array" aca="1" ref="S210" ca="1">IFERROR(_xlfn.IFS(OR(F210="",LEFT(Methode_Keuze,4)="Geen",Methode_Keuze=""),"",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18" t="str">
        <f>IFERROR(VLOOKUP(F210,Tb_ProjectKosten[#All],11,0),"")</f>
        <v/>
      </c>
      <c r="U210" s="319"/>
    </row>
    <row r="211" spans="1:21" x14ac:dyDescent="0.25">
      <c r="A211" s="312">
        <f>MAX($A$5:A210)+1</f>
        <v>206</v>
      </c>
      <c r="B211" s="299"/>
      <c r="C211" s="299"/>
      <c r="D211" s="299"/>
      <c r="E211" s="299"/>
      <c r="F211" s="299"/>
      <c r="G211" s="331"/>
      <c r="H211" s="313" t="str">
        <f ca="1">IFERROR(IF(VLOOKUP(F211,Kostentypen!$A$3:$E$21,3,0)=0,"",IF(OR(F211="Arbeidskosten",F211="Vergoeding"),VLOOKUP(G211,Tb_KostenTypen[],2,0),VLOOKUP(F211,Kostentypen!$A$3:$E$20,3,0))),"")</f>
        <v/>
      </c>
      <c r="I211" s="314"/>
      <c r="J211" s="315"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15"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2"/>
      <c r="M211" s="362"/>
      <c r="N211" s="316"/>
      <c r="O211" s="316"/>
      <c r="P211" s="317"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17"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17" t="str" cm="1">
        <f t="array" aca="1" ref="R211" ca="1">IFERROR(_xlfn.IFS(OR(F211="",LEFT(Methode_Keuze,4)="Geen",Methode_Keuze=""),"",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17" t="str" cm="1">
        <f t="array" aca="1" ref="S211" ca="1">IFERROR(_xlfn.IFS(OR(F211="",LEFT(Methode_Keuze,4)="Geen",Methode_Keuze=""),"",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18" t="str">
        <f>IFERROR(VLOOKUP(F211,Tb_ProjectKosten[#All],11,0),"")</f>
        <v/>
      </c>
      <c r="U211" s="319"/>
    </row>
    <row r="212" spans="1:21" x14ac:dyDescent="0.25">
      <c r="A212" s="312">
        <f>MAX($A$5:A211)+1</f>
        <v>207</v>
      </c>
      <c r="B212" s="299"/>
      <c r="C212" s="299"/>
      <c r="D212" s="299"/>
      <c r="E212" s="299"/>
      <c r="F212" s="299"/>
      <c r="G212" s="331"/>
      <c r="H212" s="313" t="str">
        <f ca="1">IFERROR(IF(VLOOKUP(F212,Kostentypen!$A$3:$E$21,3,0)=0,"",IF(OR(F212="Arbeidskosten",F212="Vergoeding"),VLOOKUP(G212,Tb_KostenTypen[],2,0),VLOOKUP(F212,Kostentypen!$A$3:$E$20,3,0))),"")</f>
        <v/>
      </c>
      <c r="I212" s="314"/>
      <c r="J212" s="315"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15"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2"/>
      <c r="M212" s="362"/>
      <c r="N212" s="316"/>
      <c r="O212" s="316"/>
      <c r="P212" s="317"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17"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17" t="str" cm="1">
        <f t="array" aca="1" ref="R212" ca="1">IFERROR(_xlfn.IFS(OR(F212="",LEFT(Methode_Keuze,4)="Geen",Methode_Keuze=""),"",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17" t="str" cm="1">
        <f t="array" aca="1" ref="S212" ca="1">IFERROR(_xlfn.IFS(OR(F212="",LEFT(Methode_Keuze,4)="Geen",Methode_Keuze=""),"",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18" t="str">
        <f>IFERROR(VLOOKUP(F212,Tb_ProjectKosten[#All],11,0),"")</f>
        <v/>
      </c>
      <c r="U212" s="319"/>
    </row>
    <row r="213" spans="1:21" x14ac:dyDescent="0.25">
      <c r="A213" s="312">
        <f>MAX($A$5:A212)+1</f>
        <v>208</v>
      </c>
      <c r="B213" s="299"/>
      <c r="C213" s="299"/>
      <c r="D213" s="299"/>
      <c r="E213" s="299"/>
      <c r="F213" s="299"/>
      <c r="G213" s="331"/>
      <c r="H213" s="313" t="str">
        <f ca="1">IFERROR(IF(VLOOKUP(F213,Kostentypen!$A$3:$E$21,3,0)=0,"",IF(OR(F213="Arbeidskosten",F213="Vergoeding"),VLOOKUP(G213,Tb_KostenTypen[],2,0),VLOOKUP(F213,Kostentypen!$A$3:$E$20,3,0))),"")</f>
        <v/>
      </c>
      <c r="I213" s="314"/>
      <c r="J213" s="315"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15"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2"/>
      <c r="M213" s="362"/>
      <c r="N213" s="316"/>
      <c r="O213" s="316"/>
      <c r="P213" s="317"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17"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17" t="str" cm="1">
        <f t="array" aca="1" ref="R213" ca="1">IFERROR(_xlfn.IFS(OR(F213="",LEFT(Methode_Keuze,4)="Geen",Methode_Keuze=""),"",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17" t="str" cm="1">
        <f t="array" aca="1" ref="S213" ca="1">IFERROR(_xlfn.IFS(OR(F213="",LEFT(Methode_Keuze,4)="Geen",Methode_Keuze=""),"",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18" t="str">
        <f>IFERROR(VLOOKUP(F213,Tb_ProjectKosten[#All],11,0),"")</f>
        <v/>
      </c>
      <c r="U213" s="319"/>
    </row>
    <row r="214" spans="1:21" x14ac:dyDescent="0.25">
      <c r="A214" s="312">
        <f>MAX($A$5:A213)+1</f>
        <v>209</v>
      </c>
      <c r="B214" s="299"/>
      <c r="C214" s="299"/>
      <c r="D214" s="299"/>
      <c r="E214" s="299"/>
      <c r="F214" s="299"/>
      <c r="G214" s="331"/>
      <c r="H214" s="313" t="str">
        <f ca="1">IFERROR(IF(VLOOKUP(F214,Kostentypen!$A$3:$E$21,3,0)=0,"",IF(OR(F214="Arbeidskosten",F214="Vergoeding"),VLOOKUP(G214,Tb_KostenTypen[],2,0),VLOOKUP(F214,Kostentypen!$A$3:$E$20,3,0))),"")</f>
        <v/>
      </c>
      <c r="I214" s="314"/>
      <c r="J214" s="315"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15"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2"/>
      <c r="M214" s="362"/>
      <c r="N214" s="316"/>
      <c r="O214" s="316"/>
      <c r="P214" s="317"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17"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17" t="str" cm="1">
        <f t="array" aca="1" ref="R214" ca="1">IFERROR(_xlfn.IFS(OR(F214="",LEFT(Methode_Keuze,4)="Geen",Methode_Keuze=""),"",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17" t="str" cm="1">
        <f t="array" aca="1" ref="S214" ca="1">IFERROR(_xlfn.IFS(OR(F214="",LEFT(Methode_Keuze,4)="Geen",Methode_Keuze=""),"",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18" t="str">
        <f>IFERROR(VLOOKUP(F214,Tb_ProjectKosten[#All],11,0),"")</f>
        <v/>
      </c>
      <c r="U214" s="319"/>
    </row>
    <row r="215" spans="1:21" x14ac:dyDescent="0.25">
      <c r="A215" s="312">
        <f>MAX($A$5:A214)+1</f>
        <v>210</v>
      </c>
      <c r="B215" s="299"/>
      <c r="C215" s="299"/>
      <c r="D215" s="299"/>
      <c r="E215" s="299"/>
      <c r="F215" s="299"/>
      <c r="G215" s="331"/>
      <c r="H215" s="313" t="str">
        <f ca="1">IFERROR(IF(VLOOKUP(F215,Kostentypen!$A$3:$E$21,3,0)=0,"",IF(OR(F215="Arbeidskosten",F215="Vergoeding"),VLOOKUP(G215,Tb_KostenTypen[],2,0),VLOOKUP(F215,Kostentypen!$A$3:$E$20,3,0))),"")</f>
        <v/>
      </c>
      <c r="I215" s="314"/>
      <c r="J215" s="315"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15"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2"/>
      <c r="M215" s="362"/>
      <c r="N215" s="316"/>
      <c r="O215" s="316"/>
      <c r="P215" s="317"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17"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17" t="str" cm="1">
        <f t="array" aca="1" ref="R215" ca="1">IFERROR(_xlfn.IFS(OR(F215="",LEFT(Methode_Keuze,4)="Geen",Methode_Keuze=""),"",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17" t="str" cm="1">
        <f t="array" aca="1" ref="S215" ca="1">IFERROR(_xlfn.IFS(OR(F215="",LEFT(Methode_Keuze,4)="Geen",Methode_Keuze=""),"",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18" t="str">
        <f>IFERROR(VLOOKUP(F215,Tb_ProjectKosten[#All],11,0),"")</f>
        <v/>
      </c>
      <c r="U215" s="319"/>
    </row>
    <row r="216" spans="1:21" x14ac:dyDescent="0.25">
      <c r="A216" s="312">
        <f>MAX($A$5:A215)+1</f>
        <v>211</v>
      </c>
      <c r="B216" s="299"/>
      <c r="C216" s="299"/>
      <c r="D216" s="299"/>
      <c r="E216" s="299"/>
      <c r="F216" s="299"/>
      <c r="G216" s="331"/>
      <c r="H216" s="313" t="str">
        <f ca="1">IFERROR(IF(VLOOKUP(F216,Kostentypen!$A$3:$E$21,3,0)=0,"",IF(OR(F216="Arbeidskosten",F216="Vergoeding"),VLOOKUP(G216,Tb_KostenTypen[],2,0),VLOOKUP(F216,Kostentypen!$A$3:$E$20,3,0))),"")</f>
        <v/>
      </c>
      <c r="I216" s="314"/>
      <c r="J216" s="315"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15"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2"/>
      <c r="M216" s="362"/>
      <c r="N216" s="316"/>
      <c r="O216" s="316"/>
      <c r="P216" s="317"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17"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17" t="str" cm="1">
        <f t="array" aca="1" ref="R216" ca="1">IFERROR(_xlfn.IFS(OR(F216="",LEFT(Methode_Keuze,4)="Geen",Methode_Keuze=""),"",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17" t="str" cm="1">
        <f t="array" aca="1" ref="S216" ca="1">IFERROR(_xlfn.IFS(OR(F216="",LEFT(Methode_Keuze,4)="Geen",Methode_Keuze=""),"",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18" t="str">
        <f>IFERROR(VLOOKUP(F216,Tb_ProjectKosten[#All],11,0),"")</f>
        <v/>
      </c>
      <c r="U216" s="319"/>
    </row>
    <row r="217" spans="1:21" x14ac:dyDescent="0.25">
      <c r="A217" s="312">
        <f>MAX($A$5:A216)+1</f>
        <v>212</v>
      </c>
      <c r="B217" s="299"/>
      <c r="C217" s="299"/>
      <c r="D217" s="299"/>
      <c r="E217" s="299"/>
      <c r="F217" s="299"/>
      <c r="G217" s="331"/>
      <c r="H217" s="313" t="str">
        <f ca="1">IFERROR(IF(VLOOKUP(F217,Kostentypen!$A$3:$E$21,3,0)=0,"",IF(OR(F217="Arbeidskosten",F217="Vergoeding"),VLOOKUP(G217,Tb_KostenTypen[],2,0),VLOOKUP(F217,Kostentypen!$A$3:$E$20,3,0))),"")</f>
        <v/>
      </c>
      <c r="I217" s="314"/>
      <c r="J217" s="315"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15"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2"/>
      <c r="M217" s="362"/>
      <c r="N217" s="316"/>
      <c r="O217" s="316"/>
      <c r="P217" s="317"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17"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17" t="str" cm="1">
        <f t="array" aca="1" ref="R217" ca="1">IFERROR(_xlfn.IFS(OR(F217="",LEFT(Methode_Keuze,4)="Geen",Methode_Keuze=""),"",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17" t="str" cm="1">
        <f t="array" aca="1" ref="S217" ca="1">IFERROR(_xlfn.IFS(OR(F217="",LEFT(Methode_Keuze,4)="Geen",Methode_Keuze=""),"",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18" t="str">
        <f>IFERROR(VLOOKUP(F217,Tb_ProjectKosten[#All],11,0),"")</f>
        <v/>
      </c>
      <c r="U217" s="319"/>
    </row>
    <row r="218" spans="1:21" x14ac:dyDescent="0.25">
      <c r="A218" s="312">
        <f>MAX($A$5:A217)+1</f>
        <v>213</v>
      </c>
      <c r="B218" s="299"/>
      <c r="C218" s="299"/>
      <c r="D218" s="299"/>
      <c r="E218" s="299"/>
      <c r="F218" s="299"/>
      <c r="G218" s="331"/>
      <c r="H218" s="313" t="str">
        <f ca="1">IFERROR(IF(VLOOKUP(F218,Kostentypen!$A$3:$E$21,3,0)=0,"",IF(OR(F218="Arbeidskosten",F218="Vergoeding"),VLOOKUP(G218,Tb_KostenTypen[],2,0),VLOOKUP(F218,Kostentypen!$A$3:$E$20,3,0))),"")</f>
        <v/>
      </c>
      <c r="I218" s="314"/>
      <c r="J218" s="315"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15"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2"/>
      <c r="M218" s="362"/>
      <c r="N218" s="316"/>
      <c r="O218" s="316"/>
      <c r="P218" s="317"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17"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17" t="str" cm="1">
        <f t="array" aca="1" ref="R218" ca="1">IFERROR(_xlfn.IFS(OR(F218="",LEFT(Methode_Keuze,4)="Geen",Methode_Keuze=""),"",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17" t="str" cm="1">
        <f t="array" aca="1" ref="S218" ca="1">IFERROR(_xlfn.IFS(OR(F218="",LEFT(Methode_Keuze,4)="Geen",Methode_Keuze=""),"",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18" t="str">
        <f>IFERROR(VLOOKUP(F218,Tb_ProjectKosten[#All],11,0),"")</f>
        <v/>
      </c>
      <c r="U218" s="319"/>
    </row>
    <row r="219" spans="1:21" x14ac:dyDescent="0.25">
      <c r="A219" s="312">
        <f>MAX($A$5:A218)+1</f>
        <v>214</v>
      </c>
      <c r="B219" s="299"/>
      <c r="C219" s="299"/>
      <c r="D219" s="299"/>
      <c r="E219" s="299"/>
      <c r="F219" s="299"/>
      <c r="G219" s="331"/>
      <c r="H219" s="313" t="str">
        <f ca="1">IFERROR(IF(VLOOKUP(F219,Kostentypen!$A$3:$E$21,3,0)=0,"",IF(OR(F219="Arbeidskosten",F219="Vergoeding"),VLOOKUP(G219,Tb_KostenTypen[],2,0),VLOOKUP(F219,Kostentypen!$A$3:$E$20,3,0))),"")</f>
        <v/>
      </c>
      <c r="I219" s="314"/>
      <c r="J219" s="315"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15"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2"/>
      <c r="M219" s="362"/>
      <c r="N219" s="316"/>
      <c r="O219" s="316"/>
      <c r="P219" s="317"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17"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17" t="str" cm="1">
        <f t="array" aca="1" ref="R219" ca="1">IFERROR(_xlfn.IFS(OR(F219="",LEFT(Methode_Keuze,4)="Geen",Methode_Keuze=""),"",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17" t="str" cm="1">
        <f t="array" aca="1" ref="S219" ca="1">IFERROR(_xlfn.IFS(OR(F219="",LEFT(Methode_Keuze,4)="Geen",Methode_Keuze=""),"",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18" t="str">
        <f>IFERROR(VLOOKUP(F219,Tb_ProjectKosten[#All],11,0),"")</f>
        <v/>
      </c>
      <c r="U219" s="319"/>
    </row>
    <row r="220" spans="1:21" x14ac:dyDescent="0.25">
      <c r="A220" s="312">
        <f>MAX($A$5:A219)+1</f>
        <v>215</v>
      </c>
      <c r="B220" s="299"/>
      <c r="C220" s="299"/>
      <c r="D220" s="299"/>
      <c r="E220" s="299"/>
      <c r="F220" s="299"/>
      <c r="G220" s="331"/>
      <c r="H220" s="313" t="str">
        <f ca="1">IFERROR(IF(VLOOKUP(F220,Kostentypen!$A$3:$E$21,3,0)=0,"",IF(OR(F220="Arbeidskosten",F220="Vergoeding"),VLOOKUP(G220,Tb_KostenTypen[],2,0),VLOOKUP(F220,Kostentypen!$A$3:$E$20,3,0))),"")</f>
        <v/>
      </c>
      <c r="I220" s="314"/>
      <c r="J220" s="315"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15"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2"/>
      <c r="M220" s="362"/>
      <c r="N220" s="316"/>
      <c r="O220" s="316"/>
      <c r="P220" s="317"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17"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17" t="str" cm="1">
        <f t="array" aca="1" ref="R220" ca="1">IFERROR(_xlfn.IFS(OR(F220="",LEFT(Methode_Keuze,4)="Geen",Methode_Keuze=""),"",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17" t="str" cm="1">
        <f t="array" aca="1" ref="S220" ca="1">IFERROR(_xlfn.IFS(OR(F220="",LEFT(Methode_Keuze,4)="Geen",Methode_Keuze=""),"",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18" t="str">
        <f>IFERROR(VLOOKUP(F220,Tb_ProjectKosten[#All],11,0),"")</f>
        <v/>
      </c>
      <c r="U220" s="319"/>
    </row>
    <row r="221" spans="1:21" x14ac:dyDescent="0.25">
      <c r="A221" s="312">
        <f>MAX($A$5:A220)+1</f>
        <v>216</v>
      </c>
      <c r="B221" s="299"/>
      <c r="C221" s="299"/>
      <c r="D221" s="299"/>
      <c r="E221" s="299"/>
      <c r="F221" s="299"/>
      <c r="G221" s="331"/>
      <c r="H221" s="313" t="str">
        <f ca="1">IFERROR(IF(VLOOKUP(F221,Kostentypen!$A$3:$E$21,3,0)=0,"",IF(OR(F221="Arbeidskosten",F221="Vergoeding"),VLOOKUP(G221,Tb_KostenTypen[],2,0),VLOOKUP(F221,Kostentypen!$A$3:$E$20,3,0))),"")</f>
        <v/>
      </c>
      <c r="I221" s="314"/>
      <c r="J221" s="315"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15"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2"/>
      <c r="M221" s="362"/>
      <c r="N221" s="316"/>
      <c r="O221" s="316"/>
      <c r="P221" s="317"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17"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17" t="str" cm="1">
        <f t="array" aca="1" ref="R221" ca="1">IFERROR(_xlfn.IFS(OR(F221="",LEFT(Methode_Keuze,4)="Geen",Methode_Keuze=""),"",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17" t="str" cm="1">
        <f t="array" aca="1" ref="S221" ca="1">IFERROR(_xlfn.IFS(OR(F221="",LEFT(Methode_Keuze,4)="Geen",Methode_Keuze=""),"",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18" t="str">
        <f>IFERROR(VLOOKUP(F221,Tb_ProjectKosten[#All],11,0),"")</f>
        <v/>
      </c>
      <c r="U221" s="319"/>
    </row>
    <row r="222" spans="1:21" x14ac:dyDescent="0.25">
      <c r="A222" s="312">
        <f>MAX($A$5:A221)+1</f>
        <v>217</v>
      </c>
      <c r="B222" s="299"/>
      <c r="C222" s="299"/>
      <c r="D222" s="299"/>
      <c r="E222" s="299"/>
      <c r="F222" s="299"/>
      <c r="G222" s="331"/>
      <c r="H222" s="313" t="str">
        <f ca="1">IFERROR(IF(VLOOKUP(F222,Kostentypen!$A$3:$E$21,3,0)=0,"",IF(OR(F222="Arbeidskosten",F222="Vergoeding"),VLOOKUP(G222,Tb_KostenTypen[],2,0),VLOOKUP(F222,Kostentypen!$A$3:$E$20,3,0))),"")</f>
        <v/>
      </c>
      <c r="I222" s="314"/>
      <c r="J222" s="315"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15"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2"/>
      <c r="M222" s="362"/>
      <c r="N222" s="316"/>
      <c r="O222" s="316"/>
      <c r="P222" s="317"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17"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17" t="str" cm="1">
        <f t="array" aca="1" ref="R222" ca="1">IFERROR(_xlfn.IFS(OR(F222="",LEFT(Methode_Keuze,4)="Geen",Methode_Keuze=""),"",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17" t="str" cm="1">
        <f t="array" aca="1" ref="S222" ca="1">IFERROR(_xlfn.IFS(OR(F222="",LEFT(Methode_Keuze,4)="Geen",Methode_Keuze=""),"",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18" t="str">
        <f>IFERROR(VLOOKUP(F222,Tb_ProjectKosten[#All],11,0),"")</f>
        <v/>
      </c>
      <c r="U222" s="319"/>
    </row>
    <row r="223" spans="1:21" x14ac:dyDescent="0.25">
      <c r="A223" s="312">
        <f>MAX($A$5:A222)+1</f>
        <v>218</v>
      </c>
      <c r="B223" s="299"/>
      <c r="C223" s="299"/>
      <c r="D223" s="299"/>
      <c r="E223" s="299"/>
      <c r="F223" s="299"/>
      <c r="G223" s="331"/>
      <c r="H223" s="313" t="str">
        <f ca="1">IFERROR(IF(VLOOKUP(F223,Kostentypen!$A$3:$E$21,3,0)=0,"",IF(OR(F223="Arbeidskosten",F223="Vergoeding"),VLOOKUP(G223,Tb_KostenTypen[],2,0),VLOOKUP(F223,Kostentypen!$A$3:$E$20,3,0))),"")</f>
        <v/>
      </c>
      <c r="I223" s="314"/>
      <c r="J223" s="315"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15"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2"/>
      <c r="M223" s="362"/>
      <c r="N223" s="316"/>
      <c r="O223" s="316"/>
      <c r="P223" s="317"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17"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17" t="str" cm="1">
        <f t="array" aca="1" ref="R223" ca="1">IFERROR(_xlfn.IFS(OR(F223="",LEFT(Methode_Keuze,4)="Geen",Methode_Keuze=""),"",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17" t="str" cm="1">
        <f t="array" aca="1" ref="S223" ca="1">IFERROR(_xlfn.IFS(OR(F223="",LEFT(Methode_Keuze,4)="Geen",Methode_Keuze=""),"",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18" t="str">
        <f>IFERROR(VLOOKUP(F223,Tb_ProjectKosten[#All],11,0),"")</f>
        <v/>
      </c>
      <c r="U223" s="319"/>
    </row>
    <row r="224" spans="1:21" x14ac:dyDescent="0.25">
      <c r="A224" s="312">
        <f>MAX($A$5:A223)+1</f>
        <v>219</v>
      </c>
      <c r="B224" s="299"/>
      <c r="C224" s="299"/>
      <c r="D224" s="299"/>
      <c r="E224" s="299"/>
      <c r="F224" s="299"/>
      <c r="G224" s="331"/>
      <c r="H224" s="313" t="str">
        <f ca="1">IFERROR(IF(VLOOKUP(F224,Kostentypen!$A$3:$E$21,3,0)=0,"",IF(OR(F224="Arbeidskosten",F224="Vergoeding"),VLOOKUP(G224,Tb_KostenTypen[],2,0),VLOOKUP(F224,Kostentypen!$A$3:$E$20,3,0))),"")</f>
        <v/>
      </c>
      <c r="I224" s="314"/>
      <c r="J224" s="315"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15"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2"/>
      <c r="M224" s="362"/>
      <c r="N224" s="316"/>
      <c r="O224" s="316"/>
      <c r="P224" s="317"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17"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17" t="str" cm="1">
        <f t="array" aca="1" ref="R224" ca="1">IFERROR(_xlfn.IFS(OR(F224="",LEFT(Methode_Keuze,4)="Geen",Methode_Keuze=""),"",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17" t="str" cm="1">
        <f t="array" aca="1" ref="S224" ca="1">IFERROR(_xlfn.IFS(OR(F224="",LEFT(Methode_Keuze,4)="Geen",Methode_Keuze=""),"",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18" t="str">
        <f>IFERROR(VLOOKUP(F224,Tb_ProjectKosten[#All],11,0),"")</f>
        <v/>
      </c>
      <c r="U224" s="319"/>
    </row>
    <row r="225" spans="1:21" x14ac:dyDescent="0.25">
      <c r="A225" s="312">
        <f>MAX($A$5:A224)+1</f>
        <v>220</v>
      </c>
      <c r="B225" s="299"/>
      <c r="C225" s="299"/>
      <c r="D225" s="299"/>
      <c r="E225" s="299"/>
      <c r="F225" s="299"/>
      <c r="G225" s="331"/>
      <c r="H225" s="313" t="str">
        <f ca="1">IFERROR(IF(VLOOKUP(F225,Kostentypen!$A$3:$E$21,3,0)=0,"",IF(OR(F225="Arbeidskosten",F225="Vergoeding"),VLOOKUP(G225,Tb_KostenTypen[],2,0),VLOOKUP(F225,Kostentypen!$A$3:$E$20,3,0))),"")</f>
        <v/>
      </c>
      <c r="I225" s="314"/>
      <c r="J225" s="315"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15"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2"/>
      <c r="M225" s="362"/>
      <c r="N225" s="316"/>
      <c r="O225" s="316"/>
      <c r="P225" s="317"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17"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17" t="str" cm="1">
        <f t="array" aca="1" ref="R225" ca="1">IFERROR(_xlfn.IFS(OR(F225="",LEFT(Methode_Keuze,4)="Geen",Methode_Keuze=""),"",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17" t="str" cm="1">
        <f t="array" aca="1" ref="S225" ca="1">IFERROR(_xlfn.IFS(OR(F225="",LEFT(Methode_Keuze,4)="Geen",Methode_Keuze=""),"",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18" t="str">
        <f>IFERROR(VLOOKUP(F225,Tb_ProjectKosten[#All],11,0),"")</f>
        <v/>
      </c>
      <c r="U225" s="319"/>
    </row>
    <row r="226" spans="1:21" x14ac:dyDescent="0.25">
      <c r="A226" s="312">
        <f>MAX($A$5:A225)+1</f>
        <v>221</v>
      </c>
      <c r="B226" s="299"/>
      <c r="C226" s="299"/>
      <c r="D226" s="299"/>
      <c r="E226" s="299"/>
      <c r="F226" s="299"/>
      <c r="G226" s="331"/>
      <c r="H226" s="313" t="str">
        <f ca="1">IFERROR(IF(VLOOKUP(F226,Kostentypen!$A$3:$E$21,3,0)=0,"",IF(OR(F226="Arbeidskosten",F226="Vergoeding"),VLOOKUP(G226,Tb_KostenTypen[],2,0),VLOOKUP(F226,Kostentypen!$A$3:$E$20,3,0))),"")</f>
        <v/>
      </c>
      <c r="I226" s="314"/>
      <c r="J226" s="315"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15"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2"/>
      <c r="M226" s="362"/>
      <c r="N226" s="316"/>
      <c r="O226" s="316"/>
      <c r="P226" s="317"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17"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17" t="str" cm="1">
        <f t="array" aca="1" ref="R226" ca="1">IFERROR(_xlfn.IFS(OR(F226="",LEFT(Methode_Keuze,4)="Geen",Methode_Keuze=""),"",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17" t="str" cm="1">
        <f t="array" aca="1" ref="S226" ca="1">IFERROR(_xlfn.IFS(OR(F226="",LEFT(Methode_Keuze,4)="Geen",Methode_Keuze=""),"",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18" t="str">
        <f>IFERROR(VLOOKUP(F226,Tb_ProjectKosten[#All],11,0),"")</f>
        <v/>
      </c>
      <c r="U226" s="319"/>
    </row>
    <row r="227" spans="1:21" x14ac:dyDescent="0.25">
      <c r="A227" s="312">
        <f>MAX($A$5:A226)+1</f>
        <v>222</v>
      </c>
      <c r="B227" s="299"/>
      <c r="C227" s="299"/>
      <c r="D227" s="299"/>
      <c r="E227" s="299"/>
      <c r="F227" s="299"/>
      <c r="G227" s="331"/>
      <c r="H227" s="313" t="str">
        <f ca="1">IFERROR(IF(VLOOKUP(F227,Kostentypen!$A$3:$E$21,3,0)=0,"",IF(OR(F227="Arbeidskosten",F227="Vergoeding"),VLOOKUP(G227,Tb_KostenTypen[],2,0),VLOOKUP(F227,Kostentypen!$A$3:$E$20,3,0))),"")</f>
        <v/>
      </c>
      <c r="I227" s="314"/>
      <c r="J227" s="315"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15"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2"/>
      <c r="M227" s="362"/>
      <c r="N227" s="316"/>
      <c r="O227" s="316"/>
      <c r="P227" s="317"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17"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17" t="str" cm="1">
        <f t="array" aca="1" ref="R227" ca="1">IFERROR(_xlfn.IFS(OR(F227="",LEFT(Methode_Keuze,4)="Geen",Methode_Keuze=""),"",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17" t="str" cm="1">
        <f t="array" aca="1" ref="S227" ca="1">IFERROR(_xlfn.IFS(OR(F227="",LEFT(Methode_Keuze,4)="Geen",Methode_Keuze=""),"",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18" t="str">
        <f>IFERROR(VLOOKUP(F227,Tb_ProjectKosten[#All],11,0),"")</f>
        <v/>
      </c>
      <c r="U227" s="319"/>
    </row>
    <row r="228" spans="1:21" x14ac:dyDescent="0.25">
      <c r="A228" s="312">
        <f>MAX($A$5:A227)+1</f>
        <v>223</v>
      </c>
      <c r="B228" s="299"/>
      <c r="C228" s="299"/>
      <c r="D228" s="299"/>
      <c r="E228" s="299"/>
      <c r="F228" s="299"/>
      <c r="G228" s="331"/>
      <c r="H228" s="313" t="str">
        <f ca="1">IFERROR(IF(VLOOKUP(F228,Kostentypen!$A$3:$E$21,3,0)=0,"",IF(OR(F228="Arbeidskosten",F228="Vergoeding"),VLOOKUP(G228,Tb_KostenTypen[],2,0),VLOOKUP(F228,Kostentypen!$A$3:$E$20,3,0))),"")</f>
        <v/>
      </c>
      <c r="I228" s="314"/>
      <c r="J228" s="315"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15"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2"/>
      <c r="M228" s="362"/>
      <c r="N228" s="316"/>
      <c r="O228" s="316"/>
      <c r="P228" s="317"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17"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17" t="str" cm="1">
        <f t="array" aca="1" ref="R228" ca="1">IFERROR(_xlfn.IFS(OR(F228="",LEFT(Methode_Keuze,4)="Geen",Methode_Keuze=""),"",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17" t="str" cm="1">
        <f t="array" aca="1" ref="S228" ca="1">IFERROR(_xlfn.IFS(OR(F228="",LEFT(Methode_Keuze,4)="Geen",Methode_Keuze=""),"",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18" t="str">
        <f>IFERROR(VLOOKUP(F228,Tb_ProjectKosten[#All],11,0),"")</f>
        <v/>
      </c>
      <c r="U228" s="319"/>
    </row>
    <row r="229" spans="1:21" x14ac:dyDescent="0.25">
      <c r="A229" s="312">
        <f>MAX($A$5:A228)+1</f>
        <v>224</v>
      </c>
      <c r="B229" s="299"/>
      <c r="C229" s="299"/>
      <c r="D229" s="299"/>
      <c r="E229" s="299"/>
      <c r="F229" s="299"/>
      <c r="G229" s="331"/>
      <c r="H229" s="313" t="str">
        <f ca="1">IFERROR(IF(VLOOKUP(F229,Kostentypen!$A$3:$E$21,3,0)=0,"",IF(OR(F229="Arbeidskosten",F229="Vergoeding"),VLOOKUP(G229,Tb_KostenTypen[],2,0),VLOOKUP(F229,Kostentypen!$A$3:$E$20,3,0))),"")</f>
        <v/>
      </c>
      <c r="I229" s="314"/>
      <c r="J229" s="315"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15"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2"/>
      <c r="M229" s="362"/>
      <c r="N229" s="316"/>
      <c r="O229" s="316"/>
      <c r="P229" s="317"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17"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17" t="str" cm="1">
        <f t="array" aca="1" ref="R229" ca="1">IFERROR(_xlfn.IFS(OR(F229="",LEFT(Methode_Keuze,4)="Geen",Methode_Keuze=""),"",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17" t="str" cm="1">
        <f t="array" aca="1" ref="S229" ca="1">IFERROR(_xlfn.IFS(OR(F229="",LEFT(Methode_Keuze,4)="Geen",Methode_Keuze=""),"",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18" t="str">
        <f>IFERROR(VLOOKUP(F229,Tb_ProjectKosten[#All],11,0),"")</f>
        <v/>
      </c>
      <c r="U229" s="319"/>
    </row>
    <row r="230" spans="1:21" x14ac:dyDescent="0.25">
      <c r="A230" s="312">
        <f>MAX($A$5:A229)+1</f>
        <v>225</v>
      </c>
      <c r="B230" s="299"/>
      <c r="C230" s="299"/>
      <c r="D230" s="299"/>
      <c r="E230" s="299"/>
      <c r="F230" s="299"/>
      <c r="G230" s="331"/>
      <c r="H230" s="313" t="str">
        <f ca="1">IFERROR(IF(VLOOKUP(F230,Kostentypen!$A$3:$E$21,3,0)=0,"",IF(OR(F230="Arbeidskosten",F230="Vergoeding"),VLOOKUP(G230,Tb_KostenTypen[],2,0),VLOOKUP(F230,Kostentypen!$A$3:$E$20,3,0))),"")</f>
        <v/>
      </c>
      <c r="I230" s="314"/>
      <c r="J230" s="315"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15"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2"/>
      <c r="M230" s="362"/>
      <c r="N230" s="316"/>
      <c r="O230" s="316"/>
      <c r="P230" s="317"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17"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17" t="str" cm="1">
        <f t="array" aca="1" ref="R230" ca="1">IFERROR(_xlfn.IFS(OR(F230="",LEFT(Methode_Keuze,4)="Geen",Methode_Keuze=""),"",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17" t="str" cm="1">
        <f t="array" aca="1" ref="S230" ca="1">IFERROR(_xlfn.IFS(OR(F230="",LEFT(Methode_Keuze,4)="Geen",Methode_Keuze=""),"",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18" t="str">
        <f>IFERROR(VLOOKUP(F230,Tb_ProjectKosten[#All],11,0),"")</f>
        <v/>
      </c>
      <c r="U230" s="319"/>
    </row>
    <row r="231" spans="1:21" x14ac:dyDescent="0.25">
      <c r="A231" s="312">
        <f>MAX($A$5:A230)+1</f>
        <v>226</v>
      </c>
      <c r="B231" s="299"/>
      <c r="C231" s="299"/>
      <c r="D231" s="299"/>
      <c r="E231" s="299"/>
      <c r="F231" s="299"/>
      <c r="G231" s="331"/>
      <c r="H231" s="313" t="str">
        <f ca="1">IFERROR(IF(VLOOKUP(F231,Kostentypen!$A$3:$E$21,3,0)=0,"",IF(OR(F231="Arbeidskosten",F231="Vergoeding"),VLOOKUP(G231,Tb_KostenTypen[],2,0),VLOOKUP(F231,Kostentypen!$A$3:$E$20,3,0))),"")</f>
        <v/>
      </c>
      <c r="I231" s="314"/>
      <c r="J231" s="315"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15"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2"/>
      <c r="M231" s="362"/>
      <c r="N231" s="316"/>
      <c r="O231" s="316"/>
      <c r="P231" s="317"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17"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17" t="str" cm="1">
        <f t="array" aca="1" ref="R231" ca="1">IFERROR(_xlfn.IFS(OR(F231="",LEFT(Methode_Keuze,4)="Geen",Methode_Keuze=""),"",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17" t="str" cm="1">
        <f t="array" aca="1" ref="S231" ca="1">IFERROR(_xlfn.IFS(OR(F231="",LEFT(Methode_Keuze,4)="Geen",Methode_Keuze=""),"",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18" t="str">
        <f>IFERROR(VLOOKUP(F231,Tb_ProjectKosten[#All],11,0),"")</f>
        <v/>
      </c>
      <c r="U231" s="319"/>
    </row>
    <row r="232" spans="1:21" x14ac:dyDescent="0.25">
      <c r="A232" s="312">
        <f>MAX($A$5:A231)+1</f>
        <v>227</v>
      </c>
      <c r="B232" s="299"/>
      <c r="C232" s="299"/>
      <c r="D232" s="299"/>
      <c r="E232" s="299"/>
      <c r="F232" s="299"/>
      <c r="G232" s="331"/>
      <c r="H232" s="313" t="str">
        <f ca="1">IFERROR(IF(VLOOKUP(F232,Kostentypen!$A$3:$E$21,3,0)=0,"",IF(OR(F232="Arbeidskosten",F232="Vergoeding"),VLOOKUP(G232,Tb_KostenTypen[],2,0),VLOOKUP(F232,Kostentypen!$A$3:$E$20,3,0))),"")</f>
        <v/>
      </c>
      <c r="I232" s="314"/>
      <c r="J232" s="315"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15"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2"/>
      <c r="M232" s="362"/>
      <c r="N232" s="316"/>
      <c r="O232" s="316"/>
      <c r="P232" s="317"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17"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17" t="str" cm="1">
        <f t="array" aca="1" ref="R232" ca="1">IFERROR(_xlfn.IFS(OR(F232="",LEFT(Methode_Keuze,4)="Geen",Methode_Keuze=""),"",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17" t="str" cm="1">
        <f t="array" aca="1" ref="S232" ca="1">IFERROR(_xlfn.IFS(OR(F232="",LEFT(Methode_Keuze,4)="Geen",Methode_Keuze=""),"",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18" t="str">
        <f>IFERROR(VLOOKUP(F232,Tb_ProjectKosten[#All],11,0),"")</f>
        <v/>
      </c>
      <c r="U232" s="319"/>
    </row>
    <row r="233" spans="1:21" x14ac:dyDescent="0.25">
      <c r="A233" s="312">
        <f>MAX($A$5:A232)+1</f>
        <v>228</v>
      </c>
      <c r="B233" s="299"/>
      <c r="C233" s="299"/>
      <c r="D233" s="299"/>
      <c r="E233" s="299"/>
      <c r="F233" s="299"/>
      <c r="G233" s="331"/>
      <c r="H233" s="313" t="str">
        <f ca="1">IFERROR(IF(VLOOKUP(F233,Kostentypen!$A$3:$E$21,3,0)=0,"",IF(OR(F233="Arbeidskosten",F233="Vergoeding"),VLOOKUP(G233,Tb_KostenTypen[],2,0),VLOOKUP(F233,Kostentypen!$A$3:$E$20,3,0))),"")</f>
        <v/>
      </c>
      <c r="I233" s="314"/>
      <c r="J233" s="315"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15"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2"/>
      <c r="M233" s="362"/>
      <c r="N233" s="316"/>
      <c r="O233" s="316"/>
      <c r="P233" s="317"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17"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17" t="str" cm="1">
        <f t="array" aca="1" ref="R233" ca="1">IFERROR(_xlfn.IFS(OR(F233="",LEFT(Methode_Keuze,4)="Geen",Methode_Keuze=""),"",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17" t="str" cm="1">
        <f t="array" aca="1" ref="S233" ca="1">IFERROR(_xlfn.IFS(OR(F233="",LEFT(Methode_Keuze,4)="Geen",Methode_Keuze=""),"",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18" t="str">
        <f>IFERROR(VLOOKUP(F233,Tb_ProjectKosten[#All],11,0),"")</f>
        <v/>
      </c>
      <c r="U233" s="319"/>
    </row>
    <row r="234" spans="1:21" x14ac:dyDescent="0.25">
      <c r="A234" s="312">
        <f>MAX($A$5:A233)+1</f>
        <v>229</v>
      </c>
      <c r="B234" s="299"/>
      <c r="C234" s="299"/>
      <c r="D234" s="299"/>
      <c r="E234" s="299"/>
      <c r="F234" s="299"/>
      <c r="G234" s="331"/>
      <c r="H234" s="313" t="str">
        <f ca="1">IFERROR(IF(VLOOKUP(F234,Kostentypen!$A$3:$E$21,3,0)=0,"",IF(OR(F234="Arbeidskosten",F234="Vergoeding"),VLOOKUP(G234,Tb_KostenTypen[],2,0),VLOOKUP(F234,Kostentypen!$A$3:$E$20,3,0))),"")</f>
        <v/>
      </c>
      <c r="I234" s="314"/>
      <c r="J234" s="315"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15"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2"/>
      <c r="M234" s="362"/>
      <c r="N234" s="316"/>
      <c r="O234" s="316"/>
      <c r="P234" s="317"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17"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17" t="str" cm="1">
        <f t="array" aca="1" ref="R234" ca="1">IFERROR(_xlfn.IFS(OR(F234="",LEFT(Methode_Keuze,4)="Geen",Methode_Keuze=""),"",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17" t="str" cm="1">
        <f t="array" aca="1" ref="S234" ca="1">IFERROR(_xlfn.IFS(OR(F234="",LEFT(Methode_Keuze,4)="Geen",Methode_Keuze=""),"",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18" t="str">
        <f>IFERROR(VLOOKUP(F234,Tb_ProjectKosten[#All],11,0),"")</f>
        <v/>
      </c>
      <c r="U234" s="319"/>
    </row>
    <row r="235" spans="1:21" x14ac:dyDescent="0.25">
      <c r="A235" s="312">
        <f>MAX($A$5:A234)+1</f>
        <v>230</v>
      </c>
      <c r="B235" s="299"/>
      <c r="C235" s="299"/>
      <c r="D235" s="299"/>
      <c r="E235" s="299"/>
      <c r="F235" s="299"/>
      <c r="G235" s="331"/>
      <c r="H235" s="313" t="str">
        <f ca="1">IFERROR(IF(VLOOKUP(F235,Kostentypen!$A$3:$E$21,3,0)=0,"",IF(OR(F235="Arbeidskosten",F235="Vergoeding"),VLOOKUP(G235,Tb_KostenTypen[],2,0),VLOOKUP(F235,Kostentypen!$A$3:$E$20,3,0))),"")</f>
        <v/>
      </c>
      <c r="I235" s="314"/>
      <c r="J235" s="315"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15"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2"/>
      <c r="M235" s="362"/>
      <c r="N235" s="316"/>
      <c r="O235" s="316"/>
      <c r="P235" s="317"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17"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17" t="str" cm="1">
        <f t="array" aca="1" ref="R235" ca="1">IFERROR(_xlfn.IFS(OR(F235="",LEFT(Methode_Keuze,4)="Geen",Methode_Keuze=""),"",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17" t="str" cm="1">
        <f t="array" aca="1" ref="S235" ca="1">IFERROR(_xlfn.IFS(OR(F235="",LEFT(Methode_Keuze,4)="Geen",Methode_Keuze=""),"",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18" t="str">
        <f>IFERROR(VLOOKUP(F235,Tb_ProjectKosten[#All],11,0),"")</f>
        <v/>
      </c>
      <c r="U235" s="319"/>
    </row>
    <row r="236" spans="1:21" x14ac:dyDescent="0.25">
      <c r="A236" s="312">
        <f>MAX($A$5:A235)+1</f>
        <v>231</v>
      </c>
      <c r="B236" s="299"/>
      <c r="C236" s="299"/>
      <c r="D236" s="299"/>
      <c r="E236" s="299"/>
      <c r="F236" s="299"/>
      <c r="G236" s="331"/>
      <c r="H236" s="313" t="str">
        <f ca="1">IFERROR(IF(VLOOKUP(F236,Kostentypen!$A$3:$E$21,3,0)=0,"",IF(OR(F236="Arbeidskosten",F236="Vergoeding"),VLOOKUP(G236,Tb_KostenTypen[],2,0),VLOOKUP(F236,Kostentypen!$A$3:$E$20,3,0))),"")</f>
        <v/>
      </c>
      <c r="I236" s="314"/>
      <c r="J236" s="315"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15"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2"/>
      <c r="M236" s="362"/>
      <c r="N236" s="316"/>
      <c r="O236" s="316"/>
      <c r="P236" s="317"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17"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17" t="str" cm="1">
        <f t="array" aca="1" ref="R236" ca="1">IFERROR(_xlfn.IFS(OR(F236="",LEFT(Methode_Keuze,4)="Geen",Methode_Keuze=""),"",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17" t="str" cm="1">
        <f t="array" aca="1" ref="S236" ca="1">IFERROR(_xlfn.IFS(OR(F236="",LEFT(Methode_Keuze,4)="Geen",Methode_Keuze=""),"",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18" t="str">
        <f>IFERROR(VLOOKUP(F236,Tb_ProjectKosten[#All],11,0),"")</f>
        <v/>
      </c>
      <c r="U236" s="319"/>
    </row>
    <row r="237" spans="1:21" x14ac:dyDescent="0.25">
      <c r="A237" s="312">
        <f>MAX($A$5:A236)+1</f>
        <v>232</v>
      </c>
      <c r="B237" s="299"/>
      <c r="C237" s="299"/>
      <c r="D237" s="299"/>
      <c r="E237" s="299"/>
      <c r="F237" s="299"/>
      <c r="G237" s="331"/>
      <c r="H237" s="313" t="str">
        <f ca="1">IFERROR(IF(VLOOKUP(F237,Kostentypen!$A$3:$E$21,3,0)=0,"",IF(OR(F237="Arbeidskosten",F237="Vergoeding"),VLOOKUP(G237,Tb_KostenTypen[],2,0),VLOOKUP(F237,Kostentypen!$A$3:$E$20,3,0))),"")</f>
        <v/>
      </c>
      <c r="I237" s="314"/>
      <c r="J237" s="315"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15"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2"/>
      <c r="M237" s="362"/>
      <c r="N237" s="316"/>
      <c r="O237" s="316"/>
      <c r="P237" s="317"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17"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17" t="str" cm="1">
        <f t="array" aca="1" ref="R237" ca="1">IFERROR(_xlfn.IFS(OR(F237="",LEFT(Methode_Keuze,4)="Geen",Methode_Keuze=""),"",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17" t="str" cm="1">
        <f t="array" aca="1" ref="S237" ca="1">IFERROR(_xlfn.IFS(OR(F237="",LEFT(Methode_Keuze,4)="Geen",Methode_Keuze=""),"",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18" t="str">
        <f>IFERROR(VLOOKUP(F237,Tb_ProjectKosten[#All],11,0),"")</f>
        <v/>
      </c>
      <c r="U237" s="319"/>
    </row>
    <row r="238" spans="1:21" x14ac:dyDescent="0.25">
      <c r="A238" s="312">
        <f>MAX($A$5:A237)+1</f>
        <v>233</v>
      </c>
      <c r="B238" s="299"/>
      <c r="C238" s="299"/>
      <c r="D238" s="299"/>
      <c r="E238" s="299"/>
      <c r="F238" s="299"/>
      <c r="G238" s="331"/>
      <c r="H238" s="313" t="str">
        <f ca="1">IFERROR(IF(VLOOKUP(F238,Kostentypen!$A$3:$E$21,3,0)=0,"",IF(OR(F238="Arbeidskosten",F238="Vergoeding"),VLOOKUP(G238,Tb_KostenTypen[],2,0),VLOOKUP(F238,Kostentypen!$A$3:$E$20,3,0))),"")</f>
        <v/>
      </c>
      <c r="I238" s="314"/>
      <c r="J238" s="315"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15"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2"/>
      <c r="M238" s="362"/>
      <c r="N238" s="316"/>
      <c r="O238" s="316"/>
      <c r="P238" s="317"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17"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17" t="str" cm="1">
        <f t="array" aca="1" ref="R238" ca="1">IFERROR(_xlfn.IFS(OR(F238="",LEFT(Methode_Keuze,4)="Geen",Methode_Keuze=""),"",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17" t="str" cm="1">
        <f t="array" aca="1" ref="S238" ca="1">IFERROR(_xlfn.IFS(OR(F238="",LEFT(Methode_Keuze,4)="Geen",Methode_Keuze=""),"",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18" t="str">
        <f>IFERROR(VLOOKUP(F238,Tb_ProjectKosten[#All],11,0),"")</f>
        <v/>
      </c>
      <c r="U238" s="319"/>
    </row>
    <row r="239" spans="1:21" x14ac:dyDescent="0.25">
      <c r="A239" s="312">
        <f>MAX($A$5:A238)+1</f>
        <v>234</v>
      </c>
      <c r="B239" s="299"/>
      <c r="C239" s="299"/>
      <c r="D239" s="299"/>
      <c r="E239" s="299"/>
      <c r="F239" s="299"/>
      <c r="G239" s="331"/>
      <c r="H239" s="313" t="str">
        <f ca="1">IFERROR(IF(VLOOKUP(F239,Kostentypen!$A$3:$E$21,3,0)=0,"",IF(OR(F239="Arbeidskosten",F239="Vergoeding"),VLOOKUP(G239,Tb_KostenTypen[],2,0),VLOOKUP(F239,Kostentypen!$A$3:$E$20,3,0))),"")</f>
        <v/>
      </c>
      <c r="I239" s="314"/>
      <c r="J239" s="315"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15"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2"/>
      <c r="M239" s="362"/>
      <c r="N239" s="316"/>
      <c r="O239" s="316"/>
      <c r="P239" s="317"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17"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17" t="str" cm="1">
        <f t="array" aca="1" ref="R239" ca="1">IFERROR(_xlfn.IFS(OR(F239="",LEFT(Methode_Keuze,4)="Geen",Methode_Keuze=""),"",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17" t="str" cm="1">
        <f t="array" aca="1" ref="S239" ca="1">IFERROR(_xlfn.IFS(OR(F239="",LEFT(Methode_Keuze,4)="Geen",Methode_Keuze=""),"",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18" t="str">
        <f>IFERROR(VLOOKUP(F239,Tb_ProjectKosten[#All],11,0),"")</f>
        <v/>
      </c>
      <c r="U239" s="319"/>
    </row>
    <row r="240" spans="1:21" x14ac:dyDescent="0.25">
      <c r="A240" s="312">
        <f>MAX($A$5:A239)+1</f>
        <v>235</v>
      </c>
      <c r="B240" s="299"/>
      <c r="C240" s="299"/>
      <c r="D240" s="299"/>
      <c r="E240" s="299"/>
      <c r="F240" s="299"/>
      <c r="G240" s="331"/>
      <c r="H240" s="313" t="str">
        <f ca="1">IFERROR(IF(VLOOKUP(F240,Kostentypen!$A$3:$E$21,3,0)=0,"",IF(OR(F240="Arbeidskosten",F240="Vergoeding"),VLOOKUP(G240,Tb_KostenTypen[],2,0),VLOOKUP(F240,Kostentypen!$A$3:$E$20,3,0))),"")</f>
        <v/>
      </c>
      <c r="I240" s="314"/>
      <c r="J240" s="315"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15"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2"/>
      <c r="M240" s="362"/>
      <c r="N240" s="316"/>
      <c r="O240" s="316"/>
      <c r="P240" s="317"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17"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17" t="str" cm="1">
        <f t="array" aca="1" ref="R240" ca="1">IFERROR(_xlfn.IFS(OR(F240="",LEFT(Methode_Keuze,4)="Geen",Methode_Keuze=""),"",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17" t="str" cm="1">
        <f t="array" aca="1" ref="S240" ca="1">IFERROR(_xlfn.IFS(OR(F240="",LEFT(Methode_Keuze,4)="Geen",Methode_Keuze=""),"",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18" t="str">
        <f>IFERROR(VLOOKUP(F240,Tb_ProjectKosten[#All],11,0),"")</f>
        <v/>
      </c>
      <c r="U240" s="319"/>
    </row>
    <row r="241" spans="1:21" x14ac:dyDescent="0.25">
      <c r="A241" s="312">
        <f>MAX($A$5:A240)+1</f>
        <v>236</v>
      </c>
      <c r="B241" s="299"/>
      <c r="C241" s="299"/>
      <c r="D241" s="299"/>
      <c r="E241" s="299"/>
      <c r="F241" s="299"/>
      <c r="G241" s="331"/>
      <c r="H241" s="313" t="str">
        <f ca="1">IFERROR(IF(VLOOKUP(F241,Kostentypen!$A$3:$E$21,3,0)=0,"",IF(OR(F241="Arbeidskosten",F241="Vergoeding"),VLOOKUP(G241,Tb_KostenTypen[],2,0),VLOOKUP(F241,Kostentypen!$A$3:$E$20,3,0))),"")</f>
        <v/>
      </c>
      <c r="I241" s="314"/>
      <c r="J241" s="315"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15"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2"/>
      <c r="M241" s="362"/>
      <c r="N241" s="316"/>
      <c r="O241" s="316"/>
      <c r="P241" s="317"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17"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17" t="str" cm="1">
        <f t="array" aca="1" ref="R241" ca="1">IFERROR(_xlfn.IFS(OR(F241="",LEFT(Methode_Keuze,4)="Geen",Methode_Keuze=""),"",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17" t="str" cm="1">
        <f t="array" aca="1" ref="S241" ca="1">IFERROR(_xlfn.IFS(OR(F241="",LEFT(Methode_Keuze,4)="Geen",Methode_Keuze=""),"",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18" t="str">
        <f>IFERROR(VLOOKUP(F241,Tb_ProjectKosten[#All],11,0),"")</f>
        <v/>
      </c>
      <c r="U241" s="319"/>
    </row>
    <row r="242" spans="1:21" x14ac:dyDescent="0.25">
      <c r="A242" s="312">
        <f>MAX($A$5:A241)+1</f>
        <v>237</v>
      </c>
      <c r="B242" s="299"/>
      <c r="C242" s="299"/>
      <c r="D242" s="299"/>
      <c r="E242" s="299"/>
      <c r="F242" s="299"/>
      <c r="G242" s="331"/>
      <c r="H242" s="313" t="str">
        <f ca="1">IFERROR(IF(VLOOKUP(F242,Kostentypen!$A$3:$E$21,3,0)=0,"",IF(OR(F242="Arbeidskosten",F242="Vergoeding"),VLOOKUP(G242,Tb_KostenTypen[],2,0),VLOOKUP(F242,Kostentypen!$A$3:$E$20,3,0))),"")</f>
        <v/>
      </c>
      <c r="I242" s="314"/>
      <c r="J242" s="315"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15"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2"/>
      <c r="M242" s="362"/>
      <c r="N242" s="316"/>
      <c r="O242" s="316"/>
      <c r="P242" s="317"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17"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17" t="str" cm="1">
        <f t="array" aca="1" ref="R242" ca="1">IFERROR(_xlfn.IFS(OR(F242="",LEFT(Methode_Keuze,4)="Geen",Methode_Keuze=""),"",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17" t="str" cm="1">
        <f t="array" aca="1" ref="S242" ca="1">IFERROR(_xlfn.IFS(OR(F242="",LEFT(Methode_Keuze,4)="Geen",Methode_Keuze=""),"",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18" t="str">
        <f>IFERROR(VLOOKUP(F242,Tb_ProjectKosten[#All],11,0),"")</f>
        <v/>
      </c>
      <c r="U242" s="319"/>
    </row>
    <row r="243" spans="1:21" x14ac:dyDescent="0.25">
      <c r="A243" s="312">
        <f>MAX($A$5:A242)+1</f>
        <v>238</v>
      </c>
      <c r="B243" s="299"/>
      <c r="C243" s="299"/>
      <c r="D243" s="299"/>
      <c r="E243" s="299"/>
      <c r="F243" s="299"/>
      <c r="G243" s="331"/>
      <c r="H243" s="313" t="str">
        <f ca="1">IFERROR(IF(VLOOKUP(F243,Kostentypen!$A$3:$E$21,3,0)=0,"",IF(OR(F243="Arbeidskosten",F243="Vergoeding"),VLOOKUP(G243,Tb_KostenTypen[],2,0),VLOOKUP(F243,Kostentypen!$A$3:$E$20,3,0))),"")</f>
        <v/>
      </c>
      <c r="I243" s="314"/>
      <c r="J243" s="315"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15"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2"/>
      <c r="M243" s="362"/>
      <c r="N243" s="316"/>
      <c r="O243" s="316"/>
      <c r="P243" s="317"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17"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17" t="str" cm="1">
        <f t="array" aca="1" ref="R243" ca="1">IFERROR(_xlfn.IFS(OR(F243="",LEFT(Methode_Keuze,4)="Geen",Methode_Keuze=""),"",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17" t="str" cm="1">
        <f t="array" aca="1" ref="S243" ca="1">IFERROR(_xlfn.IFS(OR(F243="",LEFT(Methode_Keuze,4)="Geen",Methode_Keuze=""),"",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18" t="str">
        <f>IFERROR(VLOOKUP(F243,Tb_ProjectKosten[#All],11,0),"")</f>
        <v/>
      </c>
      <c r="U243" s="319"/>
    </row>
    <row r="244" spans="1:21" x14ac:dyDescent="0.25">
      <c r="A244" s="312">
        <f>MAX($A$5:A243)+1</f>
        <v>239</v>
      </c>
      <c r="B244" s="299"/>
      <c r="C244" s="299"/>
      <c r="D244" s="299"/>
      <c r="E244" s="299"/>
      <c r="F244" s="299"/>
      <c r="G244" s="331"/>
      <c r="H244" s="313" t="str">
        <f ca="1">IFERROR(IF(VLOOKUP(F244,Kostentypen!$A$3:$E$21,3,0)=0,"",IF(OR(F244="Arbeidskosten",F244="Vergoeding"),VLOOKUP(G244,Tb_KostenTypen[],2,0),VLOOKUP(F244,Kostentypen!$A$3:$E$20,3,0))),"")</f>
        <v/>
      </c>
      <c r="I244" s="314"/>
      <c r="J244" s="315"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15"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2"/>
      <c r="M244" s="362"/>
      <c r="N244" s="316"/>
      <c r="O244" s="316"/>
      <c r="P244" s="317"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17"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17" t="str" cm="1">
        <f t="array" aca="1" ref="R244" ca="1">IFERROR(_xlfn.IFS(OR(F244="",LEFT(Methode_Keuze,4)="Geen",Methode_Keuze=""),"",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17" t="str" cm="1">
        <f t="array" aca="1" ref="S244" ca="1">IFERROR(_xlfn.IFS(OR(F244="",LEFT(Methode_Keuze,4)="Geen",Methode_Keuze=""),"",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18" t="str">
        <f>IFERROR(VLOOKUP(F244,Tb_ProjectKosten[#All],11,0),"")</f>
        <v/>
      </c>
      <c r="U244" s="319"/>
    </row>
    <row r="245" spans="1:21" x14ac:dyDescent="0.25">
      <c r="A245" s="312">
        <f>MAX($A$5:A244)+1</f>
        <v>240</v>
      </c>
      <c r="B245" s="299"/>
      <c r="C245" s="299"/>
      <c r="D245" s="299"/>
      <c r="E245" s="299"/>
      <c r="F245" s="299"/>
      <c r="G245" s="331"/>
      <c r="H245" s="313" t="str">
        <f ca="1">IFERROR(IF(VLOOKUP(F245,Kostentypen!$A$3:$E$21,3,0)=0,"",IF(OR(F245="Arbeidskosten",F245="Vergoeding"),VLOOKUP(G245,Tb_KostenTypen[],2,0),VLOOKUP(F245,Kostentypen!$A$3:$E$20,3,0))),"")</f>
        <v/>
      </c>
      <c r="I245" s="314"/>
      <c r="J245" s="315"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15"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2"/>
      <c r="M245" s="362"/>
      <c r="N245" s="316"/>
      <c r="O245" s="316"/>
      <c r="P245" s="317"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17"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17" t="str" cm="1">
        <f t="array" aca="1" ref="R245" ca="1">IFERROR(_xlfn.IFS(OR(F245="",LEFT(Methode_Keuze,4)="Geen",Methode_Keuze=""),"",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17" t="str" cm="1">
        <f t="array" aca="1" ref="S245" ca="1">IFERROR(_xlfn.IFS(OR(F245="",LEFT(Methode_Keuze,4)="Geen",Methode_Keuze=""),"",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18" t="str">
        <f>IFERROR(VLOOKUP(F245,Tb_ProjectKosten[#All],11,0),"")</f>
        <v/>
      </c>
      <c r="U245" s="319"/>
    </row>
    <row r="246" spans="1:21" x14ac:dyDescent="0.25">
      <c r="A246" s="312">
        <f>MAX($A$5:A245)+1</f>
        <v>241</v>
      </c>
      <c r="B246" s="299"/>
      <c r="C246" s="299"/>
      <c r="D246" s="299"/>
      <c r="E246" s="299"/>
      <c r="F246" s="299"/>
      <c r="G246" s="331"/>
      <c r="H246" s="313" t="str">
        <f ca="1">IFERROR(IF(VLOOKUP(F246,Kostentypen!$A$3:$E$21,3,0)=0,"",IF(OR(F246="Arbeidskosten",F246="Vergoeding"),VLOOKUP(G246,Tb_KostenTypen[],2,0),VLOOKUP(F246,Kostentypen!$A$3:$E$20,3,0))),"")</f>
        <v/>
      </c>
      <c r="I246" s="314"/>
      <c r="J246" s="315"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15"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2"/>
      <c r="M246" s="362"/>
      <c r="N246" s="316"/>
      <c r="O246" s="316"/>
      <c r="P246" s="317"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17"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17" t="str" cm="1">
        <f t="array" aca="1" ref="R246" ca="1">IFERROR(_xlfn.IFS(OR(F246="",LEFT(Methode_Keuze,4)="Geen",Methode_Keuze=""),"",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17" t="str" cm="1">
        <f t="array" aca="1" ref="S246" ca="1">IFERROR(_xlfn.IFS(OR(F246="",LEFT(Methode_Keuze,4)="Geen",Methode_Keuze=""),"",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18" t="str">
        <f>IFERROR(VLOOKUP(F246,Tb_ProjectKosten[#All],11,0),"")</f>
        <v/>
      </c>
      <c r="U246" s="319"/>
    </row>
    <row r="247" spans="1:21" x14ac:dyDescent="0.25">
      <c r="A247" s="312">
        <f>MAX($A$5:A246)+1</f>
        <v>242</v>
      </c>
      <c r="B247" s="299"/>
      <c r="C247" s="299"/>
      <c r="D247" s="299"/>
      <c r="E247" s="299"/>
      <c r="F247" s="299"/>
      <c r="G247" s="331"/>
      <c r="H247" s="313" t="str">
        <f ca="1">IFERROR(IF(VLOOKUP(F247,Kostentypen!$A$3:$E$21,3,0)=0,"",IF(OR(F247="Arbeidskosten",F247="Vergoeding"),VLOOKUP(G247,Tb_KostenTypen[],2,0),VLOOKUP(F247,Kostentypen!$A$3:$E$20,3,0))),"")</f>
        <v/>
      </c>
      <c r="I247" s="314"/>
      <c r="J247" s="315"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15"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2"/>
      <c r="M247" s="362"/>
      <c r="N247" s="316"/>
      <c r="O247" s="316"/>
      <c r="P247" s="317"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17"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17" t="str" cm="1">
        <f t="array" aca="1" ref="R247" ca="1">IFERROR(_xlfn.IFS(OR(F247="",LEFT(Methode_Keuze,4)="Geen",Methode_Keuze=""),"",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17" t="str" cm="1">
        <f t="array" aca="1" ref="S247" ca="1">IFERROR(_xlfn.IFS(OR(F247="",LEFT(Methode_Keuze,4)="Geen",Methode_Keuze=""),"",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18" t="str">
        <f>IFERROR(VLOOKUP(F247,Tb_ProjectKosten[#All],11,0),"")</f>
        <v/>
      </c>
      <c r="U247" s="319"/>
    </row>
    <row r="248" spans="1:21" x14ac:dyDescent="0.25">
      <c r="A248" s="312">
        <f>MAX($A$5:A247)+1</f>
        <v>243</v>
      </c>
      <c r="B248" s="299"/>
      <c r="C248" s="299"/>
      <c r="D248" s="299"/>
      <c r="E248" s="299"/>
      <c r="F248" s="299"/>
      <c r="G248" s="331"/>
      <c r="H248" s="313" t="str">
        <f ca="1">IFERROR(IF(VLOOKUP(F248,Kostentypen!$A$3:$E$21,3,0)=0,"",IF(OR(F248="Arbeidskosten",F248="Vergoeding"),VLOOKUP(G248,Tb_KostenTypen[],2,0),VLOOKUP(F248,Kostentypen!$A$3:$E$20,3,0))),"")</f>
        <v/>
      </c>
      <c r="I248" s="314"/>
      <c r="J248" s="315"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15"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2"/>
      <c r="M248" s="362"/>
      <c r="N248" s="316"/>
      <c r="O248" s="316"/>
      <c r="P248" s="317"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17"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17" t="str" cm="1">
        <f t="array" aca="1" ref="R248" ca="1">IFERROR(_xlfn.IFS(OR(F248="",LEFT(Methode_Keuze,4)="Geen",Methode_Keuze=""),"",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17" t="str" cm="1">
        <f t="array" aca="1" ref="S248" ca="1">IFERROR(_xlfn.IFS(OR(F248="",LEFT(Methode_Keuze,4)="Geen",Methode_Keuze=""),"",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18" t="str">
        <f>IFERROR(VLOOKUP(F248,Tb_ProjectKosten[#All],11,0),"")</f>
        <v/>
      </c>
      <c r="U248" s="319"/>
    </row>
    <row r="249" spans="1:21" x14ac:dyDescent="0.25">
      <c r="A249" s="312">
        <f>MAX($A$5:A248)+1</f>
        <v>244</v>
      </c>
      <c r="B249" s="299"/>
      <c r="C249" s="299"/>
      <c r="D249" s="299"/>
      <c r="E249" s="299"/>
      <c r="F249" s="299"/>
      <c r="G249" s="331"/>
      <c r="H249" s="313" t="str">
        <f ca="1">IFERROR(IF(VLOOKUP(F249,Kostentypen!$A$3:$E$21,3,0)=0,"",IF(OR(F249="Arbeidskosten",F249="Vergoeding"),VLOOKUP(G249,Tb_KostenTypen[],2,0),VLOOKUP(F249,Kostentypen!$A$3:$E$20,3,0))),"")</f>
        <v/>
      </c>
      <c r="I249" s="314"/>
      <c r="J249" s="315"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15"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2"/>
      <c r="M249" s="362"/>
      <c r="N249" s="316"/>
      <c r="O249" s="316"/>
      <c r="P249" s="317"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17"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17" t="str" cm="1">
        <f t="array" aca="1" ref="R249" ca="1">IFERROR(_xlfn.IFS(OR(F249="",LEFT(Methode_Keuze,4)="Geen",Methode_Keuze=""),"",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17" t="str" cm="1">
        <f t="array" aca="1" ref="S249" ca="1">IFERROR(_xlfn.IFS(OR(F249="",LEFT(Methode_Keuze,4)="Geen",Methode_Keuze=""),"",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18" t="str">
        <f>IFERROR(VLOOKUP(F249,Tb_ProjectKosten[#All],11,0),"")</f>
        <v/>
      </c>
      <c r="U249" s="319"/>
    </row>
    <row r="250" spans="1:21" x14ac:dyDescent="0.25">
      <c r="A250" s="312">
        <f>MAX($A$5:A249)+1</f>
        <v>245</v>
      </c>
      <c r="B250" s="299"/>
      <c r="C250" s="299"/>
      <c r="D250" s="299"/>
      <c r="E250" s="299"/>
      <c r="F250" s="299"/>
      <c r="G250" s="331"/>
      <c r="H250" s="313" t="str">
        <f ca="1">IFERROR(IF(VLOOKUP(F250,Kostentypen!$A$3:$E$21,3,0)=0,"",IF(OR(F250="Arbeidskosten",F250="Vergoeding"),VLOOKUP(G250,Tb_KostenTypen[],2,0),VLOOKUP(F250,Kostentypen!$A$3:$E$20,3,0))),"")</f>
        <v/>
      </c>
      <c r="I250" s="314"/>
      <c r="J250" s="315"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15"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2"/>
      <c r="M250" s="362"/>
      <c r="N250" s="316"/>
      <c r="O250" s="316"/>
      <c r="P250" s="317"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17"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17" t="str" cm="1">
        <f t="array" aca="1" ref="R250" ca="1">IFERROR(_xlfn.IFS(OR(F250="",LEFT(Methode_Keuze,4)="Geen",Methode_Keuze=""),"",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17" t="str" cm="1">
        <f t="array" aca="1" ref="S250" ca="1">IFERROR(_xlfn.IFS(OR(F250="",LEFT(Methode_Keuze,4)="Geen",Methode_Keuze=""),"",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18" t="str">
        <f>IFERROR(VLOOKUP(F250,Tb_ProjectKosten[#All],11,0),"")</f>
        <v/>
      </c>
      <c r="U250" s="319"/>
    </row>
    <row r="251" spans="1:21" ht="15" customHeight="1" x14ac:dyDescent="0.25">
      <c r="A251" s="24" t="s">
        <v>57</v>
      </c>
      <c r="B251" s="24"/>
    </row>
  </sheetData>
  <sheetProtection algorithmName="SHA-512" hashValue="9JHAX3iLixIDruylU8ZR3C8aNsNHxT2KDP3iNs6Z01Vm6pJ8NwcizVl3X8LRIAOejI/jg0FDc+c73fMxfGXUcw==" saltValue="u301u/MDOpP1AE1eewo7Tw==" spinCount="100000" sheet="1" objects="1" scenarios="1"/>
  <mergeCells count="10">
    <mergeCell ref="B3:F3"/>
    <mergeCell ref="U3:U5"/>
    <mergeCell ref="I3:I5"/>
    <mergeCell ref="J3:K4"/>
    <mergeCell ref="L3:M4"/>
    <mergeCell ref="N3:O4"/>
    <mergeCell ref="T3:T5"/>
    <mergeCell ref="P3:Q3"/>
    <mergeCell ref="R3:S3"/>
    <mergeCell ref="B4:E4"/>
  </mergeCells>
  <phoneticPr fontId="4"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LEN(N6)-LEN(INT(N6))&lt;=3</formula1>
    </dataValidation>
    <dataValidation type="custom" allowBlank="1" showInputMessage="1" showErrorMessage="1" sqref="L6:M250" xr:uid="{1165D705-04A7-44BF-B7AB-61A09140104C}">
      <formula1>IF(COUNTIF($F6,"*Vergoeding")&gt;0,LEN(L6)-LEN(INT(L6))&lt;=5,LEN(L6)-LEN(INT(L6))&lt;=3)</formula1>
    </dataValidation>
  </dataValidations>
  <hyperlinks>
    <hyperlink ref="B4:C4" r:id="rId1" display="https://abs.techletes.ai/subsidie-buddy-eip/" xr:uid="{74293633-0694-44E5-B51C-0CF0C3BAD944}"/>
    <hyperlink ref="B4:E4" r:id="rId2" display="Heeft u een specifieke vraag over de regeling of het aanvraagproces? 🔗 Test de EIP Subsidie Buddy via https://abs.techletes.ai/subsidie-buddy-eip" xr:uid="{4B4E4A07-11F8-471B-AE7C-96DCE56CCBDF}"/>
  </hyperlinks>
  <pageMargins left="0.70866141732283472" right="0.70866141732283472" top="0.74803149606299213" bottom="0.74803149606299213" header="0.31496062992125984" footer="0.31496062992125984"/>
  <pageSetup paperSize="9" scale="55" orientation="landscape" r:id="rId3"/>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tabSelected="1" topLeftCell="A12" zoomScaleNormal="100" workbookViewId="0">
      <selection activeCell="C3" sqref="C3:D3"/>
    </sheetView>
  </sheetViews>
  <sheetFormatPr defaultColWidth="0" defaultRowHeight="15" customHeight="1" x14ac:dyDescent="0.25"/>
  <cols>
    <col min="1" max="1" width="2.85546875" style="25" customWidth="1"/>
    <col min="2" max="2" width="62.7109375" style="25" customWidth="1"/>
    <col min="3" max="3" width="33.140625" style="25" customWidth="1"/>
    <col min="4" max="4" width="38.28515625" style="25" customWidth="1"/>
    <col min="5"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5" t="str">
        <f>IF($C$2="","Kies op tabblad '1. Aanvraag gegevens' de juiste openstelling","")</f>
        <v/>
      </c>
      <c r="D1" s="24"/>
    </row>
    <row r="2" spans="2:13" x14ac:dyDescent="0.25">
      <c r="B2" s="17" t="s">
        <v>178</v>
      </c>
      <c r="C2" s="437" t="str">
        <f>IF('1. Aanvraaggegevens'!C2&lt;&gt;"",'1. Aanvraaggegevens'!C2,"")</f>
        <v>Samenwerken aan innovatie (EIP) Digitalisering en Robotisering</v>
      </c>
      <c r="D2" s="437"/>
    </row>
    <row r="3" spans="2:13" ht="15" customHeight="1" x14ac:dyDescent="0.25">
      <c r="B3" s="17" t="s">
        <v>175</v>
      </c>
      <c r="C3" s="438" t="str">
        <f>IF('1. Aanvraaggegevens'!C3&lt;&gt;"",'1. Aanvraaggegevens'!C3,"")</f>
        <v/>
      </c>
      <c r="D3" s="438"/>
    </row>
    <row r="4" spans="2:13" ht="15" customHeight="1" x14ac:dyDescent="0.25">
      <c r="B4" s="17" t="s">
        <v>176</v>
      </c>
      <c r="C4" s="438" t="str">
        <f>IF('1. Aanvraaggegevens'!C4&lt;&gt;"",'1. Aanvraaggegevens'!C4,"")</f>
        <v/>
      </c>
      <c r="D4" s="438"/>
    </row>
    <row r="5" spans="2:13" ht="15" customHeight="1" x14ac:dyDescent="0.25">
      <c r="B5" s="17" t="s">
        <v>177</v>
      </c>
      <c r="C5" s="438" t="str">
        <f>IF('1. Aanvraaggegevens'!C5&lt;&gt;"",'1. Aanvraaggegevens'!C5,"")</f>
        <v/>
      </c>
      <c r="D5" s="438"/>
    </row>
    <row r="6" spans="2:13" ht="45" customHeight="1" x14ac:dyDescent="0.25">
      <c r="B6" s="5"/>
      <c r="C6" s="439" t="str">
        <f>IF('1. Aanvraaggegevens'!C6&lt;&gt;"",'1. Aanvraaggegevens'!C6,"")</f>
        <v>Heeft u een specifieke vraag over de regeling of het aanvraagproces?
🔗 Test de EIP Subsidie Buddy via https://abs.techletes.ai/subsidie-buddy-eip</v>
      </c>
      <c r="D6" s="439"/>
    </row>
    <row r="7" spans="2:13" ht="5.25" customHeight="1" x14ac:dyDescent="0.25">
      <c r="C7" s="26"/>
      <c r="D7" s="26"/>
    </row>
    <row r="8" spans="2:13" ht="15" customHeight="1" x14ac:dyDescent="0.25">
      <c r="B8" s="149" t="s">
        <v>174</v>
      </c>
      <c r="C8" s="436" t="str">
        <f>IF('1. Aanvraaggegevens'!C8&lt;&gt;"",'1. Aanvraaggegevens'!C8,"")</f>
        <v/>
      </c>
      <c r="D8" s="436"/>
    </row>
    <row r="9" spans="2:13" ht="21.75" customHeight="1" x14ac:dyDescent="0.25">
      <c r="B9" s="163"/>
      <c r="C9" s="163"/>
      <c r="D9" s="173" t="s">
        <v>220</v>
      </c>
      <c r="E9" s="163"/>
      <c r="F9" s="163"/>
      <c r="G9" s="163"/>
      <c r="H9" s="163"/>
      <c r="I9" s="163"/>
    </row>
    <row r="10" spans="2:13" ht="45" customHeight="1" x14ac:dyDescent="0.25">
      <c r="B10" s="187" t="s">
        <v>0</v>
      </c>
      <c r="C10" s="187" t="s">
        <v>209</v>
      </c>
      <c r="D10" s="186" t="str" cm="1">
        <f t="array" aca="1" ref="D10" ca="1">IFERROR(TRANSPOSE(Activiteiten_Uniek_Sort),"")</f>
        <v/>
      </c>
      <c r="E10" s="186"/>
      <c r="F10" s="186"/>
      <c r="G10" s="186"/>
      <c r="H10" s="186"/>
      <c r="I10" s="186"/>
      <c r="J10" s="186"/>
      <c r="K10" s="186"/>
      <c r="L10" s="186"/>
      <c r="M10" s="186"/>
    </row>
    <row r="11" spans="2:13" ht="15" customHeight="1" x14ac:dyDescent="0.25">
      <c r="B11" s="198" t="str" cm="1">
        <f t="array" aca="1" ref="B11:B16" ca="1">IFERROR(Posten_Uniek,"")</f>
        <v>Arbeidskosten</v>
      </c>
      <c r="C11" s="290">
        <f ca="1">IF(B11="","",SUMIF(Tb_ProjectKosten[Begroting],'6. Begrotingsoverzicht'!B11,Tb_ProjectKosten[Kosten_Aanvraag]))</f>
        <v>0</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198" t="str">
        <f ca="1"/>
        <v>Arbeidskosten op basis van IKS</v>
      </c>
      <c r="C12" s="290">
        <f ca="1">IF(B12="","",SUMIF(Tb_ProjectKosten[Begroting],'6. Begrotingsoverzicht'!B12,Tb_ProjectKosten[Kosten_Aanvraag]))</f>
        <v>0</v>
      </c>
      <c r="D12" s="103" t="str">
        <f ca="1">IF(AND($C12&lt;&gt;0,$C12&lt;&gt;"",D$10&lt;&gt;""),SUMIFS(SubsidieTabel!$F:$F,SubsidieTabel!$A:$A,D$10,SubsidieTabel!$C:$C,$B12),"")</f>
        <v/>
      </c>
      <c r="E12" s="103" t="str">
        <f ca="1">IF(AND($C12&lt;&gt;0,$C12&lt;&gt;"",E$10&lt;&gt;""),SUMIFS(SubsidieTabel!$F:$F,SubsidieTabel!$A:$A,E$10,SubsidieTabel!$C:$C,$B12),"")</f>
        <v/>
      </c>
      <c r="F12" s="103" t="str">
        <f ca="1">IF(AND($C12&lt;&gt;0,$C12&lt;&gt;"",F$10&lt;&gt;""),SUMIFS(SubsidieTabel!$F:$F,SubsidieTabel!$A:$A,F$10,SubsidieTabel!$C:$C,$B12),"")</f>
        <v/>
      </c>
      <c r="G12" s="103" t="str">
        <f ca="1">IF(AND($C12&lt;&gt;0,$C12&lt;&gt;"",G$10&lt;&gt;""),SUMIFS(SubsidieTabel!$F:$F,SubsidieTabel!$A:$A,G$10,SubsidieTabel!$C:$C,$B12),"")</f>
        <v/>
      </c>
      <c r="H12" s="103" t="str">
        <f ca="1">IF(AND($C12&lt;&gt;0,$C12&lt;&gt;"",H$10&lt;&gt;""),SUMIFS(SubsidieTabel!$F:$F,SubsidieTabel!$A:$A,H$10,SubsidieTabel!$C:$C,$B12),"")</f>
        <v/>
      </c>
      <c r="I12" s="103" t="str">
        <f ca="1">IF(AND($C12&lt;&gt;0,$C12&lt;&gt;"",I$10&lt;&gt;""),SUMIFS(SubsidieTabel!$F:$F,SubsidieTabel!$A:$A,I$10,SubsidieTabel!$C:$C,$B12),"")</f>
        <v/>
      </c>
      <c r="J12" s="103" t="str">
        <f ca="1">IF(AND($C12&lt;&gt;0,$C12&lt;&gt;"",J$10&lt;&gt;""),SUMIFS(SubsidieTabel!$F:$F,SubsidieTabel!$A:$A,J$10,SubsidieTabel!$C:$C,$B12),"")</f>
        <v/>
      </c>
      <c r="K12" s="103" t="str">
        <f ca="1">IF(AND($C12&lt;&gt;0,$C12&lt;&gt;"",K$10&lt;&gt;""),SUMIFS(SubsidieTabel!$F:$F,SubsidieTabel!$A:$A,K$10,SubsidieTabel!$C:$C,$B12),"")</f>
        <v/>
      </c>
      <c r="L12" s="103" t="str">
        <f ca="1">IF(AND($C12&lt;&gt;0,$C12&lt;&gt;"",L$10&lt;&gt;""),SUMIFS(SubsidieTabel!$F:$F,SubsidieTabel!$A:$A,L$10,SubsidieTabel!$C:$C,$B12),"")</f>
        <v/>
      </c>
      <c r="M12" s="103" t="str">
        <f ca="1">IF(AND($C12&lt;&gt;0,$C12&lt;&gt;"",M$10&lt;&gt;""),SUMIFS(SubsidieTabel!$F:$F,SubsidieTabel!$A:$A,M$10,SubsidieTabel!$C:$C,$B12),"")</f>
        <v/>
      </c>
    </row>
    <row r="13" spans="2:13" ht="15" customHeight="1" x14ac:dyDescent="0.25">
      <c r="B13" s="198" t="str">
        <f ca="1"/>
        <v>Kosten derden exclusief btw</v>
      </c>
      <c r="C13" s="290">
        <f ca="1">IF(B13="","",SUMIF(Tb_ProjectKosten[Begroting],'6. Begrotingsoverzicht'!B13,Tb_ProjectKosten[Kosten_Aanvraag]))</f>
        <v>0</v>
      </c>
      <c r="D13" s="103" t="str">
        <f ca="1">IF(AND($C13&lt;&gt;0,$C13&lt;&gt;"",D$10&lt;&gt;""),SUMIFS(SubsidieTabel!$F:$F,SubsidieTabel!$A:$A,D$10,SubsidieTabel!$C:$C,$B13),"")</f>
        <v/>
      </c>
      <c r="E13" s="103" t="str">
        <f ca="1">IF(AND($C13&lt;&gt;0,$C13&lt;&gt;"",E$10&lt;&gt;""),SUMIFS(SubsidieTabel!$F:$F,SubsidieTabel!$A:$A,E$10,SubsidieTabel!$C:$C,$B13),"")</f>
        <v/>
      </c>
      <c r="F13" s="103" t="str">
        <f ca="1">IF(AND($C13&lt;&gt;0,$C13&lt;&gt;"",F$10&lt;&gt;""),SUMIFS(SubsidieTabel!$F:$F,SubsidieTabel!$A:$A,F$10,SubsidieTabel!$C:$C,$B13),"")</f>
        <v/>
      </c>
      <c r="G13" s="103" t="str">
        <f ca="1">IF(AND($C13&lt;&gt;0,$C13&lt;&gt;"",G$10&lt;&gt;""),SUMIFS(SubsidieTabel!$F:$F,SubsidieTabel!$A:$A,G$10,SubsidieTabel!$C:$C,$B13),"")</f>
        <v/>
      </c>
      <c r="H13" s="103" t="str">
        <f ca="1">IF(AND($C13&lt;&gt;0,$C13&lt;&gt;"",H$10&lt;&gt;""),SUMIFS(SubsidieTabel!$F:$F,SubsidieTabel!$A:$A,H$10,SubsidieTabel!$C:$C,$B13),"")</f>
        <v/>
      </c>
      <c r="I13" s="103" t="str">
        <f ca="1">IF(AND($C13&lt;&gt;0,$C13&lt;&gt;"",I$10&lt;&gt;""),SUMIFS(SubsidieTabel!$F:$F,SubsidieTabel!$A:$A,I$10,SubsidieTabel!$C:$C,$B13),"")</f>
        <v/>
      </c>
      <c r="J13" s="103" t="str">
        <f ca="1">IF(AND($C13&lt;&gt;0,$C13&lt;&gt;"",J$10&lt;&gt;""),SUMIFS(SubsidieTabel!$F:$F,SubsidieTabel!$A:$A,J$10,SubsidieTabel!$C:$C,$B13),"")</f>
        <v/>
      </c>
      <c r="K13" s="103" t="str">
        <f ca="1">IF(AND($C13&lt;&gt;0,$C13&lt;&gt;"",K$10&lt;&gt;""),SUMIFS(SubsidieTabel!$F:$F,SubsidieTabel!$A:$A,K$10,SubsidieTabel!$C:$C,$B13),"")</f>
        <v/>
      </c>
      <c r="L13" s="103" t="str">
        <f ca="1">IF(AND($C13&lt;&gt;0,$C13&lt;&gt;"",L$10&lt;&gt;""),SUMIFS(SubsidieTabel!$F:$F,SubsidieTabel!$A:$A,L$10,SubsidieTabel!$C:$C,$B13),"")</f>
        <v/>
      </c>
      <c r="M13" s="103" t="str">
        <f ca="1">IF(AND($C13&lt;&gt;0,$C13&lt;&gt;"",M$10&lt;&gt;""),SUMIFS(SubsidieTabel!$F:$F,SubsidieTabel!$A:$A,M$10,SubsidieTabel!$C:$C,$B13),"")</f>
        <v/>
      </c>
    </row>
    <row r="14" spans="2:13" ht="15" customHeight="1" x14ac:dyDescent="0.25">
      <c r="B14" s="6" t="str">
        <f ca="1"/>
        <v>Bijdrage in natura (overige)</v>
      </c>
      <c r="C14" s="290">
        <f ca="1">IF(B14="","",SUMIF(Tb_ProjectKosten[Begroting],'6. Begrotingsoverzicht'!B14,Tb_ProjectKosten[Kosten_Aanvraag]))</f>
        <v>0</v>
      </c>
      <c r="D14" s="103" t="str">
        <f ca="1">IF(AND($C14&lt;&gt;0,$C14&lt;&gt;"",D$10&lt;&gt;""),SUMIFS(SubsidieTabel!$F:$F,SubsidieTabel!$A:$A,D$10,SubsidieTabel!$C:$C,$B14),"")</f>
        <v/>
      </c>
      <c r="E14" s="103" t="str">
        <f ca="1">IF(AND($C14&lt;&gt;0,$C14&lt;&gt;"",E$10&lt;&gt;""),SUMIFS(SubsidieTabel!$F:$F,SubsidieTabel!$A:$A,E$10,SubsidieTabel!$C:$C,$B14),"")</f>
        <v/>
      </c>
      <c r="F14" s="103" t="str">
        <f ca="1">IF(AND($C14&lt;&gt;0,$C14&lt;&gt;"",F$10&lt;&gt;""),SUMIFS(SubsidieTabel!$F:$F,SubsidieTabel!$A:$A,F$10,SubsidieTabel!$C:$C,$B14),"")</f>
        <v/>
      </c>
      <c r="G14" s="103" t="str">
        <f ca="1">IF(AND($C14&lt;&gt;0,$C14&lt;&gt;"",G$10&lt;&gt;""),SUMIFS(SubsidieTabel!$F:$F,SubsidieTabel!$A:$A,G$10,SubsidieTabel!$C:$C,$B14),"")</f>
        <v/>
      </c>
      <c r="H14" s="103" t="str">
        <f ca="1">IF(AND($C14&lt;&gt;0,$C14&lt;&gt;"",H$10&lt;&gt;""),SUMIFS(SubsidieTabel!$F:$F,SubsidieTabel!$A:$A,H$10,SubsidieTabel!$C:$C,$B14),"")</f>
        <v/>
      </c>
      <c r="I14" s="103" t="str">
        <f ca="1">IF(AND($C14&lt;&gt;0,$C14&lt;&gt;"",I$10&lt;&gt;""),SUMIFS(SubsidieTabel!$F:$F,SubsidieTabel!$A:$A,I$10,SubsidieTabel!$C:$C,$B14),"")</f>
        <v/>
      </c>
      <c r="J14" s="103" t="str">
        <f ca="1">IF(AND($C14&lt;&gt;0,$C14&lt;&gt;"",J$10&lt;&gt;""),SUMIFS(SubsidieTabel!$F:$F,SubsidieTabel!$A:$A,J$10,SubsidieTabel!$C:$C,$B14),"")</f>
        <v/>
      </c>
      <c r="K14" s="103" t="str">
        <f ca="1">IF(AND($C14&lt;&gt;0,$C14&lt;&gt;"",K$10&lt;&gt;""),SUMIFS(SubsidieTabel!$F:$F,SubsidieTabel!$A:$A,K$10,SubsidieTabel!$C:$C,$B14),"")</f>
        <v/>
      </c>
      <c r="L14" s="103" t="str">
        <f ca="1">IF(AND($C14&lt;&gt;0,$C14&lt;&gt;"",L$10&lt;&gt;""),SUMIFS(SubsidieTabel!$F:$F,SubsidieTabel!$A:$A,L$10,SubsidieTabel!$C:$C,$B14),"")</f>
        <v/>
      </c>
      <c r="M14" s="103" t="str">
        <f ca="1">IF(AND($C14&lt;&gt;0,$C14&lt;&gt;"",M$10&lt;&gt;""),SUMIFS(SubsidieTabel!$F:$F,SubsidieTabel!$A:$A,M$10,SubsidieTabel!$C:$C,$B14),"")</f>
        <v/>
      </c>
    </row>
    <row r="15" spans="2:13" ht="15" customHeight="1" x14ac:dyDescent="0.25">
      <c r="B15" s="6" t="str">
        <f ca="1"/>
        <v>Afschrijvingskosten</v>
      </c>
      <c r="C15" s="290">
        <f ca="1">IF(B15="","",SUMIF(Tb_ProjectKosten[Begroting],'6. Begrotingsoverzicht'!B15,Tb_ProjectKosten[Kosten_Aanvraag]))</f>
        <v>0</v>
      </c>
      <c r="D15" s="103" t="str">
        <f ca="1">IF(AND($C15&lt;&gt;0,$C15&lt;&gt;"",D$10&lt;&gt;""),SUMIFS(SubsidieTabel!$F:$F,SubsidieTabel!$A:$A,D$10,SubsidieTabel!$C:$C,$B15),"")</f>
        <v/>
      </c>
      <c r="E15" s="103" t="str">
        <f ca="1">IF(AND($C15&lt;&gt;0,$C15&lt;&gt;"",E$10&lt;&gt;""),SUMIFS(SubsidieTabel!$F:$F,SubsidieTabel!$A:$A,E$10,SubsidieTabel!$C:$C,$B15),"")</f>
        <v/>
      </c>
      <c r="F15" s="103" t="str">
        <f ca="1">IF(AND($C15&lt;&gt;0,$C15&lt;&gt;"",F$10&lt;&gt;""),SUMIFS(SubsidieTabel!$F:$F,SubsidieTabel!$A:$A,F$10,SubsidieTabel!$C:$C,$B15),"")</f>
        <v/>
      </c>
      <c r="G15" s="103" t="str">
        <f ca="1">IF(AND($C15&lt;&gt;0,$C15&lt;&gt;"",G$10&lt;&gt;""),SUMIFS(SubsidieTabel!$F:$F,SubsidieTabel!$A:$A,G$10,SubsidieTabel!$C:$C,$B15),"")</f>
        <v/>
      </c>
      <c r="H15" s="103" t="str">
        <f ca="1">IF(AND($C15&lt;&gt;0,$C15&lt;&gt;"",H$10&lt;&gt;""),SUMIFS(SubsidieTabel!$F:$F,SubsidieTabel!$A:$A,H$10,SubsidieTabel!$C:$C,$B15),"")</f>
        <v/>
      </c>
      <c r="I15" s="103" t="str">
        <f ca="1">IF(AND($C15&lt;&gt;0,$C15&lt;&gt;"",I$10&lt;&gt;""),SUMIFS(SubsidieTabel!$F:$F,SubsidieTabel!$A:$A,I$10,SubsidieTabel!$C:$C,$B15),"")</f>
        <v/>
      </c>
      <c r="J15" s="103" t="str">
        <f ca="1">IF(AND($C15&lt;&gt;0,$C15&lt;&gt;"",J$10&lt;&gt;""),SUMIFS(SubsidieTabel!$F:$F,SubsidieTabel!$A:$A,J$10,SubsidieTabel!$C:$C,$B15),"")</f>
        <v/>
      </c>
      <c r="K15" s="103" t="str">
        <f ca="1">IF(AND($C15&lt;&gt;0,$C15&lt;&gt;"",K$10&lt;&gt;""),SUMIFS(SubsidieTabel!$F:$F,SubsidieTabel!$A:$A,K$10,SubsidieTabel!$C:$C,$B15),"")</f>
        <v/>
      </c>
      <c r="L15" s="103" t="str">
        <f ca="1">IF(AND($C15&lt;&gt;0,$C15&lt;&gt;"",L$10&lt;&gt;""),SUMIFS(SubsidieTabel!$F:$F,SubsidieTabel!$A:$A,L$10,SubsidieTabel!$C:$C,$B15),"")</f>
        <v/>
      </c>
      <c r="M15" s="103" t="str">
        <f ca="1">IF(AND($C15&lt;&gt;0,$C15&lt;&gt;"",M$10&lt;&gt;""),SUMIFS(SubsidieTabel!$F:$F,SubsidieTabel!$A:$A,M$10,SubsidieTabel!$C:$C,$B15),"")</f>
        <v/>
      </c>
    </row>
    <row r="16" spans="2:13" ht="15" customHeight="1" x14ac:dyDescent="0.25">
      <c r="B16" s="6" t="str">
        <f ca="1"/>
        <v>Niet verrekenbare btw</v>
      </c>
      <c r="C16" s="290">
        <f ca="1">IF(B16="","",SUMIF(Tb_ProjectKosten[Begroting],'6. Begrotingsoverzicht'!B16,Tb_ProjectKosten[Kosten_Aanvraag]))</f>
        <v>0</v>
      </c>
      <c r="D16" s="103" t="str">
        <f ca="1">IF(AND($C16&lt;&gt;0,$C16&lt;&gt;"",D$10&lt;&gt;""),SUMIFS(SubsidieTabel!$F:$F,SubsidieTabel!$A:$A,D$10,SubsidieTabel!$C:$C,$B16),"")</f>
        <v/>
      </c>
      <c r="E16" s="103" t="str">
        <f ca="1">IF(AND($C16&lt;&gt;0,$C16&lt;&gt;"",E$10&lt;&gt;""),SUMIFS(SubsidieTabel!$F:$F,SubsidieTabel!$A:$A,E$10,SubsidieTabel!$C:$C,$B16),"")</f>
        <v/>
      </c>
      <c r="F16" s="103" t="str">
        <f ca="1">IF(AND($C16&lt;&gt;0,$C16&lt;&gt;"",F$10&lt;&gt;""),SUMIFS(SubsidieTabel!$F:$F,SubsidieTabel!$A:$A,F$10,SubsidieTabel!$C:$C,$B16),"")</f>
        <v/>
      </c>
      <c r="G16" s="103" t="str">
        <f ca="1">IF(AND($C16&lt;&gt;0,$C16&lt;&gt;"",G$10&lt;&gt;""),SUMIFS(SubsidieTabel!$F:$F,SubsidieTabel!$A:$A,G$10,SubsidieTabel!$C:$C,$B16),"")</f>
        <v/>
      </c>
      <c r="H16" s="103" t="str">
        <f ca="1">IF(AND($C16&lt;&gt;0,$C16&lt;&gt;"",H$10&lt;&gt;""),SUMIFS(SubsidieTabel!$F:$F,SubsidieTabel!$A:$A,H$10,SubsidieTabel!$C:$C,$B16),"")</f>
        <v/>
      </c>
      <c r="I16" s="103" t="str">
        <f ca="1">IF(AND($C16&lt;&gt;0,$C16&lt;&gt;"",I$10&lt;&gt;""),SUMIFS(SubsidieTabel!$F:$F,SubsidieTabel!$A:$A,I$10,SubsidieTabel!$C:$C,$B16),"")</f>
        <v/>
      </c>
      <c r="J16" s="103" t="str">
        <f ca="1">IF(AND($C16&lt;&gt;0,$C16&lt;&gt;"",J$10&lt;&gt;""),SUMIFS(SubsidieTabel!$F:$F,SubsidieTabel!$A:$A,J$10,SubsidieTabel!$C:$C,$B16),"")</f>
        <v/>
      </c>
      <c r="K16" s="103" t="str">
        <f ca="1">IF(AND($C16&lt;&gt;0,$C16&lt;&gt;"",K$10&lt;&gt;""),SUMIFS(SubsidieTabel!$F:$F,SubsidieTabel!$A:$A,K$10,SubsidieTabel!$C:$C,$B16),"")</f>
        <v/>
      </c>
      <c r="L16" s="103" t="str">
        <f ca="1">IF(AND($C16&lt;&gt;0,$C16&lt;&gt;"",L$10&lt;&gt;""),SUMIFS(SubsidieTabel!$F:$F,SubsidieTabel!$A:$A,L$10,SubsidieTabel!$C:$C,$B16),"")</f>
        <v/>
      </c>
      <c r="M16" s="103" t="str">
        <f ca="1">IF(AND($C16&lt;&gt;0,$C16&lt;&gt;"",M$10&lt;&gt;""),SUMIFS(SubsidieTabel!$F:$F,SubsidieTabel!$A:$A,M$10,SubsidieTabel!$C:$C,$B16),"")</f>
        <v/>
      </c>
    </row>
    <row r="17" spans="2:27" ht="15" customHeight="1" x14ac:dyDescent="0.25">
      <c r="B17" s="6"/>
      <c r="C17" s="290"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0"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0"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0"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0"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4">
        <f ca="1">SUM(C11:C21)</f>
        <v>0</v>
      </c>
      <c r="D22" s="160" t="str">
        <f ca="1">IF(SUM(D11:D21)=0,"",SUM(D11:D21))</f>
        <v/>
      </c>
      <c r="E22" s="160" t="str">
        <f ca="1">IF(SUM(E11:E21)=0,"",SUM(E11:E21))</f>
        <v/>
      </c>
      <c r="F22" s="160" t="str">
        <f t="shared" ref="F22:M22" ca="1" si="0">IF(SUM(F11:F21)=0,"",SUM(F11:F21))</f>
        <v/>
      </c>
      <c r="G22" s="160" t="str">
        <f t="shared" ca="1" si="0"/>
        <v/>
      </c>
      <c r="H22" s="160" t="str">
        <f t="shared" ca="1" si="0"/>
        <v/>
      </c>
      <c r="I22" s="160" t="str">
        <f t="shared" ca="1" si="0"/>
        <v/>
      </c>
      <c r="J22" s="160" t="str">
        <f t="shared" ca="1" si="0"/>
        <v/>
      </c>
      <c r="K22" s="160" t="str">
        <f t="shared" ca="1" si="0"/>
        <v/>
      </c>
      <c r="L22" s="160" t="str">
        <f t="shared" ca="1" si="0"/>
        <v/>
      </c>
      <c r="M22" s="160" t="str">
        <f t="shared" ca="1" si="0"/>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39" t="s">
        <v>79</v>
      </c>
      <c r="C24" s="164" cm="1">
        <f t="array" aca="1" ref="C24" ca="1">IFERROR(_xlfn.IFS(C22=0,0,OR($C$8="Geen vereenvoudigde kostenoptie",$C$8=""),C22,$C$8="Vereenvoudigde kostenoptie voor arbeidskosten",SUM(C22:C23),$C$8="Vereenvoudigde kostenoptie voor overige kosten",C22+C23),0)</f>
        <v>0</v>
      </c>
      <c r="D24" s="160" t="str">
        <f ca="1">IF(SUM(D22:D23)=0,"",SUM(D22:D23))</f>
        <v/>
      </c>
      <c r="E24" s="160" t="str">
        <f ca="1">IF(SUM(E22:E23)=0,"",SUM(E22:E23))</f>
        <v/>
      </c>
      <c r="F24" s="160" t="str">
        <f t="shared" ref="F24:M24" ca="1" si="1">IF(SUM(F22:F23)=0,"",SUM(F22:F23))</f>
        <v/>
      </c>
      <c r="G24" s="160" t="str">
        <f t="shared" ca="1" si="1"/>
        <v/>
      </c>
      <c r="H24" s="160" t="str">
        <f t="shared" ca="1" si="1"/>
        <v/>
      </c>
      <c r="I24" s="160" t="str">
        <f t="shared" ca="1" si="1"/>
        <v/>
      </c>
      <c r="J24" s="160" t="str">
        <f t="shared" ca="1" si="1"/>
        <v/>
      </c>
      <c r="K24" s="160" t="str">
        <f t="shared" ca="1" si="1"/>
        <v/>
      </c>
      <c r="L24" s="160" t="str">
        <f t="shared" ca="1" si="1"/>
        <v/>
      </c>
      <c r="M24" s="160" t="str">
        <f t="shared" ca="1" si="1"/>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3" t="s">
        <v>152</v>
      </c>
      <c r="C28" s="273" t="s">
        <v>122</v>
      </c>
      <c r="D28" s="273" t="s">
        <v>1</v>
      </c>
      <c r="E28" s="273" t="s">
        <v>130</v>
      </c>
      <c r="F28" s="356"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6" t="str">
        <f>IF($F$44&lt;&gt;"","Subsidiebedrag na aftopping "&amp;LOWER($F$44),"")</f>
        <v/>
      </c>
      <c r="H28" s="356" t="str">
        <f>IF($F$52&lt;&gt;"","Subsidiebedrag na aftopping "&amp;LOWER($F$52),"")</f>
        <v/>
      </c>
      <c r="I28" s="356" t="str">
        <f ca="1">IF(SUM(K29:K38)&lt;&gt;0,"Subsidiebedrag na aftopping maximum percentage activiteiten","")</f>
        <v/>
      </c>
      <c r="J28" s="356" t="str">
        <f ca="1">IF(I28&lt;&gt;"","Subsidieverlaging op basis van maximum percentage","")</f>
        <v/>
      </c>
    </row>
    <row r="29" spans="2:27" s="26" customFormat="1" x14ac:dyDescent="0.25">
      <c r="B29" s="372"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57" t="str">
        <f ca="1">IFERROR(IF(AND(F$28&lt;&gt;""),IF(AND(H29&lt;&gt;"",H29&lt;IFERROR(SUMIFS(SubsidieTabel!$J:$J,SubsidieTabel!$A:$A,$B29,SubsidieTabel!$C:$C,$B$44)/SUMIFS(SubsidieTabel!$J:$J,SubsidieTabel!$C:$C,$B$44)*$D$51*$D29+SUMIFS(SubsidieTabel!$J:$J,SubsidieTabel!$A:$A,$B29,SubsidieTabel!$C:$C,"&lt;&gt;"&amp;$B$44),0)*$D29),H29,SUMIFS(SubsidieTabel!$J:$J,SubsidieTabel!$A:$A,$B29,SubsidieTabel!$C:$C,$B$44)/SUMIFS(SubsidieTabel!$J:$J,SubsidieTabel!$C:$C,$B$44)*$D$51*$D29+SUMIFS(SubsidieTabel!$J:$J,SubsidieTabel!$A:$A,$B29,SubsidieTabel!$C:$C,"&lt;&gt;"&amp;$B$44)*$D29),""),"")</f>
        <v/>
      </c>
      <c r="G29" s="358" t="str">
        <f ca="1">IFERROR(IF(AND(G$28&lt;&gt;"",SUMIFS(SubsidieTabel!$Q:$Q,SubsidieTabel!$A:$A,$B29)&gt;0),H46*D29,IF(G$28&lt;&gt;"",E29,"")),"")</f>
        <v/>
      </c>
      <c r="H29" s="358" t="str">
        <f ca="1">IFERROR(IF(AND(H$28&lt;&gt;"",E29&lt;&gt;"",SUMIFS(SubsidieTabel!$S:$S,SubsidieTabel!$A:$A,$B29)&gt;0),$H$56*D29,IF(AND(H$28&lt;&gt;"",E29&lt;&gt;""),MIN(E29,G29),"")),"")</f>
        <v/>
      </c>
      <c r="I29" s="359"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2"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2"/>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2">IF(B30&lt;&gt;"",IF(PRODUCT(C30,D30)&lt;&gt;0,PRODUCT(C30,D30),0),"")</f>
        <v/>
      </c>
      <c r="F30" s="357" t="str">
        <f ca="1">IFERROR(IF(AND(F$28&lt;&gt;""),IF(AND(H30&lt;&gt;"",H30&lt;IFERROR(SUMIFS(SubsidieTabel!$J:$J,SubsidieTabel!$A:$A,$B30,SubsidieTabel!$C:$C,$B$44)/SUMIFS(SubsidieTabel!$J:$J,SubsidieTabel!$C:$C,$B$44)*$D$51*$D30+SUMIFS(SubsidieTabel!$J:$J,SubsidieTabel!$A:$A,$B30,SubsidieTabel!$C:$C,"&lt;&gt;"&amp;$B$44),0)*$D30),H30,SUMIFS(SubsidieTabel!$J:$J,SubsidieTabel!$A:$A,$B30,SubsidieTabel!$C:$C,$B$44)/SUMIFS(SubsidieTabel!$J:$J,SubsidieTabel!$C:$C,$B$44)*$D$51*$D30+SUMIFS(SubsidieTabel!$J:$J,SubsidieTabel!$A:$A,$B30,SubsidieTabel!$C:$C,"&lt;&gt;"&amp;$B$44)*$D30),""),"")</f>
        <v/>
      </c>
      <c r="G30" s="358" t="str">
        <f>IFERROR(IF(AND(G$28&lt;&gt;"",SUMIFS(SubsidieTabel!$Q:$Q,SubsidieTabel!$A:$A,$B30)&gt;0),H47*D30,IF(G$28&lt;&gt;"",E30,"")),"")</f>
        <v/>
      </c>
      <c r="H30" s="358" t="str">
        <f>IFERROR(IF(AND(H$28&lt;&gt;"",E30&lt;&gt;"",SUMIFS(SubsidieTabel!$S:$S,SubsidieTabel!$A:$A,$B30)&gt;0),$H$56*D30,IF(AND(H$28&lt;&gt;"",E30&lt;&gt;""),MIN(E30,G30),"")),"")</f>
        <v/>
      </c>
      <c r="I30" s="359" t="str">
        <f t="shared" ref="I30:I38" ca="1" si="3">IF(AND(E30&lt;&gt;"",I29&lt;&gt;""),IF(J30="subsidieverlaging",MIN(E30:F30)/IF($F$28&lt;&gt;"",SUMIFS($F$29:$F$38,$K$29:$K$38,"&gt;0"),SUMIFS($E$29:$E$38,$K$29:$K$38,"&gt;0"))*IF($F$28&lt;&gt;"",SUMIFS($F$29:$F$38,$K$29:$K$38,""),SUMIFS($E$29:$E$38,$K$29:$K$38,""))/(1-$K$39)*$K$39,MIN(E30:F30)),"")</f>
        <v/>
      </c>
      <c r="J30" s="26" t="str">
        <f t="shared" ref="J30:J38" ca="1" si="4">IF(AND(K30&lt;&gt;"",$J$28&lt;&gt;""),IF(IF($F$28&lt;&gt;"",SUMIFS($F$29:$F$38,$K$29:$K$38,""),SUMIFS($E$29:$E$38,$K$29:$K$38,""))/(1-$K$39)*$K$39 &gt; IF($F$28&lt;&gt;"",SUMIFS($F$29:$F$38,$K$29:$K$38,"&gt;0"),SUMIFS($E$29:$E$38,$K$29:$K$38,"&gt;0")),"geen verlaging","subsidieverlaging"),"")</f>
        <v/>
      </c>
      <c r="K30" s="292"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2"/>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2"/>
        <v/>
      </c>
      <c r="F31" s="357" t="str">
        <f ca="1">IFERROR(IF(AND(F$28&lt;&gt;""),IF(AND(H31&lt;&gt;"",H31&lt;IFERROR(SUMIFS(SubsidieTabel!$J:$J,SubsidieTabel!$A:$A,$B31,SubsidieTabel!$C:$C,$B$44)/SUMIFS(SubsidieTabel!$J:$J,SubsidieTabel!$C:$C,$B$44)*$D$51*$D31+SUMIFS(SubsidieTabel!$J:$J,SubsidieTabel!$A:$A,$B31,SubsidieTabel!$C:$C,"&lt;&gt;"&amp;$B$44),0)*$D31),H31,SUMIFS(SubsidieTabel!$J:$J,SubsidieTabel!$A:$A,$B31,SubsidieTabel!$C:$C,$B$44)/SUMIFS(SubsidieTabel!$J:$J,SubsidieTabel!$C:$C,$B$44)*$D$51*$D31+SUMIFS(SubsidieTabel!$J:$J,SubsidieTabel!$A:$A,$B31,SubsidieTabel!$C:$C,"&lt;&gt;"&amp;$B$44)*$D31),""),"")</f>
        <v/>
      </c>
      <c r="G31" s="358" t="str">
        <f>IFERROR(IF(AND(G$28&lt;&gt;"",SUMIFS(SubsidieTabel!$Q:$Q,SubsidieTabel!$A:$A,$B31)&gt;0),H48*D31,IF(G$28&lt;&gt;"",E31,"")),"")</f>
        <v/>
      </c>
      <c r="H31" s="358" t="str">
        <f>IFERROR(IF(AND(H$28&lt;&gt;"",E31&lt;&gt;"",SUMIFS(SubsidieTabel!$S:$S,SubsidieTabel!$A:$A,$B31)&gt;0),$H$56*D31,IF(AND(H$28&lt;&gt;"",E31&lt;&gt;""),MIN(E31,G31),"")),"")</f>
        <v/>
      </c>
      <c r="I31" s="359" t="str">
        <f t="shared" ca="1" si="3"/>
        <v/>
      </c>
      <c r="J31" s="26" t="str">
        <f t="shared" ca="1" si="4"/>
        <v/>
      </c>
      <c r="K31" s="292"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2"/>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2"/>
        <v/>
      </c>
      <c r="F32" s="357" t="str">
        <f ca="1">IFERROR(IF(AND(F$28&lt;&gt;""),IF(AND(H32&lt;&gt;"",H32&lt;IFERROR(SUMIFS(SubsidieTabel!$J:$J,SubsidieTabel!$A:$A,$B32,SubsidieTabel!$C:$C,$B$44)/SUMIFS(SubsidieTabel!$J:$J,SubsidieTabel!$C:$C,$B$44)*$D$51*$D32+SUMIFS(SubsidieTabel!$J:$J,SubsidieTabel!$A:$A,$B32,SubsidieTabel!$C:$C,"&lt;&gt;"&amp;$B$44),0)*$D32),H32,SUMIFS(SubsidieTabel!$J:$J,SubsidieTabel!$A:$A,$B32,SubsidieTabel!$C:$C,$B$44)/SUMIFS(SubsidieTabel!$J:$J,SubsidieTabel!$C:$C,$B$44)*$D$51*$D32+SUMIFS(SubsidieTabel!$J:$J,SubsidieTabel!$A:$A,$B32,SubsidieTabel!$C:$C,"&lt;&gt;"&amp;$B$44)*$D32),""),"")</f>
        <v/>
      </c>
      <c r="G32" s="358" t="str">
        <f>IFERROR(IF(AND(G$28&lt;&gt;"",SUMIFS(SubsidieTabel!$Q:$Q,SubsidieTabel!$A:$A,$B32)&gt;0),H49*D32,IF(G$28&lt;&gt;"",E32,"")),"")</f>
        <v/>
      </c>
      <c r="H32" s="358" t="str">
        <f>IFERROR(IF(AND(H$28&lt;&gt;"",E32&lt;&gt;"",SUMIFS(SubsidieTabel!$S:$S,SubsidieTabel!$A:$A,$B32)&gt;0),$H$56*D32,IF(AND(H$28&lt;&gt;"",E32&lt;&gt;""),MIN(E32,G32),"")),"")</f>
        <v/>
      </c>
      <c r="I32" s="359" t="str">
        <f t="shared" ca="1" si="3"/>
        <v/>
      </c>
      <c r="J32" s="26" t="str">
        <f t="shared" ca="1" si="4"/>
        <v/>
      </c>
      <c r="K32" s="292"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2"/>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2"/>
        <v/>
      </c>
      <c r="F33" s="357" t="str">
        <f ca="1">IFERROR(IF(AND(F$28&lt;&gt;""),IF(AND(H33&lt;&gt;"",H33&lt;IFERROR(SUMIFS(SubsidieTabel!$J:$J,SubsidieTabel!$A:$A,$B33,SubsidieTabel!$C:$C,$B$44)/SUMIFS(SubsidieTabel!$J:$J,SubsidieTabel!$C:$C,$B$44)*$D$51*$D33+SUMIFS(SubsidieTabel!$J:$J,SubsidieTabel!$A:$A,$B33,SubsidieTabel!$C:$C,"&lt;&gt;"&amp;$B$44),0)*$D33),H33,SUMIFS(SubsidieTabel!$J:$J,SubsidieTabel!$A:$A,$B33,SubsidieTabel!$C:$C,$B$44)/SUMIFS(SubsidieTabel!$J:$J,SubsidieTabel!$C:$C,$B$44)*$D$51*$D33+SUMIFS(SubsidieTabel!$J:$J,SubsidieTabel!$A:$A,$B33,SubsidieTabel!$C:$C,"&lt;&gt;"&amp;$B$44)*$D33),""),"")</f>
        <v/>
      </c>
      <c r="G33" s="358" t="str">
        <f>IFERROR(IF(AND(G$28&lt;&gt;"",SUMIFS(SubsidieTabel!$Q:$Q,SubsidieTabel!$A:$A,$B33)&gt;0),H50*D33,IF(G$28&lt;&gt;"",E33,"")),"")</f>
        <v/>
      </c>
      <c r="H33" s="358" t="str">
        <f>IFERROR(IF(AND(H$28&lt;&gt;"",E33&lt;&gt;"",SUMIFS(SubsidieTabel!$S:$S,SubsidieTabel!$A:$A,$B33)&gt;0),$H$56*D33,IF(AND(H$28&lt;&gt;"",E33&lt;&gt;""),MIN(E33,G33),"")),"")</f>
        <v/>
      </c>
      <c r="I33" s="359" t="str">
        <f t="shared" ca="1" si="3"/>
        <v/>
      </c>
      <c r="J33" s="26" t="str">
        <f t="shared" ca="1" si="4"/>
        <v/>
      </c>
      <c r="K33" s="292"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2"/>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2"/>
        <v/>
      </c>
      <c r="F34" s="357" t="str">
        <f ca="1">IFERROR(IF(AND(F$28&lt;&gt;""),IF(AND(H34&lt;&gt;"",H34&lt;IFERROR(SUMIFS(SubsidieTabel!$J:$J,SubsidieTabel!$A:$A,$B34,SubsidieTabel!$C:$C,$B$44)/SUMIFS(SubsidieTabel!$J:$J,SubsidieTabel!$C:$C,$B$44)*$D$51*$D34+SUMIFS(SubsidieTabel!$J:$J,SubsidieTabel!$A:$A,$B34,SubsidieTabel!$C:$C,"&lt;&gt;"&amp;$B$44),0)*$D34),H34,SUMIFS(SubsidieTabel!$J:$J,SubsidieTabel!$A:$A,$B34,SubsidieTabel!$C:$C,$B$44)/SUMIFS(SubsidieTabel!$J:$J,SubsidieTabel!$C:$C,$B$44)*$D$51*$D34+SUMIFS(SubsidieTabel!$J:$J,SubsidieTabel!$A:$A,$B34,SubsidieTabel!$C:$C,"&lt;&gt;"&amp;$B$44)*$D34),""),"")</f>
        <v/>
      </c>
      <c r="G34" s="358" t="str">
        <f>IFERROR(IF(AND(G$28&lt;&gt;"",SUMIFS(SubsidieTabel!$Q:$Q,SubsidieTabel!$A:$A,$B34)&gt;0),H51*D34,IF(G$28&lt;&gt;"",E34,"")),"")</f>
        <v/>
      </c>
      <c r="H34" s="358" t="str">
        <f>IFERROR(IF(AND(H$28&lt;&gt;"",E34&lt;&gt;"",SUMIFS(SubsidieTabel!$S:$S,SubsidieTabel!$A:$A,$B34)&gt;0),$H$56*D34,IF(AND(H$28&lt;&gt;"",E34&lt;&gt;""),MIN(E34,G34),"")),"")</f>
        <v/>
      </c>
      <c r="I34" s="359" t="str">
        <f t="shared" ca="1" si="3"/>
        <v/>
      </c>
      <c r="J34" s="26" t="str">
        <f t="shared" ca="1" si="4"/>
        <v/>
      </c>
      <c r="K34" s="292"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2"/>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2"/>
        <v/>
      </c>
      <c r="F35" s="357" t="str">
        <f ca="1">IFERROR(IF(AND(F$28&lt;&gt;""),IF(AND(H35&lt;&gt;"",H35&lt;IFERROR(SUMIFS(SubsidieTabel!$J:$J,SubsidieTabel!$A:$A,$B35,SubsidieTabel!$C:$C,$B$44)/SUMIFS(SubsidieTabel!$J:$J,SubsidieTabel!$C:$C,$B$44)*$D$51*$D35+SUMIFS(SubsidieTabel!$J:$J,SubsidieTabel!$A:$A,$B35,SubsidieTabel!$C:$C,"&lt;&gt;"&amp;$B$44),0)*$D35),H35,SUMIFS(SubsidieTabel!$J:$J,SubsidieTabel!$A:$A,$B35,SubsidieTabel!$C:$C,$B$44)/SUMIFS(SubsidieTabel!$J:$J,SubsidieTabel!$C:$C,$B$44)*$D$51*$D35+SUMIFS(SubsidieTabel!$J:$J,SubsidieTabel!$A:$A,$B35,SubsidieTabel!$C:$C,"&lt;&gt;"&amp;$B$44)*$D35),""),"")</f>
        <v/>
      </c>
      <c r="G35" s="358" t="str">
        <f>IFERROR(IF(AND(G$28&lt;&gt;"",SUMIFS(SubsidieTabel!$Q:$Q,SubsidieTabel!$A:$A,$B35)&gt;0),H52*D35,IF(G$28&lt;&gt;"",E35,"")),"")</f>
        <v/>
      </c>
      <c r="H35" s="358" t="str">
        <f>IFERROR(IF(AND(H$28&lt;&gt;"",E35&lt;&gt;"",SUMIFS(SubsidieTabel!$S:$S,SubsidieTabel!$A:$A,$B35)&gt;0),$H$56*D35,IF(AND(H$28&lt;&gt;"",E35&lt;&gt;""),MIN(E35,G35),"")),"")</f>
        <v/>
      </c>
      <c r="I35" s="359" t="str">
        <f t="shared" ca="1" si="3"/>
        <v/>
      </c>
      <c r="J35" s="26" t="str">
        <f t="shared" ca="1" si="4"/>
        <v/>
      </c>
      <c r="K35" s="292"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2"/>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2"/>
        <v/>
      </c>
      <c r="F36" s="357" t="str">
        <f ca="1">IFERROR(IF(AND(F$28&lt;&gt;""),IF(AND(H36&lt;&gt;"",H36&lt;IFERROR(SUMIFS(SubsidieTabel!$J:$J,SubsidieTabel!$A:$A,$B36,SubsidieTabel!$C:$C,$B$44)/SUMIFS(SubsidieTabel!$J:$J,SubsidieTabel!$C:$C,$B$44)*$D$51*$D36+SUMIFS(SubsidieTabel!$J:$J,SubsidieTabel!$A:$A,$B36,SubsidieTabel!$C:$C,"&lt;&gt;"&amp;$B$44),0)*$D36),H36,SUMIFS(SubsidieTabel!$J:$J,SubsidieTabel!$A:$A,$B36,SubsidieTabel!$C:$C,$B$44)/SUMIFS(SubsidieTabel!$J:$J,SubsidieTabel!$C:$C,$B$44)*$D$51*$D36+SUMIFS(SubsidieTabel!$J:$J,SubsidieTabel!$A:$A,$B36,SubsidieTabel!$C:$C,"&lt;&gt;"&amp;$B$44)*$D36),""),"")</f>
        <v/>
      </c>
      <c r="G36" s="358" t="str">
        <f>IFERROR(IF(AND(G$28&lt;&gt;"",SUMIFS(SubsidieTabel!$Q:$Q,SubsidieTabel!$A:$A,$B36)&gt;0),H53*D36,IF(G$28&lt;&gt;"",E36,"")),"")</f>
        <v/>
      </c>
      <c r="H36" s="358" t="str">
        <f>IFERROR(IF(AND(H$28&lt;&gt;"",E36&lt;&gt;"",SUMIFS(SubsidieTabel!$S:$S,SubsidieTabel!$A:$A,$B36)&gt;0),$H$56*D36,IF(AND(H$28&lt;&gt;"",E36&lt;&gt;""),MIN(E36,G36),"")),"")</f>
        <v/>
      </c>
      <c r="I36" s="359" t="str">
        <f t="shared" ca="1" si="3"/>
        <v/>
      </c>
      <c r="J36" s="26" t="str">
        <f t="shared" ca="1" si="4"/>
        <v/>
      </c>
      <c r="K36" s="292"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2"/>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2"/>
        <v/>
      </c>
      <c r="F37" s="357" t="str">
        <f ca="1">IFERROR(IF(AND(F$28&lt;&gt;""),IF(AND(H37&lt;&gt;"",H37&lt;IFERROR(SUMIFS(SubsidieTabel!$J:$J,SubsidieTabel!$A:$A,$B37,SubsidieTabel!$C:$C,$B$44)/SUMIFS(SubsidieTabel!$J:$J,SubsidieTabel!$C:$C,$B$44)*$D$51*$D37+SUMIFS(SubsidieTabel!$J:$J,SubsidieTabel!$A:$A,$B37,SubsidieTabel!$C:$C,"&lt;&gt;"&amp;$B$44),0)*$D37),H37,SUMIFS(SubsidieTabel!$J:$J,SubsidieTabel!$A:$A,$B37,SubsidieTabel!$C:$C,$B$44)/SUMIFS(SubsidieTabel!$J:$J,SubsidieTabel!$C:$C,$B$44)*$D$51*$D37+SUMIFS(SubsidieTabel!$J:$J,SubsidieTabel!$A:$A,$B37,SubsidieTabel!$C:$C,"&lt;&gt;"&amp;$B$44)*$D37),""),"")</f>
        <v/>
      </c>
      <c r="G37" s="358" t="str">
        <f>IFERROR(IF(AND(G$28&lt;&gt;"",SUMIFS(SubsidieTabel!$Q:$Q,SubsidieTabel!$A:$A,$B37)&gt;0),H54*D37,IF(G$28&lt;&gt;"",E37,"")),"")</f>
        <v/>
      </c>
      <c r="H37" s="358" t="str">
        <f>IFERROR(IF(AND(H$28&lt;&gt;"",E37&lt;&gt;"",SUMIFS(SubsidieTabel!$S:$S,SubsidieTabel!$A:$A,$B37)&gt;0),$H$56*D37,IF(AND(H$28&lt;&gt;"",E37&lt;&gt;""),MIN(E37,G37),"")),"")</f>
        <v/>
      </c>
      <c r="I37" s="359" t="str">
        <f t="shared" ca="1" si="3"/>
        <v/>
      </c>
      <c r="J37" s="26" t="str">
        <f t="shared" ca="1" si="4"/>
        <v/>
      </c>
      <c r="K37" s="292" t="str" cm="1">
        <f t="array" ref="K37">IFERROR(IF(SUMIFS(SubsidieTabel!$U:$U,SubsidieTabel!$A:$A,B37)&gt;0,IFERROR(VLOOKUP(Openstelling_Keuze,IF(ISBLANK(Tb_Openstelling[SIG_%]),0,Tb_Openstelling[]),MATCH(Tb_Openstelling[[#Headers],[SIG_%]],Tb_Openstelling[#Headers],0),0),0.25),""),"")</f>
        <v/>
      </c>
    </row>
    <row r="38" spans="2:17" x14ac:dyDescent="0.25">
      <c r="B38" s="372"/>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2"/>
        <v/>
      </c>
      <c r="F38" s="357" t="str">
        <f ca="1">IFERROR(IF(AND(F$28&lt;&gt;""),IF(AND(H38&lt;&gt;"",H38&lt;IFERROR(SUMIFS(SubsidieTabel!$J:$J,SubsidieTabel!$A:$A,$B38,SubsidieTabel!$C:$C,$B$44)/SUMIFS(SubsidieTabel!$J:$J,SubsidieTabel!$C:$C,$B$44)*$D$51*$D38+SUMIFS(SubsidieTabel!$J:$J,SubsidieTabel!$A:$A,$B38,SubsidieTabel!$C:$C,"&lt;&gt;"&amp;$B$44),0)*$D38),H38,SUMIFS(SubsidieTabel!$J:$J,SubsidieTabel!$A:$A,$B38,SubsidieTabel!$C:$C,$B$44)/SUMIFS(SubsidieTabel!$J:$J,SubsidieTabel!$C:$C,$B$44)*$D$51*$D38+SUMIFS(SubsidieTabel!$J:$J,SubsidieTabel!$A:$A,$B38,SubsidieTabel!$C:$C,"&lt;&gt;"&amp;$B$44)*$D38),""),"")</f>
        <v/>
      </c>
      <c r="G38" s="358" t="str">
        <f>IFERROR(IF(AND(G$28&lt;&gt;"",SUMIFS(SubsidieTabel!$Q:$Q,SubsidieTabel!$A:$A,$B38)&gt;0),H55*D38,IF(G$28&lt;&gt;"",E38,"")),"")</f>
        <v/>
      </c>
      <c r="H38" s="358" t="str">
        <f>IFERROR(IF(AND(H$28&lt;&gt;"",E38&lt;&gt;"",SUMIFS(SubsidieTabel!$S:$S,SubsidieTabel!$A:$A,$B38)&gt;0),$H$56*D38,IF(AND(H$28&lt;&gt;"",E38&lt;&gt;""),MIN(E38,G38),"")),"")</f>
        <v/>
      </c>
      <c r="I38" s="359" t="str">
        <f t="shared" ca="1" si="3"/>
        <v/>
      </c>
      <c r="J38" s="26" t="str">
        <f t="shared" ca="1" si="4"/>
        <v/>
      </c>
      <c r="K38" s="292"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0" t="str">
        <f ca="1">IF(SUM(F29:F38)&gt;0,FLOOR(SUM(F29:F38),0.01),"")</f>
        <v/>
      </c>
      <c r="G39" s="360" t="str">
        <f ca="1">IF(SUM(G29:G38)&gt;0,SUM(G29:G38),"")</f>
        <v/>
      </c>
      <c r="H39" s="360" t="str">
        <f ca="1">IF(SUM(H29:H38)&gt;0,SUM(H29:H38),"")</f>
        <v/>
      </c>
      <c r="I39" s="360" t="str">
        <f ca="1">IF(SUM(I29:I38)&gt;0,FLOOR(SUM(I29:I38),0.01),"")</f>
        <v/>
      </c>
      <c r="J39" s="361"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2" t="str">
        <f ca="1">IFERROR(AVERAGEIF($K$29:$K$38,"&lt;&gt;""",$K$29:$K$38),"")</f>
        <v/>
      </c>
    </row>
    <row r="40" spans="2:17" s="26" customFormat="1" ht="15" customHeight="1" x14ac:dyDescent="0.25">
      <c r="D40" s="108" t="s">
        <v>131</v>
      </c>
      <c r="E40" s="89">
        <f ca="1">IFERROR(FLOOR(SUMPRODUCT(D29:D38,C29:C38),0.01),0)</f>
        <v>0</v>
      </c>
      <c r="F40" s="81"/>
      <c r="I40" s="294" t="str">
        <f ca="1">IF(I39&lt;&gt;"",IF(ROUND(I39,2)&lt;ROUND(MIN(E40,F39),2),"Verlaging op activiteitniveau kan door afrondingsverschillen afwijken van het totaalbedrag van de verlaging.",""),"")</f>
        <v/>
      </c>
    </row>
    <row r="41" spans="2:17" s="26" customFormat="1" ht="15" customHeight="1" x14ac:dyDescent="0.25">
      <c r="D41" s="109" t="s">
        <v>132</v>
      </c>
      <c r="E41" s="42">
        <f ca="1">FLOOR(MIN(C55,C57,F39,G39,H39,I39),0.01)</f>
        <v>0</v>
      </c>
      <c r="F41" s="293"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38"/>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46" t="s">
        <v>11</v>
      </c>
      <c r="C44" s="447"/>
      <c r="D44" s="447"/>
      <c r="E44" s="448"/>
      <c r="F44" s="432" t="str">
        <f>IF(H45&lt;&gt;"","Onderhoud","")</f>
        <v/>
      </c>
      <c r="G44" s="433"/>
      <c r="H44" s="433"/>
      <c r="O44" s="46" t="s">
        <v>50</v>
      </c>
      <c r="P44" s="80" t="s">
        <v>170</v>
      </c>
      <c r="Q44" s="80" t="s">
        <v>169</v>
      </c>
    </row>
    <row r="45" spans="2:17" ht="34.5" customHeight="1" x14ac:dyDescent="0.25">
      <c r="B45" s="201" t="str">
        <f>IF(H55&lt;&gt;"","Aandeel grondkosten in totale projectkosten (inclusief aftopping samenwerking)","Aandeel grondkosten in totale projectkosten")</f>
        <v>Aandeel grondkosten in totale projectkosten</v>
      </c>
      <c r="C45" s="202">
        <f ca="1">IFERROR(SUMIF(B11:C21,B44,C11:C21)/IF(I55&lt;&gt;"",C22+I55,C22),0)</f>
        <v>0</v>
      </c>
      <c r="D45" s="442" t="str" cm="1">
        <f t="array" aca="1" ref="D45" ca="1">IF(C45&gt;0,"Maximaal "&amp; IFERROR(VLOOKUP(Openstelling_Keuze,IF(ISBLANK(Tb_Openstelling[Grond_%]),0,Tb_Openstelling[]),MATCH(Tb_Openstelling[[#Headers],[Grond_%]],Tb_Openstelling[#Headers],0),0)*100,10) &amp; "% van de subsidiabele kosten mag bestaan uit grondkosten.","")</f>
        <v/>
      </c>
      <c r="E45" s="443"/>
      <c r="F45" s="434" t="str">
        <f>IF($F$44&lt;&gt;"","Aandeel onderhoudskosten over totale investeringen","")</f>
        <v/>
      </c>
      <c r="G45" s="435"/>
      <c r="H45" s="288"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80">
        <f>SUMIFS(SubsidieTabel!$J:$J,SubsidieTabel!$C:$C,"&lt;&gt;Bijdrage*",SubsidieTabel!$C:$C,"&lt;&gt;Grond*")</f>
        <v>0</v>
      </c>
      <c r="Q45" s="80">
        <f>SUMIFS(SubsidieTabel!$M:$M,SubsidieTabel!$C:$C,"&lt;&gt;Bijdrage*",SubsidieTabel!$C:$C,"&lt;&gt;Grond*")</f>
        <v>0</v>
      </c>
    </row>
    <row r="46" spans="2:17" ht="15" customHeight="1" x14ac:dyDescent="0.25">
      <c r="B46" s="203" t="s">
        <v>63</v>
      </c>
      <c r="C46" s="204" cm="1">
        <f t="array" aca="1" ref="C46" ca="1">IF(C45&gt;IFERROR(VLOOKUP(Openstelling_Keuze,IF(ISBLANK(Tb_Openstelling[Grond_%]),0,Tb_Openstelling[]),MATCH(Tb_Openstelling[[#Headers],[Grond_%]],Tb_Openstelling[#Headers],0),0),0.1),FLOOR((IF(I55&lt;&gt;"",SUM(C22,IF(I55&lt;&gt;"",I55,0)),C22)-SUMIF(B11:C21,B44,C11:C21))/(10-IFERROR(VLOOKUP(Openstelling_Keuze,IF(ISBLANK(Tb_Openstelling[Grond_%]),0,Tb_Openstelling[]),MATCH(Tb_Openstelling[[#Headers],[Grond_%]],Tb_Openstelling[#Headers],0)*10,0),1)),0.01),SUMIF(B11:C21,B44,C11:C21))</f>
        <v>0</v>
      </c>
      <c r="D46" s="205">
        <f ca="1">IFERROR(SUMIF(B11:C21,B44,C11:C21)*($C46/SUMIF(B11:C21,B44,C11:C21)),SUMIF(B11:C21,B44,C11:C21))</f>
        <v>0</v>
      </c>
      <c r="E46" s="206"/>
      <c r="F46" s="434" t="str">
        <f>IF($F$44&lt;&gt;"","Bedrag onderhoud waarover subsidie verstrekt kan worden","")</f>
        <v/>
      </c>
      <c r="G46" s="435"/>
      <c r="H46" s="269"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2"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25">
      <c r="B47" s="203" t="s">
        <v>64</v>
      </c>
      <c r="C47" s="204" cm="1">
        <f t="array" aca="1" ref="C47" ca="1">IF(C45&lt;&gt;0,IF($C$45&gt;IFERROR(VLOOKUP(Openstelling_Keuze,IF(ISBLANK(Tb_Openstelling[Grond_%]),0,Tb_Openstelling[]),MATCH(Tb_Openstelling[[#Headers],[Grond_%]],Tb_Openstelling[#Headers],0),0),0.1),SUM(D47:D47),SUM(C22,IF(I55&lt;&gt;"",I55,0))),0)</f>
        <v>0</v>
      </c>
      <c r="D47" s="205" cm="1">
        <f t="array" aca="1" ref="D47" ca="1">IF(C45&lt;&gt;0,IF($C$45&gt;IFERROR(VLOOKUP(Openstelling_Keuze,IF(ISBLANK(Tb_Openstelling[Grond_%]),0,Tb_Openstelling[]),MATCH(Tb_Openstelling[[#Headers],[Grond_%]],Tb_Openstelling[#Headers],0),0),0.1),IF(I55&lt;&gt;"",C22+IF(I55&lt;&gt;"",I55,0),$C$22)-SUMIF(B11:C21,B44,C11:C21)+D46,C22),0)</f>
        <v>0</v>
      </c>
      <c r="E47" s="206"/>
      <c r="F47" s="434" t="str">
        <f>IF($F$44&lt;&gt;"","Aftopping onderhoudskosten","")</f>
        <v/>
      </c>
      <c r="G47" s="435"/>
      <c r="H47" s="269" t="str">
        <f>IF(F44&lt;&gt;"",IF(AND(SUM(SubsidieTabel!$Q:$Q)&lt;H46,SUM(SubsidieTabel!$Q:$Q)&lt;&gt;0),SUM(SubsidieTabel!$Q:$Q),H48-SUM(SubsidieTabel!$Q:$Q)),"")</f>
        <v/>
      </c>
      <c r="I47" s="222" t="str">
        <f>IF(F44&lt;&gt;"",IF(AND(SUM(SubsidieTabel!$Q:$Q)&lt;H46,SUM(SubsidieTabel!$Q:$Q)&lt;&gt;0),SUM(SUM(SubsidieTabel!$Q:$Q),-SUM(SubsidieTabel!$W:$W)),I48-SUM(SUM(SubsidieTabel!$Q:$Q),-SUM(SubsidieTabel!$W:$W))),"")</f>
        <v/>
      </c>
      <c r="O47" s="46" t="s">
        <v>11</v>
      </c>
      <c r="P47" s="47"/>
      <c r="Q47" s="80" t="s">
        <v>181</v>
      </c>
    </row>
    <row r="48" spans="2:17" s="26" customFormat="1" ht="15" customHeight="1" x14ac:dyDescent="0.25">
      <c r="B48" s="203" t="s">
        <v>65</v>
      </c>
      <c r="C48" s="377">
        <f ca="1">SUM(D48:D48)</f>
        <v>0</v>
      </c>
      <c r="D48" s="205" cm="1">
        <f t="array" aca="1" ref="D48" ca="1">_xlfn.IFS(D47=0,0,OR(Methode_Keuze="Geen vereenvoudigde kostenoptie",Methode_Keuze=""),"",Methode_Keuze="Vereenvoudigde kostenoptie voor arbeidskosten",D47*0.23,Methode_Keuze="Vereenvoudigde kostenoptie voor overige kosten",D47*0.4)</f>
        <v>0</v>
      </c>
      <c r="E48" s="206"/>
      <c r="F48" s="434" t="str">
        <f>IF($F$44&lt;&gt;"","Maximaal bedrag onderhoudskosten","")</f>
        <v/>
      </c>
      <c r="G48" s="435"/>
      <c r="H48" s="269" t="str">
        <f>IF($F$44&lt;&gt;"",IF(AND(SUM(SubsidieTabel!$Q:$Q)&lt;H46,SUM(SubsidieTabel!$Q:$Q)&lt;&gt;0),SUM(SubsidieTabel!$Q:$Q),H46),"")</f>
        <v/>
      </c>
      <c r="I48" s="222" t="str">
        <f>IF($F$44&lt;&gt;"",IF(AND(SUM(SubsidieTabel!$Q:$Q)&lt;H46,SUM(SubsidieTabel!$Q:$Q)&lt;&gt;0),SUM(SUM(SubsidieTabel!$Q:$Q),-SUM(SubsidieTabel!$W:$W)),I46),"")</f>
        <v/>
      </c>
      <c r="O48" s="48" t="s">
        <v>163</v>
      </c>
      <c r="P48" s="80">
        <f>P45/0.4</f>
        <v>0</v>
      </c>
      <c r="Q48" s="80">
        <f>SUMIFS(SubsidieTabel!$J:$J,SubsidieTabel!$C:$C,"&lt;&gt;Bijdrage*")</f>
        <v>0</v>
      </c>
    </row>
    <row r="49" spans="2:17" s="26" customFormat="1" ht="15" customHeight="1" x14ac:dyDescent="0.25">
      <c r="B49" s="203" t="s">
        <v>66</v>
      </c>
      <c r="C49" s="204">
        <f ca="1">ROUND(SUM(C47:C48),2)</f>
        <v>0</v>
      </c>
      <c r="D49" s="205">
        <f ca="1">SUM(D47:D48)</f>
        <v>0</v>
      </c>
      <c r="E49" s="206"/>
      <c r="F49" s="434" t="str">
        <f>IF($F$44&lt;&gt;"","Totaal projectkosten met maximaal aandeel onderhoudskosten","")</f>
        <v/>
      </c>
      <c r="G49" s="435"/>
      <c r="H49" s="269" t="str">
        <f>IF($F$44&lt;&gt;"",SUM(SubsidieTabel!$J:$J)+IF(H47&lt;&gt;"",H47,0),"")</f>
        <v/>
      </c>
      <c r="I49" s="222" t="str">
        <f>IF($F$44&lt;&gt;"",SUM(SubsidieTabel!$J:$J)-SUM(SubsidieTabel!$H:$H)+IF(I47&lt;&gt;"",I47,0),"")</f>
        <v/>
      </c>
      <c r="O49" s="48" t="s">
        <v>164</v>
      </c>
      <c r="P49" s="80">
        <f>IF(SUMIFS(SubsidieTabel!$J:$J,SubsidieTabel!$C:$C,"=Bijdrage*")&gt;P48/2,P48/2,SUMIFS(SubsidieTabel!$J:$J,SubsidieTabel!$C:$C,"=Bijdrage*"))</f>
        <v>0</v>
      </c>
      <c r="Q49" s="144">
        <f>MIN(P49,SUMIFS(SubsidieTabel!$J:$J,SubsidieTabel!$C:$C,"=Bijdrage*"))</f>
        <v>0</v>
      </c>
    </row>
    <row r="50" spans="2:17" ht="15" customHeight="1" x14ac:dyDescent="0.25">
      <c r="B50" s="201" t="s">
        <v>229</v>
      </c>
      <c r="C50" s="207">
        <f ca="1">SUM(D50:D50)</f>
        <v>0</v>
      </c>
      <c r="D50" s="205" t="str">
        <f ca="1">IFERROR(IF(F39&lt;&gt;"",F39,""),"")</f>
        <v/>
      </c>
      <c r="E50" s="206"/>
      <c r="I50" s="222"/>
      <c r="O50" s="48" t="s">
        <v>165</v>
      </c>
      <c r="P50" s="79">
        <f>IFERROR(SUMIFS(SubsidieTabel!$M:$M,SubsidieTabel!$C:$C,"=Grond*")/(MIN(Q48,Q49)),0)</f>
        <v>0</v>
      </c>
      <c r="Q50" s="151" t="str">
        <f>IF(P50&gt;0,"Maximaal 10% van de subsidiabele kosten mag bestaan uit grondkosten.","")</f>
        <v/>
      </c>
    </row>
    <row r="51" spans="2:17" s="27" customFormat="1" ht="4.5" customHeight="1" x14ac:dyDescent="0.25">
      <c r="B51" s="203"/>
      <c r="C51" s="204"/>
      <c r="D51" s="375" cm="1">
        <f t="array" aca="1" ref="D51" ca="1">IFERROR(_xlfn.IFS(OR(D46=0,D46=""),0,OR(Methode_Keuze="Geen vereenvoudigde kostenoptie",Methode_Keuze=""),D46,Methode_Keuze="Vereenvoudigde kostenoptie voor arbeidskosten",D46*1.23,Methode_Keuze="Vereenvoudigde kostenoptie voor overige kosten",D46*1.4),0)</f>
        <v>0</v>
      </c>
      <c r="E51" s="206"/>
      <c r="O51" s="48" t="s">
        <v>172</v>
      </c>
      <c r="P51" s="49">
        <f>IF(P50&gt;0.1,Q52*0.1,SUMIFS(SubsidieTabel!$J:$J,SubsidieTabel!$C:$C,"=Grond*"))</f>
        <v>0</v>
      </c>
      <c r="Q51" s="49">
        <f ca="1">IFERROR(C15*($P51/$C15),C15)</f>
        <v>0</v>
      </c>
    </row>
    <row r="52" spans="2:17" ht="15" customHeight="1" x14ac:dyDescent="0.25">
      <c r="B52" s="449" t="s">
        <v>127</v>
      </c>
      <c r="C52" s="450"/>
      <c r="D52" s="450"/>
      <c r="E52" s="451"/>
      <c r="F52" s="432" t="str">
        <f>IF(H53&lt;&gt;"","Samenwerking","")</f>
        <v/>
      </c>
      <c r="G52" s="433"/>
      <c r="H52" s="433"/>
      <c r="O52" s="48" t="s">
        <v>64</v>
      </c>
      <c r="P52" s="49">
        <f>IF($P$50&gt;0.1,Q52,0)</f>
        <v>0</v>
      </c>
      <c r="Q52" s="49">
        <f>IFERROR((SUMIFS(SubsidieTabel!$J:$J,SubsidieTabel!$C:$C,"&lt;&gt;Bijdrage*",SubsidieTabel!$C:$C,"&lt;&gt;Grond*")+P49)/0.9,0)</f>
        <v>0</v>
      </c>
    </row>
    <row r="53" spans="2:17" x14ac:dyDescent="0.25">
      <c r="B53" s="208" t="s">
        <v>182</v>
      </c>
      <c r="C53" s="200">
        <f ca="1">IF(ROUND(C50,2)&gt;0,0-(ROUND(C50,2)-ROUND(C55,2)),0-(ROUND(E40,2)-ROUND(C55,2)))</f>
        <v>0</v>
      </c>
      <c r="D53" s="440"/>
      <c r="E53" s="441"/>
      <c r="F53" s="434" t="str">
        <f>IF($F$52&lt;&gt;"","Aandeel samenwerkingskosten over totale projectkosten","")</f>
        <v/>
      </c>
      <c r="G53" s="435"/>
      <c r="H53" s="288"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 ca="1">SUM(Q53:Q53)</f>
        <v>0</v>
      </c>
      <c r="Q53" s="49" t="str">
        <f ca="1">IFERROR(ROUND(Q51*SUMIFS(SubsidieTabel!$M:$M,SubsidieTabel!$B:$B,'6. Begrotingsoverzicht'!$O$47)/SUMIFS(SubsidieTabel!$F:$F,SubsidieTabel!$B:$B,'6. Begrotingsoverzicht'!$O$47),2),"")</f>
        <v/>
      </c>
    </row>
    <row r="54" spans="2:17" x14ac:dyDescent="0.25">
      <c r="B54" s="208" t="s">
        <v>183</v>
      </c>
      <c r="C54" s="200">
        <f ca="1">IF(AND(C53&lt;0,C53&lt;&gt;"",C50&gt;0),MIN(C49*0.5,SUMIFS(SubsidieTabel!$F:$F,SubsidieTabel!$C:$C,"=Bijdrage*")),MIN(Totaal_Project-SUMIFS(SubsidieTabel!$F:$F,SubsidieTabel!$C:$C,"=Bijdrage*"),SUMIFS(SubsidieTabel!$F:$F,SubsidieTabel!$C:$C,"=Bijdrage*")))</f>
        <v>0</v>
      </c>
      <c r="D54" s="196"/>
      <c r="E54" s="197"/>
      <c r="F54" s="434" t="str">
        <f>IF($F$52&lt;&gt;"","Bedrag samenwerking waarover subsidie verstrekt kan worden","")</f>
        <v/>
      </c>
      <c r="G54" s="435"/>
      <c r="H54" s="269"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2"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08" t="s">
        <v>367</v>
      </c>
      <c r="C55" s="200">
        <f ca="1">IF(C50&lt;&gt;0,FLOOR(MIN(C50,C49-SUMIFS(SubsidieTabel!$F:$F,SubsidieTabel!$C:$C,"=Bijdrage*")),0.01),FLOOR(MIN(E40,C24-SUMIFS(SubsidieTabel!$F:$F,SubsidieTabel!$C:$C,"=Bijdrage*")),0.01))</f>
        <v>0</v>
      </c>
      <c r="D55" s="444" t="str">
        <f ca="1">IF(AND(C55&lt;E40,C53&lt;0),"Het subsidiebedrag mag niet meer bedragen dan de projectkosten minus de bijdrage in natura.","")</f>
        <v/>
      </c>
      <c r="E55" s="445"/>
      <c r="F55" s="434" t="str">
        <f>IF($F$52&lt;&gt;"","Aftopping samenwerkingskosten","")</f>
        <v/>
      </c>
      <c r="G55" s="435"/>
      <c r="H55" s="289" t="str">
        <f>IF($F$52&lt;&gt;"",IF(H56-SUM(SubsidieTabel!$S:$S)&lt;0,H56-SUM(SubsidieTabel!$S:$S),""),"")</f>
        <v/>
      </c>
      <c r="I55" s="376" t="str">
        <f>IF($F$52&lt;&gt;"",IF(H56-SUM(SubsidieTabel!$S:$S)&lt;0,I56-SUM(SubsidieTabel!$S:$S)+SUM(SubsidieTabel!$Y:$Y),""),"")</f>
        <v/>
      </c>
      <c r="O55" s="48" t="s">
        <v>166</v>
      </c>
      <c r="P55" s="49">
        <f ca="1">P53-SUMIFS(SubsidieTabel!$M:$M,SubsidieTabel!$B:$B,'6. Begrotingsoverzicht'!$O$47)</f>
        <v>0</v>
      </c>
      <c r="Q55" s="49"/>
    </row>
    <row r="56" spans="2:17" ht="15" customHeight="1" x14ac:dyDescent="0.25">
      <c r="B56" s="209"/>
      <c r="C56" s="210"/>
      <c r="D56" s="211"/>
      <c r="E56" s="212"/>
      <c r="F56" s="434" t="str">
        <f>IF($F$52&lt;&gt;"","Maximaal bedrag samenwerkingskosten","")</f>
        <v/>
      </c>
      <c r="G56" s="435"/>
      <c r="H56" s="269" t="str">
        <f>IF($F$52&lt;&gt;"",IF(AND(SUM(SubsidieTabel!$S:$S)&lt;H54,SUM(SubsidieTabel!$S:$S)&lt;&gt;0),SUM(SubsidieTabel!$S:$S),H54),"")</f>
        <v/>
      </c>
      <c r="I56" s="222" t="str">
        <f>IF($F$52&lt;&gt;"",IF(AND(SUM(SubsidieTabel!$S:$S)&lt;H54,SUM(SubsidieTabel!$S:$S)&lt;&gt;0),SUM(SubsidieTabel!$S:$S)-SUM(SubsidieTabel!$Y:$Y),I54),"")</f>
        <v/>
      </c>
      <c r="O56" s="146"/>
      <c r="P56" s="100"/>
      <c r="Q56" s="101"/>
    </row>
    <row r="57" spans="2:17" ht="32.25" customHeight="1" x14ac:dyDescent="0.25">
      <c r="B57" s="199" t="s">
        <v>15</v>
      </c>
      <c r="C57" s="200"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44"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
      </c>
      <c r="E57" s="445"/>
      <c r="F57" s="434" t="str">
        <f>IF($F$52&lt;&gt;"","Totaal projectkosten met maximaal aandeel samenwerkingskosten","")</f>
        <v/>
      </c>
      <c r="G57" s="435"/>
      <c r="H57" s="269" t="str">
        <f>IF($F$52&lt;&gt;"",MIN(H49,Totaal_Project)+IF(H55&lt;&gt;"",H55,0),"")</f>
        <v/>
      </c>
      <c r="I57" s="222" t="str">
        <f>IF($F$52&lt;&gt;"",MIN(I49,$C$22)+IF(H55&lt;&gt;"",I55,0),"")</f>
        <v/>
      </c>
      <c r="O57" s="82" t="s">
        <v>127</v>
      </c>
      <c r="P57" s="47"/>
      <c r="Q57" s="80"/>
    </row>
    <row r="58" spans="2:17" ht="30" x14ac:dyDescent="0.25">
      <c r="O58" s="148" t="s">
        <v>171</v>
      </c>
      <c r="P58" s="83">
        <f>MIN((SUMIFS(SubsidieTabel!$J:$J,SubsidieTabel!$C:$C,"&lt;&gt;Bijdrage*",SubsidieTabel!$C:$C,"&lt;&gt;Grond*")+P51),SUMIFS(SubsidieTabel!$J:$J,SubsidieTabel!$C:$C,"=Bijdrage*"))</f>
        <v>0</v>
      </c>
      <c r="Q58" s="51"/>
    </row>
    <row r="59" spans="2:17" ht="15" customHeight="1" x14ac:dyDescent="0.25">
      <c r="O59" s="52" t="s">
        <v>128</v>
      </c>
      <c r="P59" s="51">
        <f>MIN((SUMIFS(SubsidieTabel!$J:$J,SubsidieTabel!$C:$C,"&lt;&gt;Bijdrage*",SubsidieTabel!$C:$C,"&lt;&gt;Grond*")+P51),SUMIFS(SubsidieTabel!$J:$J,SubsidieTabel!$C:$C,"=Bijdrage*"))*IF(Q59="",0,Q59)</f>
        <v>0</v>
      </c>
      <c r="Q59" s="147" t="str">
        <f>IFERROR(ROUND(SUMIFS(SubsidieTabel!$M:$M,SubsidieTabel!$B:$B,"=Bijdrage*")/SUMIFS(SubsidieTabel!$F:$F,SubsidieTabel!$B:$B,"=Bijdrage*"),2),"")</f>
        <v/>
      </c>
    </row>
    <row r="60" spans="2:17" x14ac:dyDescent="0.25">
      <c r="O60" s="102" t="s">
        <v>69</v>
      </c>
      <c r="P60" s="83">
        <f>P59-SUMIFS(SubsidieTabel!$M:$M,SubsidieTabel!$C:$C,"=Bijdrage*")</f>
        <v>0</v>
      </c>
      <c r="Q60" s="150"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aca="1" ref="P62" ca="1">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
      </c>
    </row>
  </sheetData>
  <sheetProtection algorithmName="SHA-512" hashValue="rxv4L1B1q8PDoYg3alK0YSSXGK8SLEeb41EIjhVykHiZe5QRaoQh1CaXdHUzbyp5rLGEZpym0OS3VR3IXUa4RA==" saltValue="Sen+kNcOy9+6Ob0Qqet6nw=="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disablePrompts="1" count="1">
    <dataValidation type="decimal" allowBlank="1" showInputMessage="1" showErrorMessage="1" sqref="E42" xr:uid="{65B1E7FE-29DC-4BBD-BC53-15639E41114E}">
      <formula1>0</formula1>
      <formula2>100000000</formula2>
    </dataValidation>
  </dataValidations>
  <hyperlinks>
    <hyperlink ref="C6:D6" r:id="rId1" display="https://abs.techletes.ai/subsidie-buddy-eip/?ref=bsnomg74jlcu" xr:uid="{C6345676-FCD8-4EF5-BD13-E3CA892F6FE4}"/>
  </hyperlinks>
  <pageMargins left="0.70866141732283472" right="0.70866141732283472" top="0.74803149606299213" bottom="0.74803149606299213" header="0.31496062992125984" footer="0.31496062992125984"/>
  <pageSetup paperSize="9" orientation="landscape" r:id="rId2"/>
  <headerFooter>
    <oddFooter>&amp;LVersie: september 2023&amp;C&amp;A&amp;R&amp;P van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4" t="str">
        <f>IF($C$2="","Kies op tabblad '1. Aanvraag gegevens' de juiste openstelling","")</f>
        <v/>
      </c>
    </row>
    <row r="2" spans="2:15" ht="28.5" customHeight="1" x14ac:dyDescent="0.25">
      <c r="B2" s="17" t="s">
        <v>71</v>
      </c>
      <c r="C2" s="437" t="str">
        <f>IF('1. Aanvraaggegevens'!C2&lt;&gt;"",'1. Aanvraaggegevens'!C2,"")</f>
        <v>Samenwerken aan innovatie (EIP) Digitalisering en Robotisering</v>
      </c>
      <c r="D2" s="437"/>
    </row>
    <row r="3" spans="2:15" ht="15" customHeight="1" x14ac:dyDescent="0.25">
      <c r="B3" s="17" t="s">
        <v>16</v>
      </c>
      <c r="C3" s="438" t="str">
        <f>IF('1. Aanvraaggegevens'!C3&lt;&gt;"",'1. Aanvraaggegevens'!C3,"")</f>
        <v/>
      </c>
      <c r="D3" s="438"/>
    </row>
    <row r="4" spans="2:15" ht="15" customHeight="1" x14ac:dyDescent="0.25">
      <c r="B4" s="17" t="s">
        <v>17</v>
      </c>
      <c r="C4" s="438" t="str">
        <f>IF('1. Aanvraaggegevens'!C4&lt;&gt;"",'1. Aanvraaggegevens'!C4,"")</f>
        <v/>
      </c>
      <c r="D4" s="438"/>
      <c r="I4" s="152"/>
      <c r="J4" s="152"/>
      <c r="K4" s="152"/>
      <c r="L4" s="152"/>
      <c r="M4" s="152"/>
      <c r="N4" s="152"/>
      <c r="O4" s="152"/>
    </row>
    <row r="5" spans="2:15" ht="15" customHeight="1" x14ac:dyDescent="0.25">
      <c r="B5" s="17" t="s">
        <v>18</v>
      </c>
      <c r="C5" s="438" t="str">
        <f>IF('1. Aanvraaggegevens'!C5&lt;&gt;"",'1. Aanvraaggegevens'!C5,"")</f>
        <v/>
      </c>
      <c r="D5" s="438"/>
      <c r="I5" s="145"/>
      <c r="J5" s="145"/>
      <c r="K5" s="145"/>
      <c r="L5" s="145"/>
      <c r="M5" s="145"/>
      <c r="N5" s="145"/>
      <c r="O5" s="145"/>
    </row>
    <row r="6" spans="2:15" ht="15" customHeight="1" x14ac:dyDescent="0.25">
      <c r="B6" s="5"/>
      <c r="C6" s="452" t="str">
        <f>IF('1. Aanvraaggegevens'!C6&lt;&gt;"",'1. Aanvraaggegevens'!C6,"")</f>
        <v>Heeft u een specifieke vraag over de regeling of het aanvraagproces?
🔗 Test de EIP Subsidie Buddy via https://abs.techletes.ai/subsidie-buddy-eip</v>
      </c>
      <c r="D6" s="452"/>
      <c r="I6" s="145"/>
      <c r="J6" s="145"/>
      <c r="K6" s="145"/>
      <c r="L6" s="145"/>
      <c r="M6" s="145"/>
      <c r="N6" s="145"/>
      <c r="O6" s="145"/>
    </row>
    <row r="7" spans="2:15" ht="2.4500000000000002" customHeight="1" x14ac:dyDescent="0.25">
      <c r="C7" s="222" t="str">
        <f>IF($C$8="","Kies op tabblad '1. Aanvraag gegevens' de juiste methode","")</f>
        <v>Kies op tabblad '1. Aanvraag gegevens' de juiste methode</v>
      </c>
      <c r="D7" s="26"/>
    </row>
    <row r="8" spans="2:15" ht="15" customHeight="1" x14ac:dyDescent="0.25">
      <c r="B8" s="18" t="s">
        <v>19</v>
      </c>
      <c r="C8" s="436" t="str">
        <f>IF('1. Aanvraaggegevens'!C8&lt;&gt;"",'1. Aanvraaggegevens'!C8,"")</f>
        <v/>
      </c>
      <c r="D8" s="436"/>
      <c r="F8" s="24" t="s">
        <v>219</v>
      </c>
    </row>
    <row r="9" spans="2:15" ht="2.1" customHeight="1" x14ac:dyDescent="0.25"/>
    <row r="10" spans="2:15" ht="45" customHeight="1" x14ac:dyDescent="0.25">
      <c r="B10" s="182" t="s">
        <v>0</v>
      </c>
      <c r="C10" s="183" t="s">
        <v>234</v>
      </c>
      <c r="D10" s="184" t="s">
        <v>368</v>
      </c>
      <c r="E10" s="184" t="s">
        <v>334</v>
      </c>
      <c r="F10" s="161" t="str" cm="1">
        <f t="array" aca="1" ref="F10" ca="1">IFERROR(TRANSPOSE(Activiteiten_Uniek_Sort),"")</f>
        <v/>
      </c>
      <c r="G10" s="161"/>
      <c r="H10" s="161"/>
      <c r="I10" s="161"/>
      <c r="J10" s="161"/>
      <c r="K10" s="161"/>
      <c r="L10" s="161"/>
      <c r="M10" s="161"/>
      <c r="N10" s="161"/>
      <c r="O10" s="161"/>
    </row>
    <row r="11" spans="2:15" ht="15" customHeight="1" x14ac:dyDescent="0.25">
      <c r="B11" s="198" t="str" cm="1">
        <f t="array" aca="1" ref="B11:B16" ca="1">IFERROR(Posten_Uniek,"")</f>
        <v>Arbeidskosten</v>
      </c>
      <c r="C11" s="290">
        <f ca="1">IF(B11="","",SUMIF(Tb_ProjectKosten[Begroting],'Beoordeeld begrotingsoverzicht'!B11,Tb_ProjectKosten[Kosten_Beoordeeld]))</f>
        <v>0</v>
      </c>
      <c r="D11" s="270">
        <f ca="1">IF(B11="","",IF(AND($C$49&lt;Beoord_Totaal_Project,$C11&gt;0,IFERROR(FIND("Grond",B11),FALSE)),ROUND(($C11/SUMIFS(SubsidieTabel!$K:$K,SubsidieTabel!$C:$C,"=Grond*"))*(IF($C$46&lt;&gt;"",$D$46,SUMIFS(SubsidieTabel!$K:$K,SubsidieTabel!$C:$C,"=Grond*"))),2),$C11))</f>
        <v>0</v>
      </c>
      <c r="E11" s="270">
        <f t="shared" ref="E11:E21" ca="1" si="0">IF(B11="","",IF(AND(D11&lt;&gt;0,D11&lt;&gt;""),IF(AND(D11&lt;&gt;0,$C$22&lt;&gt;0,$D$22/$C$22-Beoord_Subsidie_Aanvraag/$E$40&gt;0.01),(1+(Beoord_Subsidie_Aanvraag/$E$40-$D$22/$C$22)/($D$22/$C$22))*D11,D11),0))</f>
        <v>0</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198" t="str">
        <f ca="1"/>
        <v>Arbeidskosten op basis van IKS</v>
      </c>
      <c r="C12" s="290">
        <f ca="1">IF(B12="","",SUMIF(Tb_ProjectKosten[Begroting],'Beoordeeld begrotingsoverzicht'!B12,Tb_ProjectKosten[Kosten_Beoordeeld]))</f>
        <v>0</v>
      </c>
      <c r="D12" s="270">
        <f ca="1">IF(B12="","",IF(AND($C$49&lt;Beoord_Totaal_Project,$C12&gt;0,IFERROR(FIND("Grond",B12),FALSE)),ROUND(($C12/SUMIFS(SubsidieTabel!$K:$K,SubsidieTabel!$C:$C,"=Grond*"))*(IF($C$46&lt;&gt;"",$D$46,SUMIFS(SubsidieTabel!$K:$K,SubsidieTabel!$C:$C,"=Grond*"))),2),$C12))</f>
        <v>0</v>
      </c>
      <c r="E12" s="270">
        <f t="shared" ca="1" si="0"/>
        <v>0</v>
      </c>
      <c r="F12" s="103" t="str">
        <f ca="1">IF(AND($C12&lt;&gt;0,$C12&lt;&gt;"",F$10&lt;&gt;""),SUMIFS(SubsidieTabel!$G:$G,SubsidieTabel!$A:$A,F$10,SubsidieTabel!$C:$C,$B12),"")</f>
        <v/>
      </c>
      <c r="G12" s="103" t="str">
        <f ca="1">IF(AND($C12&lt;&gt;0,$C12&lt;&gt;"",G$10&lt;&gt;""),SUMIFS(SubsidieTabel!$G:$G,SubsidieTabel!$A:$A,G$10,SubsidieTabel!$C:$C,$B12),"")</f>
        <v/>
      </c>
      <c r="H12" s="103" t="str">
        <f ca="1">IF(AND($C12&lt;&gt;0,$C12&lt;&gt;"",H$10&lt;&gt;""),SUMIFS(SubsidieTabel!$G:$G,SubsidieTabel!$A:$A,H$10,SubsidieTabel!$C:$C,$B12),"")</f>
        <v/>
      </c>
      <c r="I12" s="103" t="str">
        <f ca="1">IF(AND($C12&lt;&gt;0,$C12&lt;&gt;"",I$10&lt;&gt;""),SUMIFS(SubsidieTabel!$G:$G,SubsidieTabel!$A:$A,I$10,SubsidieTabel!$C:$C,$B12),"")</f>
        <v/>
      </c>
      <c r="J12" s="103" t="str">
        <f ca="1">IF(AND($C12&lt;&gt;0,$C12&lt;&gt;"",J$10&lt;&gt;""),SUMIFS(SubsidieTabel!$G:$G,SubsidieTabel!$A:$A,J$10,SubsidieTabel!$C:$C,$B12),"")</f>
        <v/>
      </c>
      <c r="K12" s="103" t="str">
        <f ca="1">IF(AND($C12&lt;&gt;0,$C12&lt;&gt;"",K$10&lt;&gt;""),SUMIFS(SubsidieTabel!$G:$G,SubsidieTabel!$A:$A,K$10,SubsidieTabel!$C:$C,$B12),"")</f>
        <v/>
      </c>
      <c r="L12" s="103" t="str">
        <f ca="1">IF(AND($C12&lt;&gt;0,$C12&lt;&gt;"",L$10&lt;&gt;""),SUMIFS(SubsidieTabel!$G:$G,SubsidieTabel!$A:$A,L$10,SubsidieTabel!$C:$C,$B12),"")</f>
        <v/>
      </c>
      <c r="M12" s="103" t="str">
        <f ca="1">IF(AND($C12&lt;&gt;0,$C12&lt;&gt;"",M$10&lt;&gt;""),SUMIFS(SubsidieTabel!$G:$G,SubsidieTabel!$A:$A,M$10,SubsidieTabel!$C:$C,$B12),"")</f>
        <v/>
      </c>
      <c r="N12" s="103" t="str">
        <f ca="1">IF(AND($C12&lt;&gt;0,$C12&lt;&gt;"",N$10&lt;&gt;""),SUMIFS(SubsidieTabel!$G:$G,SubsidieTabel!$A:$A,N$10,SubsidieTabel!$C:$C,$B12),"")</f>
        <v/>
      </c>
      <c r="O12" s="103" t="str">
        <f ca="1">IF(AND($C12&lt;&gt;0,$C12&lt;&gt;"",O$10&lt;&gt;""),SUMIFS(SubsidieTabel!$G:$G,SubsidieTabel!$A:$A,O$10,SubsidieTabel!$C:$C,$B12),"")</f>
        <v/>
      </c>
    </row>
    <row r="13" spans="2:15" ht="15" customHeight="1" x14ac:dyDescent="0.25">
      <c r="B13" s="6" t="str">
        <f ca="1"/>
        <v>Kosten derden exclusief btw</v>
      </c>
      <c r="C13" s="290">
        <f ca="1">IF(B13="","",SUMIF(Tb_ProjectKosten[Begroting],'Beoordeeld begrotingsoverzicht'!B13,Tb_ProjectKosten[Kosten_Beoordeeld]))</f>
        <v>0</v>
      </c>
      <c r="D13" s="270">
        <f ca="1">IF(B13="","",IF(AND($C$49&lt;Beoord_Totaal_Project,$C13&gt;0,IFERROR(FIND("Grond",B13),FALSE)),ROUND(($C13/SUMIFS(SubsidieTabel!$K:$K,SubsidieTabel!$C:$C,"=Grond*"))*(IF($C$46&lt;&gt;"",$D$46,SUMIFS(SubsidieTabel!$K:$K,SubsidieTabel!$C:$C,"=Grond*"))),2),$C13))</f>
        <v>0</v>
      </c>
      <c r="E13" s="270">
        <f t="shared" ca="1" si="0"/>
        <v>0</v>
      </c>
      <c r="F13" s="103" t="str">
        <f ca="1">IF(AND($C13&lt;&gt;0,$C13&lt;&gt;"",F$10&lt;&gt;""),SUMIFS(SubsidieTabel!$G:$G,SubsidieTabel!$A:$A,F$10,SubsidieTabel!$C:$C,$B13),"")</f>
        <v/>
      </c>
      <c r="G13" s="103" t="str">
        <f ca="1">IF(AND($C13&lt;&gt;0,$C13&lt;&gt;"",G$10&lt;&gt;""),SUMIFS(SubsidieTabel!$G:$G,SubsidieTabel!$A:$A,G$10,SubsidieTabel!$C:$C,$B13),"")</f>
        <v/>
      </c>
      <c r="H13" s="103" t="str">
        <f ca="1">IF(AND($C13&lt;&gt;0,$C13&lt;&gt;"",H$10&lt;&gt;""),SUMIFS(SubsidieTabel!$G:$G,SubsidieTabel!$A:$A,H$10,SubsidieTabel!$C:$C,$B13),"")</f>
        <v/>
      </c>
      <c r="I13" s="103" t="str">
        <f ca="1">IF(AND($C13&lt;&gt;0,$C13&lt;&gt;"",I$10&lt;&gt;""),SUMIFS(SubsidieTabel!$G:$G,SubsidieTabel!$A:$A,I$10,SubsidieTabel!$C:$C,$B13),"")</f>
        <v/>
      </c>
      <c r="J13" s="103" t="str">
        <f ca="1">IF(AND($C13&lt;&gt;0,$C13&lt;&gt;"",J$10&lt;&gt;""),SUMIFS(SubsidieTabel!$G:$G,SubsidieTabel!$A:$A,J$10,SubsidieTabel!$C:$C,$B13),"")</f>
        <v/>
      </c>
      <c r="K13" s="103" t="str">
        <f ca="1">IF(AND($C13&lt;&gt;0,$C13&lt;&gt;"",K$10&lt;&gt;""),SUMIFS(SubsidieTabel!$G:$G,SubsidieTabel!$A:$A,K$10,SubsidieTabel!$C:$C,$B13),"")</f>
        <v/>
      </c>
      <c r="L13" s="103" t="str">
        <f ca="1">IF(AND($C13&lt;&gt;0,$C13&lt;&gt;"",L$10&lt;&gt;""),SUMIFS(SubsidieTabel!$G:$G,SubsidieTabel!$A:$A,L$10,SubsidieTabel!$C:$C,$B13),"")</f>
        <v/>
      </c>
      <c r="M13" s="103" t="str">
        <f ca="1">IF(AND($C13&lt;&gt;0,$C13&lt;&gt;"",M$10&lt;&gt;""),SUMIFS(SubsidieTabel!$G:$G,SubsidieTabel!$A:$A,M$10,SubsidieTabel!$C:$C,$B13),"")</f>
        <v/>
      </c>
      <c r="N13" s="103" t="str">
        <f ca="1">IF(AND($C13&lt;&gt;0,$C13&lt;&gt;"",N$10&lt;&gt;""),SUMIFS(SubsidieTabel!$G:$G,SubsidieTabel!$A:$A,N$10,SubsidieTabel!$C:$C,$B13),"")</f>
        <v/>
      </c>
      <c r="O13" s="103" t="str">
        <f ca="1">IF(AND($C13&lt;&gt;0,$C13&lt;&gt;"",O$10&lt;&gt;""),SUMIFS(SubsidieTabel!$G:$G,SubsidieTabel!$A:$A,O$10,SubsidieTabel!$C:$C,$B13),"")</f>
        <v/>
      </c>
    </row>
    <row r="14" spans="2:15" ht="15" customHeight="1" x14ac:dyDescent="0.25">
      <c r="B14" s="6" t="str">
        <f ca="1"/>
        <v>Bijdrage in natura (overige)</v>
      </c>
      <c r="C14" s="290">
        <f ca="1">IF(B14="","",SUMIF(Tb_ProjectKosten[Begroting],'Beoordeeld begrotingsoverzicht'!B14,Tb_ProjectKosten[Kosten_Beoordeeld]))</f>
        <v>0</v>
      </c>
      <c r="D14" s="270">
        <f ca="1">IF(B14="","",IF(AND($C$49&lt;Beoord_Totaal_Project,$C14&gt;0,IFERROR(FIND("Grond",B14),FALSE)),ROUND(($C14/SUMIFS(SubsidieTabel!$K:$K,SubsidieTabel!$C:$C,"=Grond*"))*(IF($C$46&lt;&gt;"",$D$46,SUMIFS(SubsidieTabel!$K:$K,SubsidieTabel!$C:$C,"=Grond*"))),2),$C14))</f>
        <v>0</v>
      </c>
      <c r="E14" s="270">
        <f t="shared" ca="1" si="0"/>
        <v>0</v>
      </c>
      <c r="F14" s="103" t="str">
        <f ca="1">IF(AND($C14&lt;&gt;0,$C14&lt;&gt;"",F$10&lt;&gt;""),SUMIFS(SubsidieTabel!$G:$G,SubsidieTabel!$A:$A,F$10,SubsidieTabel!$C:$C,$B14),"")</f>
        <v/>
      </c>
      <c r="G14" s="103" t="str">
        <f ca="1">IF(AND($C14&lt;&gt;0,$C14&lt;&gt;"",G$10&lt;&gt;""),SUMIFS(SubsidieTabel!$G:$G,SubsidieTabel!$A:$A,G$10,SubsidieTabel!$C:$C,$B14),"")</f>
        <v/>
      </c>
      <c r="H14" s="103" t="str">
        <f ca="1">IF(AND($C14&lt;&gt;0,$C14&lt;&gt;"",H$10&lt;&gt;""),SUMIFS(SubsidieTabel!$G:$G,SubsidieTabel!$A:$A,H$10,SubsidieTabel!$C:$C,$B14),"")</f>
        <v/>
      </c>
      <c r="I14" s="103" t="str">
        <f ca="1">IF(AND($C14&lt;&gt;0,$C14&lt;&gt;"",I$10&lt;&gt;""),SUMIFS(SubsidieTabel!$G:$G,SubsidieTabel!$A:$A,I$10,SubsidieTabel!$C:$C,$B14),"")</f>
        <v/>
      </c>
      <c r="J14" s="103" t="str">
        <f ca="1">IF(AND($C14&lt;&gt;0,$C14&lt;&gt;"",J$10&lt;&gt;""),SUMIFS(SubsidieTabel!$G:$G,SubsidieTabel!$A:$A,J$10,SubsidieTabel!$C:$C,$B14),"")</f>
        <v/>
      </c>
      <c r="K14" s="103" t="str">
        <f ca="1">IF(AND($C14&lt;&gt;0,$C14&lt;&gt;"",K$10&lt;&gt;""),SUMIFS(SubsidieTabel!$G:$G,SubsidieTabel!$A:$A,K$10,SubsidieTabel!$C:$C,$B14),"")</f>
        <v/>
      </c>
      <c r="L14" s="103" t="str">
        <f ca="1">IF(AND($C14&lt;&gt;0,$C14&lt;&gt;"",L$10&lt;&gt;""),SUMIFS(SubsidieTabel!$G:$G,SubsidieTabel!$A:$A,L$10,SubsidieTabel!$C:$C,$B14),"")</f>
        <v/>
      </c>
      <c r="M14" s="103" t="str">
        <f ca="1">IF(AND($C14&lt;&gt;0,$C14&lt;&gt;"",M$10&lt;&gt;""),SUMIFS(SubsidieTabel!$G:$G,SubsidieTabel!$A:$A,M$10,SubsidieTabel!$C:$C,$B14),"")</f>
        <v/>
      </c>
      <c r="N14" s="103" t="str">
        <f ca="1">IF(AND($C14&lt;&gt;0,$C14&lt;&gt;"",N$10&lt;&gt;""),SUMIFS(SubsidieTabel!$G:$G,SubsidieTabel!$A:$A,N$10,SubsidieTabel!$C:$C,$B14),"")</f>
        <v/>
      </c>
      <c r="O14" s="103" t="str">
        <f ca="1">IF(AND($C14&lt;&gt;0,$C14&lt;&gt;"",O$10&lt;&gt;""),SUMIFS(SubsidieTabel!$G:$G,SubsidieTabel!$A:$A,O$10,SubsidieTabel!$C:$C,$B14),"")</f>
        <v/>
      </c>
    </row>
    <row r="15" spans="2:15" ht="15" customHeight="1" x14ac:dyDescent="0.25">
      <c r="B15" s="6" t="str">
        <f ca="1"/>
        <v>Afschrijvingskosten</v>
      </c>
      <c r="C15" s="290">
        <f ca="1">IF(B15="","",SUMIF(Tb_ProjectKosten[Begroting],'Beoordeeld begrotingsoverzicht'!B15,Tb_ProjectKosten[Kosten_Beoordeeld]))</f>
        <v>0</v>
      </c>
      <c r="D15" s="270">
        <f ca="1">IF(B15="","",IF(AND($C$49&lt;Beoord_Totaal_Project,$C15&gt;0,IFERROR(FIND("Grond",B15),FALSE)),ROUND(($C15/SUMIFS(SubsidieTabel!$K:$K,SubsidieTabel!$C:$C,"=Grond*"))*(IF($C$46&lt;&gt;"",$D$46,SUMIFS(SubsidieTabel!$K:$K,SubsidieTabel!$C:$C,"=Grond*"))),2),$C15))</f>
        <v>0</v>
      </c>
      <c r="E15" s="270">
        <f t="shared" ca="1" si="0"/>
        <v>0</v>
      </c>
      <c r="F15" s="103" t="str">
        <f ca="1">IF(AND($C15&lt;&gt;0,$C15&lt;&gt;"",F$10&lt;&gt;""),SUMIFS(SubsidieTabel!$G:$G,SubsidieTabel!$A:$A,F$10,SubsidieTabel!$C:$C,$B15),"")</f>
        <v/>
      </c>
      <c r="G15" s="103" t="str">
        <f ca="1">IF(AND($C15&lt;&gt;0,$C15&lt;&gt;"",G$10&lt;&gt;""),SUMIFS(SubsidieTabel!$G:$G,SubsidieTabel!$A:$A,G$10,SubsidieTabel!$C:$C,$B15),"")</f>
        <v/>
      </c>
      <c r="H15" s="103" t="str">
        <f ca="1">IF(AND($C15&lt;&gt;0,$C15&lt;&gt;"",H$10&lt;&gt;""),SUMIFS(SubsidieTabel!$G:$G,SubsidieTabel!$A:$A,H$10,SubsidieTabel!$C:$C,$B15),"")</f>
        <v/>
      </c>
      <c r="I15" s="103" t="str">
        <f ca="1">IF(AND($C15&lt;&gt;0,$C15&lt;&gt;"",I$10&lt;&gt;""),SUMIFS(SubsidieTabel!$G:$G,SubsidieTabel!$A:$A,I$10,SubsidieTabel!$C:$C,$B15),"")</f>
        <v/>
      </c>
      <c r="J15" s="103" t="str">
        <f ca="1">IF(AND($C15&lt;&gt;0,$C15&lt;&gt;"",J$10&lt;&gt;""),SUMIFS(SubsidieTabel!$G:$G,SubsidieTabel!$A:$A,J$10,SubsidieTabel!$C:$C,$B15),"")</f>
        <v/>
      </c>
      <c r="K15" s="103" t="str">
        <f ca="1">IF(AND($C15&lt;&gt;0,$C15&lt;&gt;"",K$10&lt;&gt;""),SUMIFS(SubsidieTabel!$G:$G,SubsidieTabel!$A:$A,K$10,SubsidieTabel!$C:$C,$B15),"")</f>
        <v/>
      </c>
      <c r="L15" s="103" t="str">
        <f ca="1">IF(AND($C15&lt;&gt;0,$C15&lt;&gt;"",L$10&lt;&gt;""),SUMIFS(SubsidieTabel!$G:$G,SubsidieTabel!$A:$A,L$10,SubsidieTabel!$C:$C,$B15),"")</f>
        <v/>
      </c>
      <c r="M15" s="103" t="str">
        <f ca="1">IF(AND($C15&lt;&gt;0,$C15&lt;&gt;"",M$10&lt;&gt;""),SUMIFS(SubsidieTabel!$G:$G,SubsidieTabel!$A:$A,M$10,SubsidieTabel!$C:$C,$B15),"")</f>
        <v/>
      </c>
      <c r="N15" s="103" t="str">
        <f ca="1">IF(AND($C15&lt;&gt;0,$C15&lt;&gt;"",N$10&lt;&gt;""),SUMIFS(SubsidieTabel!$G:$G,SubsidieTabel!$A:$A,N$10,SubsidieTabel!$C:$C,$B15),"")</f>
        <v/>
      </c>
      <c r="O15" s="103" t="str">
        <f ca="1">IF(AND($C15&lt;&gt;0,$C15&lt;&gt;"",O$10&lt;&gt;""),SUMIFS(SubsidieTabel!$G:$G,SubsidieTabel!$A:$A,O$10,SubsidieTabel!$C:$C,$B15),"")</f>
        <v/>
      </c>
    </row>
    <row r="16" spans="2:15" ht="15" customHeight="1" x14ac:dyDescent="0.25">
      <c r="B16" s="6" t="str">
        <f ca="1"/>
        <v>Niet verrekenbare btw</v>
      </c>
      <c r="C16" s="290">
        <f ca="1">IF(B16="","",SUMIF(Tb_ProjectKosten[Begroting],'Beoordeeld begrotingsoverzicht'!B16,Tb_ProjectKosten[Kosten_Beoordeeld]))</f>
        <v>0</v>
      </c>
      <c r="D16" s="270">
        <f ca="1">IF(B16="","",IF(AND($C$49&lt;Beoord_Totaal_Project,$C16&gt;0,IFERROR(FIND("Grond",B16),FALSE)),ROUND(($C16/SUMIFS(SubsidieTabel!$K:$K,SubsidieTabel!$C:$C,"=Grond*"))*(IF($C$46&lt;&gt;"",$D$46,SUMIFS(SubsidieTabel!$K:$K,SubsidieTabel!$C:$C,"=Grond*"))),2),$C16))</f>
        <v>0</v>
      </c>
      <c r="E16" s="270">
        <f t="shared" ca="1" si="0"/>
        <v>0</v>
      </c>
      <c r="F16" s="103" t="str">
        <f ca="1">IF(AND($C16&lt;&gt;0,$C16&lt;&gt;"",F$10&lt;&gt;""),SUMIFS(SubsidieTabel!$G:$G,SubsidieTabel!$A:$A,F$10,SubsidieTabel!$C:$C,$B16),"")</f>
        <v/>
      </c>
      <c r="G16" s="103" t="str">
        <f ca="1">IF(AND($C16&lt;&gt;0,$C16&lt;&gt;"",G$10&lt;&gt;""),SUMIFS(SubsidieTabel!$G:$G,SubsidieTabel!$A:$A,G$10,SubsidieTabel!$C:$C,$B16),"")</f>
        <v/>
      </c>
      <c r="H16" s="103" t="str">
        <f ca="1">IF(AND($C16&lt;&gt;0,$C16&lt;&gt;"",H$10&lt;&gt;""),SUMIFS(SubsidieTabel!$G:$G,SubsidieTabel!$A:$A,H$10,SubsidieTabel!$C:$C,$B16),"")</f>
        <v/>
      </c>
      <c r="I16" s="103" t="str">
        <f ca="1">IF(AND($C16&lt;&gt;0,$C16&lt;&gt;"",I$10&lt;&gt;""),SUMIFS(SubsidieTabel!$G:$G,SubsidieTabel!$A:$A,I$10,SubsidieTabel!$C:$C,$B16),"")</f>
        <v/>
      </c>
      <c r="J16" s="103" t="str">
        <f ca="1">IF(AND($C16&lt;&gt;0,$C16&lt;&gt;"",J$10&lt;&gt;""),SUMIFS(SubsidieTabel!$G:$G,SubsidieTabel!$A:$A,J$10,SubsidieTabel!$C:$C,$B16),"")</f>
        <v/>
      </c>
      <c r="K16" s="103" t="str">
        <f ca="1">IF(AND($C16&lt;&gt;0,$C16&lt;&gt;"",K$10&lt;&gt;""),SUMIFS(SubsidieTabel!$G:$G,SubsidieTabel!$A:$A,K$10,SubsidieTabel!$C:$C,$B16),"")</f>
        <v/>
      </c>
      <c r="L16" s="103" t="str">
        <f ca="1">IF(AND($C16&lt;&gt;0,$C16&lt;&gt;"",L$10&lt;&gt;""),SUMIFS(SubsidieTabel!$G:$G,SubsidieTabel!$A:$A,L$10,SubsidieTabel!$C:$C,$B16),"")</f>
        <v/>
      </c>
      <c r="M16" s="103" t="str">
        <f ca="1">IF(AND($C16&lt;&gt;0,$C16&lt;&gt;"",M$10&lt;&gt;""),SUMIFS(SubsidieTabel!$G:$G,SubsidieTabel!$A:$A,M$10,SubsidieTabel!$C:$C,$B16),"")</f>
        <v/>
      </c>
      <c r="N16" s="103" t="str">
        <f ca="1">IF(AND($C16&lt;&gt;0,$C16&lt;&gt;"",N$10&lt;&gt;""),SUMIFS(SubsidieTabel!$G:$G,SubsidieTabel!$A:$A,N$10,SubsidieTabel!$C:$C,$B16),"")</f>
        <v/>
      </c>
      <c r="O16" s="103" t="str">
        <f ca="1">IF(AND($C16&lt;&gt;0,$C16&lt;&gt;"",O$10&lt;&gt;""),SUMIFS(SubsidieTabel!$G:$G,SubsidieTabel!$A:$A,O$10,SubsidieTabel!$C:$C,$B16),"")</f>
        <v/>
      </c>
    </row>
    <row r="17" spans="2:15" ht="15" customHeight="1" x14ac:dyDescent="0.25">
      <c r="B17" s="6"/>
      <c r="C17" s="290" t="str">
        <f>IF(B17="","",SUMIF(Tb_ProjectKosten[Begroting],'Beoordeeld begrotingsoverzicht'!B17,Tb_ProjectKosten[Kosten_Beoordeeld]))</f>
        <v/>
      </c>
      <c r="D17" s="270" t="str">
        <f>IF(B17="","",IF(AND($C$49&lt;Beoord_Totaal_Project,$C17&gt;0,IFERROR(FIND("Grond",B17),FALSE)),ROUND(($C17/SUMIFS(SubsidieTabel!$K:$K,SubsidieTabel!$C:$C,"=Grond*"))*(IF($C$46&lt;&gt;"",$D$46,SUMIFS(SubsidieTabel!$K:$K,SubsidieTabel!$C:$C,"=Grond*"))),2),$C17))</f>
        <v/>
      </c>
      <c r="E17" s="270"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0" t="str">
        <f>IF(B18="","",SUMIF(Tb_ProjectKosten[Begroting],'Beoordeeld begrotingsoverzicht'!B18,Tb_ProjectKosten[Kosten_Beoordeeld]))</f>
        <v/>
      </c>
      <c r="D18" s="270" t="str">
        <f>IF(B18="","",IF(AND($C$49&lt;Beoord_Totaal_Project,$C18&gt;0,IFERROR(FIND("Grond",B18),FALSE)),ROUND(($C18/SUMIFS(SubsidieTabel!$K:$K,SubsidieTabel!$C:$C,"=Grond*"))*(IF($C$46&lt;&gt;"",$D$46,SUMIFS(SubsidieTabel!$K:$K,SubsidieTabel!$C:$C,"=Grond*"))),2),$C18))</f>
        <v/>
      </c>
      <c r="E18" s="270"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0" t="str">
        <f>IF(B19="","",SUMIF(Tb_ProjectKosten[Begroting],'Beoordeeld begrotingsoverzicht'!B19,Tb_ProjectKosten[Kosten_Beoordeeld]))</f>
        <v/>
      </c>
      <c r="D19" s="270" t="str">
        <f>IF(B19="","",IF(AND($C$49&lt;Beoord_Totaal_Project,$C19&gt;0,IFERROR(FIND("Grond",B19),FALSE)),ROUND(($C19/SUMIFS(SubsidieTabel!$K:$K,SubsidieTabel!$C:$C,"=Grond*"))*(IF($C$46&lt;&gt;"",$D$46,SUMIFS(SubsidieTabel!$K:$K,SubsidieTabel!$C:$C,"=Grond*"))),2),$C19))</f>
        <v/>
      </c>
      <c r="E19" s="270"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0" t="str">
        <f>IF(B20="","",SUMIF(Tb_ProjectKosten[Begroting],'Beoordeeld begrotingsoverzicht'!B20,Tb_ProjectKosten[Kosten_Beoordeeld]))</f>
        <v/>
      </c>
      <c r="D20" s="270" t="str">
        <f>IF(B20="","",IF(AND($C$49&lt;Beoord_Totaal_Project,$C20&gt;0,IFERROR(FIND("Grond",B20),FALSE)),ROUND(($C20/SUMIFS(SubsidieTabel!$K:$K,SubsidieTabel!$C:$C,"=Grond*"))*(IF($C$46&lt;&gt;"",$D$46,SUMIFS(SubsidieTabel!$K:$K,SubsidieTabel!$C:$C,"=Grond*"))),2),$C20))</f>
        <v/>
      </c>
      <c r="E20" s="270"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0" t="str">
        <f>IF(B21="","",SUMIF(Tb_ProjectKosten[Begroting],'Beoordeeld begrotingsoverzicht'!B21,Tb_ProjectKosten[Kosten_Beoordeeld]))</f>
        <v/>
      </c>
      <c r="D21" s="270" t="str">
        <f>IF(B21="","",IF(AND($C$49&lt;Beoord_Totaal_Project,$C21&gt;0,IFERROR(FIND("Grond",B21),FALSE)),ROUND(($C21/SUMIFS(SubsidieTabel!$K:$K,SubsidieTabel!$C:$C,"=Grond*"))*(IF($C$46&lt;&gt;"",$D$46,SUMIFS(SubsidieTabel!$K:$K,SubsidieTabel!$C:$C,"=Grond*"))),2),$C21))</f>
        <v/>
      </c>
      <c r="E21" s="270"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5">
        <f ca="1">SUM(C11:C21)</f>
        <v>0</v>
      </c>
      <c r="D22" s="271">
        <f ca="1">SUM(D11:D21)</f>
        <v>0</v>
      </c>
      <c r="E22" s="271">
        <f ca="1">SUM(E11:E21)</f>
        <v>0</v>
      </c>
      <c r="F22" s="160" t="str">
        <f ca="1">IF(SUM(F11:F21)=0,"",SUM(F11:F21))</f>
        <v/>
      </c>
      <c r="G22" s="160" t="str">
        <f t="shared" ref="G22:O22" ca="1" si="1">IF(SUM(G11:G21)=0,"",SUM(G11:G21))</f>
        <v/>
      </c>
      <c r="H22" s="160" t="str">
        <f t="shared" ca="1" si="1"/>
        <v/>
      </c>
      <c r="I22" s="160" t="str">
        <f t="shared" ca="1" si="1"/>
        <v/>
      </c>
      <c r="J22" s="160" t="str">
        <f t="shared" ca="1" si="1"/>
        <v/>
      </c>
      <c r="K22" s="160" t="str">
        <f t="shared" ca="1" si="1"/>
        <v/>
      </c>
      <c r="L22" s="160" t="str">
        <f t="shared" ca="1" si="1"/>
        <v/>
      </c>
      <c r="M22" s="160" t="str">
        <f t="shared" ca="1" si="1"/>
        <v/>
      </c>
      <c r="N22" s="160" t="str">
        <f t="shared" ca="1" si="1"/>
        <v/>
      </c>
      <c r="O22" s="160"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39" t="s">
        <v>79</v>
      </c>
      <c r="C24" s="265" cm="1">
        <f t="array" aca="1" ref="C24" ca="1">IFERROR(_xlfn.IFS(C22=0,0,OR($C$8="Geen vereenvoudigde kostenoptie",$C$8=""),C22,$C$8="Vereenvoudigde kostenoptie voor arbeidskosten",SUM(C22:C23),$C$8="Vereenvoudigde kostenoptie voor overige kosten",SUM(C22:C23)),0)</f>
        <v>0</v>
      </c>
      <c r="D24" s="271">
        <f ca="1">SUM(D22:D23)</f>
        <v>0</v>
      </c>
      <c r="E24" s="271">
        <f ca="1">SUM(E22:E23)</f>
        <v>0</v>
      </c>
      <c r="F24" s="160" t="str">
        <f ca="1">IF(SUM(F22:F23)=0,"",SUM(F22:F23))</f>
        <v/>
      </c>
      <c r="G24" s="160" t="str">
        <f t="shared" ref="G24:O24" ca="1" si="2">IF(SUM(G22:G23)=0,"",SUM(G22:G23))</f>
        <v/>
      </c>
      <c r="H24" s="160" t="str">
        <f t="shared" ca="1" si="2"/>
        <v/>
      </c>
      <c r="I24" s="160" t="str">
        <f t="shared" ca="1" si="2"/>
        <v/>
      </c>
      <c r="J24" s="160" t="str">
        <f t="shared" ca="1" si="2"/>
        <v/>
      </c>
      <c r="K24" s="160" t="str">
        <f t="shared" ca="1" si="2"/>
        <v/>
      </c>
      <c r="L24" s="160" t="str">
        <f t="shared" ca="1" si="2"/>
        <v/>
      </c>
      <c r="M24" s="160" t="str">
        <f t="shared" ca="1" si="2"/>
        <v/>
      </c>
      <c r="N24" s="160" t="str">
        <f t="shared" ca="1" si="2"/>
        <v/>
      </c>
      <c r="O24" s="160"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3" t="s">
        <v>152</v>
      </c>
      <c r="C28" s="273" t="s">
        <v>122</v>
      </c>
      <c r="D28" s="273" t="s">
        <v>1</v>
      </c>
      <c r="E28" s="273" t="s">
        <v>130</v>
      </c>
      <c r="F28" s="356"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6" t="str">
        <f>IF($F$44&lt;&gt;"","Subsidiebedrag na aftopping "&amp;LOWER($F$44),"")</f>
        <v/>
      </c>
      <c r="H28" s="356" t="str">
        <f>IF($F$52&lt;&gt;"","Subsidiebedrag na aftopping "&amp;LOWER($F$52),"")</f>
        <v/>
      </c>
      <c r="I28" s="356" t="str">
        <f ca="1">IF(SUM(K29:K38)&lt;&gt;0,"Subsidiebedrag na aftopping maximum percentage activiteiten","")</f>
        <v/>
      </c>
      <c r="J28" s="356" t="str">
        <f ca="1">IF(I28&lt;&gt;"","Subsidieverlaging op basis van maximum percentage","")</f>
        <v/>
      </c>
    </row>
    <row r="29" spans="2:15" s="26" customFormat="1" x14ac:dyDescent="0.25">
      <c r="B29" s="372"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57" t="str">
        <f ca="1">IFERROR(IF(AND(F$28&lt;&gt;""),IF(AND(H29&lt;&gt;"",H29&lt;IFERROR(SUMIFS(SubsidieTabel!$K:$K,SubsidieTabel!$A:$A,$B29,SubsidieTabel!$C:$C,$B$44)/SUMIFS(SubsidieTabel!$K:$K,SubsidieTabel!$C:$C,$B$44)*$D$51*$D29+SUMIFS(SubsidieTabel!$K:$K,SubsidieTabel!$A:$A,$B29,SubsidieTabel!$C:$C,"&lt;&gt;"&amp;$B$44),0)*$D29),H29,SUMIFS(SubsidieTabel!$K:$K,SubsidieTabel!$A:$A,$B29,SubsidieTabel!$C:$C,$B$44)/SUMIFS(SubsidieTabel!$K:$K,SubsidieTabel!$C:$C,$B$44)*$D$51*$D29+SUMIFS(SubsidieTabel!$K:$K,SubsidieTabel!$A:$A,$B29,SubsidieTabel!$C:$C,"&lt;&gt;"&amp;$B$44)*$D29),""),"")</f>
        <v/>
      </c>
      <c r="G29" s="358" t="str">
        <f ca="1">IFERROR(IF(AND(G$28&lt;&gt;"",SUMIFS(SubsidieTabel!$R:$R,SubsidieTabel!$A:$A,$B29)&gt;0),H46*D29,IF(G$28&lt;&gt;"",E29,"")),"")</f>
        <v/>
      </c>
      <c r="H29" s="358" t="str">
        <f ca="1">IFERROR(IF(AND(H$28&lt;&gt;"",E29&lt;&gt;"",SUMIFS(SubsidieTabel!$T:$T,SubsidieTabel!$A:$A,$B29)&gt;0),$H$56*D29,IF(AND(H$28&lt;&gt;"",E29&lt;&gt;""),MIN(E29,G29),"")),"")</f>
        <v/>
      </c>
      <c r="I29" s="359"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2"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2"/>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57" t="str">
        <f ca="1">IFERROR(IF(AND(F$28&lt;&gt;""),IF(AND(H30&lt;&gt;"",H30&lt;IFERROR(SUMIFS(SubsidieTabel!$K:$K,SubsidieTabel!$A:$A,$B30,SubsidieTabel!$C:$C,$B$44)/SUMIFS(SubsidieTabel!$K:$K,SubsidieTabel!$C:$C,$B$44)*$D$51*$D30+SUMIFS(SubsidieTabel!$K:$K,SubsidieTabel!$A:$A,$B30,SubsidieTabel!$C:$C,"&lt;&gt;"&amp;$B$44),0)*$D30),H30,SUMIFS(SubsidieTabel!$K:$K,SubsidieTabel!$A:$A,$B30,SubsidieTabel!$C:$C,$B$44)/SUMIFS(SubsidieTabel!$K:$K,SubsidieTabel!$C:$C,$B$44)*$D$51*$D30+SUMIFS(SubsidieTabel!$K:$K,SubsidieTabel!$A:$A,$B30,SubsidieTabel!$C:$C,"&lt;&gt;"&amp;$B$44)*$D30),""),"")</f>
        <v/>
      </c>
      <c r="G30" s="358" t="str">
        <f>IFERROR(IF(AND(G$28&lt;&gt;"",SUMIFS(SubsidieTabel!$R:$R,SubsidieTabel!$A:$A,$B30)&gt;0),H47*D30,IF(G$28&lt;&gt;"",E30,"")),"")</f>
        <v/>
      </c>
      <c r="H30" s="358" t="str">
        <f>IFERROR(IF(AND(H$28&lt;&gt;"",E30&lt;&gt;"",SUMIFS(SubsidieTabel!$T:$T,SubsidieTabel!$A:$A,$B30)&gt;0),$H$56*D30,IF(AND(H$28&lt;&gt;"",E30&lt;&gt;""),MIN(E30,G30),"")),"")</f>
        <v/>
      </c>
      <c r="I30" s="359"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2"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2"/>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57" t="str">
        <f ca="1">IFERROR(IF(AND(F$28&lt;&gt;""),IF(AND(H31&lt;&gt;"",H31&lt;IFERROR(SUMIFS(SubsidieTabel!$K:$K,SubsidieTabel!$A:$A,$B31,SubsidieTabel!$C:$C,$B$44)/SUMIFS(SubsidieTabel!$K:$K,SubsidieTabel!$C:$C,$B$44)*$D$51*$D31+SUMIFS(SubsidieTabel!$K:$K,SubsidieTabel!$A:$A,$B31,SubsidieTabel!$C:$C,"&lt;&gt;"&amp;$B$44),0)*$D31),H31,SUMIFS(SubsidieTabel!$K:$K,SubsidieTabel!$A:$A,$B31,SubsidieTabel!$C:$C,$B$44)/SUMIFS(SubsidieTabel!$K:$K,SubsidieTabel!$C:$C,$B$44)*$D$51*$D31+SUMIFS(SubsidieTabel!$K:$K,SubsidieTabel!$A:$A,$B31,SubsidieTabel!$C:$C,"&lt;&gt;"&amp;$B$44)*$D31),""),"")</f>
        <v/>
      </c>
      <c r="G31" s="358" t="str">
        <f>IFERROR(IF(AND(G$28&lt;&gt;"",SUMIFS(SubsidieTabel!$R:$R,SubsidieTabel!$A:$A,$B31)&gt;0),H48*D31,IF(G$28&lt;&gt;"",E31,"")),"")</f>
        <v/>
      </c>
      <c r="H31" s="358" t="str">
        <f>IFERROR(IF(AND(H$28&lt;&gt;"",E31&lt;&gt;"",SUMIFS(SubsidieTabel!$T:$T,SubsidieTabel!$A:$A,$B31)&gt;0),$H$56*D31,IF(AND(H$28&lt;&gt;"",E31&lt;&gt;""),MIN(E31,G31),"")),"")</f>
        <v/>
      </c>
      <c r="I31" s="359" t="str">
        <f t="shared" ca="1" si="4"/>
        <v/>
      </c>
      <c r="J31" s="26" t="str">
        <f t="shared" ca="1" si="5"/>
        <v/>
      </c>
      <c r="K31" s="292"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2"/>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57" t="str">
        <f ca="1">IFERROR(IF(AND(F$28&lt;&gt;""),IF(AND(H32&lt;&gt;"",H32&lt;IFERROR(SUMIFS(SubsidieTabel!$K:$K,SubsidieTabel!$A:$A,$B32,SubsidieTabel!$C:$C,$B$44)/SUMIFS(SubsidieTabel!$K:$K,SubsidieTabel!$C:$C,$B$44)*$D$51*$D32+SUMIFS(SubsidieTabel!$K:$K,SubsidieTabel!$A:$A,$B32,SubsidieTabel!$C:$C,"&lt;&gt;"&amp;$B$44),0)*$D32),H32,SUMIFS(SubsidieTabel!$K:$K,SubsidieTabel!$A:$A,$B32,SubsidieTabel!$C:$C,$B$44)/SUMIFS(SubsidieTabel!$K:$K,SubsidieTabel!$C:$C,$B$44)*$D$51*$D32+SUMIFS(SubsidieTabel!$K:$K,SubsidieTabel!$A:$A,$B32,SubsidieTabel!$C:$C,"&lt;&gt;"&amp;$B$44)*$D32),""),"")</f>
        <v/>
      </c>
      <c r="G32" s="358" t="str">
        <f>IFERROR(IF(AND(G$28&lt;&gt;"",SUMIFS(SubsidieTabel!$R:$R,SubsidieTabel!$A:$A,$B32)&gt;0),H49*D32,IF(G$28&lt;&gt;"",E32,"")),"")</f>
        <v/>
      </c>
      <c r="H32" s="358" t="str">
        <f>IFERROR(IF(AND(H$28&lt;&gt;"",E32&lt;&gt;"",SUMIFS(SubsidieTabel!$T:$T,SubsidieTabel!$A:$A,$B32)&gt;0),$H$56*D32,IF(AND(H$28&lt;&gt;"",E32&lt;&gt;""),MIN(E32,G32),"")),"")</f>
        <v/>
      </c>
      <c r="I32" s="359" t="str">
        <f t="shared" ca="1" si="4"/>
        <v/>
      </c>
      <c r="J32" s="26" t="str">
        <f t="shared" ca="1" si="5"/>
        <v/>
      </c>
      <c r="K32" s="292"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2"/>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57" t="str">
        <f ca="1">IFERROR(IF(AND(F$28&lt;&gt;""),IF(AND(H33&lt;&gt;"",H33&lt;IFERROR(SUMIFS(SubsidieTabel!$K:$K,SubsidieTabel!$A:$A,$B33,SubsidieTabel!$C:$C,$B$44)/SUMIFS(SubsidieTabel!$K:$K,SubsidieTabel!$C:$C,$B$44)*$D$51*$D33+SUMIFS(SubsidieTabel!$K:$K,SubsidieTabel!$A:$A,$B33,SubsidieTabel!$C:$C,"&lt;&gt;"&amp;$B$44),0)*$D33),H33,SUMIFS(SubsidieTabel!$K:$K,SubsidieTabel!$A:$A,$B33,SubsidieTabel!$C:$C,$B$44)/SUMIFS(SubsidieTabel!$K:$K,SubsidieTabel!$C:$C,$B$44)*$D$51*$D33+SUMIFS(SubsidieTabel!$K:$K,SubsidieTabel!$A:$A,$B33,SubsidieTabel!$C:$C,"&lt;&gt;"&amp;$B$44)*$D33),""),"")</f>
        <v/>
      </c>
      <c r="G33" s="358" t="str">
        <f>IFERROR(IF(AND(G$28&lt;&gt;"",SUMIFS(SubsidieTabel!$R:$R,SubsidieTabel!$A:$A,$B33)&gt;0),H50*D33,IF(G$28&lt;&gt;"",E33,"")),"")</f>
        <v/>
      </c>
      <c r="H33" s="358" t="str">
        <f>IFERROR(IF(AND(H$28&lt;&gt;"",E33&lt;&gt;"",SUMIFS(SubsidieTabel!$T:$T,SubsidieTabel!$A:$A,$B33)&gt;0),$H$56*D33,IF(AND(H$28&lt;&gt;"",E33&lt;&gt;""),MIN(E33,G33),"")),"")</f>
        <v/>
      </c>
      <c r="I33" s="359" t="str">
        <f t="shared" ca="1" si="4"/>
        <v/>
      </c>
      <c r="J33" s="26" t="str">
        <f t="shared" ca="1" si="5"/>
        <v/>
      </c>
      <c r="K33" s="292"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2"/>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57" t="str">
        <f ca="1">IFERROR(IF(AND(F$28&lt;&gt;""),IF(AND(H34&lt;&gt;"",H34&lt;IFERROR(SUMIFS(SubsidieTabel!$K:$K,SubsidieTabel!$A:$A,$B34,SubsidieTabel!$C:$C,$B$44)/SUMIFS(SubsidieTabel!$K:$K,SubsidieTabel!$C:$C,$B$44)*$D$51*$D34+SUMIFS(SubsidieTabel!$K:$K,SubsidieTabel!$A:$A,$B34,SubsidieTabel!$C:$C,"&lt;&gt;"&amp;$B$44),0)*$D34),H34,SUMIFS(SubsidieTabel!$K:$K,SubsidieTabel!$A:$A,$B34,SubsidieTabel!$C:$C,$B$44)/SUMIFS(SubsidieTabel!$K:$K,SubsidieTabel!$C:$C,$B$44)*$D$51*$D34+SUMIFS(SubsidieTabel!$K:$K,SubsidieTabel!$A:$A,$B34,SubsidieTabel!$C:$C,"&lt;&gt;"&amp;$B$44)*$D34),""),"")</f>
        <v/>
      </c>
      <c r="G34" s="358" t="str">
        <f>IFERROR(IF(AND(G$28&lt;&gt;"",SUMIFS(SubsidieTabel!$R:$R,SubsidieTabel!$A:$A,$B34)&gt;0),H51*D34,IF(G$28&lt;&gt;"",E34,"")),"")</f>
        <v/>
      </c>
      <c r="H34" s="358" t="str">
        <f>IFERROR(IF(AND(H$28&lt;&gt;"",E34&lt;&gt;"",SUMIFS(SubsidieTabel!$T:$T,SubsidieTabel!$A:$A,$B34)&gt;0),$H$56*D34,IF(AND(H$28&lt;&gt;"",E34&lt;&gt;""),MIN(E34,G34),"")),"")</f>
        <v/>
      </c>
      <c r="I34" s="359" t="str">
        <f t="shared" ca="1" si="4"/>
        <v/>
      </c>
      <c r="J34" s="26" t="str">
        <f t="shared" ca="1" si="5"/>
        <v/>
      </c>
      <c r="K34" s="292"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2"/>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57" t="str">
        <f ca="1">IFERROR(IF(AND(F$28&lt;&gt;""),IF(AND(H35&lt;&gt;"",H35&lt;IFERROR(SUMIFS(SubsidieTabel!$K:$K,SubsidieTabel!$A:$A,$B35,SubsidieTabel!$C:$C,$B$44)/SUMIFS(SubsidieTabel!$K:$K,SubsidieTabel!$C:$C,$B$44)*$D$51*$D35+SUMIFS(SubsidieTabel!$K:$K,SubsidieTabel!$A:$A,$B35,SubsidieTabel!$C:$C,"&lt;&gt;"&amp;$B$44),0)*$D35),H35,SUMIFS(SubsidieTabel!$K:$K,SubsidieTabel!$A:$A,$B35,SubsidieTabel!$C:$C,$B$44)/SUMIFS(SubsidieTabel!$K:$K,SubsidieTabel!$C:$C,$B$44)*$D$51*$D35+SUMIFS(SubsidieTabel!$K:$K,SubsidieTabel!$A:$A,$B35,SubsidieTabel!$C:$C,"&lt;&gt;"&amp;$B$44)*$D35),""),"")</f>
        <v/>
      </c>
      <c r="G35" s="358" t="str">
        <f>IFERROR(IF(AND(G$28&lt;&gt;"",SUMIFS(SubsidieTabel!$R:$R,SubsidieTabel!$A:$A,$B35)&gt;0),H52*D35,IF(G$28&lt;&gt;"",E35,"")),"")</f>
        <v/>
      </c>
      <c r="H35" s="358" t="str">
        <f>IFERROR(IF(AND(H$28&lt;&gt;"",E35&lt;&gt;"",SUMIFS(SubsidieTabel!$T:$T,SubsidieTabel!$A:$A,$B35)&gt;0),$H$56*D35,IF(AND(H$28&lt;&gt;"",E35&lt;&gt;""),MIN(E35,G35),"")),"")</f>
        <v/>
      </c>
      <c r="I35" s="359" t="str">
        <f t="shared" ca="1" si="4"/>
        <v/>
      </c>
      <c r="J35" s="26" t="str">
        <f t="shared" ca="1" si="5"/>
        <v/>
      </c>
      <c r="K35" s="292"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2"/>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57" t="str">
        <f ca="1">IFERROR(IF(AND(F$28&lt;&gt;""),IF(AND(H36&lt;&gt;"",H36&lt;IFERROR(SUMIFS(SubsidieTabel!$K:$K,SubsidieTabel!$A:$A,$B36,SubsidieTabel!$C:$C,$B$44)/SUMIFS(SubsidieTabel!$K:$K,SubsidieTabel!$C:$C,$B$44)*$D$51*$D36+SUMIFS(SubsidieTabel!$K:$K,SubsidieTabel!$A:$A,$B36,SubsidieTabel!$C:$C,"&lt;&gt;"&amp;$B$44),0)*$D36),H36,SUMIFS(SubsidieTabel!$K:$K,SubsidieTabel!$A:$A,$B36,SubsidieTabel!$C:$C,$B$44)/SUMIFS(SubsidieTabel!$K:$K,SubsidieTabel!$C:$C,$B$44)*$D$51*$D36+SUMIFS(SubsidieTabel!$K:$K,SubsidieTabel!$A:$A,$B36,SubsidieTabel!$C:$C,"&lt;&gt;"&amp;$B$44)*$D36),""),"")</f>
        <v/>
      </c>
      <c r="G36" s="358" t="str">
        <f>IFERROR(IF(AND(G$28&lt;&gt;"",SUMIFS(SubsidieTabel!$R:$R,SubsidieTabel!$A:$A,$B36)&gt;0),H53*D36,IF(G$28&lt;&gt;"",E36,"")),"")</f>
        <v/>
      </c>
      <c r="H36" s="358" t="str">
        <f>IFERROR(IF(AND(H$28&lt;&gt;"",E36&lt;&gt;"",SUMIFS(SubsidieTabel!$T:$T,SubsidieTabel!$A:$A,$B36)&gt;0),$H$56*D36,IF(AND(H$28&lt;&gt;"",E36&lt;&gt;""),MIN(E36,G36),"")),"")</f>
        <v/>
      </c>
      <c r="I36" s="359" t="str">
        <f t="shared" ca="1" si="4"/>
        <v/>
      </c>
      <c r="J36" s="26" t="str">
        <f t="shared" ca="1" si="5"/>
        <v/>
      </c>
      <c r="K36" s="292"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2"/>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57" t="str">
        <f ca="1">IFERROR(IF(AND(F$28&lt;&gt;""),IF(AND(H37&lt;&gt;"",H37&lt;IFERROR(SUMIFS(SubsidieTabel!$K:$K,SubsidieTabel!$A:$A,$B37,SubsidieTabel!$C:$C,$B$44)/SUMIFS(SubsidieTabel!$K:$K,SubsidieTabel!$C:$C,$B$44)*$D$51*$D37+SUMIFS(SubsidieTabel!$K:$K,SubsidieTabel!$A:$A,$B37,SubsidieTabel!$C:$C,"&lt;&gt;"&amp;$B$44),0)*$D37),H37,SUMIFS(SubsidieTabel!$K:$K,SubsidieTabel!$A:$A,$B37,SubsidieTabel!$C:$C,$B$44)/SUMIFS(SubsidieTabel!$K:$K,SubsidieTabel!$C:$C,$B$44)*$D$51*$D37+SUMIFS(SubsidieTabel!$K:$K,SubsidieTabel!$A:$A,$B37,SubsidieTabel!$C:$C,"&lt;&gt;"&amp;$B$44)*$D37),""),"")</f>
        <v/>
      </c>
      <c r="G37" s="358" t="str">
        <f>IFERROR(IF(AND(G$28&lt;&gt;"",SUMIFS(SubsidieTabel!$R:$R,SubsidieTabel!$A:$A,$B37)&gt;0),H54*D37,IF(G$28&lt;&gt;"",E37,"")),"")</f>
        <v/>
      </c>
      <c r="H37" s="358" t="str">
        <f>IFERROR(IF(AND(H$28&lt;&gt;"",E37&lt;&gt;"",SUMIFS(SubsidieTabel!$T:$T,SubsidieTabel!$A:$A,$B37)&gt;0),$H$56*D37,IF(AND(H$28&lt;&gt;"",E37&lt;&gt;""),MIN(E37,G37),"")),"")</f>
        <v/>
      </c>
      <c r="I37" s="359" t="str">
        <f t="shared" ca="1" si="4"/>
        <v/>
      </c>
      <c r="J37" s="26" t="str">
        <f t="shared" ca="1" si="5"/>
        <v/>
      </c>
      <c r="K37" s="292" t="str" cm="1">
        <f t="array" ref="K37">IFERROR(IF(SUMIFS(SubsidieTabel!$V:$V,SubsidieTabel!$A:$A,B37)&gt;0,IFERROR(VLOOKUP(Openstelling_Keuze,IF(ISBLANK(Tb_Openstelling[SIG_%]),0,Tb_Openstelling[]),MATCH(Tb_Openstelling[[#Headers],[SIG_%]],Tb_Openstelling[#Headers],0),0),0.25),""),"")</f>
        <v/>
      </c>
    </row>
    <row r="38" spans="2:11" x14ac:dyDescent="0.25">
      <c r="B38" s="372"/>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57" t="str">
        <f ca="1">IFERROR(IF(AND(F$28&lt;&gt;""),IF(AND(H38&lt;&gt;"",H38&lt;IFERROR(SUMIFS(SubsidieTabel!$K:$K,SubsidieTabel!$A:$A,$B38,SubsidieTabel!$C:$C,$B$44)/SUMIFS(SubsidieTabel!$K:$K,SubsidieTabel!$C:$C,$B$44)*$D$51*$D38+SUMIFS(SubsidieTabel!$K:$K,SubsidieTabel!$A:$A,$B38,SubsidieTabel!$C:$C,"&lt;&gt;"&amp;$B$44),0)*$D38),H38,SUMIFS(SubsidieTabel!$K:$K,SubsidieTabel!$A:$A,$B38,SubsidieTabel!$C:$C,$B$44)/SUMIFS(SubsidieTabel!$K:$K,SubsidieTabel!$C:$C,$B$44)*$D$51*$D38+SUMIFS(SubsidieTabel!$K:$K,SubsidieTabel!$A:$A,$B38,SubsidieTabel!$C:$C,"&lt;&gt;"&amp;$B$44)*$D38),""),"")</f>
        <v/>
      </c>
      <c r="G38" s="358" t="str">
        <f>IFERROR(IF(AND(G$28&lt;&gt;"",SUMIFS(SubsidieTabel!$R:$R,SubsidieTabel!$A:$A,$B38)&gt;0),H55*D38,IF(G$28&lt;&gt;"",E38,"")),"")</f>
        <v/>
      </c>
      <c r="H38" s="358" t="str">
        <f>IFERROR(IF(AND(H$28&lt;&gt;"",E38&lt;&gt;"",SUMIFS(SubsidieTabel!$T:$T,SubsidieTabel!$A:$A,$B38)&gt;0),$H$56*D38,IF(AND(H$28&lt;&gt;"",E38&lt;&gt;""),MIN(E38,G38),"")),"")</f>
        <v/>
      </c>
      <c r="I38" s="359" t="str">
        <f t="shared" ca="1" si="4"/>
        <v/>
      </c>
      <c r="J38" s="26" t="str">
        <f t="shared" ca="1" si="5"/>
        <v/>
      </c>
      <c r="K38" s="292"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0" t="str">
        <f ca="1">IF(SUM(F29:F38)&gt;0,FLOOR(SUM(F29:F38),0.01),"")</f>
        <v/>
      </c>
      <c r="G39" s="360" t="str">
        <f ca="1">IF(SUM(G29:G38)&gt;0,SUM(G29:G38),"")</f>
        <v/>
      </c>
      <c r="H39" s="360" t="str">
        <f ca="1">IF(SUM(H29:H38)&gt;0,SUM(H29:H38),"")</f>
        <v/>
      </c>
      <c r="I39" s="360" t="str">
        <f ca="1">IF(SUM(I29:I38)&gt;0,FLOOR(SUM(I29:I38),0.01),"")</f>
        <v/>
      </c>
      <c r="J39" s="361"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2" t="str">
        <f ca="1">IFERROR(AVERAGEIF($K$29:$K$38,"&lt;&gt;""",$K$29:$K$38),"")</f>
        <v/>
      </c>
    </row>
    <row r="40" spans="2:11" s="26" customFormat="1" ht="15" customHeight="1" x14ac:dyDescent="0.25">
      <c r="D40" s="108" t="s">
        <v>131</v>
      </c>
      <c r="E40" s="89">
        <f ca="1">IFERROR(FLOOR(SUMPRODUCT(D29:D38,C29:C38),0.01),0)</f>
        <v>0</v>
      </c>
      <c r="F40" s="81"/>
      <c r="I40" s="294" t="str">
        <f ca="1">IF(I39&lt;&gt;"",IF(ROUND(I39,2)&lt;ROUND(MIN(E40,F39),2),"Verlaging op activiteitniveau kan door afrondingsverschillen afwijken van het totaalbedrag van de verlaging.",""),"")</f>
        <v/>
      </c>
    </row>
    <row r="41" spans="2:11" s="26" customFormat="1" ht="15" customHeight="1" x14ac:dyDescent="0.25">
      <c r="D41" s="109" t="s">
        <v>132</v>
      </c>
      <c r="E41" s="42">
        <f ca="1">FLOOR(MIN(C55,C57,F39,G39,H39,I39),0.01)</f>
        <v>0</v>
      </c>
      <c r="F41" s="293"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0"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53" t="s">
        <v>11</v>
      </c>
      <c r="C44" s="454"/>
      <c r="D44" s="454"/>
      <c r="E44" s="455"/>
      <c r="F44" s="432" t="str">
        <f>IF(H45&lt;&gt;"","Onderhoud","")</f>
        <v/>
      </c>
      <c r="G44" s="433"/>
      <c r="H44" s="433"/>
      <c r="I44" s="25"/>
      <c r="J44" s="25"/>
    </row>
    <row r="45" spans="2:11" ht="31.5" customHeight="1" x14ac:dyDescent="0.25">
      <c r="B45" s="201" t="str">
        <f>IF(H55&lt;&gt;"","Aandeel grondkosten in totale projectkosten (inclusief aftopping samenwerking)","Aandeel grondkosten in totale projectkosten")</f>
        <v>Aandeel grondkosten in totale projectkosten</v>
      </c>
      <c r="C45" s="213">
        <f ca="1">IFERROR(SUMIF(B11:C21,B44,C11:C21)/IF(I55&lt;&gt;"",C22+I55,C22),0)</f>
        <v>0</v>
      </c>
      <c r="D45" s="456" t="str" cm="1">
        <f t="array" aca="1" ref="D45" ca="1">IF(C45&gt;0,"Maximaal "&amp; IFERROR(VLOOKUP(Openstelling_Keuze,IF(ISBLANK(Tb_Openstelling[Grond_%]),0,Tb_Openstelling[]),MATCH(Tb_Openstelling[[#Headers],[Grond_%]],Tb_Openstelling[#Headers],0),0)*100,10) &amp; "% van de subsidiabele kosten mag bestaan uit grondkosten.","")</f>
        <v/>
      </c>
      <c r="E45" s="457"/>
      <c r="F45" s="434" t="str">
        <f>IF($F$44&lt;&gt;"","Aandeel onderhoudskosten over totale investeringen","")</f>
        <v/>
      </c>
      <c r="G45" s="435"/>
      <c r="H45" s="288"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3" t="s">
        <v>63</v>
      </c>
      <c r="C46" s="204" cm="1">
        <f t="array" aca="1" ref="C46" ca="1">IF(C45&gt;IFERROR(VLOOKUP(Openstelling_Keuze,IF(ISBLANK(Tb_Openstelling[Grond_%]),0,Tb_Openstelling[]),MATCH(Tb_Openstelling[[#Headers],[Grond_%]],Tb_Openstelling[#Headers],0),0),0.1),FLOOR((IF(I55&lt;&gt;"",SUM(C22,IF(I55&lt;&gt;"",I55,0)),C22)-SUMIF(B11:C21,B44,C11:C21))/(10-IFERROR(VLOOKUP(Openstelling_Keuze,IF(ISBLANK(Tb_Openstelling[Grond_%]),0,Tb_Openstelling[]),MATCH(Tb_Openstelling[[#Headers],[Grond_%]],Tb_Openstelling[#Headers],0)*10,0),1)),0.01),SUMIF(B11:C21,B44,C11:C21))</f>
        <v>0</v>
      </c>
      <c r="D46" s="205">
        <f ca="1">IFERROR(SUMIF(B11:C21,B44,C11:C21)*($C46/SUMIF(B11:C21,B44,C11:C21)),SUMIF(B11:C21,B44,C11:C21))</f>
        <v>0</v>
      </c>
      <c r="E46" s="206"/>
      <c r="F46" s="434" t="str">
        <f>IF($F$44&lt;&gt;"","Bedrag onderhoud waarover subsidie verstrekt kan worden","")</f>
        <v/>
      </c>
      <c r="G46" s="435"/>
      <c r="H46" s="269"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2"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25">
      <c r="B47" s="203" t="s">
        <v>64</v>
      </c>
      <c r="C47" s="204" cm="1">
        <f t="array" aca="1" ref="C47" ca="1">IF(C45&lt;&gt;0,IF($C$45&gt;IFERROR(VLOOKUP(Openstelling_Keuze,IF(ISBLANK(Tb_Openstelling[Grond_%]),0,Tb_Openstelling[]),MATCH(Tb_Openstelling[[#Headers],[Grond_%]],Tb_Openstelling[#Headers],0),0),0.1),SUM(D47:D47),SUM(C22,IF(I55&lt;&gt;"",I55,0))),0)</f>
        <v>0</v>
      </c>
      <c r="D47" s="205" cm="1">
        <f t="array" aca="1" ref="D47" ca="1">IF(C45&lt;&gt;0,IF($C$45&gt;IFERROR(VLOOKUP(Openstelling_Keuze,IF(ISBLANK(Tb_Openstelling[Grond_%]),0,Tb_Openstelling[]),MATCH(Tb_Openstelling[[#Headers],[Grond_%]],Tb_Openstelling[#Headers],0),0),0.1),IF(I55&lt;&gt;"",C22+IF(I55&lt;&gt;"",I55,0),$C$22)-SUMIF(B11:C21,B44,C11:C21)+D46,C22),0)</f>
        <v>0</v>
      </c>
      <c r="E47" s="206"/>
      <c r="F47" s="434" t="str">
        <f>IF($F$44&lt;&gt;"","Aftopping onderhoudskosten","")</f>
        <v/>
      </c>
      <c r="G47" s="435"/>
      <c r="H47" s="269" t="str">
        <f>IF(F44&lt;&gt;"",IF(AND(SUM(SubsidieTabel!$R:$R)&lt;H46,SUM(SubsidieTabel!$R:$R)&lt;&gt;0),SUM(SubsidieTabel!$R:$R),H48-SUM(SubsidieTabel!$R:$R)),"")</f>
        <v/>
      </c>
      <c r="I47" s="222"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25">
      <c r="B48" s="203" t="s">
        <v>65</v>
      </c>
      <c r="C48" s="204">
        <f ca="1">SUM(D48:D48)</f>
        <v>0</v>
      </c>
      <c r="D48" s="205" cm="1">
        <f t="array" aca="1" ref="D48" ca="1">_xlfn.IFS(D47=0,0,OR(Methode_Keuze="Geen vereenvoudigde kostenoptie",Methode_Keuze=""),"",Methode_Keuze="Vereenvoudigde kostenoptie voor arbeidskosten",D47*0.23,Methode_Keuze="Vereenvoudigde kostenoptie voor overige kosten",D47*0.4)</f>
        <v>0</v>
      </c>
      <c r="E48" s="206"/>
      <c r="F48" s="434" t="str">
        <f>IF($F$44&lt;&gt;"","Maximaal bedrag onderhoudskosten","")</f>
        <v/>
      </c>
      <c r="G48" s="435"/>
      <c r="H48" s="269" t="str">
        <f>IF($F$44&lt;&gt;"",IF(AND(SUM(SubsidieTabel!$R:$R)&lt;H46,SUM(SubsidieTabel!$R:$R)&lt;&gt;0),SUM(SubsidieTabel!$R:$R),H46),"")</f>
        <v/>
      </c>
      <c r="I48" s="222" t="str">
        <f>IF(F44&lt;&gt;"",IF(AND(SUM(SubsidieTabel!$R:$R)&lt;H46,SUM(SubsidieTabel!$R:$R)&lt;&gt;0),SUM(SUM(SubsidieTabel!$R:$R),-SUM(SubsidieTabel!$X:$X)),I48-SUM(SUM(SubsidieTabel!$R:$R),-SUM(SubsidieTabel!$X:$X))),"")</f>
        <v/>
      </c>
      <c r="J48" s="26"/>
    </row>
    <row r="49" spans="2:15" ht="15" customHeight="1" x14ac:dyDescent="0.25">
      <c r="B49" s="203" t="s">
        <v>66</v>
      </c>
      <c r="C49" s="204">
        <f ca="1">ROUND(SUM(C47:C48),2)</f>
        <v>0</v>
      </c>
      <c r="D49" s="205">
        <f ca="1">SUM(D47:D48)</f>
        <v>0</v>
      </c>
      <c r="E49" s="206"/>
      <c r="F49" s="434" t="str">
        <f>IF($F$44&lt;&gt;"","Totaal projectkosten met maximaal aandeel onderhoudskosten","")</f>
        <v/>
      </c>
      <c r="G49" s="435"/>
      <c r="H49" s="269" t="str">
        <f>IF($F$44&lt;&gt;"",SUM(SubsidieTabel!$K:$K)+IF(H47&lt;&gt;"",H47,0),"")</f>
        <v/>
      </c>
      <c r="I49" s="222" t="str">
        <f>IF($F$44&lt;&gt;"",IF(AND(SUM(SubsidieTabel!$R:$R)&lt;H46,SUM(SubsidieTabel!$R:$R)&lt;&gt;0),SUM(SUM(SubsidieTabel!$R:$R),-SUM(SubsidieTabel!$X:$X)),I46),"")</f>
        <v/>
      </c>
      <c r="J49" s="26"/>
    </row>
    <row r="50" spans="2:15" ht="15" customHeight="1" x14ac:dyDescent="0.25">
      <c r="B50" s="203" t="s">
        <v>229</v>
      </c>
      <c r="C50" s="204">
        <f ca="1">SUM(D50:D50)</f>
        <v>0</v>
      </c>
      <c r="D50" s="205" t="str">
        <f ca="1">IFERROR(IF(F39&lt;&gt;"",F39,""),"")</f>
        <v/>
      </c>
      <c r="E50" s="206"/>
      <c r="I50" s="222" t="str">
        <f>IF($F$44&lt;&gt;"",SUM(SubsidieTabel!$K:$K)-SUM(SubsidieTabel!$I:$I)+IF(I47&lt;&gt;"",I47,0),"")</f>
        <v/>
      </c>
    </row>
    <row r="51" spans="2:15" ht="4.5" customHeight="1" x14ac:dyDescent="0.25">
      <c r="B51" s="203"/>
      <c r="C51" s="204"/>
      <c r="D51" s="375" cm="1">
        <f t="array" aca="1" ref="D51" ca="1">IFERROR(_xlfn.IFS(OR(D46=0,D46=""),0,OR(Methode_Keuze="Geen vereenvoudigde kostenoptie",Methode_Keuze=""),D46,Methode_Keuze="Vereenvoudigde kostenoptie voor arbeidskosten",D46*1.23,Methode_Keuze="Vereenvoudigde kostenoptie voor overige kosten",D46*1.4),0)</f>
        <v>0</v>
      </c>
      <c r="E51" s="206"/>
      <c r="F51" s="27"/>
      <c r="G51" s="27"/>
      <c r="H51" s="27"/>
      <c r="I51" s="27"/>
      <c r="J51" s="27"/>
    </row>
    <row r="52" spans="2:15" ht="15" customHeight="1" x14ac:dyDescent="0.25">
      <c r="B52" s="449" t="s">
        <v>127</v>
      </c>
      <c r="C52" s="450"/>
      <c r="D52" s="450"/>
      <c r="E52" s="451"/>
      <c r="F52" s="432" t="str">
        <f>IF(H53&lt;&gt;"","Samenwerking","")</f>
        <v/>
      </c>
      <c r="G52" s="433"/>
      <c r="H52" s="433"/>
      <c r="K52" s="27"/>
      <c r="L52" s="27"/>
      <c r="M52" s="27"/>
      <c r="N52" s="27"/>
      <c r="O52" s="27"/>
    </row>
    <row r="53" spans="2:15" ht="15" customHeight="1" x14ac:dyDescent="0.25">
      <c r="B53" s="208" t="s">
        <v>69</v>
      </c>
      <c r="C53" s="200">
        <f ca="1">IF(C50&gt;0,0-(C50-C55),0-(E40-C55))</f>
        <v>0</v>
      </c>
      <c r="D53" s="440"/>
      <c r="E53" s="441"/>
      <c r="F53" s="434" t="str">
        <f>IF($F$52&lt;&gt;"","Aandeel samenwerkingskosten over totale projectkosten","")</f>
        <v/>
      </c>
      <c r="G53" s="435"/>
      <c r="H53" s="288"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08" t="s">
        <v>183</v>
      </c>
      <c r="C54" s="200">
        <f ca="1">IF(AND(C53&lt;0,C53&lt;&gt;"",C50&gt;0),MIN(C49*0.5,SUMIFS(SubsidieTabel!$G:$G,SubsidieTabel!$C:$C,"=Bijdrage*")),MIN(Beoord_Totaal_Project-SUMIFS(SubsidieTabel!$G:$G,SubsidieTabel!$C:$C,"=Bijdrage*"),SUMIFS(SubsidieTabel!$G:$G,SubsidieTabel!$C:$C,"=Bijdrage*")))</f>
        <v>0</v>
      </c>
      <c r="D54" s="196"/>
      <c r="E54" s="197"/>
      <c r="F54" s="434" t="str">
        <f>IF($F$52&lt;&gt;"","Bedrag samenwerking waarover subsidie verstrekt kan worden","")</f>
        <v/>
      </c>
      <c r="G54" s="435"/>
      <c r="H54" s="269"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2"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08" t="s">
        <v>367</v>
      </c>
      <c r="C55" s="200">
        <f ca="1">IF(C50&lt;&gt;0,FLOOR(MIN(C50,C49-SUMIFS(SubsidieTabel!$G:$G,SubsidieTabel!$C:$C,"=Bijdrage*")),0.01),FLOOR(MIN(E40,C24-SUMIFS(SubsidieTabel!$G:$G,SubsidieTabel!$C:$C,"=Bijdrage*")),0.01))</f>
        <v>0</v>
      </c>
      <c r="D55" s="440" t="str">
        <f ca="1">IF(AND(C55&lt;E40,C53&lt;0),"Het subsidiebedrag mag niet meer bedragen dan de projectkosten minus de bijdrage in natura.","")</f>
        <v/>
      </c>
      <c r="E55" s="441"/>
      <c r="F55" s="434" t="str">
        <f>IF($F$52&lt;&gt;"","Aftopping samenwerkingskosten","")</f>
        <v/>
      </c>
      <c r="G55" s="435"/>
      <c r="H55" s="289" t="str">
        <f>IF($F$52&lt;&gt;"",IF(H56-SUM(SubsidieTabel!$T:$T)&lt;0,H56-SUM(SubsidieTabel!$T:$T),""),"")</f>
        <v/>
      </c>
      <c r="I55" s="222" t="str">
        <f>IF($F$52&lt;&gt;"",IF(H56-SUM(SubsidieTabel!$T:$T)&lt;0,I56-SUM(SubsidieTabel!$T:$T)+SUM(SubsidieTabel!$Z:$Z),""),"")</f>
        <v/>
      </c>
    </row>
    <row r="56" spans="2:15" ht="15" customHeight="1" x14ac:dyDescent="0.25">
      <c r="B56" s="209"/>
      <c r="C56" s="210"/>
      <c r="D56" s="211"/>
      <c r="E56" s="212"/>
      <c r="F56" s="434" t="str">
        <f>IF($F$52&lt;&gt;"","Maximaal bedrag samenwerkingskosten","")</f>
        <v/>
      </c>
      <c r="G56" s="435"/>
      <c r="H56" s="269" t="str">
        <f>IF($F$52&lt;&gt;"",IF(AND(SUM(SubsidieTabel!$T:$T)&lt;H54,SUM(SubsidieTabel!$T:$T)&lt;&gt;0),SUM(SubsidieTabel!$T:$T),H54),"")</f>
        <v/>
      </c>
      <c r="I56" s="222" t="str">
        <f>IF($F$52&lt;&gt;"",IF(AND(SUM(SubsidieTabel!$T:$T)&lt;H54,SUM(SubsidieTabel!$T:$T)&lt;&gt;0),SUM(SubsidieTabel!$T:$T)-SUM(SubsidieTabel!$Z:$Z),I54),"")</f>
        <v/>
      </c>
    </row>
    <row r="57" spans="2:15" ht="37.5" customHeight="1" x14ac:dyDescent="0.25">
      <c r="B57" s="199" t="s">
        <v>15</v>
      </c>
      <c r="C57" s="200" cm="1">
        <f t="array" aca="1" ref="C57" ca="1">_xlfn.IFS(C55&lt;Min_Subsidie_Open,0,AND(Lijsten!AE2&lt;&gt;0,C55&gt;=Max_Subsidie_Open),FLOOR(Max_Subsidie_Open,0.01),AND(Max_Subsidie_Open&lt;&gt;0,C55&gt;=Min_Subsidie_Open,C55&lt;Max_Subsidie_Open),FLOOR(MIN(E40,C55,F39,G39,H39,I39),0.01),Max_Subsidie_Open&lt;=0,C55)</f>
        <v>0</v>
      </c>
      <c r="D57" s="440"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
      </c>
      <c r="E57" s="441"/>
      <c r="F57" s="434" t="str">
        <f>IF($F$52&lt;&gt;"","Totaal projectkosten met maximaal aandeel samenwerkingskosten","")</f>
        <v/>
      </c>
      <c r="G57" s="435"/>
      <c r="H57" s="289" t="str">
        <f>IF($F$52&lt;&gt;"",MIN(H49,Beoord_Totaal_Project)+IF(H55&lt;&gt;"",H55,0),"")</f>
        <v/>
      </c>
      <c r="I57" s="222" t="str">
        <f>IF($F$52&lt;&gt;"",MIN(I49,$C$22)+IF(H55&lt;&gt;"",I55,0),"")</f>
        <v/>
      </c>
    </row>
  </sheetData>
  <sheetProtection algorithmName="SHA-512" hashValue="Aq9ooe0cNgD30b8UeyUJPlrndlYgdwUugEfyXs1pD4PipdRgPC/bixQQAEEo3gdHZJ8ZtDUeRLtCr5Ss9tCQWQ==" saltValue="w9hqOPJrMqm2ouguI1/9AA=="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4" t="s">
        <v>546</v>
      </c>
    </row>
    <row r="2" spans="1:16" x14ac:dyDescent="0.25">
      <c r="A2" s="225"/>
    </row>
    <row r="3" spans="1:16" x14ac:dyDescent="0.25">
      <c r="A3" s="224" t="s">
        <v>259</v>
      </c>
    </row>
    <row r="4" spans="1:16" x14ac:dyDescent="0.25">
      <c r="A4" s="227" t="s">
        <v>418</v>
      </c>
    </row>
    <row r="5" spans="1:16" x14ac:dyDescent="0.25">
      <c r="A5" s="227" t="s">
        <v>419</v>
      </c>
    </row>
    <row r="6" spans="1:16" x14ac:dyDescent="0.25">
      <c r="A6" s="227" t="s">
        <v>420</v>
      </c>
    </row>
    <row r="7" spans="1:16" x14ac:dyDescent="0.25">
      <c r="A7" s="227" t="s">
        <v>421</v>
      </c>
    </row>
    <row r="8" spans="1:16" x14ac:dyDescent="0.25">
      <c r="A8" s="227" t="s">
        <v>422</v>
      </c>
    </row>
    <row r="9" spans="1:16" x14ac:dyDescent="0.25">
      <c r="A9" s="225"/>
    </row>
    <row r="10" spans="1:16" x14ac:dyDescent="0.25">
      <c r="A10" s="226" t="s">
        <v>260</v>
      </c>
      <c r="B10" s="16"/>
      <c r="C10" s="16"/>
      <c r="D10" s="16"/>
      <c r="E10" s="16"/>
      <c r="F10" s="16"/>
      <c r="G10" s="16"/>
      <c r="H10" s="16"/>
      <c r="I10" s="16"/>
      <c r="J10" s="16"/>
      <c r="K10" s="16"/>
      <c r="L10" s="16"/>
      <c r="M10" s="16"/>
      <c r="N10" s="16"/>
      <c r="O10" s="16"/>
      <c r="P10" s="16"/>
    </row>
    <row r="11" spans="1:16" x14ac:dyDescent="0.25">
      <c r="A11" s="227" t="s">
        <v>346</v>
      </c>
      <c r="B11" s="16"/>
      <c r="C11" s="16"/>
      <c r="D11" s="16"/>
      <c r="E11" s="16"/>
      <c r="F11" s="16"/>
      <c r="G11" s="16"/>
      <c r="H11" s="16"/>
      <c r="I11" s="16"/>
      <c r="J11" s="16"/>
      <c r="K11" s="16"/>
      <c r="L11" s="16"/>
      <c r="M11" s="16"/>
      <c r="N11" s="16"/>
      <c r="O11" s="16"/>
      <c r="P11" s="16"/>
    </row>
    <row r="12" spans="1:16" x14ac:dyDescent="0.25">
      <c r="A12" s="227" t="s">
        <v>423</v>
      </c>
      <c r="B12" s="16"/>
      <c r="C12" s="16"/>
      <c r="D12" s="16"/>
      <c r="E12" s="16"/>
      <c r="F12" s="16"/>
      <c r="G12" s="16"/>
      <c r="H12" s="16"/>
      <c r="I12" s="16"/>
      <c r="J12" s="16"/>
      <c r="K12" s="16"/>
      <c r="L12" s="16"/>
      <c r="M12" s="16"/>
      <c r="N12" s="16"/>
      <c r="O12" s="16"/>
      <c r="P12" s="16"/>
    </row>
    <row r="13" spans="1:16" x14ac:dyDescent="0.25">
      <c r="A13" s="227" t="s">
        <v>424</v>
      </c>
      <c r="B13" s="16"/>
      <c r="C13" s="16"/>
      <c r="D13" s="16"/>
      <c r="E13" s="16"/>
      <c r="F13" s="16"/>
      <c r="G13" s="16"/>
      <c r="H13" s="16"/>
      <c r="I13" s="16"/>
      <c r="J13" s="16"/>
      <c r="K13" s="16"/>
      <c r="L13" s="16"/>
      <c r="M13" s="16"/>
      <c r="N13" s="16"/>
      <c r="O13" s="16"/>
      <c r="P13" s="16"/>
    </row>
    <row r="14" spans="1:16" x14ac:dyDescent="0.25">
      <c r="A14" s="227"/>
      <c r="B14" s="16"/>
      <c r="C14" s="16"/>
      <c r="D14" s="16"/>
      <c r="E14" s="16"/>
      <c r="F14" s="16"/>
      <c r="G14" s="16"/>
      <c r="H14" s="16"/>
      <c r="I14" s="16"/>
      <c r="J14" s="16"/>
      <c r="K14" s="16"/>
      <c r="L14" s="16"/>
      <c r="M14" s="16"/>
      <c r="N14" s="16"/>
      <c r="O14" s="16"/>
      <c r="P14" s="16"/>
    </row>
    <row r="15" spans="1:16" x14ac:dyDescent="0.25">
      <c r="A15" s="227" t="s">
        <v>425</v>
      </c>
      <c r="B15" s="16"/>
      <c r="C15" s="16"/>
      <c r="D15" s="16"/>
      <c r="E15" s="16"/>
      <c r="F15" s="16"/>
      <c r="G15" s="16"/>
      <c r="H15" s="16"/>
      <c r="I15" s="16"/>
      <c r="J15" s="16"/>
      <c r="K15" s="16"/>
      <c r="L15" s="16"/>
      <c r="M15" s="16"/>
      <c r="N15" s="16"/>
      <c r="O15" s="16"/>
      <c r="P15" s="16"/>
    </row>
    <row r="16" spans="1:16" x14ac:dyDescent="0.25">
      <c r="A16" s="227" t="s">
        <v>347</v>
      </c>
      <c r="B16" s="16"/>
      <c r="C16" s="16"/>
      <c r="D16" s="16"/>
      <c r="E16" s="16"/>
      <c r="F16" s="16"/>
      <c r="G16" s="16"/>
      <c r="H16" s="16"/>
      <c r="I16" s="16"/>
      <c r="J16" s="16"/>
      <c r="K16" s="16"/>
      <c r="L16" s="16"/>
      <c r="M16" s="16"/>
      <c r="N16" s="16"/>
      <c r="O16" s="16"/>
      <c r="P16" s="16"/>
    </row>
    <row r="17" spans="1:16" x14ac:dyDescent="0.25">
      <c r="A17" s="227" t="s">
        <v>426</v>
      </c>
      <c r="B17" s="16"/>
      <c r="C17" s="16"/>
      <c r="D17" s="16"/>
      <c r="E17" s="16"/>
      <c r="F17" s="16"/>
      <c r="G17" s="16"/>
      <c r="H17" s="16"/>
      <c r="I17" s="16"/>
      <c r="J17" s="16"/>
      <c r="K17" s="16"/>
      <c r="L17" s="16"/>
      <c r="M17" s="16"/>
      <c r="N17" s="16"/>
      <c r="O17" s="16"/>
      <c r="P17" s="16"/>
    </row>
    <row r="18" spans="1:16" x14ac:dyDescent="0.25">
      <c r="A18" s="227" t="s">
        <v>261</v>
      </c>
      <c r="B18" s="16"/>
      <c r="C18" s="16"/>
      <c r="D18" s="16"/>
      <c r="E18" s="16"/>
      <c r="F18" s="16"/>
      <c r="G18" s="16"/>
      <c r="H18" s="16"/>
      <c r="I18" s="16"/>
      <c r="J18" s="16"/>
      <c r="K18" s="16"/>
      <c r="L18" s="16"/>
      <c r="M18" s="16"/>
      <c r="N18" s="16"/>
      <c r="O18" s="16"/>
      <c r="P18" s="16"/>
    </row>
    <row r="19" spans="1:16" x14ac:dyDescent="0.25">
      <c r="A19" s="227" t="s">
        <v>348</v>
      </c>
      <c r="B19" s="16"/>
      <c r="C19" s="16"/>
      <c r="D19" s="16"/>
      <c r="E19" s="16"/>
      <c r="F19" s="16"/>
      <c r="G19" s="16"/>
      <c r="H19" s="16"/>
      <c r="I19" s="16"/>
      <c r="J19" s="16"/>
      <c r="K19" s="16"/>
      <c r="L19" s="16"/>
      <c r="M19" s="16"/>
      <c r="N19" s="16"/>
      <c r="O19" s="16"/>
      <c r="P19" s="16"/>
    </row>
    <row r="20" spans="1:16" x14ac:dyDescent="0.25">
      <c r="A20" s="227" t="s">
        <v>262</v>
      </c>
    </row>
    <row r="21" spans="1:16" x14ac:dyDescent="0.25">
      <c r="A21" s="225"/>
    </row>
    <row r="22" spans="1:16" x14ac:dyDescent="0.25">
      <c r="A22" s="226" t="s">
        <v>263</v>
      </c>
    </row>
    <row r="23" spans="1:16" x14ac:dyDescent="0.25">
      <c r="A23" s="227" t="s">
        <v>427</v>
      </c>
    </row>
    <row r="24" spans="1:16" x14ac:dyDescent="0.25">
      <c r="A24" s="227" t="s">
        <v>428</v>
      </c>
    </row>
    <row r="25" spans="1:16" x14ac:dyDescent="0.25">
      <c r="A25" s="227" t="s">
        <v>264</v>
      </c>
    </row>
    <row r="26" spans="1:16" x14ac:dyDescent="0.25">
      <c r="A26" s="227" t="s">
        <v>429</v>
      </c>
    </row>
    <row r="27" spans="1:16" x14ac:dyDescent="0.25">
      <c r="A27" s="227" t="s">
        <v>430</v>
      </c>
    </row>
    <row r="28" spans="1:16" x14ac:dyDescent="0.25">
      <c r="A28" s="227" t="s">
        <v>431</v>
      </c>
    </row>
    <row r="29" spans="1:16" x14ac:dyDescent="0.25">
      <c r="A29" s="227" t="s">
        <v>265</v>
      </c>
    </row>
    <row r="30" spans="1:16" x14ac:dyDescent="0.25">
      <c r="A30" s="227" t="s">
        <v>432</v>
      </c>
    </row>
    <row r="31" spans="1:16" x14ac:dyDescent="0.25">
      <c r="A31" s="225"/>
    </row>
    <row r="32" spans="1:16" x14ac:dyDescent="0.25">
      <c r="A32" s="226" t="s">
        <v>266</v>
      </c>
    </row>
    <row r="33" spans="1:7" x14ac:dyDescent="0.25">
      <c r="A33" s="227" t="s">
        <v>433</v>
      </c>
    </row>
    <row r="34" spans="1:7" x14ac:dyDescent="0.25">
      <c r="A34" s="227" t="s">
        <v>434</v>
      </c>
    </row>
    <row r="35" spans="1:7" x14ac:dyDescent="0.25">
      <c r="A35" s="227" t="s">
        <v>267</v>
      </c>
    </row>
    <row r="36" spans="1:7" x14ac:dyDescent="0.25">
      <c r="A36" s="227"/>
    </row>
    <row r="37" spans="1:7" x14ac:dyDescent="0.25">
      <c r="A37" s="227" t="s">
        <v>268</v>
      </c>
    </row>
    <row r="38" spans="1:7" x14ac:dyDescent="0.25">
      <c r="A38" s="297"/>
    </row>
    <row r="39" spans="1:7" x14ac:dyDescent="0.25">
      <c r="A39" s="227" t="s">
        <v>269</v>
      </c>
    </row>
    <row r="40" spans="1:7" x14ac:dyDescent="0.25">
      <c r="A40" s="227" t="s">
        <v>270</v>
      </c>
    </row>
    <row r="41" spans="1:7" x14ac:dyDescent="0.25">
      <c r="A41" s="227" t="s">
        <v>271</v>
      </c>
    </row>
    <row r="42" spans="1:7" x14ac:dyDescent="0.25">
      <c r="A42" s="227" t="s">
        <v>272</v>
      </c>
    </row>
    <row r="43" spans="1:7" x14ac:dyDescent="0.25">
      <c r="A43" s="227" t="s">
        <v>273</v>
      </c>
    </row>
    <row r="44" spans="1:7" x14ac:dyDescent="0.25">
      <c r="A44" s="227"/>
    </row>
    <row r="45" spans="1:7" x14ac:dyDescent="0.25">
      <c r="A45" s="227" t="s">
        <v>435</v>
      </c>
      <c r="G45" s="16"/>
    </row>
    <row r="46" spans="1:7" x14ac:dyDescent="0.25">
      <c r="A46" s="227"/>
    </row>
    <row r="47" spans="1:7" x14ac:dyDescent="0.25">
      <c r="A47" s="227" t="s">
        <v>436</v>
      </c>
    </row>
    <row r="48" spans="1:7" x14ac:dyDescent="0.25">
      <c r="A48" s="225"/>
    </row>
    <row r="49" spans="1:22" x14ac:dyDescent="0.25">
      <c r="A49" s="226" t="s">
        <v>274</v>
      </c>
      <c r="B49" s="16"/>
      <c r="C49" s="16"/>
      <c r="D49" s="16"/>
      <c r="E49" s="16"/>
      <c r="F49" s="16"/>
      <c r="G49" s="16"/>
      <c r="H49" s="16"/>
      <c r="I49" s="295"/>
      <c r="J49" s="295"/>
      <c r="K49" s="295"/>
      <c r="L49" s="295"/>
      <c r="M49" s="295"/>
      <c r="N49" s="295"/>
      <c r="O49" s="295"/>
      <c r="P49" s="295"/>
      <c r="Q49" s="295"/>
      <c r="R49" s="295"/>
      <c r="S49" s="295"/>
      <c r="T49" s="165"/>
      <c r="U49" s="165"/>
      <c r="V49" s="165"/>
    </row>
    <row r="50" spans="1:22" x14ac:dyDescent="0.25">
      <c r="A50" s="227" t="s">
        <v>437</v>
      </c>
      <c r="B50" s="16"/>
      <c r="C50" s="16"/>
      <c r="D50" s="16"/>
      <c r="E50" s="16"/>
      <c r="F50" s="16"/>
      <c r="G50" s="16"/>
      <c r="H50" s="16"/>
      <c r="I50" s="16"/>
      <c r="J50" s="16"/>
      <c r="K50" s="16"/>
      <c r="L50" s="16"/>
      <c r="M50" s="16"/>
      <c r="N50" s="16"/>
      <c r="O50" s="16"/>
      <c r="P50" s="16"/>
      <c r="Q50" s="16"/>
      <c r="R50" s="16"/>
      <c r="S50" s="16"/>
    </row>
    <row r="51" spans="1:22" x14ac:dyDescent="0.25">
      <c r="A51" s="227" t="s">
        <v>349</v>
      </c>
      <c r="B51" s="16"/>
      <c r="C51" s="16"/>
      <c r="D51" s="16"/>
      <c r="E51" s="16"/>
      <c r="F51" s="16"/>
      <c r="G51" s="16"/>
      <c r="H51" s="16"/>
      <c r="I51" s="16"/>
      <c r="J51" s="16"/>
      <c r="K51" s="16"/>
      <c r="L51" s="16"/>
      <c r="M51" s="16"/>
      <c r="N51" s="16"/>
      <c r="O51" s="16"/>
      <c r="P51" s="16"/>
      <c r="Q51" s="16"/>
      <c r="R51" s="16"/>
      <c r="S51" s="16"/>
    </row>
    <row r="52" spans="1:22" x14ac:dyDescent="0.25">
      <c r="A52" s="227" t="s">
        <v>275</v>
      </c>
      <c r="B52" s="16"/>
      <c r="C52" s="16"/>
      <c r="D52" s="16"/>
      <c r="E52" s="16"/>
      <c r="F52" s="16"/>
      <c r="G52" s="16"/>
      <c r="H52" s="16"/>
      <c r="I52" s="16"/>
      <c r="J52" s="16"/>
      <c r="K52" s="16"/>
      <c r="L52" s="16"/>
      <c r="M52" s="16"/>
      <c r="N52" s="16"/>
      <c r="O52" s="16"/>
      <c r="P52" s="16"/>
      <c r="Q52" s="16"/>
      <c r="R52" s="16"/>
      <c r="S52" s="16"/>
    </row>
    <row r="53" spans="1:22" x14ac:dyDescent="0.25">
      <c r="A53" s="227" t="s">
        <v>438</v>
      </c>
      <c r="B53" s="16"/>
      <c r="C53" s="16"/>
      <c r="D53" s="16"/>
      <c r="E53" s="16"/>
      <c r="F53" s="16"/>
      <c r="G53" s="16"/>
      <c r="H53" s="16"/>
      <c r="I53" s="16"/>
      <c r="J53" s="16"/>
      <c r="K53" s="16"/>
      <c r="L53" s="16"/>
      <c r="M53" s="16"/>
      <c r="N53" s="16"/>
      <c r="O53" s="16"/>
      <c r="P53" s="16"/>
      <c r="Q53" s="16"/>
      <c r="R53" s="16"/>
      <c r="S53" s="16"/>
    </row>
    <row r="54" spans="1:22" x14ac:dyDescent="0.25">
      <c r="A54" s="225"/>
      <c r="B54" s="16"/>
      <c r="C54" s="16"/>
      <c r="D54" s="16"/>
      <c r="E54" s="16"/>
      <c r="F54" s="16"/>
      <c r="G54" s="16"/>
      <c r="H54" s="16"/>
      <c r="I54" s="16"/>
      <c r="J54" s="16"/>
      <c r="K54" s="16"/>
      <c r="L54" s="16"/>
      <c r="M54" s="16"/>
      <c r="N54" s="16"/>
      <c r="O54" s="16"/>
      <c r="P54" s="16"/>
      <c r="Q54" s="16"/>
      <c r="R54" s="16"/>
      <c r="S54" s="16"/>
    </row>
    <row r="55" spans="1:22" x14ac:dyDescent="0.25">
      <c r="A55" s="275" t="s">
        <v>439</v>
      </c>
      <c r="B55" s="16"/>
      <c r="C55" s="16"/>
      <c r="D55" s="16"/>
      <c r="E55" s="16"/>
      <c r="F55" s="16"/>
      <c r="G55" s="16"/>
      <c r="H55" s="16"/>
      <c r="I55" s="16"/>
      <c r="J55" s="16"/>
      <c r="K55" s="16"/>
      <c r="L55" s="16"/>
      <c r="M55" s="16"/>
      <c r="N55" s="16"/>
      <c r="O55" s="16"/>
      <c r="P55" s="16"/>
      <c r="Q55" s="16"/>
      <c r="R55" s="16"/>
      <c r="S55" s="16"/>
    </row>
    <row r="56" spans="1:22" x14ac:dyDescent="0.25">
      <c r="A56" s="275" t="s">
        <v>350</v>
      </c>
    </row>
    <row r="57" spans="1:22" x14ac:dyDescent="0.25">
      <c r="A57" s="225"/>
    </row>
    <row r="58" spans="1:22" x14ac:dyDescent="0.25">
      <c r="A58" s="225" t="s">
        <v>440</v>
      </c>
    </row>
    <row r="59" spans="1:22" x14ac:dyDescent="0.25">
      <c r="A59" s="225"/>
    </row>
    <row r="60" spans="1:22" hidden="1" x14ac:dyDescent="0.25">
      <c r="A60" s="365" t="s">
        <v>441</v>
      </c>
    </row>
    <row r="61" spans="1:22" hidden="1" x14ac:dyDescent="0.25">
      <c r="A61" s="364" t="s">
        <v>442</v>
      </c>
    </row>
    <row r="62" spans="1:22" hidden="1" x14ac:dyDescent="0.25">
      <c r="A62" s="364" t="s">
        <v>443</v>
      </c>
    </row>
    <row r="63" spans="1:22" hidden="1" x14ac:dyDescent="0.25">
      <c r="A63" s="364" t="s">
        <v>444</v>
      </c>
    </row>
    <row r="64" spans="1:22" hidden="1" x14ac:dyDescent="0.25">
      <c r="A64" s="364"/>
    </row>
    <row r="65" spans="1:1" x14ac:dyDescent="0.25">
      <c r="A65" s="226" t="s">
        <v>276</v>
      </c>
    </row>
    <row r="66" spans="1:1" x14ac:dyDescent="0.25">
      <c r="A66" s="224" t="s">
        <v>277</v>
      </c>
    </row>
    <row r="67" spans="1:1" x14ac:dyDescent="0.25">
      <c r="A67" s="225" t="s">
        <v>278</v>
      </c>
    </row>
    <row r="68" spans="1:1" x14ac:dyDescent="0.25">
      <c r="A68" s="227" t="s">
        <v>445</v>
      </c>
    </row>
    <row r="69" spans="1:1" x14ac:dyDescent="0.25">
      <c r="A69" s="224" t="s">
        <v>279</v>
      </c>
    </row>
    <row r="70" spans="1:1" x14ac:dyDescent="0.25">
      <c r="A70" s="227" t="s">
        <v>446</v>
      </c>
    </row>
    <row r="71" spans="1:1" x14ac:dyDescent="0.25">
      <c r="A71" s="225" t="s">
        <v>280</v>
      </c>
    </row>
    <row r="72" spans="1:1" x14ac:dyDescent="0.25">
      <c r="A72" s="224" t="s">
        <v>281</v>
      </c>
    </row>
    <row r="73" spans="1:1" x14ac:dyDescent="0.25">
      <c r="A73" s="227" t="s">
        <v>282</v>
      </c>
    </row>
    <row r="74" spans="1:1" x14ac:dyDescent="0.25">
      <c r="A74" s="225" t="s">
        <v>283</v>
      </c>
    </row>
    <row r="75" spans="1:1" x14ac:dyDescent="0.25">
      <c r="A75" s="224" t="s">
        <v>284</v>
      </c>
    </row>
    <row r="76" spans="1:1" x14ac:dyDescent="0.25">
      <c r="A76" s="227" t="s">
        <v>447</v>
      </c>
    </row>
    <row r="77" spans="1:1" x14ac:dyDescent="0.25">
      <c r="A77" s="224" t="s">
        <v>285</v>
      </c>
    </row>
    <row r="78" spans="1:1" x14ac:dyDescent="0.25">
      <c r="A78" s="227" t="s">
        <v>448</v>
      </c>
    </row>
    <row r="79" spans="1:1" x14ac:dyDescent="0.25">
      <c r="A79" s="227" t="s">
        <v>449</v>
      </c>
    </row>
    <row r="80" spans="1:1" x14ac:dyDescent="0.25">
      <c r="A80" s="224" t="s">
        <v>286</v>
      </c>
    </row>
    <row r="81" spans="1:21" x14ac:dyDescent="0.25">
      <c r="A81" s="227" t="s">
        <v>450</v>
      </c>
      <c r="B81" s="16"/>
      <c r="C81" s="16"/>
      <c r="D81" s="16"/>
      <c r="E81" s="16"/>
      <c r="F81" s="16"/>
      <c r="G81" s="16"/>
      <c r="H81" s="16"/>
      <c r="I81" s="16"/>
      <c r="J81" s="16"/>
      <c r="K81" s="16"/>
      <c r="L81" s="16"/>
      <c r="M81" s="16"/>
      <c r="N81" s="16"/>
      <c r="O81" s="16"/>
      <c r="P81" s="16"/>
      <c r="Q81" s="16"/>
      <c r="R81" s="16"/>
      <c r="S81" s="16"/>
      <c r="T81" s="16"/>
      <c r="U81" s="16"/>
    </row>
    <row r="82" spans="1:21" x14ac:dyDescent="0.25">
      <c r="A82" s="224" t="s">
        <v>321</v>
      </c>
      <c r="B82" s="16"/>
      <c r="C82" s="16"/>
      <c r="D82" s="16"/>
      <c r="E82" s="16"/>
      <c r="F82" s="16"/>
      <c r="G82" s="16"/>
      <c r="H82" s="16"/>
      <c r="I82" s="16"/>
      <c r="J82" s="16"/>
      <c r="K82" s="16"/>
      <c r="L82" s="16"/>
      <c r="M82" s="16"/>
      <c r="N82" s="16"/>
      <c r="O82" s="16"/>
      <c r="P82" s="16"/>
      <c r="Q82" s="16"/>
      <c r="R82" s="16"/>
      <c r="S82" s="16"/>
      <c r="T82" s="16"/>
      <c r="U82" s="16"/>
    </row>
    <row r="83" spans="1:21" x14ac:dyDescent="0.25">
      <c r="A83" s="227" t="s">
        <v>451</v>
      </c>
      <c r="B83" s="16"/>
      <c r="C83" s="16"/>
      <c r="D83" s="16"/>
      <c r="E83" s="16"/>
      <c r="F83" s="16"/>
      <c r="G83" s="16"/>
      <c r="H83" s="16"/>
      <c r="I83" s="16"/>
      <c r="J83" s="16"/>
      <c r="K83" s="16"/>
      <c r="L83" s="16"/>
      <c r="M83" s="16"/>
      <c r="N83" s="16"/>
      <c r="O83" s="16"/>
      <c r="P83" s="16"/>
      <c r="Q83" s="16"/>
      <c r="R83" s="16"/>
      <c r="S83" s="16"/>
      <c r="T83" s="16"/>
      <c r="U83" s="16"/>
    </row>
    <row r="84" spans="1:21" x14ac:dyDescent="0.25">
      <c r="A84" s="227" t="s">
        <v>452</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4" t="s">
        <v>453</v>
      </c>
      <c r="B85" s="16"/>
      <c r="C85" s="16"/>
      <c r="D85" s="16"/>
      <c r="E85" s="16"/>
      <c r="F85" s="16"/>
      <c r="G85" s="16"/>
      <c r="H85" s="16"/>
      <c r="I85" s="16"/>
      <c r="J85" s="16"/>
      <c r="K85" s="16"/>
      <c r="L85" s="16"/>
      <c r="M85" s="16"/>
      <c r="N85" s="16"/>
      <c r="O85" s="16"/>
      <c r="P85" s="16"/>
      <c r="Q85" s="16"/>
      <c r="R85" s="16"/>
      <c r="S85" s="16"/>
      <c r="T85" s="16"/>
      <c r="U85" s="16"/>
    </row>
    <row r="86" spans="1:21" x14ac:dyDescent="0.25">
      <c r="A86" s="224" t="s">
        <v>454</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69" t="s">
        <v>455</v>
      </c>
      <c r="B87" s="16"/>
      <c r="C87" s="16"/>
      <c r="D87" s="16"/>
      <c r="E87" s="16"/>
      <c r="F87" s="16"/>
      <c r="G87" s="16"/>
      <c r="H87" s="16"/>
      <c r="I87" s="16"/>
      <c r="J87" s="16"/>
      <c r="K87" s="16"/>
      <c r="L87" s="16"/>
      <c r="M87" s="16"/>
      <c r="N87" s="16"/>
      <c r="O87" s="16"/>
      <c r="P87" s="16"/>
      <c r="Q87" s="16"/>
      <c r="R87" s="16"/>
      <c r="S87" s="16"/>
      <c r="T87" s="16"/>
      <c r="U87" s="16"/>
    </row>
    <row r="88" spans="1:21" x14ac:dyDescent="0.25">
      <c r="A88" s="225" t="s">
        <v>287</v>
      </c>
    </row>
    <row r="89" spans="1:21" hidden="1" x14ac:dyDescent="0.25">
      <c r="A89" s="364" t="s">
        <v>456</v>
      </c>
    </row>
    <row r="90" spans="1:21" x14ac:dyDescent="0.25">
      <c r="A90" s="227" t="s">
        <v>457</v>
      </c>
    </row>
    <row r="91" spans="1:21" x14ac:dyDescent="0.25">
      <c r="A91" s="225" t="s">
        <v>351</v>
      </c>
    </row>
    <row r="92" spans="1:21" x14ac:dyDescent="0.25">
      <c r="A92" s="224" t="s">
        <v>288</v>
      </c>
    </row>
    <row r="93" spans="1:21" x14ac:dyDescent="0.25">
      <c r="A93" s="227" t="s">
        <v>458</v>
      </c>
    </row>
    <row r="94" spans="1:21" x14ac:dyDescent="0.25">
      <c r="A94" s="225" t="s">
        <v>480</v>
      </c>
    </row>
    <row r="95" spans="1:21" x14ac:dyDescent="0.25">
      <c r="A95" s="225" t="s">
        <v>483</v>
      </c>
    </row>
    <row r="96" spans="1:21" x14ac:dyDescent="0.25">
      <c r="A96" s="225" t="s">
        <v>481</v>
      </c>
    </row>
    <row r="97" spans="1:1" x14ac:dyDescent="0.25">
      <c r="A97" s="225" t="s">
        <v>482</v>
      </c>
    </row>
    <row r="98" spans="1:1" x14ac:dyDescent="0.25">
      <c r="A98" s="224" t="s">
        <v>289</v>
      </c>
    </row>
    <row r="99" spans="1:1" x14ac:dyDescent="0.25">
      <c r="A99" s="225" t="s">
        <v>459</v>
      </c>
    </row>
    <row r="100" spans="1:1" x14ac:dyDescent="0.25">
      <c r="A100" s="224" t="s">
        <v>290</v>
      </c>
    </row>
    <row r="101" spans="1:1" x14ac:dyDescent="0.25">
      <c r="A101" s="227" t="s">
        <v>291</v>
      </c>
    </row>
    <row r="102" spans="1:1" x14ac:dyDescent="0.25">
      <c r="A102" s="227" t="s">
        <v>292</v>
      </c>
    </row>
    <row r="103" spans="1:1" x14ac:dyDescent="0.25">
      <c r="A103" s="227" t="s">
        <v>460</v>
      </c>
    </row>
    <row r="104" spans="1:1" x14ac:dyDescent="0.25">
      <c r="A104" s="227" t="s">
        <v>461</v>
      </c>
    </row>
    <row r="105" spans="1:1" x14ac:dyDescent="0.25">
      <c r="A105" s="227" t="s">
        <v>462</v>
      </c>
    </row>
    <row r="106" spans="1:1" x14ac:dyDescent="0.25">
      <c r="A106" s="227" t="s">
        <v>463</v>
      </c>
    </row>
    <row r="107" spans="1:1" x14ac:dyDescent="0.25">
      <c r="A107" s="227" t="s">
        <v>464</v>
      </c>
    </row>
    <row r="108" spans="1:1" x14ac:dyDescent="0.25">
      <c r="A108" s="227" t="s">
        <v>293</v>
      </c>
    </row>
    <row r="109" spans="1:1" x14ac:dyDescent="0.25">
      <c r="A109" s="224" t="s">
        <v>294</v>
      </c>
    </row>
    <row r="110" spans="1:1" x14ac:dyDescent="0.25">
      <c r="A110" s="225" t="s">
        <v>352</v>
      </c>
    </row>
    <row r="111" spans="1:1" x14ac:dyDescent="0.25">
      <c r="A111" s="224" t="s">
        <v>295</v>
      </c>
    </row>
    <row r="112" spans="1:1" x14ac:dyDescent="0.25">
      <c r="A112" s="227" t="s">
        <v>465</v>
      </c>
    </row>
    <row r="113" spans="1:17" x14ac:dyDescent="0.25">
      <c r="A113" s="224" t="s">
        <v>296</v>
      </c>
      <c r="B113" s="16"/>
      <c r="C113" s="16"/>
      <c r="D113" s="16"/>
      <c r="E113" s="16"/>
      <c r="F113" s="16"/>
      <c r="G113" s="16"/>
      <c r="H113" s="16"/>
      <c r="I113" s="16"/>
      <c r="J113" s="16"/>
      <c r="K113" s="16"/>
      <c r="L113" s="16"/>
      <c r="M113" s="16"/>
      <c r="N113" s="16"/>
      <c r="O113" s="16"/>
      <c r="P113" s="16"/>
      <c r="Q113" s="16"/>
    </row>
    <row r="114" spans="1:17" x14ac:dyDescent="0.25">
      <c r="A114" s="227" t="s">
        <v>466</v>
      </c>
      <c r="B114" s="16"/>
      <c r="C114" s="16"/>
      <c r="D114" s="16"/>
      <c r="E114" s="16"/>
      <c r="F114" s="16"/>
      <c r="G114" s="16"/>
      <c r="H114" s="16"/>
      <c r="I114" s="16"/>
      <c r="J114" s="16"/>
      <c r="K114" s="16"/>
      <c r="L114" s="16"/>
      <c r="M114" s="16"/>
      <c r="N114" s="16"/>
      <c r="O114" s="16"/>
      <c r="P114" s="16"/>
      <c r="Q114" s="16"/>
    </row>
    <row r="115" spans="1:17" x14ac:dyDescent="0.25">
      <c r="A115" s="224" t="s">
        <v>297</v>
      </c>
      <c r="B115" s="16"/>
      <c r="C115" s="16"/>
      <c r="D115" s="16"/>
      <c r="E115" s="16"/>
      <c r="F115" s="16"/>
      <c r="G115" s="16"/>
      <c r="H115" s="16"/>
      <c r="I115" s="16"/>
      <c r="J115" s="16"/>
      <c r="K115" s="16"/>
      <c r="L115" s="16"/>
      <c r="M115" s="16"/>
      <c r="N115" s="16"/>
      <c r="O115" s="16"/>
      <c r="P115" s="16"/>
      <c r="Q115" s="16"/>
    </row>
    <row r="116" spans="1:17" x14ac:dyDescent="0.25">
      <c r="A116" s="227" t="s">
        <v>467</v>
      </c>
    </row>
    <row r="117" spans="1:17" x14ac:dyDescent="0.25">
      <c r="A117" s="224" t="s">
        <v>468</v>
      </c>
    </row>
    <row r="118" spans="1:17" hidden="1" x14ac:dyDescent="0.25">
      <c r="A118" s="369" t="s">
        <v>478</v>
      </c>
    </row>
    <row r="119" spans="1:17" x14ac:dyDescent="0.25">
      <c r="A119" s="227" t="s">
        <v>469</v>
      </c>
    </row>
    <row r="120" spans="1:17" hidden="1" x14ac:dyDescent="0.25">
      <c r="A120" s="364" t="s">
        <v>470</v>
      </c>
    </row>
    <row r="121" spans="1:17" x14ac:dyDescent="0.25">
      <c r="A121" s="224" t="s">
        <v>298</v>
      </c>
    </row>
    <row r="122" spans="1:17" x14ac:dyDescent="0.25">
      <c r="A122" s="227" t="s">
        <v>299</v>
      </c>
    </row>
    <row r="123" spans="1:17" x14ac:dyDescent="0.25">
      <c r="A123" s="227" t="s">
        <v>471</v>
      </c>
    </row>
    <row r="124" spans="1:17" x14ac:dyDescent="0.25">
      <c r="A124" s="227" t="s">
        <v>300</v>
      </c>
    </row>
    <row r="125" spans="1:17" x14ac:dyDescent="0.25">
      <c r="A125" s="224" t="s">
        <v>301</v>
      </c>
    </row>
    <row r="126" spans="1:17" x14ac:dyDescent="0.25">
      <c r="A126" s="227" t="s">
        <v>472</v>
      </c>
    </row>
    <row r="127" spans="1:17" x14ac:dyDescent="0.25">
      <c r="A127" s="297" t="s">
        <v>302</v>
      </c>
    </row>
    <row r="128" spans="1:17" x14ac:dyDescent="0.25">
      <c r="A128" s="227" t="s">
        <v>473</v>
      </c>
    </row>
    <row r="129" spans="1:1" x14ac:dyDescent="0.25">
      <c r="A129" s="227" t="s">
        <v>303</v>
      </c>
    </row>
    <row r="130" spans="1:1" x14ac:dyDescent="0.25">
      <c r="A130" s="227" t="s">
        <v>304</v>
      </c>
    </row>
    <row r="131" spans="1:1" x14ac:dyDescent="0.25">
      <c r="A131" s="296" t="s">
        <v>474</v>
      </c>
    </row>
    <row r="132" spans="1:1" x14ac:dyDescent="0.25">
      <c r="A132" s="296" t="s">
        <v>398</v>
      </c>
    </row>
    <row r="133" spans="1:1" hidden="1" x14ac:dyDescent="0.25">
      <c r="A133" s="370" t="s">
        <v>475</v>
      </c>
    </row>
    <row r="134" spans="1:1" x14ac:dyDescent="0.25">
      <c r="A134" s="297" t="s">
        <v>305</v>
      </c>
    </row>
    <row r="135" spans="1:1" x14ac:dyDescent="0.25">
      <c r="A135" s="227" t="s">
        <v>476</v>
      </c>
    </row>
    <row r="137" spans="1:1" x14ac:dyDescent="0.25">
      <c r="A137" s="368" t="s">
        <v>409</v>
      </c>
    </row>
    <row r="138" spans="1:1" x14ac:dyDescent="0.25">
      <c r="A138" s="227" t="s">
        <v>410</v>
      </c>
    </row>
    <row r="139" spans="1:1" x14ac:dyDescent="0.25">
      <c r="A139" s="227" t="s">
        <v>411</v>
      </c>
    </row>
    <row r="140" spans="1:1" x14ac:dyDescent="0.25">
      <c r="A140" s="227"/>
    </row>
    <row r="141" spans="1:1" x14ac:dyDescent="0.25">
      <c r="A141" s="227" t="s">
        <v>412</v>
      </c>
    </row>
    <row r="142" spans="1:1" x14ac:dyDescent="0.25">
      <c r="A142" s="227" t="s">
        <v>413</v>
      </c>
    </row>
    <row r="143" spans="1:1" x14ac:dyDescent="0.25">
      <c r="A143" s="227" t="s">
        <v>414</v>
      </c>
    </row>
    <row r="144" spans="1:1" x14ac:dyDescent="0.25">
      <c r="A144" s="227"/>
    </row>
    <row r="145" spans="1:1" x14ac:dyDescent="0.25">
      <c r="A145" s="227" t="s">
        <v>415</v>
      </c>
    </row>
    <row r="146" spans="1:1" x14ac:dyDescent="0.25">
      <c r="A146" s="227" t="s">
        <v>416</v>
      </c>
    </row>
    <row r="147" spans="1:1" x14ac:dyDescent="0.25">
      <c r="A147" s="227" t="s">
        <v>417</v>
      </c>
    </row>
  </sheetData>
  <sheetProtection algorithmName="SHA-512" hashValue="zkJE7ZFw+zk4B6mu29MwTkSTR+nQagdUOJ4hEUk0SOLdYfXfPCz8dmzjeNSVq9QRpAgo6nBxGL3eb8wFMk/05g==" saltValue="44xmLSrBsZjBw5ot1LmeQ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2024-10-25T14:04:54Z</cp:lastPrinted>
  <dcterms:created xsi:type="dcterms:W3CDTF">2015-06-05T18:19:34Z</dcterms:created>
  <dcterms:modified xsi:type="dcterms:W3CDTF">2025-11-26T13:12:59Z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