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10.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T:\rvo\Kluis_Beleidsadvisering_SDE_MEP\2026\Haalbaarheidsstudie SCE 2026\"/>
    </mc:Choice>
  </mc:AlternateContent>
  <xr:revisionPtr revIDLastSave="0" documentId="13_ncr:1_{77C11C53-AE65-4E78-A696-01BE8A8EA8C2}" xr6:coauthVersionLast="47" xr6:coauthVersionMax="47" xr10:uidLastSave="{00000000-0000-0000-0000-000000000000}"/>
  <workbookProtection workbookAlgorithmName="SHA-512" workbookHashValue="5FmDRKgH24DoaMTO/3jxRmP+tv/Va9+I5W5EesaK4cciNWlzNUouFUF0eXed3yDPMTbB2/HImfLqXsKgQOrfKw==" workbookSaltValue="a78qekrZyxdkjlCatICRpQ==" workbookSpinCount="100000" lockStructure="1"/>
  <bookViews>
    <workbookView xWindow="-120" yWindow="-120" windowWidth="29040" windowHeight="17640" tabRatio="773" xr2:uid="{795517C6-FEB8-46DF-81B5-7D66D8C564DC}"/>
  </bookViews>
  <sheets>
    <sheet name="Invulinstructie_en_disclaimer" sheetId="23" r:id="rId1"/>
    <sheet name="Financiering_en_projectplan" sheetId="24" r:id="rId2"/>
    <sheet name="Energieproductie" sheetId="19" r:id="rId3"/>
    <sheet name="Exploitatieberekening" sheetId="26" r:id="rId4"/>
    <sheet name="Overzicht bijlagen" sheetId="22" r:id="rId5"/>
    <sheet name="Hulpblad_categorieën_parameters" sheetId="28" state="hidden" r:id="rId6"/>
    <sheet name="Hulpblad_overig " sheetId="20" state="hidden" r:id="rId7"/>
  </sheets>
  <definedNames>
    <definedName name="_xlnm.Print_Area" localSheetId="2">Energieproductie!$A$1:$E$21</definedName>
    <definedName name="_xlnm.Print_Area" localSheetId="3">Exploitatieberekening!$A$1:$AC$103</definedName>
    <definedName name="_xlnm.Print_Area" localSheetId="1">Financiering_en_projectplan!$A$1:$N$86</definedName>
    <definedName name="_xlnm.Print_Area" localSheetId="0">Invulinstructie_en_disclaimer!$A$1:$A$34</definedName>
    <definedName name="_xlnm.Print_Area" localSheetId="4">'Overzicht bijlagen'!$A$1:$A$42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28" l="1"/>
  <c r="J39" i="28"/>
  <c r="J38" i="28"/>
  <c r="J37" i="28"/>
  <c r="J36" i="28"/>
  <c r="J33" i="28"/>
  <c r="J32" i="28"/>
  <c r="Y41" i="28"/>
  <c r="Z41" i="28"/>
  <c r="AA41" i="28"/>
  <c r="AB41" i="28"/>
  <c r="AC41" i="28"/>
  <c r="AC40" i="28"/>
  <c r="AB40" i="28"/>
  <c r="AA40" i="28"/>
  <c r="Z40" i="28"/>
  <c r="Y40" i="28"/>
  <c r="S33" i="28"/>
  <c r="F10" i="28"/>
  <c r="E10" i="28"/>
  <c r="D10" i="28"/>
  <c r="C9" i="28"/>
  <c r="A27" i="24"/>
  <c r="A23" i="24"/>
  <c r="A20" i="24"/>
  <c r="A1" i="22"/>
  <c r="A1" i="26"/>
  <c r="A1" i="19"/>
  <c r="A1" i="24"/>
  <c r="AG40" i="28"/>
  <c r="AG41" i="28"/>
  <c r="E34" i="26"/>
  <c r="O34" i="26"/>
  <c r="P34" i="26"/>
  <c r="Q34" i="26"/>
  <c r="R34" i="26"/>
  <c r="S34" i="26"/>
  <c r="T34" i="26"/>
  <c r="U34" i="26"/>
  <c r="V34" i="26"/>
  <c r="W34" i="26"/>
  <c r="X34" i="26"/>
  <c r="Y34" i="26"/>
  <c r="Z34" i="26"/>
  <c r="AA34" i="26"/>
  <c r="AB34" i="26"/>
  <c r="AC34" i="26"/>
  <c r="O33" i="26"/>
  <c r="P33" i="26"/>
  <c r="Q33" i="26"/>
  <c r="R33" i="26"/>
  <c r="S33" i="26"/>
  <c r="T33" i="26"/>
  <c r="U33" i="26"/>
  <c r="V33" i="26"/>
  <c r="W33" i="26"/>
  <c r="X33" i="26"/>
  <c r="Y33" i="26"/>
  <c r="Z33" i="26"/>
  <c r="AA33" i="26"/>
  <c r="AB33" i="26"/>
  <c r="AC33" i="26"/>
  <c r="O9" i="24"/>
  <c r="J40" i="28"/>
  <c r="G70" i="26"/>
  <c r="G69" i="26"/>
  <c r="A14" i="20"/>
  <c r="A13" i="20"/>
  <c r="A29" i="20"/>
  <c r="A28" i="20"/>
  <c r="A27" i="20"/>
  <c r="A26" i="20"/>
  <c r="O12" i="24"/>
  <c r="A12" i="22"/>
  <c r="M57" i="24"/>
  <c r="A51" i="24"/>
  <c r="A49" i="24"/>
  <c r="A59" i="24"/>
  <c r="A58" i="24"/>
  <c r="A57" i="24"/>
  <c r="A56" i="24"/>
  <c r="A13" i="24"/>
  <c r="A12" i="24"/>
  <c r="A10" i="24"/>
  <c r="A53" i="24"/>
  <c r="I52" i="24"/>
  <c r="G52" i="24"/>
  <c r="E52" i="24"/>
  <c r="B52" i="24"/>
  <c r="O53" i="24"/>
  <c r="A70" i="26"/>
  <c r="A69" i="26"/>
  <c r="A58" i="26"/>
  <c r="A59" i="26"/>
  <c r="A60" i="26"/>
  <c r="A61" i="26"/>
  <c r="A27" i="26"/>
  <c r="A26" i="26"/>
  <c r="K12" i="28"/>
  <c r="J12" i="28"/>
  <c r="I12" i="28"/>
  <c r="H12" i="28"/>
  <c r="G12" i="28"/>
  <c r="G10" i="28"/>
  <c r="C10" i="28"/>
  <c r="Q55" i="26"/>
  <c r="U55" i="26"/>
  <c r="Y55" i="26"/>
  <c r="AA55" i="26"/>
  <c r="O13" i="24"/>
  <c r="B60" i="24"/>
  <c r="O16" i="24"/>
  <c r="O18" i="24"/>
  <c r="A18" i="24"/>
  <c r="O55" i="26"/>
  <c r="R55" i="26"/>
  <c r="S55" i="26"/>
  <c r="V55" i="26"/>
  <c r="W55" i="26"/>
  <c r="A64" i="26"/>
  <c r="A63" i="26"/>
  <c r="J51" i="28"/>
  <c r="J50" i="28"/>
  <c r="J49" i="28"/>
  <c r="J48" i="28"/>
  <c r="J47" i="28"/>
  <c r="O16" i="26"/>
  <c r="A23" i="22"/>
  <c r="O17" i="26"/>
  <c r="A24" i="22"/>
  <c r="O18" i="26"/>
  <c r="A25" i="22"/>
  <c r="O19" i="26"/>
  <c r="A26" i="22"/>
  <c r="O15" i="26"/>
  <c r="A22" i="22"/>
  <c r="O75" i="24"/>
  <c r="A38" i="22"/>
  <c r="O74" i="24"/>
  <c r="A37" i="22"/>
  <c r="O72" i="24"/>
  <c r="A35" i="22"/>
  <c r="O73" i="24"/>
  <c r="A36" i="22"/>
  <c r="O71" i="24"/>
  <c r="A34" i="22"/>
  <c r="O51" i="28"/>
  <c r="O44" i="28"/>
  <c r="O47" i="28"/>
  <c r="O48" i="28"/>
  <c r="O49" i="28"/>
  <c r="O50" i="28"/>
  <c r="N44" i="28"/>
  <c r="N47" i="28"/>
  <c r="N48" i="28"/>
  <c r="N49" i="28"/>
  <c r="N50" i="28"/>
  <c r="N51" i="28"/>
  <c r="B15" i="19"/>
  <c r="P55" i="26"/>
  <c r="T55" i="26"/>
  <c r="X55" i="26"/>
  <c r="N55" i="26"/>
  <c r="N72" i="26"/>
  <c r="N73" i="26"/>
  <c r="O70" i="24"/>
  <c r="A33" i="22"/>
  <c r="O76" i="24"/>
  <c r="A39" i="22"/>
  <c r="O77" i="24"/>
  <c r="A40" i="22"/>
  <c r="O78" i="24"/>
  <c r="A41" i="22"/>
  <c r="O69" i="24"/>
  <c r="A32" i="22"/>
  <c r="B4" i="19"/>
  <c r="D13" i="19"/>
  <c r="A5" i="22"/>
  <c r="C6" i="28"/>
  <c r="F12" i="28"/>
  <c r="E12" i="28"/>
  <c r="D12" i="28"/>
  <c r="C12" i="28"/>
  <c r="B12" i="28"/>
  <c r="B11" i="28"/>
  <c r="B10" i="28"/>
  <c r="B9" i="28"/>
  <c r="O8" i="24"/>
  <c r="B9" i="26"/>
  <c r="B7" i="26"/>
  <c r="B6" i="26"/>
  <c r="N20" i="26"/>
  <c r="M60" i="24"/>
  <c r="M79" i="24"/>
  <c r="M39" i="24"/>
  <c r="AB55" i="26"/>
  <c r="Z55" i="26"/>
  <c r="AC52" i="26"/>
  <c r="AC55" i="26"/>
  <c r="O60" i="24"/>
  <c r="A29" i="22"/>
  <c r="M62" i="24"/>
  <c r="N75" i="26"/>
  <c r="N78" i="26"/>
  <c r="N79" i="26"/>
  <c r="N81" i="26"/>
  <c r="O74" i="26"/>
  <c r="M80" i="24"/>
  <c r="M82" i="24"/>
  <c r="M83" i="24"/>
  <c r="M63" i="24"/>
  <c r="B24" i="26" s="1"/>
  <c r="H24" i="26"/>
  <c r="L24" i="26"/>
  <c r="E24" i="26"/>
  <c r="N86" i="26"/>
  <c r="B27" i="26"/>
  <c r="M27" i="26"/>
  <c r="A25" i="28"/>
  <c r="C25" i="28"/>
  <c r="A24" i="28"/>
  <c r="C24" i="28"/>
  <c r="A23" i="28"/>
  <c r="C23" i="28"/>
  <c r="A22" i="28"/>
  <c r="C22" i="28"/>
  <c r="A21" i="28"/>
  <c r="C21" i="28"/>
  <c r="A20" i="28"/>
  <c r="C20" i="28"/>
  <c r="A19" i="28"/>
  <c r="C19" i="28"/>
  <c r="A18" i="28"/>
  <c r="C18" i="28"/>
  <c r="A17" i="28"/>
  <c r="C17" i="28"/>
  <c r="A16" i="28"/>
  <c r="C16" i="28"/>
  <c r="A15" i="28"/>
  <c r="C15" i="28"/>
  <c r="O60" i="26"/>
  <c r="R59" i="26"/>
  <c r="V61" i="26"/>
  <c r="O59" i="26"/>
  <c r="O58" i="26"/>
  <c r="O63" i="26"/>
  <c r="Q58" i="26"/>
  <c r="V59" i="26"/>
  <c r="V64" i="26"/>
  <c r="T59" i="26"/>
  <c r="P58" i="26"/>
  <c r="S59" i="26"/>
  <c r="Q59" i="26"/>
  <c r="V58" i="26"/>
  <c r="U61" i="26"/>
  <c r="R61" i="26"/>
  <c r="R64" i="26"/>
  <c r="U58" i="26"/>
  <c r="O61" i="26"/>
  <c r="O64" i="26"/>
  <c r="O62" i="26"/>
  <c r="P61" i="26"/>
  <c r="U59" i="26"/>
  <c r="U64" i="26"/>
  <c r="T61" i="26"/>
  <c r="T64" i="26"/>
  <c r="R58" i="26"/>
  <c r="S58" i="26"/>
  <c r="T58" i="26"/>
  <c r="P59" i="26"/>
  <c r="P64" i="26"/>
  <c r="S61" i="26"/>
  <c r="S64" i="26"/>
  <c r="Q61" i="26"/>
  <c r="Q64" i="26"/>
  <c r="P62" i="26"/>
  <c r="P60" i="26"/>
  <c r="P63" i="26"/>
  <c r="Q62" i="26"/>
  <c r="Q60" i="26"/>
  <c r="Q63" i="26"/>
  <c r="R60" i="26"/>
  <c r="R63" i="26"/>
  <c r="R62" i="26"/>
  <c r="S62" i="26"/>
  <c r="S60" i="26"/>
  <c r="S63" i="26"/>
  <c r="T62" i="26"/>
  <c r="T60" i="26"/>
  <c r="T63" i="26"/>
  <c r="U62" i="26"/>
  <c r="U60" i="26"/>
  <c r="U63" i="26"/>
  <c r="V62" i="26"/>
  <c r="V60" i="26"/>
  <c r="V63" i="26"/>
  <c r="E53" i="24"/>
  <c r="A93" i="26"/>
  <c r="P67" i="26"/>
  <c r="P70" i="26"/>
  <c r="Q67" i="26"/>
  <c r="Q70" i="26"/>
  <c r="R67" i="26"/>
  <c r="R70" i="26"/>
  <c r="S67" i="26"/>
  <c r="S70" i="26"/>
  <c r="T67" i="26"/>
  <c r="T70" i="26"/>
  <c r="U67" i="26"/>
  <c r="U70" i="26"/>
  <c r="V67" i="26"/>
  <c r="V70" i="26"/>
  <c r="W67" i="26"/>
  <c r="W70" i="26"/>
  <c r="X67" i="26"/>
  <c r="X70" i="26"/>
  <c r="Y67" i="26"/>
  <c r="Y70" i="26"/>
  <c r="Z67" i="26"/>
  <c r="Z70" i="26"/>
  <c r="AA67" i="26"/>
  <c r="AA70" i="26"/>
  <c r="AB67" i="26"/>
  <c r="AB70" i="26"/>
  <c r="AC67" i="26"/>
  <c r="AC70" i="26"/>
  <c r="O67" i="26"/>
  <c r="O70" i="26"/>
  <c r="E70" i="26"/>
  <c r="E69" i="26"/>
  <c r="O66" i="26"/>
  <c r="O69" i="26"/>
  <c r="AE67" i="26"/>
  <c r="AE70" i="26"/>
  <c r="AF67" i="26"/>
  <c r="AF70" i="26"/>
  <c r="AG67" i="26"/>
  <c r="AG70" i="26"/>
  <c r="AH67" i="26"/>
  <c r="AH70" i="26"/>
  <c r="AD67" i="26"/>
  <c r="AD70" i="26"/>
  <c r="O68" i="26"/>
  <c r="P66" i="26"/>
  <c r="P69" i="26"/>
  <c r="P68" i="26"/>
  <c r="Q66" i="26"/>
  <c r="Q69" i="26"/>
  <c r="Q68" i="26"/>
  <c r="R66" i="26"/>
  <c r="R69" i="26"/>
  <c r="R68" i="26"/>
  <c r="S66" i="26"/>
  <c r="S69" i="26"/>
  <c r="S68" i="26"/>
  <c r="T66" i="26"/>
  <c r="T69" i="26"/>
  <c r="T68" i="26"/>
  <c r="U66" i="26"/>
  <c r="U69" i="26"/>
  <c r="U68" i="26"/>
  <c r="V66" i="26"/>
  <c r="V69" i="26"/>
  <c r="V68" i="26"/>
  <c r="W66" i="26"/>
  <c r="W69" i="26"/>
  <c r="W68" i="26"/>
  <c r="X66" i="26"/>
  <c r="X69" i="26"/>
  <c r="X68" i="26"/>
  <c r="Y66" i="26"/>
  <c r="Y69" i="26"/>
  <c r="Y68" i="26"/>
  <c r="Z66" i="26"/>
  <c r="Z69" i="26"/>
  <c r="Z68" i="26"/>
  <c r="AA66" i="26"/>
  <c r="AA69" i="26"/>
  <c r="AA68" i="26"/>
  <c r="AB66" i="26"/>
  <c r="AB69" i="26"/>
  <c r="AB68" i="26"/>
  <c r="AC66" i="26"/>
  <c r="AC69" i="26"/>
  <c r="AC68" i="26"/>
  <c r="AD66" i="26"/>
  <c r="AD69" i="26"/>
  <c r="AD68" i="26"/>
  <c r="AE66" i="26"/>
  <c r="AE69" i="26"/>
  <c r="AE68" i="26"/>
  <c r="AF66" i="26"/>
  <c r="AF69" i="26"/>
  <c r="AF68" i="26"/>
  <c r="AG66" i="26"/>
  <c r="AG69" i="26"/>
  <c r="AG68" i="26"/>
  <c r="AH66" i="26"/>
  <c r="AH69" i="26"/>
  <c r="AH68" i="26"/>
  <c r="O35" i="26"/>
  <c r="P35" i="26"/>
  <c r="Q35" i="26"/>
  <c r="R35" i="26"/>
  <c r="S35" i="26"/>
  <c r="T35" i="26"/>
  <c r="U35" i="26"/>
  <c r="V35" i="26"/>
  <c r="W35" i="26"/>
  <c r="X35" i="26"/>
  <c r="Y35" i="26"/>
  <c r="Z35" i="26"/>
  <c r="AA35" i="26"/>
  <c r="AB35" i="26"/>
  <c r="AC35" i="26"/>
  <c r="A14" i="28"/>
  <c r="C14" i="28"/>
  <c r="D26" i="28"/>
  <c r="E13" i="19"/>
  <c r="A13" i="19"/>
  <c r="F9" i="19"/>
  <c r="B10" i="19"/>
  <c r="A72" i="20"/>
  <c r="B72" i="20"/>
  <c r="A6" i="22"/>
  <c r="A15" i="22"/>
  <c r="S39" i="28"/>
  <c r="A22" i="19"/>
  <c r="S37" i="28"/>
  <c r="S38" i="28"/>
  <c r="S40" i="28"/>
  <c r="S41" i="28"/>
  <c r="S36" i="28"/>
  <c r="S32" i="28"/>
  <c r="S44" i="28"/>
  <c r="S47" i="28"/>
  <c r="S48" i="28"/>
  <c r="S49" i="28"/>
  <c r="S50" i="28"/>
  <c r="S51" i="28"/>
  <c r="S52" i="28"/>
  <c r="S53" i="28"/>
  <c r="S54" i="28"/>
  <c r="S55" i="28"/>
  <c r="S56" i="28"/>
  <c r="B17" i="19"/>
  <c r="E15" i="19"/>
  <c r="B8" i="26"/>
  <c r="A20" i="19"/>
  <c r="E17" i="19"/>
  <c r="A23" i="19"/>
  <c r="H38" i="26"/>
  <c r="B11" i="26"/>
  <c r="AD30" i="26" s="1"/>
  <c r="B10" i="26"/>
  <c r="E38" i="26"/>
  <c r="R57" i="26"/>
  <c r="R72" i="26"/>
  <c r="Z29" i="26"/>
  <c r="AC29" i="26"/>
  <c r="AC57" i="26"/>
  <c r="AB29" i="26"/>
  <c r="W29" i="26"/>
  <c r="AA29" i="26"/>
  <c r="Y29" i="26"/>
  <c r="T57" i="26"/>
  <c r="T72" i="26"/>
  <c r="AA57" i="26"/>
  <c r="X29" i="26"/>
  <c r="Z57" i="26"/>
  <c r="A3" i="26"/>
  <c r="B57" i="26"/>
  <c r="Y57" i="26"/>
  <c r="U57" i="26"/>
  <c r="U72" i="26"/>
  <c r="W57" i="26"/>
  <c r="X57" i="26"/>
  <c r="AB57" i="26"/>
  <c r="P57" i="26"/>
  <c r="P72" i="26"/>
  <c r="S57" i="26"/>
  <c r="S72" i="26"/>
  <c r="V57" i="26"/>
  <c r="V72" i="26"/>
  <c r="O57" i="26"/>
  <c r="O72" i="26"/>
  <c r="Q57" i="26"/>
  <c r="Q72" i="26"/>
  <c r="Y59" i="26"/>
  <c r="Y64" i="26"/>
  <c r="Y58" i="26"/>
  <c r="Y63" i="26"/>
  <c r="Y61" i="26"/>
  <c r="AB59" i="26"/>
  <c r="AB64" i="26"/>
  <c r="AB58" i="26"/>
  <c r="AB63" i="26"/>
  <c r="AB61" i="26"/>
  <c r="Z61" i="26"/>
  <c r="Z59" i="26"/>
  <c r="Z64" i="26"/>
  <c r="Z58" i="26"/>
  <c r="Z63" i="26"/>
  <c r="X58" i="26"/>
  <c r="X63" i="26"/>
  <c r="X59" i="26"/>
  <c r="X64" i="26"/>
  <c r="X61" i="26"/>
  <c r="AA58" i="26"/>
  <c r="AA63" i="26"/>
  <c r="AA59" i="26"/>
  <c r="AA64" i="26"/>
  <c r="AA61" i="26"/>
  <c r="W59" i="26"/>
  <c r="W64" i="26"/>
  <c r="W58" i="26"/>
  <c r="W63" i="26"/>
  <c r="W61" i="26"/>
  <c r="AC59" i="26"/>
  <c r="AC64" i="26"/>
  <c r="AC58" i="26"/>
  <c r="AC63" i="26"/>
  <c r="AC61" i="26"/>
  <c r="W60" i="26"/>
  <c r="W62" i="26"/>
  <c r="X62" i="26"/>
  <c r="X60" i="26"/>
  <c r="Y62" i="26"/>
  <c r="Y60" i="26"/>
  <c r="Z60" i="26"/>
  <c r="Z62" i="26"/>
  <c r="AA60" i="26"/>
  <c r="AA62" i="26"/>
  <c r="AB60" i="26"/>
  <c r="AB62" i="26"/>
  <c r="AC62" i="26"/>
  <c r="AC60" i="26"/>
  <c r="AE64" i="26"/>
  <c r="AF64" i="26"/>
  <c r="AG64" i="26"/>
  <c r="AH64" i="26"/>
  <c r="AE63" i="26"/>
  <c r="AE91" i="26"/>
  <c r="AF63" i="26"/>
  <c r="AF91" i="26"/>
  <c r="AG63" i="26"/>
  <c r="AG91" i="26"/>
  <c r="AH63" i="26"/>
  <c r="AH91" i="26"/>
  <c r="AD58" i="26"/>
  <c r="AD59" i="26"/>
  <c r="AD60" i="26"/>
  <c r="AD61" i="26"/>
  <c r="AD62" i="26"/>
  <c r="AD63" i="26"/>
  <c r="AD64" i="26"/>
  <c r="AE57" i="26"/>
  <c r="AF57" i="26"/>
  <c r="AG57" i="26"/>
  <c r="AH57" i="26"/>
  <c r="AD57" i="26"/>
  <c r="AE55" i="26"/>
  <c r="AE72" i="26"/>
  <c r="AF55" i="26"/>
  <c r="AF72" i="26"/>
  <c r="AG55" i="26"/>
  <c r="AG72" i="26"/>
  <c r="AH55" i="26"/>
  <c r="AH72" i="26"/>
  <c r="AD55" i="26"/>
  <c r="AD72" i="26"/>
  <c r="AH29" i="26"/>
  <c r="AG29" i="26"/>
  <c r="AF29" i="26"/>
  <c r="AE29" i="26"/>
  <c r="AD29" i="26"/>
  <c r="AD91" i="26"/>
  <c r="AD34" i="26"/>
  <c r="AE34" i="26"/>
  <c r="AF34" i="26"/>
  <c r="AG34" i="26"/>
  <c r="AH34" i="26"/>
  <c r="AD33" i="26"/>
  <c r="AE33" i="26"/>
  <c r="AF33" i="26"/>
  <c r="AG33" i="26"/>
  <c r="AH33" i="26"/>
  <c r="AD39" i="26"/>
  <c r="AE39" i="26"/>
  <c r="AF39" i="26"/>
  <c r="AG39" i="26"/>
  <c r="AH39" i="26"/>
  <c r="AD40" i="26"/>
  <c r="AE40" i="26"/>
  <c r="AF40" i="26"/>
  <c r="AG40" i="26"/>
  <c r="AH40" i="26"/>
  <c r="AE38" i="26"/>
  <c r="AF38" i="26"/>
  <c r="AG38" i="26"/>
  <c r="AH38" i="26"/>
  <c r="AD38" i="26"/>
  <c r="AD35" i="26"/>
  <c r="AD42" i="26"/>
  <c r="AD73" i="26"/>
  <c r="AE35" i="26"/>
  <c r="AE42" i="26"/>
  <c r="AE73" i="26"/>
  <c r="AF35" i="26"/>
  <c r="AF42" i="26"/>
  <c r="AF73" i="26"/>
  <c r="AH35" i="26"/>
  <c r="AH42" i="26"/>
  <c r="AH73" i="26"/>
  <c r="AG35" i="26"/>
  <c r="AG42" i="26"/>
  <c r="AG73" i="26"/>
  <c r="AB72" i="26"/>
  <c r="X72" i="26"/>
  <c r="W72" i="26"/>
  <c r="Y72" i="26"/>
  <c r="Z72" i="26"/>
  <c r="AA72" i="26"/>
  <c r="AC72" i="26"/>
  <c r="B39" i="26" l="1"/>
  <c r="B38" i="26"/>
  <c r="H39" i="26"/>
  <c r="A39" i="26"/>
  <c r="A38" i="26"/>
  <c r="AC39" i="26" l="1"/>
  <c r="AB39" i="26"/>
  <c r="AA39" i="26"/>
  <c r="Z39" i="26"/>
  <c r="Y39" i="26"/>
  <c r="X39" i="26"/>
  <c r="W39" i="26"/>
  <c r="V39" i="26"/>
  <c r="U39" i="26"/>
  <c r="T39" i="26"/>
  <c r="S39" i="26"/>
  <c r="R39" i="26"/>
  <c r="Q39" i="26"/>
  <c r="P39" i="26"/>
  <c r="O39" i="26"/>
  <c r="O38" i="26"/>
  <c r="Q38" i="26"/>
  <c r="R38" i="26"/>
  <c r="S38" i="26"/>
  <c r="T38" i="26"/>
  <c r="U38" i="26"/>
  <c r="V38" i="26"/>
  <c r="W38" i="26"/>
  <c r="P38" i="26"/>
  <c r="AA38" i="26"/>
  <c r="AC38" i="26"/>
  <c r="X38" i="26"/>
  <c r="AB38" i="26"/>
  <c r="Z38" i="26"/>
  <c r="Y38" i="26"/>
  <c r="Y40" i="26" l="1"/>
  <c r="Y42" i="26" s="1"/>
  <c r="Y73" i="26" s="1"/>
  <c r="Z40" i="26"/>
  <c r="Z42" i="26" s="1"/>
  <c r="Z73" i="26" s="1"/>
  <c r="AB40" i="26"/>
  <c r="AB42" i="26" s="1"/>
  <c r="AB73" i="26" s="1"/>
  <c r="X40" i="26"/>
  <c r="X42" i="26" s="1"/>
  <c r="X73" i="26" s="1"/>
  <c r="AC40" i="26"/>
  <c r="AC42" i="26" s="1"/>
  <c r="AC73" i="26" s="1"/>
  <c r="AA40" i="26"/>
  <c r="AA42" i="26" s="1"/>
  <c r="AA73" i="26" s="1"/>
  <c r="P40" i="26"/>
  <c r="P42" i="26" s="1"/>
  <c r="P73" i="26" s="1"/>
  <c r="W40" i="26"/>
  <c r="W42" i="26" s="1"/>
  <c r="W73" i="26" s="1"/>
  <c r="V40" i="26"/>
  <c r="V42" i="26" s="1"/>
  <c r="V73" i="26" s="1"/>
  <c r="U40" i="26"/>
  <c r="U42" i="26" s="1"/>
  <c r="U73" i="26" s="1"/>
  <c r="T40" i="26"/>
  <c r="T42" i="26" s="1"/>
  <c r="T73" i="26" s="1"/>
  <c r="S40" i="26"/>
  <c r="S42" i="26" s="1"/>
  <c r="S73" i="26" s="1"/>
  <c r="R40" i="26"/>
  <c r="R42" i="26" s="1"/>
  <c r="R73" i="26" s="1"/>
  <c r="Q40" i="26"/>
  <c r="Q42" i="26" s="1"/>
  <c r="Q73" i="26" s="1"/>
  <c r="O40" i="26"/>
  <c r="O42" i="26" s="1"/>
  <c r="O73" i="26" s="1"/>
  <c r="O75" i="26"/>
  <c r="P74" i="26" l="1"/>
  <c r="P75" i="26" s="1"/>
  <c r="O78" i="26"/>
  <c r="O79" i="26" s="1"/>
  <c r="O86" i="26" l="1"/>
  <c r="O81" i="26"/>
  <c r="Q74" i="26"/>
  <c r="Q75" i="26" s="1"/>
  <c r="P78" i="26"/>
  <c r="P79" i="26" s="1"/>
  <c r="P86" i="26" l="1"/>
  <c r="P81" i="26"/>
  <c r="R74" i="26"/>
  <c r="R75" i="26" s="1"/>
  <c r="Q78" i="26"/>
  <c r="Q79" i="26" s="1"/>
  <c r="B48" i="20"/>
  <c r="O91" i="26"/>
  <c r="B49" i="20"/>
  <c r="P91" i="26" l="1"/>
  <c r="Q86" i="26"/>
  <c r="Q81" i="26"/>
  <c r="S74" i="26"/>
  <c r="S75" i="26" s="1"/>
  <c r="R78" i="26"/>
  <c r="R79" i="26" s="1"/>
  <c r="R86" i="26" l="1"/>
  <c r="R81" i="26"/>
  <c r="T74" i="26"/>
  <c r="T75" i="26" s="1"/>
  <c r="S78" i="26"/>
  <c r="S79" i="26" s="1"/>
  <c r="Q91" i="26"/>
  <c r="B50" i="20"/>
  <c r="B51" i="20"/>
  <c r="R91" i="26" l="1"/>
  <c r="S86" i="26"/>
  <c r="S81" i="26"/>
  <c r="T78" i="26"/>
  <c r="T79" i="26" s="1"/>
  <c r="U74" i="26"/>
  <c r="U75" i="26" s="1"/>
  <c r="V74" i="26" l="1"/>
  <c r="V75" i="26" s="1"/>
  <c r="U78" i="26"/>
  <c r="U79" i="26" s="1"/>
  <c r="T86" i="26"/>
  <c r="T81" i="26"/>
  <c r="S91" i="26"/>
  <c r="B52" i="20"/>
  <c r="B53" i="20"/>
  <c r="T91" i="26" l="1"/>
  <c r="U86" i="26"/>
  <c r="U81" i="26"/>
  <c r="W74" i="26"/>
  <c r="W75" i="26" s="1"/>
  <c r="V78" i="26"/>
  <c r="V79" i="26" s="1"/>
  <c r="V86" i="26" l="1"/>
  <c r="V81" i="26"/>
  <c r="W78" i="26"/>
  <c r="W79" i="26" s="1"/>
  <c r="X74" i="26"/>
  <c r="X75" i="26" s="1"/>
  <c r="U91" i="26"/>
  <c r="B54" i="20"/>
  <c r="B55" i="20"/>
  <c r="V91" i="26" l="1"/>
  <c r="X78" i="26"/>
  <c r="X79" i="26" s="1"/>
  <c r="Y74" i="26"/>
  <c r="Y75" i="26" s="1"/>
  <c r="W86" i="26"/>
  <c r="W81" i="26"/>
  <c r="W91" i="26" l="1"/>
  <c r="B56" i="20"/>
  <c r="Y78" i="26"/>
  <c r="Y79" i="26" s="1"/>
  <c r="Z74" i="26"/>
  <c r="Z75" i="26" s="1"/>
  <c r="X86" i="26"/>
  <c r="X81" i="26"/>
  <c r="X91" i="26" l="1"/>
  <c r="B57" i="20"/>
  <c r="AA74" i="26"/>
  <c r="AA75" i="26" s="1"/>
  <c r="Z78" i="26"/>
  <c r="Z79" i="26" s="1"/>
  <c r="Y86" i="26"/>
  <c r="Y81" i="26"/>
  <c r="Y91" i="26" l="1"/>
  <c r="B58" i="20"/>
  <c r="Z86" i="26"/>
  <c r="Z81" i="26"/>
  <c r="AB74" i="26"/>
  <c r="AB75" i="26" s="1"/>
  <c r="AA78" i="26"/>
  <c r="AA79" i="26" s="1"/>
  <c r="AA86" i="26" l="1"/>
  <c r="AA81" i="26"/>
  <c r="AC74" i="26"/>
  <c r="AC75" i="26" s="1"/>
  <c r="AB78" i="26"/>
  <c r="AB79" i="26" s="1"/>
  <c r="Z91" i="26"/>
  <c r="B59" i="20"/>
  <c r="B60" i="20"/>
  <c r="AA91" i="26" l="1"/>
  <c r="AB86" i="26"/>
  <c r="AB81" i="26"/>
  <c r="AC78" i="26"/>
  <c r="AC79" i="26" s="1"/>
  <c r="AD74" i="26"/>
  <c r="AD75" i="26" s="1"/>
  <c r="AD78" i="26" l="1"/>
  <c r="AD79" i="26" s="1"/>
  <c r="AE74" i="26"/>
  <c r="AE75" i="26" s="1"/>
  <c r="AC86" i="26"/>
  <c r="AC81" i="26"/>
  <c r="AB91" i="26"/>
  <c r="B61" i="20"/>
  <c r="B62" i="20"/>
  <c r="L93" i="26" s="1"/>
  <c r="AC91" i="26" l="1"/>
  <c r="AE78" i="26"/>
  <c r="AE79" i="26" s="1"/>
  <c r="AF74" i="26"/>
  <c r="AF75" i="26" s="1"/>
  <c r="AD86" i="26"/>
  <c r="AD81" i="26"/>
  <c r="B63" i="20" l="1"/>
  <c r="AF78" i="26"/>
  <c r="AF79" i="26" s="1"/>
  <c r="AG74" i="26"/>
  <c r="AG75" i="26" s="1"/>
  <c r="AE86" i="26"/>
  <c r="AE81" i="26"/>
  <c r="B64" i="20" l="1"/>
  <c r="AG78" i="26"/>
  <c r="AG79" i="26" s="1"/>
  <c r="AH74" i="26"/>
  <c r="AH75" i="26" s="1"/>
  <c r="AH78" i="26" s="1"/>
  <c r="AH79" i="26" s="1"/>
  <c r="AF86" i="26"/>
  <c r="AF81" i="26"/>
  <c r="B65" i="20" l="1"/>
  <c r="AH86" i="26"/>
  <c r="AH81" i="26"/>
  <c r="AG86" i="26"/>
  <c r="L88" i="26" s="1"/>
  <c r="AG81" i="26"/>
  <c r="L83" i="26" s="1"/>
  <c r="B67" i="20" l="1"/>
  <c r="B6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J.H. Hoekstra</author>
    <author>Hoekstra, ing. J.H. (Jan Hendrik)</author>
    <author>Oerlemans, ir. R.H.J. (Ruud)</author>
  </authors>
  <commentList>
    <comment ref="K12" authorId="0" shapeId="0" xr:uid="{BAD7E46E-5394-4881-87F5-1D437827CE21}">
      <text>
        <r>
          <rPr>
            <sz val="9"/>
            <color indexed="81"/>
            <rFont val="Tahoma"/>
            <family val="2"/>
          </rPr>
          <t xml:space="preserve">Voor Energiecoöperaties en grond-VvE's (voor grondgebonden installaties) geldt een minimum aantal deelnemende leden dat moet worden ingeschreven, afhankelijk van de categorie productie-installaties:
- voor zon-PV minimaal één lid per 5 kWp;
- voor windenergie minimaal één lid per 5 kW;
- voor waterkracht minimaal één lid per 1 kW.
Voor een VvE waarbij de productie-installatie op of aan een gebouw wordt aangebracht geldt dat minimaal 75% van de leden van de VvE woonachtig of gevestigd moeten zijn binnen de aangevraagde postcoderoos.
</t>
        </r>
      </text>
    </comment>
    <comment ref="K16" authorId="1" shapeId="0" xr:uid="{BF76C915-CC36-46ED-8E58-6B5C308ACD38}">
      <text>
        <r>
          <rPr>
            <sz val="8"/>
            <color indexed="81"/>
            <rFont val="Tahoma"/>
            <family val="2"/>
          </rPr>
          <t xml:space="preserve">Het gaat hier om het aantal productie-installaties waarvoor de aanvrager binnen deze openstellingsronde subsidie aanvraagt.
</t>
        </r>
      </text>
    </comment>
    <comment ref="B21" authorId="0" shapeId="0" xr:uid="{811E3E93-CD28-4CA1-BA56-87C69DB40371}">
      <text>
        <r>
          <rPr>
            <sz val="9"/>
            <color indexed="81"/>
            <rFont val="Tahoma"/>
            <family val="2"/>
          </rPr>
          <t xml:space="preserve">Hier geeft u een korte omschrijving van de productie-installaties(s) waarvoor u aanvraagt binnen deze openstellingsronde. </t>
        </r>
      </text>
    </comment>
    <comment ref="B24" authorId="0" shapeId="0" xr:uid="{6157D36B-9592-4279-9BA1-23769CA63558}">
      <text>
        <r>
          <rPr>
            <sz val="9"/>
            <color indexed="81"/>
            <rFont val="Tahoma"/>
            <family val="2"/>
          </rPr>
          <t xml:space="preserve">Hier geeft u een duidelijk plan voor de financiering van de productie-installatie(s) waarvoor u SCE-subsidie aanvraagt. Het financieringsplan moet aannemelijk maken dat het project gefinancierd kan worden als SCE- subsidie wordt verleend.
U kunt hier aangeven hoeveel eigen vermogen u wilt gaan inbrengen en hoeveel u met vreemd vermogen wilt financieren. Hoe en hoeveel leden u wilt gaan werven om dit eigen vermogen op te halen. Mogelijk hebt u hiervoor al een prospectus gemaakt of geadverteerd. Eventueel kunt u deze informatie meesturen met de aanvraag. Ook kunt aangeven of u al contacten hebt gehad met banken voor het verstrekken van het benodigde vreemd vermogen.   
Heeft u ook lopende aanvragen uit eerdere SCE-subsidierondes? Licht dan tevens toe hoe u het totaal benodigde vermogen voor de aanvragen uit deze en vorige openstellingsronde(s) gaat financieren.
</t>
        </r>
      </text>
    </comment>
    <comment ref="B29" authorId="1" shapeId="0" xr:uid="{B80A36BC-F554-462A-B233-2CCBAB36599B}">
      <text>
        <r>
          <rPr>
            <b/>
            <sz val="8"/>
            <color indexed="81"/>
            <rFont val="Tahoma"/>
            <family val="2"/>
          </rPr>
          <t>Investeringen:</t>
        </r>
        <r>
          <rPr>
            <sz val="8"/>
            <color indexed="81"/>
            <rFont val="Tahoma"/>
            <family val="2"/>
          </rPr>
          <t xml:space="preserve">
Hieronder vallen alle te verwachten investeringskosten die moeten worden gemaakt ten behoeve van de realisatie van productie-installatie(s) voor duurzame energie.  
Wanneer u voor </t>
        </r>
        <r>
          <rPr>
            <b/>
            <sz val="8"/>
            <color indexed="81"/>
            <rFont val="Tahoma"/>
            <family val="2"/>
          </rPr>
          <t>één productie-installatie</t>
        </r>
        <r>
          <rPr>
            <sz val="8"/>
            <color indexed="81"/>
            <rFont val="Tahoma"/>
            <family val="2"/>
          </rPr>
          <t xml:space="preserve"> subsidie aanvraagt in deze openstellingsronde, volstaat het noemen van de totale investeringskosten van de installatie.
Wanneer u voor</t>
        </r>
        <r>
          <rPr>
            <b/>
            <sz val="8"/>
            <color indexed="81"/>
            <rFont val="Tahoma"/>
            <family val="2"/>
          </rPr>
          <t xml:space="preserve"> meerdere installaties</t>
        </r>
        <r>
          <rPr>
            <sz val="8"/>
            <color indexed="81"/>
            <rFont val="Tahoma"/>
            <family val="2"/>
          </rPr>
          <t xml:space="preserve"> aanvraagt in deze openstellingsronde, geeft u per installatie de investeringskosten op. 
</t>
        </r>
      </text>
    </comment>
    <comment ref="M39" authorId="2" shapeId="0" xr:uid="{72323F0C-422F-4D5B-B225-A62C455E516C}">
      <text>
        <r>
          <rPr>
            <b/>
            <sz val="8"/>
            <color indexed="81"/>
            <rFont val="Tahoma"/>
            <family val="2"/>
          </rPr>
          <t xml:space="preserve">Let op:
</t>
        </r>
        <r>
          <rPr>
            <sz val="8"/>
            <color indexed="81"/>
            <rFont val="Tahoma"/>
            <family val="2"/>
          </rPr>
          <t>Dit totaal moet gelijk zijn aan de som van alle aanvragen indien u meerdere aanvragen in deze openstellingsronde hebt ingediend</t>
        </r>
      </text>
    </comment>
    <comment ref="A42" authorId="2" shapeId="0" xr:uid="{FC99617A-E73B-4A5C-8B05-FC4EA8541370}">
      <text>
        <r>
          <rPr>
            <sz val="8"/>
            <color indexed="81"/>
            <rFont val="Tahoma"/>
            <family val="2"/>
          </rPr>
          <t xml:space="preserve">De financiering bestaat uit inbreng eigen vermogen en/of inbreng uit vreemd vermogen. 
U geeft op hoeveel Euro u uit eigen vermogen financiert. Het resterende bedrag specificeert u onder het kopje vreemd vermogen. 
</t>
        </r>
      </text>
    </comment>
    <comment ref="B46" authorId="1" shapeId="0" xr:uid="{EC8923C2-0954-41F4-A2ED-99C2C579BC4A}">
      <text>
        <r>
          <rPr>
            <b/>
            <sz val="8"/>
            <color indexed="81"/>
            <rFont val="Tahoma"/>
            <family val="2"/>
          </rPr>
          <t xml:space="preserve">Investeringssubsidies:
</t>
        </r>
        <r>
          <rPr>
            <sz val="8"/>
            <color indexed="81"/>
            <rFont val="Tahoma"/>
            <family val="2"/>
          </rPr>
          <t xml:space="preserve">Hiertoe behoren alle subsidies die worden ontvangen voor de investeringen in alle productie-installaties waarvoor deze aanvrager binnen deze openstellingsronde aanvraagt.
Graag hier de naam van de subsidieregeling vermelden.
</t>
        </r>
      </text>
    </comment>
    <comment ref="M46" authorId="1" shapeId="0" xr:uid="{330D103E-2F09-40EC-8C3B-96FE8C6FE91C}">
      <text>
        <r>
          <rPr>
            <sz val="8"/>
            <color indexed="81"/>
            <rFont val="Tahoma"/>
            <family val="2"/>
          </rPr>
          <t xml:space="preserve">Graag hier de hoogte van de aangevraagde investeringssubsidie invullen.Hiertoe behoren alle subsidies die worden ontvangen voor de investeringen in alle productie-installaties waarvoor deze aanvrager binnen deze openstellingsronde aanvraagt.
</t>
        </r>
      </text>
    </comment>
    <comment ref="I53" authorId="0" shapeId="0" xr:uid="{88290091-791A-4DC2-826D-A13037B717B2}">
      <text>
        <r>
          <rPr>
            <b/>
            <sz val="9"/>
            <color indexed="81"/>
            <rFont val="Tahoma"/>
            <family val="2"/>
          </rPr>
          <t>Leningen ingebracht door deelnemers energie coöperatie (eigen vermogen):</t>
        </r>
        <r>
          <rPr>
            <sz val="9"/>
            <color indexed="81"/>
            <rFont val="Tahoma"/>
            <family val="2"/>
          </rPr>
          <t xml:space="preserve">
In dit invulblok vult u het bedrag van de lening en het rentepercentage in. Het model rekent dan zelf de aflossing en rente per jaar uit op het tabblad Exploitatieberekening.
Standaard is hier een rentepercentage vooraf ingevuld dat gehanteerd  is in het PBL advies voor de SCE-regeling. U kunt dit percentage aanpassen naar de rente die u verwacht te gaan betalen voor uw project.   </t>
        </r>
      </text>
    </comment>
    <comment ref="M58" authorId="0" shapeId="0" xr:uid="{A023AA6B-CEED-4551-9780-8E53C5B18CA1}">
      <text>
        <r>
          <rPr>
            <sz val="9"/>
            <color indexed="81"/>
            <rFont val="Tahoma"/>
            <family val="2"/>
          </rPr>
          <t>Deze deelnemers van de energiecoöperatie mogen eigen vermogen in het project inbrengen, maar zijn geen deelnemende leden conform artikel 33 van de SCE regeling</t>
        </r>
      </text>
    </comment>
    <comment ref="M59" authorId="0" shapeId="0" xr:uid="{1667836E-B976-484B-8F02-D06DE57BB1E6}">
      <text>
        <r>
          <rPr>
            <sz val="9"/>
            <color indexed="81"/>
            <rFont val="Tahoma"/>
            <family val="2"/>
          </rPr>
          <t>Het gaat hierbij specifiek om het eigen vermogen van uw onderneming dat beschikbaar is voor de investering in het project op het moment dat u de subsidie aanvraag/aanvragen indient.</t>
        </r>
      </text>
    </comment>
    <comment ref="B69" authorId="1" shapeId="0" xr:uid="{399CC7D2-1D3F-4FA1-96CB-7FBA78AB782C}">
      <text>
        <r>
          <rPr>
            <sz val="8"/>
            <color indexed="81"/>
            <rFont val="Tahoma"/>
            <family val="2"/>
          </rPr>
          <t xml:space="preserve">Onderbouwt u het vreemd vermogen zoveel mogelijk met contracten, offertes of intentieverklaring van de beoogde financier(s).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Hoekstra, ing. J.H. (Jan Hendrik)</author>
    <author>RVO</author>
  </authors>
  <commentList>
    <comment ref="B13" authorId="0" shapeId="0" xr:uid="{34CA00EA-BAE0-448A-B541-EF6CB8D0FADB}">
      <text>
        <r>
          <rPr>
            <sz val="8"/>
            <color indexed="81"/>
            <rFont val="Tahoma"/>
            <family val="2"/>
          </rPr>
          <t xml:space="preserve">Hier vult u het vermogen van de productie-installatie in uitgedrukt in kW.
</t>
        </r>
      </text>
    </comment>
    <comment ref="B17" authorId="1" shapeId="0" xr:uid="{1F0027BA-8C17-4112-B856-064677B9953F}">
      <text>
        <r>
          <rPr>
            <b/>
            <sz val="9"/>
            <color indexed="81"/>
            <rFont val="Tahoma"/>
            <family val="2"/>
          </rPr>
          <t>Toelichting:</t>
        </r>
        <r>
          <rPr>
            <sz val="9"/>
            <color indexed="81"/>
            <rFont val="Tahoma"/>
            <family val="2"/>
          </rPr>
          <t xml:space="preserve">
Voor de jaarlijkse elektriciteitsproductie wordt uitgegaan van de subsidiabele vollasturen maal aangevraagd vermogen. Op basis van deze productie moet het project haalbaar zijn.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Oerlemans, ir. R.H.J. (Ruud)</author>
    <author>Hoekstra, ing. J.H. (Jan Hendrik)</author>
    <author>RVO</author>
    <author>J.H. Hoekstra</author>
  </authors>
  <commentList>
    <comment ref="B15" authorId="0" shapeId="0" xr:uid="{3C084F01-70B5-4EFA-989F-EFF6AB5D3ECB}">
      <text>
        <r>
          <rPr>
            <b/>
            <sz val="8"/>
            <color indexed="81"/>
            <rFont val="Tahoma"/>
            <family val="2"/>
          </rPr>
          <t>Investeringskosten:</t>
        </r>
        <r>
          <rPr>
            <sz val="8"/>
            <color indexed="81"/>
            <rFont val="Tahoma"/>
            <family val="2"/>
          </rPr>
          <t xml:space="preserve">
Indien mogelijk beschrijft u de investeringskosten op niveau van hoofdcomponenten.Hieronder vallen alle te verwachten investeringskosten die moeten worden gemaakt ten behoeve van de realisatie productie-installatie voor duurzame energie. Indien u niet beschikt over een specificatie op hoofdcomponenten, kunt u volstaan met het vermelden van het totale investeringsbedrag van de productie-installatie. </t>
        </r>
      </text>
    </comment>
    <comment ref="N15" authorId="1" shapeId="0" xr:uid="{C696EFEA-DDA1-4243-AAD5-41732102A816}">
      <text>
        <r>
          <rPr>
            <sz val="8"/>
            <color indexed="81"/>
            <rFont val="Tahoma"/>
            <family val="2"/>
          </rPr>
          <t xml:space="preserve">In dit blok vult u de investeringsbedragen in van de hoofdcomponenten of, indien u niet beschikt over een specificatie op hoofdcomponenten, het totale investeringsbedrag.
</t>
        </r>
      </text>
    </comment>
    <comment ref="E27" authorId="2" shapeId="0" xr:uid="{78383118-98D2-4B4E-B90E-AB537F851FEE}">
      <text>
        <r>
          <rPr>
            <sz val="9"/>
            <color indexed="81"/>
            <rFont val="Tahoma"/>
            <family val="2"/>
          </rPr>
          <t xml:space="preserve">De looptijd van de lening is in deze exploitatieberekening standaard gelijk aan de subsidielooptijd. Indien uw lening een kortere looptijd heeft kunt u de looptijd van de lening naar beneden aanpassen.    </t>
        </r>
      </text>
    </comment>
    <comment ref="L27" authorId="1" shapeId="0" xr:uid="{4166A84A-6B1A-434A-9737-5EB66088B205}">
      <text>
        <r>
          <rPr>
            <b/>
            <sz val="8"/>
            <color indexed="81"/>
            <rFont val="Tahoma"/>
            <family val="2"/>
          </rPr>
          <t>Lening extern (vreemd vermogen):</t>
        </r>
        <r>
          <rPr>
            <sz val="8"/>
            <color indexed="81"/>
            <rFont val="Tahoma"/>
            <family val="2"/>
          </rPr>
          <t xml:space="preserve">
In dit invulblok vult u het rentepercentage, de looptijd van de lening en de aflossingsvorm van de lening in. Het model rekent dan zelf de aflossing en rente per jaar uit. 
U vult hier het rentepercentage in die u verwacht te gaan betalen voor uw project, dat kan bijvoorbeeld aan de hand van een offerte van een externe financier of van gehanteerde rentes van provinciale fondsen of gemeentefondsen als u daar gebruik van kunt maken. Als deze gegevens niet beschikbaar zijn kunt u eventueel de rente die vermeld is in het PBL advies SCE van het betreffende  jaar overnemen.
</t>
        </r>
      </text>
    </comment>
    <comment ref="E33" authorId="1" shapeId="0" xr:uid="{6BB3C5B6-B404-4462-8222-4D2CC4F7C85D}">
      <text>
        <r>
          <rPr>
            <sz val="8"/>
            <color indexed="81"/>
            <rFont val="Tahoma"/>
            <family val="2"/>
          </rPr>
          <t xml:space="preserve">Hier vult u in welk deel van de door de productie-installatie opgewekte hernieuwbare elektriciteit u gemiddeld per jaar verwacht zelf te gaan gebruiken op uw locatie.
</t>
        </r>
      </text>
    </comment>
    <comment ref="H33" authorId="1" shapeId="0" xr:uid="{2A959C91-F010-4B24-8734-C160A7EBABD3}">
      <text>
        <r>
          <rPr>
            <sz val="8"/>
            <color indexed="81"/>
            <rFont val="Tahoma"/>
            <family val="2"/>
          </rPr>
          <t>In dit invulblok vult u de door u verwachte verkoopprijs van één kWh in. Hierbij dient u uit te gaan van het gemiddelde over een jaar. 
Indien u een deel van de opgewekte elektriciteit zelf gebruikt, kunt u voor dat deel  uitgaan van de vermeden inkoop kosten inclusief bijkomende kosten als energiebelasting (EB) en transportkosten.</t>
        </r>
        <r>
          <rPr>
            <b/>
            <sz val="8"/>
            <color indexed="81"/>
            <rFont val="Tahoma"/>
            <family val="2"/>
          </rPr>
          <t xml:space="preserve"> </t>
        </r>
        <r>
          <rPr>
            <sz val="8"/>
            <color indexed="81"/>
            <rFont val="Tahoma"/>
            <family val="2"/>
          </rPr>
          <t xml:space="preserve">Als u de marktprijs nog niet weet kunt u hiervoor het hieronder vooraf ingevulde voorlopige correctiebedrag overnemen.
</t>
        </r>
      </text>
    </comment>
    <comment ref="L33" authorId="1" shapeId="0" xr:uid="{C2513D0A-9DF4-4CE4-9364-D9A20D3148E7}">
      <text>
        <r>
          <rPr>
            <sz val="8"/>
            <color indexed="81"/>
            <rFont val="Tahoma"/>
            <family val="2"/>
          </rPr>
          <t xml:space="preserve">In dit invulblok vult u de indexatie in die u verwacht voor de prijsontwikkeling van elektriciteit in Nederland.
In het geval dat er sprake is van langlopende energiecontracten met een vaste prijs, kunt u deze op 0% zetten. Anders kunt u de indexatie invullen die u verwacht voor de prijsontwikkeling van elektriciteit in Nederland. 
</t>
        </r>
      </text>
    </comment>
    <comment ref="O33" authorId="2" shapeId="0" xr:uid="{9F96CD96-6068-4BA0-BCC0-3C03084B6ADD}">
      <text>
        <r>
          <rPr>
            <b/>
            <sz val="9"/>
            <color indexed="81"/>
            <rFont val="Tahoma"/>
            <family val="2"/>
          </rPr>
          <t>Toelichting:</t>
        </r>
        <r>
          <rPr>
            <sz val="9"/>
            <color indexed="81"/>
            <rFont val="Tahoma"/>
            <family val="2"/>
          </rPr>
          <t xml:space="preserve">
De opbrengsten worden automatisch berekend op basis van jaarproductie * Marktwaarde * Indexatie.
Eventueel kunt u de opbrengsten gedurende de  exploitatieperiode ook zelf per jaar invullen. 
</t>
        </r>
      </text>
    </comment>
    <comment ref="H38" authorId="3" shapeId="0" xr:uid="{950C415C-CFD1-49BC-91BD-E8CDA173202D}">
      <text>
        <r>
          <rPr>
            <sz val="9"/>
            <color indexed="81"/>
            <rFont val="Tahoma"/>
            <family val="2"/>
          </rPr>
          <t xml:space="preserve">De gepubliceerde voorlopige correctiebedragen in 2025 inclusief waarde GVO (indien van toepassing) zijn hier voor ingevuld.
Eventueel kunt u dit aanpassen als u kunt onderbouwen dat de EPEX beursprijs in het jaar van ingebruikname naar verwachting zal afwijken van het vooringevulde bedrag.
 </t>
        </r>
      </text>
    </comment>
    <comment ref="L38" authorId="1" shapeId="0" xr:uid="{479DE40B-82CD-4938-B71E-33DAA728D6E2}">
      <text>
        <r>
          <rPr>
            <sz val="8"/>
            <color indexed="81"/>
            <rFont val="Tahoma"/>
            <family val="2"/>
          </rPr>
          <t>Hier vult u de indexatie in die u verwacht voor de prijsontwikkeling van elektriciteit in Nederland.</t>
        </r>
      </text>
    </comment>
    <comment ref="B46" authorId="3" shapeId="0" xr:uid="{C9082AC1-C912-451C-83B8-B623A03BC257}">
      <text>
        <r>
          <rPr>
            <sz val="9"/>
            <color indexed="81"/>
            <rFont val="Tahoma"/>
            <family val="2"/>
          </rPr>
          <t xml:space="preserve">Er wordt hier een lijst met standaard kostenposten getoond. Deze lijst kunt u aanpassen aan uw specifieke project. 
</t>
        </r>
      </text>
    </comment>
    <comment ref="N46" authorId="1" shapeId="0" xr:uid="{AE81D510-B0D3-4F5E-8567-F9B620BACD5A}">
      <text>
        <r>
          <rPr>
            <sz val="8"/>
            <color indexed="81"/>
            <rFont val="Tahoma"/>
            <family val="2"/>
          </rPr>
          <t xml:space="preserve">In dit invulblok vult u per jaar de bedragen van de verschillende soorten aan operationele kosten in. 
</t>
        </r>
      </text>
    </comment>
    <comment ref="L77" authorId="1" shapeId="0" xr:uid="{A73EA6CC-E210-454C-957F-76D333A496D9}">
      <text>
        <r>
          <rPr>
            <b/>
            <sz val="8"/>
            <color indexed="81"/>
            <rFont val="Tahoma"/>
            <family val="2"/>
          </rPr>
          <t>Tarief winstbelasting:</t>
        </r>
        <r>
          <rPr>
            <sz val="8"/>
            <color indexed="81"/>
            <rFont val="Tahoma"/>
            <family val="2"/>
          </rPr>
          <t xml:space="preserve">
Hier vult u het hoge tarief voor de vennootschapsbelasting in, dan wel (als het niet om een rechtspersoon gaat) het tarief in de hoogste schijf voor de inkomstenbelasting. 
Als u niet belastingplichtig bent, stelt u het tarief op 0.</t>
        </r>
      </text>
    </comment>
    <comment ref="L83" authorId="2" shapeId="0" xr:uid="{04C78223-CA3D-431C-A5D5-77661F79CCC4}">
      <text>
        <r>
          <rPr>
            <sz val="9"/>
            <color indexed="81"/>
            <rFont val="Tahoma"/>
            <family val="2"/>
          </rPr>
          <t xml:space="preserve">Toelichting melding: 
</t>
        </r>
        <r>
          <rPr>
            <b/>
            <sz val="9"/>
            <color indexed="81"/>
            <rFont val="Tahoma"/>
            <family val="2"/>
          </rPr>
          <t>Projectrentabiliteit is negatief!</t>
        </r>
        <r>
          <rPr>
            <sz val="9"/>
            <color indexed="81"/>
            <rFont val="Tahoma"/>
            <family val="2"/>
          </rPr>
          <t xml:space="preserve">
Bij deze melding is het rendement te diep negatief om door Excel uitgerekend te kunnen worden.    
</t>
        </r>
      </text>
    </comment>
    <comment ref="L88" authorId="2" shapeId="0" xr:uid="{9E3D03EB-223F-432E-80E8-1367C931374E}">
      <text>
        <r>
          <rPr>
            <sz val="9"/>
            <color indexed="81"/>
            <rFont val="Tahoma"/>
            <family val="2"/>
          </rPr>
          <t xml:space="preserve">Toelichting melding: 
</t>
        </r>
        <r>
          <rPr>
            <b/>
            <sz val="9"/>
            <color indexed="81"/>
            <rFont val="Tahoma"/>
            <family val="2"/>
          </rPr>
          <t xml:space="preserve">Rendement op eigen vermogen is negatief!
</t>
        </r>
        <r>
          <rPr>
            <sz val="9"/>
            <color indexed="81"/>
            <rFont val="Tahoma"/>
            <family val="2"/>
          </rPr>
          <t xml:space="preserve">Bij deze melding is het rendement te diep negatief  om door Excel uitgerekend te kunnen worden.    </t>
        </r>
        <r>
          <rPr>
            <b/>
            <sz val="9"/>
            <color indexed="81"/>
            <rFont val="Tahoma"/>
            <family val="2"/>
          </rPr>
          <t xml:space="preserve">
</t>
        </r>
      </text>
    </comment>
    <comment ref="L93" authorId="2" shapeId="0" xr:uid="{883A2B3E-EA6F-40CD-A577-59B1B265A740}">
      <text>
        <r>
          <rPr>
            <b/>
            <sz val="9"/>
            <color indexed="81"/>
            <rFont val="Tahoma"/>
            <family val="2"/>
          </rPr>
          <t xml:space="preserve">Toelichting
</t>
        </r>
        <r>
          <rPr>
            <sz val="9"/>
            <color indexed="81"/>
            <rFont val="Tahoma"/>
            <family val="2"/>
          </rPr>
          <t xml:space="preserve">
De DSCR die hier wordt getoond wordt berekend, indien er sprake is van een externe lening, over de looptijd van de externe lening. De DSCR is daarbij de som van de jaarlijkse bruto cashflows gedeeld door de som van jaarlijkse rente en aflossing van de externe lening en, indien van toepassing, ook van de achtergestelde lening van deelnemers.
Indien er geen sprake is van een externe lening, maar wel van een achtergestelde lening van deelnemers wordt de DSCR berekend over de subsidieperiode van 15 jaar. De DSCR is daarbij de som van de jaarlijkse bruto cashflows gedeeld door de som van jaarlijkse rente en aflossing van de achtergestelde lening.
Indien er geen sprake is van externe en achtergestelde leningen, is de DSCR-berekening niet van toepassing.
</t>
        </r>
      </text>
    </comment>
  </commentList>
</comments>
</file>

<file path=xl/sharedStrings.xml><?xml version="1.0" encoding="utf-8"?>
<sst xmlns="http://schemas.openxmlformats.org/spreadsheetml/2006/main" count="330" uniqueCount="257">
  <si>
    <t>Investeringen</t>
  </si>
  <si>
    <t>Belasting</t>
  </si>
  <si>
    <t>Algemene gegevens</t>
  </si>
  <si>
    <t>Netbeheer</t>
  </si>
  <si>
    <t>Monitoringssysteem/telefoon</t>
  </si>
  <si>
    <t>Onroerende zaakbelasting</t>
  </si>
  <si>
    <t>Verzekeringen</t>
  </si>
  <si>
    <t>Overige kosten</t>
  </si>
  <si>
    <t>Onvoorzien</t>
  </si>
  <si>
    <t xml:space="preserve">Projectnaam </t>
  </si>
  <si>
    <t>Kosten</t>
  </si>
  <si>
    <t>Rendement op eigen vermogen</t>
  </si>
  <si>
    <t>Disclaimer</t>
  </si>
  <si>
    <t>Totale investeringskosten</t>
  </si>
  <si>
    <t>Tarief winstbelasting % invullen afhankelijk van of u IB-plichtig of VPB-plichtig bent</t>
  </si>
  <si>
    <t>Kalenderjaar of boekjaar</t>
  </si>
  <si>
    <t>Projectrentabiliteit</t>
  </si>
  <si>
    <t>Financiering</t>
  </si>
  <si>
    <t>Opstalvergoeding (ingeval van activering invullen onder investeringskosten)</t>
  </si>
  <si>
    <t>Totale kosten (€)</t>
  </si>
  <si>
    <t>Winst voor belasting (€)</t>
  </si>
  <si>
    <t>Belastbaar inkomen (€)</t>
  </si>
  <si>
    <t>Netto winst (€)</t>
  </si>
  <si>
    <t>Bruto cashflow na belasting exclusief rentelasten (€)</t>
  </si>
  <si>
    <t>Netto cashflow voor eigen vermogen verschaffer na belasting en na financieringslasten (€)</t>
  </si>
  <si>
    <t xml:space="preserve">Investeringskosten gespecificeerd op hoofdcomponenten (€) </t>
  </si>
  <si>
    <t>Vreemd vermogen (%)</t>
  </si>
  <si>
    <t>Eigen vermogen (%)</t>
  </si>
  <si>
    <t>Garantie en onderhoud</t>
  </si>
  <si>
    <t>Eigen vermogen</t>
  </si>
  <si>
    <t>Tekstvak voor toelichtingen aanvrager</t>
  </si>
  <si>
    <t>Openstaande leensom lineaire lening</t>
  </si>
  <si>
    <t>Debt service coverage ratio (DSCR) per jaar</t>
  </si>
  <si>
    <t>Totale inbreng van eigen vermogen (€)</t>
  </si>
  <si>
    <t>Vragen met ja/nee opties</t>
  </si>
  <si>
    <t>Categorieën productie-installaties</t>
  </si>
  <si>
    <t>Algemene instructies</t>
  </si>
  <si>
    <t>Volledigheid haalbaarheidsstudie</t>
  </si>
  <si>
    <t>Namen beoogde financiers (eventueel leasemaatschappij) en hoogte lening (€) (indien van toepassing)</t>
  </si>
  <si>
    <t>Vreemd vermogen of lease</t>
  </si>
  <si>
    <r>
      <t>Verleende investeringssubsidie (</t>
    </r>
    <r>
      <rPr>
        <sz val="10"/>
        <rFont val="Calibri"/>
        <family val="2"/>
      </rPr>
      <t>€)</t>
    </r>
  </si>
  <si>
    <t>Is deze investeringssubsidie reeds verleend? (ja/nee)</t>
  </si>
  <si>
    <t>Naam aanvrager</t>
  </si>
  <si>
    <t>Beschikking investeringssubsidie</t>
  </si>
  <si>
    <t>Onderbouwing investeringskosten</t>
  </si>
  <si>
    <t>Onderbouwing financiering</t>
  </si>
  <si>
    <t>Exploitatieberekening en leasing</t>
  </si>
  <si>
    <t>Antwoord participaties (1= ja, 2 = nee)</t>
  </si>
  <si>
    <t>Antwoord investeringssubsidie (1 = ja, 2 = nee)</t>
  </si>
  <si>
    <t>Instructie per tabblad</t>
  </si>
  <si>
    <t xml:space="preserve">Financiering en projectplan </t>
  </si>
  <si>
    <t xml:space="preserve">Dit wordt aan u gevraagd om te kunnen toetsen of u als aanvrager al uw aanvragen ook daadwerkelijk kunt realiseren.     </t>
  </si>
  <si>
    <r>
      <t xml:space="preserve">U vult voor de </t>
    </r>
    <r>
      <rPr>
        <u/>
        <sz val="10"/>
        <rFont val="Arial"/>
        <family val="2"/>
      </rPr>
      <t>betreffende aanvraag</t>
    </r>
    <r>
      <rPr>
        <sz val="10"/>
        <rFont val="Arial"/>
        <family val="2"/>
      </rPr>
      <t xml:space="preserve"> nog de ontbrekende gegegevens in en het model rekent dan zelf het projectrendement, het rendement op eigen vermogen en de Debt Service Coverage Ratio (DSCR) uit.</t>
    </r>
  </si>
  <si>
    <t>Vergeet u niet deze model haalbaarheidsstudie volledig in te vullen en alle verplichte bijlagen mee te sturen die bij deze haalbaarheidsstudie horen. Onvolledige aanvragen kunnen niet in behandeling worden genomen.</t>
  </si>
  <si>
    <t>Hoewel dit Model haalbaarheidsstudie met de grootst mogelijke zorg is samengesteld kan Rijksdienst voor Ondernemend Nederland geen enkele aansprakelijkheid aanvaarden voor eventuele fouten.</t>
  </si>
  <si>
    <t>Exploitatieberekening</t>
  </si>
  <si>
    <t>Naam aanvrager/producent</t>
  </si>
  <si>
    <t xml:space="preserve">Investeringskosten per productie-installatie (€) </t>
  </si>
  <si>
    <t>Geef hier eventueel aangevraagde investeringssubsidie op:</t>
  </si>
  <si>
    <t>Nadere toelichting/omschrijving eigenvermogen</t>
  </si>
  <si>
    <t>Totaal van het gespecificeerde vreemd vermogen</t>
  </si>
  <si>
    <t>Ongespecificeerde rest van het vreemd vermogen</t>
  </si>
  <si>
    <r>
      <t>Totaal vreemd vermogen (</t>
    </r>
    <r>
      <rPr>
        <sz val="10"/>
        <rFont val="Calibri"/>
        <family val="2"/>
      </rPr>
      <t>€</t>
    </r>
    <r>
      <rPr>
        <sz val="10"/>
        <rFont val="Arial"/>
        <family val="2"/>
      </rPr>
      <t>)</t>
    </r>
  </si>
  <si>
    <t>Voor hoeveel productie-installaties vraagt de aanvrager subsidie aan?</t>
  </si>
  <si>
    <t>Niet van toepassing</t>
  </si>
  <si>
    <t>Ja</t>
  </si>
  <si>
    <t>Nee</t>
  </si>
  <si>
    <t>Overzicht bijlagen</t>
  </si>
  <si>
    <t>Personeelskosten en administratiekosten</t>
  </si>
  <si>
    <t>Verliezen uit verleden</t>
  </si>
  <si>
    <t>Eigen vermogen in te brengen in dit project of projecten (%)</t>
  </si>
  <si>
    <t>Subsidielooptijd (jaar)</t>
  </si>
  <si>
    <t>Aantal vollasturen (uur/jaar)</t>
  </si>
  <si>
    <t>Productie elektriciteit (kWh/jaar)</t>
  </si>
  <si>
    <t>Subsidiabele productie (kWh/jaar)</t>
  </si>
  <si>
    <t xml:space="preserve">Afschrijvingen </t>
  </si>
  <si>
    <t>Afschijftermijn (jaar)</t>
  </si>
  <si>
    <t>Aflossingsvorm</t>
  </si>
  <si>
    <t>Eigen vermogen en vreemd vermogen</t>
  </si>
  <si>
    <t>Vreemd vermogen (€)</t>
  </si>
  <si>
    <t xml:space="preserve">Rente lening (%) </t>
  </si>
  <si>
    <t>Looptijd lening (jaar)</t>
  </si>
  <si>
    <t>Lineair</t>
  </si>
  <si>
    <t>Annuïteit</t>
  </si>
  <si>
    <t>Tekstvak voor toelichting aanvrager</t>
  </si>
  <si>
    <t>Vraag producent</t>
  </si>
  <si>
    <t>Antwoord bent u producent (1 = ja, 2 = nee)</t>
  </si>
  <si>
    <r>
      <t xml:space="preserve">In het tabblad  'Financiering en projectplan' moet u onderbouwen hoe u </t>
    </r>
    <r>
      <rPr>
        <u/>
        <sz val="10"/>
        <rFont val="Arial"/>
        <family val="2"/>
      </rPr>
      <t>alle productie-installaties</t>
    </r>
    <r>
      <rPr>
        <sz val="10"/>
        <rFont val="Arial"/>
        <family val="2"/>
      </rPr>
      <t xml:space="preserve"> waarvoor u in deze openstellingsronde subsidie aanvraagt gaat financieren. </t>
    </r>
  </si>
  <si>
    <t>Als u als aanvrager een leasemaatschappij bent, vermeldt u onder 'opbrengsten' de exploitatieopbrengsten uit het project. Hier moet u niet de leasetermijnen invullen.</t>
  </si>
  <si>
    <t>Ingeval van lease (bij vaste leasetermijnen) vult als aflossingsvorm onder het kopje 'Financiering' annuïteit in.</t>
  </si>
  <si>
    <t xml:space="preserve">kunt u in het tabblad 'Overzicht  bijlagen' de stukken vinden die u in ieder geval met de haalbaarheidsstudie mee moet sturen bij uw subsidieaanvraag in e-loket. </t>
  </si>
  <si>
    <t>Compatibiliteit Excel voor Windows en Excel voor Apple Mac</t>
  </si>
  <si>
    <t xml:space="preserve">Dit model is gemaakt in Excel voor Windows en ook te gebruiken voor Excel voor Apple Mac. Soms kunnen zich echter compatibiliteitsproblemen voordoen bij gebruik van Apple Mac computers. Indien Excel op een Apple Mac computer vraagt de fonts  Osaka, STHeiti, STFangsong en STKaiti te downloaden en de (netwerk) ‘koppelingen’ bij te werken, wordt u geadviseerd om dit niet te doen.   </t>
  </si>
  <si>
    <t>Hoofdthema productie-installaties</t>
  </si>
  <si>
    <t>Thema's hoofdkeuzelijst</t>
  </si>
  <si>
    <t xml:space="preserve"> </t>
  </si>
  <si>
    <t xml:space="preserve">U hebt gekozen voor de categorie </t>
  </si>
  <si>
    <t>Verwachte productie</t>
  </si>
  <si>
    <t xml:space="preserve">Productieberekening  </t>
  </si>
  <si>
    <t>Maximum vollasturen</t>
  </si>
  <si>
    <t>Subsidielooptijd</t>
  </si>
  <si>
    <t>Niet-netlevering zon-PV</t>
  </si>
  <si>
    <t>Correctiebedrag generiek (bij zon-PV netlevering) incl. waarde GVO</t>
  </si>
  <si>
    <t/>
  </si>
  <si>
    <t>Vragen tabblad Exploitatieberekening</t>
  </si>
  <si>
    <t>Vragen tabblad Financiering_en_projectplan</t>
  </si>
  <si>
    <t>Vraag participaties</t>
  </si>
  <si>
    <t>Vraag investeringssubsidie</t>
  </si>
  <si>
    <t>Is aanvrager de producent?</t>
  </si>
  <si>
    <t>Eigen vermogen (€)</t>
  </si>
  <si>
    <r>
      <t>Bedrag lening (€</t>
    </r>
    <r>
      <rPr>
        <sz val="10"/>
        <color indexed="8"/>
        <rFont val="Arial"/>
        <family val="2"/>
      </rPr>
      <t>)</t>
    </r>
  </si>
  <si>
    <r>
      <t>Totale investeringskosten (€</t>
    </r>
    <r>
      <rPr>
        <b/>
        <sz val="10"/>
        <rFont val="Calibri"/>
        <family val="2"/>
      </rPr>
      <t>)</t>
    </r>
  </si>
  <si>
    <t>Windenergie grootverbruikersaansluiting</t>
  </si>
  <si>
    <t>Windenergie kleinverbruikersaansluiting</t>
  </si>
  <si>
    <t>Vervolgkeuzelijst</t>
  </si>
  <si>
    <t>Onderbouwing energieopbrengst</t>
  </si>
  <si>
    <t>Categorie SCE</t>
  </si>
  <si>
    <t>Vermogen productie-installatie (kWh)</t>
  </si>
  <si>
    <t>MW</t>
  </si>
  <si>
    <t>Vermogen van de productie-installatie (kW)</t>
  </si>
  <si>
    <t>Basisbedrag</t>
  </si>
  <si>
    <t>Basisprijs Zon-PV niet-netlevering</t>
  </si>
  <si>
    <t>Basisprijs generiek (bij zon-PV grootverbruikersaansluiting netlevering)</t>
  </si>
  <si>
    <t>Tekst energieopbrengsberekening</t>
  </si>
  <si>
    <t xml:space="preserve">Basisbedrag (€/kWh) </t>
  </si>
  <si>
    <t>Operationele kosten (exclusief afschrijving, rente en belasting) (€)</t>
  </si>
  <si>
    <t xml:space="preserve">Dit model is bedoeld ter onderbouwing van de financiële en economische haalbaarheid voor SCE-projecten. U voegt de haalbaarheidsstudie toe bij de aanvraag.    </t>
  </si>
  <si>
    <t xml:space="preserve">Energieproductie </t>
  </si>
  <si>
    <r>
      <t xml:space="preserve">In het tabblad  'Energieproductie' wordt u gevraagd voor de </t>
    </r>
    <r>
      <rPr>
        <u/>
        <sz val="10"/>
        <rFont val="Arial"/>
        <family val="2"/>
      </rPr>
      <t>betreffende aanvraag</t>
    </r>
    <r>
      <rPr>
        <sz val="10"/>
        <rFont val="Arial"/>
        <family val="2"/>
      </rPr>
      <t xml:space="preserve"> een omschrijving van de beoogde productie-installatie te geven met een energieopbrengstberekening.</t>
    </r>
  </si>
  <si>
    <t xml:space="preserve">Als u de tabbladen 'Financiering en projectplan', 'Energieproductie' en 'Exploitatieberekening' volledig hebt ingevuld, </t>
  </si>
  <si>
    <t>In het tabblad  'Exploitatieberekening' zijn een aantal kentallen reeds ingevuld als u de tabbladen 'Financiering en projectplan' en 'Energieproductie' hebt ingevuld.</t>
  </si>
  <si>
    <t xml:space="preserve">De tabbladen van dit model haalbaarheidsstudie zijn aan elkaar gekoppeld. U vult eerst het tabblad 'Financiering en projectplan' in, daarna het tabblad 'Energieproductie' en tenslotte het tabblad  'Exploitatieberekening'. </t>
  </si>
  <si>
    <t>Optionele niet verplichte bijlagen voor sterkere haalbaarheidsstudie</t>
  </si>
  <si>
    <t>Totale operationele kosten (exclusief afschrijving, rente en, belasting)(€)</t>
  </si>
  <si>
    <t xml:space="preserve">Onderbouwing financiering voor de productie-installatie(s)  </t>
  </si>
  <si>
    <t>Verplichte energie-opbrengsberekening</t>
  </si>
  <si>
    <t>U vraagt subsidie aan voor een productie-installatie van ten hoogste 100 kW in de categorie windenergie. Ter onderbouwing van de jaarlijks te verwachten energieproductie (netto P50-waarde) kunt u een berekening toevoegen van de jaarlijks verwachte energieproductie op uw locatie aan de hand van de globale lokale windgegevens en de productgegevens van uw beoogde windturbine(s).</t>
  </si>
  <si>
    <t>De 'Handleiding haalbaarheidsstudie SCE' vindt u op rvo.nl/subsidie-en-financieringswijzer/sce.</t>
  </si>
  <si>
    <t>Vermogen van de productie-installatie (kWp)</t>
  </si>
  <si>
    <t>Tekst vermogen van de productie-installatie in kW of kWp</t>
  </si>
  <si>
    <t>Tekst vermogen van de productie-installatie in MW of MWp</t>
  </si>
  <si>
    <t>MWp</t>
  </si>
  <si>
    <t>Maximaal vermogen per deelnemend lid</t>
  </si>
  <si>
    <t>Berekening minimaal aantal deelnemende leden</t>
  </si>
  <si>
    <t>Afgerond naar boven</t>
  </si>
  <si>
    <t>BTW-verrekening</t>
  </si>
  <si>
    <t>Kan de aanvrager de BTW verrekenen?</t>
  </si>
  <si>
    <t>Vraag BTW-verrekening</t>
  </si>
  <si>
    <t>Antwoord btw-verrekening (1 =ja, 2 = nee)</t>
  </si>
  <si>
    <t>Vraag energiecoöpeartie of VvE</t>
  </si>
  <si>
    <t>Energiecoöperatie</t>
  </si>
  <si>
    <t>Vereniging van eigenaren (VvE)</t>
  </si>
  <si>
    <t>Vervolgvraag VvE</t>
  </si>
  <si>
    <t>Algemene gegevens aanvrager</t>
  </si>
  <si>
    <t>Tekstblok benodigde deelnemende leden</t>
  </si>
  <si>
    <t>Windenergie kleinverbruikersaansluiting (≤ 3 x 80 A), ≥ 15 kW en ≤ 100 kW</t>
  </si>
  <si>
    <t xml:space="preserve">U vraagt subsidie aan voor een productie-installatie groter dan 100 kW. Ter onderbouwing van de jaarlijks te verwachten energieproductie (netto P50-waarde) moet u een windenergie-opbrengstberekening meesturen. Aan dit onderzoek worden nadere eisen gesteld. Meer informatie vindt u in de 'Handleiding haalbaarheidstudie SCE’. </t>
  </si>
  <si>
    <t>Vraag rentedragende lening deelnemers energiecoöperatie</t>
  </si>
  <si>
    <t>Vraag aflossingsvorm lening vreemd vermogen</t>
  </si>
  <si>
    <t>Rentelasten lineaire lening deelnemers energiecoöperatie</t>
  </si>
  <si>
    <t>Aflossingen lineaire lening deelnemers energiecoöperatie</t>
  </si>
  <si>
    <t>Openstaande leensom lineaire lening deelnemers energiecoöperatie</t>
  </si>
  <si>
    <t>Heeft u nog niet gerealiseerde installaties uit een eerdere ronde waarvoor u reeds subsidie is verleend?</t>
  </si>
  <si>
    <t>Vraag subsidieverlening eerdere SCE-ronde</t>
  </si>
  <si>
    <t>Antwoord (1 = Ja, 2 = Nee)</t>
  </si>
  <si>
    <t xml:space="preserve">Houdt u er verder rekening mee dat installaties met een grootverbruikersaansluiting een additioneel gecontracteerd terugleververmogen mogen hebben van maximaal 50% van het gezamenlijke piekvermogen van de zonnepanelen. </t>
  </si>
  <si>
    <t xml:space="preserve">Voeg een plattegrond met intekening van de zonnepanelen toe. </t>
  </si>
  <si>
    <t xml:space="preserve">Ter onderbouwing van de jaarlijks te verwachten energieproductie (netto P50-waarde) moet u een windenergie-opbrengstberekening meesturen. Aan dit onderzoek worden nadere eisen gesteld. Meer informatie vindt u in de 'Handleiding haalbaarheidstudie SCE’. </t>
  </si>
  <si>
    <t>Voeg een windenergie-opbrengstberekening toe.</t>
  </si>
  <si>
    <t>Gewogen gemiddelde DSCR berekening afhankelijk van looptijd lening</t>
  </si>
  <si>
    <t>Looptijd lening</t>
  </si>
  <si>
    <t>Waarde DSCR</t>
  </si>
  <si>
    <t>Tabblad Energieproductie</t>
  </si>
  <si>
    <t>u</t>
  </si>
  <si>
    <t>v</t>
  </si>
  <si>
    <t>w</t>
  </si>
  <si>
    <t>o</t>
  </si>
  <si>
    <t>p</t>
  </si>
  <si>
    <t>q</t>
  </si>
  <si>
    <t>r</t>
  </si>
  <si>
    <t>s</t>
  </si>
  <si>
    <t>t</t>
  </si>
  <si>
    <t>x</t>
  </si>
  <si>
    <t>y</t>
  </si>
  <si>
    <t>z</t>
  </si>
  <si>
    <t>aa</t>
  </si>
  <si>
    <t>ab</t>
  </si>
  <si>
    <t>ac</t>
  </si>
  <si>
    <t>ad</t>
  </si>
  <si>
    <t>ae</t>
  </si>
  <si>
    <t>af</t>
  </si>
  <si>
    <t>ag</t>
  </si>
  <si>
    <t>ah</t>
  </si>
  <si>
    <t>Sommatie van kolommen op exploitatieblad van O t/m XX</t>
  </si>
  <si>
    <t>Antwoord (1 = energiecoöperatie, 2= energiecoorperatie met project BV, 3 = VvE)</t>
  </si>
  <si>
    <t>Energiecoöperatie met project BV</t>
  </si>
  <si>
    <t>Is de aanvrager een Energiecoöperatie (met project BV) of een Vereniging van Eigenaren?</t>
  </si>
  <si>
    <t xml:space="preserve">Verplichte bijlagen haalbaarheidsstudie </t>
  </si>
  <si>
    <t>Verplichte bijlage behorende bij energieproductie</t>
  </si>
  <si>
    <t>Verplichte bijlage behorende bij energiecoörperatie met project BV</t>
  </si>
  <si>
    <t>Om te voldoen aan de natuurinclusief eisen dient de open ruimte tussen de tafels met zonnepanelen, van bovenaf gezien, minimaal 25% te bedragen. Daarnaast kunt u alleen voor de categorie natuurinclusief aanvragen als de vergunning die op grond van de Omgevingswet noodzakelijk is voor de realisatie van de productie-installatie de volgende voorwaarde bevat dat:
a. er van bovenaf gezien minimaal 25% open ruimte tussen de tafels met zonnepanelen aanwezig is;
b. er een inrichtingsplan en beheerplan is dat ten doel heeft om verslechtering van de bodemkwaliteit, waterkwaliteit en ecologische kwaliteit gedurende de subsidieperiode te voorkomen; 
c. de subsidie-ontvanger de effecten van de productie-installatie op de bodemkwaliteit, waterkwaliteit en biodiversiteit monitort en, indien nodig, aanvullende maatregelen neemt om verslechtering van de bodemkwaliteit, waterkwaliteit en ecologische kwaliteit gedurende de subsidieperiode te voorkomen; en 
d. de subsidie-ontvanger een nulmeting uitvoert om de huidige waarde van de bodemkwaliteit, de waterkwaliteit en de ecologische kwaliteit vast te stellen.</t>
  </si>
  <si>
    <t>Aanvullende teksten dakverklaring of 
natuurinclusief-eisen</t>
  </si>
  <si>
    <t xml:space="preserve">Marktprijs PBL gecorrigeerd voor degradatiefactor in vollasturen zonnepanelen (690/740) </t>
  </si>
  <si>
    <t>Windenergie grootverbruikersaansluiting (&gt; 3 x 80 A), ≥ 15 kW en ≤ 1 MW, ≥ 7,5 en &lt; 8,0 m/s</t>
  </si>
  <si>
    <t>Windenergie grootverbruikersaansluiting (&gt; 3 x 80 A), ≥ 15 kW en ≤ 1 MW, ≥ 7,0 en &lt; 7,5 m/s</t>
  </si>
  <si>
    <t>Windenergie grootverbruikersaansluiting (&gt; 3 x 80 A), ≥ 15 kW en ≤ 1 MW, ≥ 6,75 en &lt; 7,0 m/s</t>
  </si>
  <si>
    <t>Windenergie grootverbruikersaansluiting (&gt; 3 x 80 A), ≥ 15 kW en ≤ 1 MW, &lt; 6,75 m/s</t>
  </si>
  <si>
    <t>Windenergie grootverbruikersaansluiting (&gt; 3 x 80 A), &gt; 1 MW en ≤ 6 MW, ≥ 7,5 en &lt; 8,0 m/s</t>
  </si>
  <si>
    <t>Windenergie grootverbruikersaansluiting (&gt; 3 x 80 A), &gt; 1 MW en ≤ 6 MW, ≥ 7,0 en &lt; 7,5 m/s</t>
  </si>
  <si>
    <t>Windenergie grootverbruikersaansluiting (&gt; 3 x 80 A), &gt; 1 MW en ≤ 6 MW, ≥ 6,75 en &lt; 7,0 m/s</t>
  </si>
  <si>
    <t>Windenergie grootverbruikersaansluiting (&gt; 3 x 80 A), &gt; 1 MW en ≤ 6 MW, &lt; 6,75 m/s</t>
  </si>
  <si>
    <t>Exploitatieduur PBL</t>
  </si>
  <si>
    <t>15 of 20</t>
  </si>
  <si>
    <t>Exploitatielooptijd (conform PBL-advies)</t>
  </si>
  <si>
    <t>Minimum vermogen</t>
  </si>
  <si>
    <t>Maximum vermogen</t>
  </si>
  <si>
    <t xml:space="preserve">Basisprijs 
</t>
  </si>
  <si>
    <t>Opbrengsten energieafnemer (€)</t>
  </si>
  <si>
    <t>Jaarproductie (kWh)</t>
  </si>
  <si>
    <t>Elektriciteit niet-netlevering (eigen gebruik)</t>
  </si>
  <si>
    <t>Elektriciteit netlevering</t>
  </si>
  <si>
    <t>Voorlopig correctie-bedrag incl. GVO (€/kWh)</t>
  </si>
  <si>
    <t>Prijsindexatie correctiebedrag (%)</t>
  </si>
  <si>
    <t>Opbrengsten SCE (€)</t>
  </si>
  <si>
    <t>Totale opbrengsten (€)</t>
  </si>
  <si>
    <r>
      <t>Martktwaarde (€</t>
    </r>
    <r>
      <rPr>
        <sz val="10"/>
        <rFont val="Calibri"/>
        <family val="2"/>
      </rPr>
      <t>/kWh</t>
    </r>
    <r>
      <rPr>
        <sz val="10"/>
        <rFont val="Arial"/>
        <family val="2"/>
      </rPr>
      <t>)</t>
    </r>
  </si>
  <si>
    <r>
      <t>Totaal verwachte opbrengst energie (vermeden inkoop en/of terugleververgoeding) (</t>
    </r>
    <r>
      <rPr>
        <b/>
        <sz val="10"/>
        <rFont val="Calibri"/>
        <family val="2"/>
      </rPr>
      <t>€</t>
    </r>
    <r>
      <rPr>
        <b/>
        <sz val="10"/>
        <rFont val="Arial"/>
        <family val="2"/>
      </rPr>
      <t>)</t>
    </r>
  </si>
  <si>
    <r>
      <t>Totaal verwachte opbrengst SCE (€</t>
    </r>
    <r>
      <rPr>
        <b/>
        <sz val="10"/>
        <rFont val="Calibri"/>
        <family val="2"/>
      </rPr>
      <t>)</t>
    </r>
  </si>
  <si>
    <t>Opbrengsten</t>
  </si>
  <si>
    <t>Degradatie factor
jaar 16-20</t>
  </si>
  <si>
    <t>n.v.t.</t>
  </si>
  <si>
    <t>Opbrengst jaar 16-20 (niet in gebruik in deze haalbaarheidsstudie)</t>
  </si>
  <si>
    <t>Prijsindexatie marktwaarde (%)</t>
  </si>
  <si>
    <t>Model haalbaarheidsstudie SCE 2026</t>
  </si>
  <si>
    <t>Windenergie grootverbruikersaansluiting (&gt; 3 x 80 A), ≥ 15 kW en ≤ 1 MW, ≥ 8,0 m/s</t>
  </si>
  <si>
    <t>Windenergie grootverbruikersaansluiting (&gt; 3 x 80 A), &gt; 1 MW en ≤ 6 MW, ≥ 8,0 m/s</t>
  </si>
  <si>
    <t>Zon-PV kleinverbruikersaansluiting</t>
  </si>
  <si>
    <t>Zon-PV grootverbruikersaansluiting</t>
  </si>
  <si>
    <t xml:space="preserve">Voorlopig correctiebedrag 2026 (PBL-variant b, prijs berekend over alle niet negatieve uren) </t>
  </si>
  <si>
    <t xml:space="preserve">Zon-PV ≥ 15 kWp en ≤ 100 kWp, kleinverbruikersaansluiting </t>
  </si>
  <si>
    <t xml:space="preserve">Zon-PV gebouwgebonden ≥ 1 MWp en ≤ 6 MWp, grootverbruikersaansluiting en max. 50% terugleververmogen </t>
  </si>
  <si>
    <t xml:space="preserve">Zon-PV grondgebonden natuurinclusief ≥ 1 MWp en ≤ 6 MWp, grootverbruikersaansluiting en max. 50% terugleververmogen </t>
  </si>
  <si>
    <r>
      <t xml:space="preserve">Niet-verplichte energie-opbrengstberekening
</t>
    </r>
    <r>
      <rPr>
        <sz val="14"/>
        <rFont val="Arial"/>
        <family val="2"/>
      </rPr>
      <t>(Niet meer van toepassing)</t>
    </r>
  </si>
  <si>
    <r>
      <t xml:space="preserve">Rente o.b.v. PBL-advies
</t>
    </r>
    <r>
      <rPr>
        <sz val="14"/>
        <rFont val="Arial"/>
        <family val="2"/>
      </rPr>
      <t>(voor deze SCE-ronde worden geen default waarden vooringevuld)</t>
    </r>
  </si>
  <si>
    <t xml:space="preserve">Voeg een plattegrond met intekening van de zonnepanelen toe. Indien de zonnepanelen op een dak of aan een gevel worden geïnstalleerd, voegt u een ingevulde "Verklaring geschiktheid dak of gevel" toe. </t>
  </si>
  <si>
    <t xml:space="preserve">Voeg een plattegrond met intekening van de zonnepanelen en een ingevulde "Verklaring van een constructeur" toe. </t>
  </si>
  <si>
    <t xml:space="preserve">Omdat u subsidie aanvraagt voor een categorie gebouwgebonden zon-PV-installatie waarbij het dak van een bestaand gebouw constructief moet worden aangepast of een draagconstructie moet worden toegepast die het dak ontlast en waarbij deze constructieve dakaanpassing of draagconstructie noodzakelijk is voor de realisatie van de productie-installatie, danwel bij het gebruik van het dak van een bestaand gebouw gebruik zal worden gemaakt van een productie-installatie met een maximaal gewicht van 10 kilogram per vierkante meter met zonnepanelen bedekt dakoppervlak wordt u  gevraagd toe te lichten welke aanpassing u gaat doen aan het dak om de plaatsing van de zon-PV-installatie mogelijk te maken tegen welke kosten. Of als u lichtgewicht zonnepanelen gaat plaatsen een onderbouwing van de kosten van de lichtgewichtpanelen. Het is belangrijk dat u aannemelijk maakt dat ook bij deze extra investeringskosten het project economisch haalbaar is. 
Daarbij bent u verplicht een 'Verklaring van een constructeur' bij uw aanvraag te voegen (het model vindt u op de website van RVO). In de verklaring vult de constructeur in wat er aan de constructie moet worden aangepast om deze geschikt te maken. 
Ten slotte wordt u gevraagd om een gedetailleerde tekening op schaal waarop de aangevraagde zon-PV-installatie nauwkeurig op de beoogde locatie is ingetekend, toe te voegen. Zijn of komen er op de beoogde locatie meer installaties, dan geeft u dit duidelijk aan. Uit de intekening moet ook de oriëntatie van de installatie blijken. Bereken het beschikbare dakoppervlak en houd rekening met lichtstraten en klimaatinstallaties die op het dak staan. 
</t>
  </si>
  <si>
    <t xml:space="preserve">Omdat u subsidie aanvraagt voor een categorie gebouwgebonden zon-PV-installatie waarbij het dak van een bestaand gebouw constructief moet worden aangepast of een draagconstructie moet worden toegepast die het dak ontlast en waarbij deze constructieve dakaanpassing of draagconstructie noodzakelijk is voor de realisatie van de productie-installatie, danwel bij het gebruik van het dak van een bestaand gebouw gebruik zal worden gemaakt van een productie-installatie met een maximaal gewicht van 10 kilogram per vierkante meter met zonnepanelen bedekt dakoppervlak wordt u  gevraagd toe te lichten welke aanpassing u gaat doen aan het dak om de plaatsing van de zon-PV-installatie mogelijk te maken tegen welke kosten. Of als u lichtgewicht zonnepanelen gaat plaatsen een onderbouwing van de kosten van de lichtgewichtpanelen. Het is belangrijk dat u aannemelijk maakt dat ook bij deze extra investeringskosten het project economisch haalbaar is. 
Daarbij bent u verplicht een 'Verklaring van een constructeur' bij uw aanvraag te voegen (het model vindt u op de website van RVO). In de verklaring vult de constructeur in wat er aan de constructie moet worden aangepast om deze geschikt te maken. 
Ten slotte wordt u gevraagd om een gedetailleerde tekening op schaal waarop de aangevraagde zon-PV-installatie nauwkeurig op de beoogde locatie is ingetekend, toe te voegen. Zijn of komen er op de beoogde locatie meer installaties, dan geeft u dit duidelijk aan. Uit de intekening moet ook de oriëntatie van de installatie blijken. Bereken het beschikbare dakoppervlak en houd rekening met lichtstraten en klimaatinstallaties die op het dak staan. 
</t>
  </si>
  <si>
    <t>U wordt gevraagd om een gedetailleerde tekening op schaal waarop de aangevraagde zon-PV-installatie nauwkeurig op de beoogde locatie is ingetekend, toe te voegen. Zijn of komen er op de beoogde locatie meer installaties, dan geeft u dit duidelijk aan. Uit de intekening moet ook de oriëntatie van de installatie blijken. 
Bij een gebouwgebonden zon-PV-installatie berekent u het beschikbare dakoppervlak en houdt u rekening met lichtstraten en klimaatinstallaties die op het dak staan en voegt u een "Verklaring geschiktheid dak of gevel" bij uw aanvraag. Het verplichte format is beschikbaar is op www.rvo.nl.  Uit deze verklaring moet blijken dat het dak of de gevel geschikt is of wordt gemaakt voor het plaatsen van de zonnepanelen. 
Bij een grondgebonden zon-PV-installatie zijn natuurinclusief eisen van toepassing.
Om te voldoen aan de natuurinclusief eisen dient de open ruimte tussen de tafels met zonnepanelen, van bovenaf gezien, minimaal 25% te bedragen. Daarnaast kunt u alleen voor de categorie natuurinclusief aanvragen als de vergunning die op grond van de Omgevingswet noodzakelijk is voor de realisatie van de productie-installatie de volgende voorwaarde bevat dat:
a. er van bovenaf gezien minimaal 25% open ruimte tussen de tafels met zonnepanelen aanwezig is;
b. er een inrichtingsplan en beheerplan is dat ten doel heeft om verslechtering van de bodemkwaliteit, waterkwaliteit en ecologische kwaliteit gedurende de subsidieperiode te voorkomen; 
c. de subsidie-ontvanger de effecten van de productie-installatie op de bodemkwaliteit, waterkwaliteit en biodiversiteit monitort en, indien nodig, aanvullende maatregelen neemt om verslechtering van de bodemkwaliteit, waterkwaliteit en ecologische kwaliteit gedurende de subsidieperiode te voorkomen; en 
d. de subsidie-ontvanger een nulmeting uitvoert om de huidige waarde van de bodemkwaliteit, de waterkwaliteit en de ecologische kwaliteit vast te stellen.</t>
  </si>
  <si>
    <t xml:space="preserve">U wordt gevraagd om een gedetailleerde tekening op schaal waarop de aangevraagde zon-PV-installatie nauwkeurig op de beoogde locatie is ingetekend, toe te voegen. Zijn of komen er op de beoogde locatie meer installaties, dan geeft u dit duidelijk aan. Uit de intekening moet ook de oriëntatie van de installatie blijken. Bereken het beschikbare dakoppervlak en houd rekening met lichtstraten en klimaatinstallaties die op het dak staan. 
Ten slotte bent u verplicht om het ‘Verklaring van een constructeur’ bij uw aanvraag te voegen (het model vindt u op de website van RVO). Hierin moet een constructeur een verklaring geven over de belastbaarheid van het dak of de gevel volgens het Besluit bouwwerken leefomgeving. Het onderzoek laat u uitvoeren en ondertekenen door een constructeur.  Reden voor het invoeren van deze eis is dat de realisatie van gebouw gebonden projecten achterblijft op de verwachting. Eén van de meest aangegeven redenen hiervoor is dat na het ontvangen van een beschikking het dak alsnog niet geschikt blijkt en de kosten om het dak geschikt te maken te hoog zijn. </t>
  </si>
  <si>
    <t xml:space="preserve">U wordt gevraagd om een gedetailleerde tekening op schaal waarop de aangevraagde zon-PV-installatie nauwkeurig op de beoogde locatie is ingetekend, toe te voegen. Zijn of komen er op de beoogde locatie meer installaties, dan geeft u dit duidelijk aan. Uit de intekening moet ook de oriëntatie van de installatie blijken. </t>
  </si>
  <si>
    <t xml:space="preserve">Zon-PV ≥ 15 kWp en &lt; 1 MWp, grootverbruikersaansluiting en max. 50% terugleververmogen </t>
  </si>
  <si>
    <t xml:space="preserve">Zon-PV drijvend op water ≥ 1 MWp en ≤ 6 MWp, grootverbruikersaansluiting en max. 50% terugleververmogen </t>
  </si>
  <si>
    <t>Zon-PV gebouwgebonden met dakaanpassing of lichtgewicht panelen ≥ 15 kWp en ≤ 100 kWp, kleinverbruikersaansluiting</t>
  </si>
  <si>
    <t xml:space="preserve">Zon-PV gebouwgebonden met dakaanpassing of lichtgewicht panelen ≥ 15 kWp en &lt; 1 MWp, grootverbruikersaansluiting en max. 50% terugleververmogen </t>
  </si>
  <si>
    <t xml:space="preserve">Zon-PV gebouwgebonden met dakaanpassing of lichtgewicht panelen ≥ 1 MWp en ≤ 6 MWp, grootverbruikersaansluiting en max. 50% terugleververmogen </t>
  </si>
  <si>
    <r>
      <rPr>
        <b/>
        <sz val="12"/>
        <rFont val="Arial"/>
        <family val="2"/>
      </rPr>
      <t xml:space="preserve">Versie 2, februari 2026 </t>
    </r>
    <r>
      <rPr>
        <b/>
        <i/>
        <sz val="12"/>
        <rFont val="Arial"/>
        <family val="2"/>
      </rPr>
      <t xml:space="preserve">
(enkele basisbedragen wind zijn verlaagd conform Openstellngsbesluit SCE2026)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</si>
</sst>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
    <numFmt numFmtId="166" formatCode="_-* #,##0_-;_-* #,##0\-;_-* &quot;-&quot;??_-;_-@_-"/>
    <numFmt numFmtId="167" formatCode="0.0%"/>
    <numFmt numFmtId="168" formatCode="0.0000"/>
    <numFmt numFmtId="169" formatCode="0.000"/>
    <numFmt numFmtId="170" formatCode="#,##0.000"/>
    <numFmt numFmtId="171" formatCode="0.0"/>
  </numFmts>
  <fonts count="40" x14ac:knownFonts="1">
    <font>
      <sz val="10"/>
      <name val="Arial"/>
    </font>
    <font>
      <sz val="10"/>
      <name val="Arial"/>
      <family val="2"/>
    </font>
    <font>
      <b/>
      <sz val="10"/>
      <name val="Arial"/>
      <family val="2"/>
    </font>
    <font>
      <b/>
      <sz val="12"/>
      <name val="Arial"/>
      <family val="2"/>
    </font>
    <font>
      <b/>
      <sz val="36"/>
      <name val="Arial"/>
      <family val="2"/>
    </font>
    <font>
      <b/>
      <sz val="16"/>
      <name val="Arial"/>
      <family val="2"/>
    </font>
    <font>
      <sz val="12"/>
      <name val="Arial"/>
      <family val="2"/>
    </font>
    <font>
      <sz val="10"/>
      <name val="Arial"/>
      <family val="2"/>
    </font>
    <font>
      <b/>
      <sz val="28"/>
      <name val="Arial"/>
      <family val="2"/>
    </font>
    <font>
      <b/>
      <sz val="14"/>
      <name val="Arial"/>
      <family val="2"/>
    </font>
    <font>
      <sz val="10"/>
      <name val="Calibri"/>
      <family val="2"/>
    </font>
    <font>
      <b/>
      <sz val="10"/>
      <name val="Calibri"/>
      <family val="2"/>
    </font>
    <font>
      <b/>
      <u/>
      <sz val="10"/>
      <name val="Arial"/>
      <family val="2"/>
    </font>
    <font>
      <sz val="9"/>
      <name val="Arial"/>
      <family val="2"/>
    </font>
    <font>
      <sz val="8"/>
      <color indexed="81"/>
      <name val="Tahoma"/>
      <family val="2"/>
    </font>
    <font>
      <b/>
      <sz val="8"/>
      <color indexed="81"/>
      <name val="Tahoma"/>
      <family val="2"/>
    </font>
    <font>
      <u/>
      <sz val="10"/>
      <name val="Arial"/>
      <family val="2"/>
    </font>
    <font>
      <b/>
      <i/>
      <sz val="10"/>
      <name val="Arial"/>
      <family val="2"/>
    </font>
    <font>
      <b/>
      <sz val="11"/>
      <name val="Arial"/>
      <family val="2"/>
    </font>
    <font>
      <sz val="10"/>
      <color indexed="8"/>
      <name val="Arial"/>
      <family val="2"/>
    </font>
    <font>
      <sz val="8"/>
      <name val="Arial"/>
      <family val="2"/>
    </font>
    <font>
      <sz val="11"/>
      <name val="Arial"/>
      <family val="2"/>
    </font>
    <font>
      <sz val="9"/>
      <color indexed="81"/>
      <name val="Tahoma"/>
      <family val="2"/>
    </font>
    <font>
      <b/>
      <sz val="9"/>
      <color indexed="81"/>
      <name val="Tahoma"/>
      <family val="2"/>
    </font>
    <font>
      <sz val="8"/>
      <name val="Arial"/>
      <family val="2"/>
    </font>
    <font>
      <sz val="14"/>
      <name val="Arial"/>
      <family val="2"/>
    </font>
    <font>
      <u/>
      <sz val="10"/>
      <color theme="10"/>
      <name val="Arial"/>
      <family val="2"/>
    </font>
    <font>
      <sz val="10"/>
      <color theme="1"/>
      <name val="Arial"/>
      <family val="2"/>
    </font>
    <font>
      <b/>
      <sz val="10"/>
      <color rgb="FFFF0000"/>
      <name val="Arial"/>
      <family val="2"/>
    </font>
    <font>
      <sz val="10"/>
      <color rgb="FFFF0000"/>
      <name val="Arial"/>
      <family val="2"/>
    </font>
    <font>
      <sz val="12"/>
      <color rgb="FFFFC000"/>
      <name val="Arial"/>
      <family val="2"/>
    </font>
    <font>
      <b/>
      <sz val="12"/>
      <color rgb="FFFFC000"/>
      <name val="Arial"/>
      <family val="2"/>
    </font>
    <font>
      <b/>
      <sz val="20"/>
      <color rgb="FFFF0000"/>
      <name val="Arial"/>
      <family val="2"/>
    </font>
    <font>
      <b/>
      <sz val="12"/>
      <color rgb="FFFF0000"/>
      <name val="Arial"/>
      <family val="2"/>
    </font>
    <font>
      <b/>
      <sz val="14"/>
      <color rgb="FFFF0000"/>
      <name val="Arial"/>
      <family val="2"/>
    </font>
    <font>
      <sz val="10"/>
      <color rgb="FF7030A0"/>
      <name val="Arial"/>
      <family val="2"/>
    </font>
    <font>
      <b/>
      <sz val="10"/>
      <color rgb="FF7030A0"/>
      <name val="Arial"/>
      <family val="2"/>
    </font>
    <font>
      <sz val="10"/>
      <color rgb="FFB7DEE8"/>
      <name val="Arial"/>
      <family val="2"/>
    </font>
    <font>
      <b/>
      <sz val="10"/>
      <color theme="1"/>
      <name val="Arial"/>
      <family val="2"/>
    </font>
    <font>
      <b/>
      <i/>
      <sz val="12"/>
      <name val="Arial"/>
      <family val="2"/>
    </font>
  </fonts>
  <fills count="7">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theme="0"/>
        <bgColor indexed="64"/>
      </patternFill>
    </fill>
    <fill>
      <patternFill patternType="solid">
        <fgColor rgb="FFB7DEE8"/>
        <bgColor indexed="64"/>
      </patternFill>
    </fill>
    <fill>
      <patternFill patternType="solid">
        <fgColor rgb="FF92D050"/>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26" fillId="0" borderId="0" applyNumberFormat="0" applyFill="0" applyBorder="0" applyAlignment="0" applyProtection="0"/>
    <xf numFmtId="164" fontId="27" fillId="0" borderId="0" applyFont="0" applyFill="0" applyBorder="0" applyAlignment="0" applyProtection="0"/>
    <xf numFmtId="0" fontId="7" fillId="0" borderId="0"/>
    <xf numFmtId="9" fontId="1" fillId="0" borderId="0" applyFont="0" applyFill="0" applyBorder="0" applyAlignment="0" applyProtection="0"/>
    <xf numFmtId="0" fontId="27" fillId="0" borderId="0"/>
  </cellStyleXfs>
  <cellXfs count="441">
    <xf numFmtId="0" fontId="0" fillId="0" borderId="0" xfId="0"/>
    <xf numFmtId="0" fontId="3" fillId="2" borderId="1" xfId="0" applyFont="1" applyFill="1" applyBorder="1" applyAlignment="1">
      <alignment vertical="center"/>
    </xf>
    <xf numFmtId="0" fontId="2" fillId="2" borderId="2" xfId="0" applyFont="1" applyFill="1" applyBorder="1"/>
    <xf numFmtId="0" fontId="0" fillId="2" borderId="2" xfId="0" applyFill="1" applyBorder="1"/>
    <xf numFmtId="0" fontId="8" fillId="3" borderId="0" xfId="0" applyFont="1" applyFill="1" applyAlignment="1">
      <alignment vertical="center"/>
    </xf>
    <xf numFmtId="0" fontId="0" fillId="3" borderId="0" xfId="0" applyFill="1"/>
    <xf numFmtId="0" fontId="7" fillId="3" borderId="0" xfId="0" applyFont="1" applyFill="1"/>
    <xf numFmtId="0" fontId="2" fillId="3" borderId="0" xfId="0" applyFont="1" applyFill="1"/>
    <xf numFmtId="0" fontId="4" fillId="3" borderId="0" xfId="0" applyFont="1" applyFill="1"/>
    <xf numFmtId="0" fontId="9" fillId="3" borderId="0" xfId="0" applyFont="1" applyFill="1"/>
    <xf numFmtId="0" fontId="5" fillId="3" borderId="0" xfId="0" applyFont="1" applyFill="1"/>
    <xf numFmtId="165" fontId="0" fillId="3" borderId="0" xfId="0" applyNumberFormat="1" applyFill="1"/>
    <xf numFmtId="3" fontId="2" fillId="3" borderId="0" xfId="0" applyNumberFormat="1" applyFont="1" applyFill="1"/>
    <xf numFmtId="165" fontId="2" fillId="3" borderId="0" xfId="0" applyNumberFormat="1" applyFont="1" applyFill="1"/>
    <xf numFmtId="0" fontId="12" fillId="3" borderId="0" xfId="0" applyFont="1" applyFill="1"/>
    <xf numFmtId="3" fontId="0" fillId="3" borderId="0" xfId="0" applyNumberFormat="1" applyFill="1"/>
    <xf numFmtId="169" fontId="0" fillId="3" borderId="0" xfId="0" applyNumberFormat="1" applyFill="1"/>
    <xf numFmtId="0" fontId="28" fillId="3" borderId="0" xfId="0" applyFont="1" applyFill="1"/>
    <xf numFmtId="1" fontId="0" fillId="3" borderId="0" xfId="0" applyNumberFormat="1" applyFill="1" applyAlignment="1">
      <alignment horizontal="left"/>
    </xf>
    <xf numFmtId="1" fontId="0" fillId="3" borderId="0" xfId="0" applyNumberFormat="1" applyFill="1"/>
    <xf numFmtId="0" fontId="29" fillId="3" borderId="0" xfId="0" applyFont="1" applyFill="1"/>
    <xf numFmtId="3" fontId="6" fillId="3" borderId="0" xfId="0" applyNumberFormat="1" applyFont="1" applyFill="1" applyAlignment="1">
      <alignment vertical="center"/>
    </xf>
    <xf numFmtId="3" fontId="3" fillId="3" borderId="0" xfId="4" applyNumberFormat="1" applyFont="1" applyFill="1" applyBorder="1" applyAlignment="1" applyProtection="1">
      <alignment vertical="center"/>
    </xf>
    <xf numFmtId="3" fontId="0" fillId="4" borderId="3" xfId="0" applyNumberFormat="1" applyFill="1" applyBorder="1" applyProtection="1">
      <protection locked="0"/>
    </xf>
    <xf numFmtId="3" fontId="0" fillId="4" borderId="4" xfId="0" applyNumberFormat="1" applyFill="1" applyBorder="1" applyProtection="1">
      <protection locked="0"/>
    </xf>
    <xf numFmtId="3" fontId="0" fillId="4" borderId="5" xfId="0" applyNumberFormat="1" applyFill="1" applyBorder="1" applyProtection="1">
      <protection locked="0"/>
    </xf>
    <xf numFmtId="0" fontId="30" fillId="2" borderId="2" xfId="0" applyFont="1" applyFill="1" applyBorder="1" applyAlignment="1">
      <alignment vertical="center"/>
    </xf>
    <xf numFmtId="0" fontId="3" fillId="2" borderId="2" xfId="0" applyFont="1" applyFill="1" applyBorder="1" applyAlignment="1">
      <alignment vertical="center"/>
    </xf>
    <xf numFmtId="10" fontId="0" fillId="4" borderId="7" xfId="0" applyNumberFormat="1" applyFill="1" applyBorder="1" applyProtection="1">
      <protection locked="0"/>
    </xf>
    <xf numFmtId="0" fontId="31" fillId="2" borderId="2" xfId="0" applyFont="1" applyFill="1" applyBorder="1" applyAlignment="1">
      <alignment vertical="center"/>
    </xf>
    <xf numFmtId="49" fontId="0" fillId="3" borderId="0" xfId="0" applyNumberFormat="1" applyFill="1"/>
    <xf numFmtId="3" fontId="0" fillId="4" borderId="7" xfId="0" applyNumberFormat="1" applyFill="1" applyBorder="1" applyProtection="1">
      <protection locked="0"/>
    </xf>
    <xf numFmtId="0" fontId="13" fillId="3" borderId="0" xfId="0" applyFont="1" applyFill="1"/>
    <xf numFmtId="49" fontId="2" fillId="3" borderId="0" xfId="0" applyNumberFormat="1" applyFont="1" applyFill="1"/>
    <xf numFmtId="165" fontId="28" fillId="3" borderId="0" xfId="0" applyNumberFormat="1" applyFont="1" applyFill="1"/>
    <xf numFmtId="0" fontId="9" fillId="3" borderId="0" xfId="0" applyFont="1" applyFill="1" applyAlignment="1">
      <alignment vertical="center"/>
    </xf>
    <xf numFmtId="0" fontId="7" fillId="0" borderId="0" xfId="0" applyFont="1"/>
    <xf numFmtId="3" fontId="0" fillId="5" borderId="0" xfId="0" applyNumberFormat="1" applyFill="1"/>
    <xf numFmtId="0" fontId="2" fillId="5" borderId="0" xfId="0" applyFont="1" applyFill="1"/>
    <xf numFmtId="165" fontId="0" fillId="5" borderId="0" xfId="0" applyNumberFormat="1" applyFill="1"/>
    <xf numFmtId="0" fontId="0" fillId="5" borderId="0" xfId="0" applyFill="1"/>
    <xf numFmtId="0" fontId="9" fillId="5" borderId="0" xfId="0" applyFont="1" applyFill="1"/>
    <xf numFmtId="165" fontId="28" fillId="5" borderId="0" xfId="0" applyNumberFormat="1" applyFont="1" applyFill="1"/>
    <xf numFmtId="3" fontId="2" fillId="5" borderId="0" xfId="0" applyNumberFormat="1" applyFont="1" applyFill="1"/>
    <xf numFmtId="165" fontId="2" fillId="5" borderId="0" xfId="0" applyNumberFormat="1" applyFont="1" applyFill="1"/>
    <xf numFmtId="0" fontId="12" fillId="5" borderId="0" xfId="0" applyFont="1" applyFill="1"/>
    <xf numFmtId="9" fontId="7" fillId="5" borderId="0" xfId="0" applyNumberFormat="1" applyFont="1" applyFill="1"/>
    <xf numFmtId="167" fontId="0" fillId="5" borderId="0" xfId="0" applyNumberFormat="1" applyFill="1"/>
    <xf numFmtId="169" fontId="0" fillId="5" borderId="0" xfId="0" applyNumberFormat="1" applyFill="1"/>
    <xf numFmtId="0" fontId="28" fillId="5" borderId="0" xfId="0" applyFont="1" applyFill="1"/>
    <xf numFmtId="165" fontId="7" fillId="5" borderId="0" xfId="0" applyNumberFormat="1" applyFont="1" applyFill="1"/>
    <xf numFmtId="168" fontId="2" fillId="5" borderId="0" xfId="0" applyNumberFormat="1" applyFont="1" applyFill="1"/>
    <xf numFmtId="3" fontId="7" fillId="5" borderId="0" xfId="0" applyNumberFormat="1" applyFont="1" applyFill="1"/>
    <xf numFmtId="3" fontId="2" fillId="5" borderId="0" xfId="0" applyNumberFormat="1" applyFont="1" applyFill="1" applyAlignment="1">
      <alignment horizontal="right"/>
    </xf>
    <xf numFmtId="1" fontId="7" fillId="5" borderId="0" xfId="0" applyNumberFormat="1" applyFont="1" applyFill="1" applyAlignment="1">
      <alignment horizontal="right"/>
    </xf>
    <xf numFmtId="1" fontId="7" fillId="5" borderId="0" xfId="0" applyNumberFormat="1" applyFont="1" applyFill="1" applyAlignment="1">
      <alignment horizontal="left"/>
    </xf>
    <xf numFmtId="1" fontId="0" fillId="5" borderId="0" xfId="0" applyNumberFormat="1" applyFill="1" applyAlignment="1">
      <alignment horizontal="left"/>
    </xf>
    <xf numFmtId="1" fontId="7" fillId="5" borderId="0" xfId="0" applyNumberFormat="1" applyFont="1" applyFill="1"/>
    <xf numFmtId="0" fontId="29" fillId="5" borderId="0" xfId="0" applyFont="1" applyFill="1"/>
    <xf numFmtId="0" fontId="3" fillId="5" borderId="0" xfId="0" applyFont="1" applyFill="1" applyAlignment="1">
      <alignment vertical="center"/>
    </xf>
    <xf numFmtId="0" fontId="31" fillId="5" borderId="0" xfId="0" applyFont="1" applyFill="1" applyAlignment="1">
      <alignment vertical="center"/>
    </xf>
    <xf numFmtId="0" fontId="30" fillId="5" borderId="0" xfId="0" applyFont="1" applyFill="1" applyAlignment="1">
      <alignment vertical="center"/>
    </xf>
    <xf numFmtId="10" fontId="3" fillId="5" borderId="0" xfId="0" applyNumberFormat="1" applyFont="1" applyFill="1" applyAlignment="1">
      <alignment vertical="center"/>
    </xf>
    <xf numFmtId="0" fontId="6" fillId="5" borderId="0" xfId="0" applyFont="1" applyFill="1" applyAlignment="1">
      <alignment vertical="center"/>
    </xf>
    <xf numFmtId="3" fontId="6" fillId="5" borderId="0" xfId="0" applyNumberFormat="1" applyFont="1" applyFill="1" applyAlignment="1">
      <alignment vertical="center"/>
    </xf>
    <xf numFmtId="3" fontId="3" fillId="5" borderId="0" xfId="4" applyNumberFormat="1" applyFont="1" applyFill="1" applyBorder="1" applyAlignment="1" applyProtection="1">
      <alignment vertical="center"/>
    </xf>
    <xf numFmtId="10" fontId="3" fillId="5" borderId="0" xfId="0" applyNumberFormat="1" applyFont="1" applyFill="1" applyAlignment="1">
      <alignment horizontal="right" vertical="center"/>
    </xf>
    <xf numFmtId="166" fontId="0" fillId="5" borderId="0" xfId="0" applyNumberFormat="1" applyFill="1"/>
    <xf numFmtId="2" fontId="2" fillId="5" borderId="0" xfId="0" applyNumberFormat="1" applyFont="1" applyFill="1" applyAlignment="1">
      <alignment horizontal="right"/>
    </xf>
    <xf numFmtId="2" fontId="3" fillId="5" borderId="0" xfId="0" applyNumberFormat="1" applyFont="1" applyFill="1" applyAlignment="1">
      <alignment horizontal="right" vertical="center"/>
    </xf>
    <xf numFmtId="0" fontId="2" fillId="0" borderId="0" xfId="0" applyFont="1"/>
    <xf numFmtId="0" fontId="2" fillId="3" borderId="0" xfId="0" applyFont="1" applyFill="1" applyAlignment="1">
      <alignment vertical="top"/>
    </xf>
    <xf numFmtId="0" fontId="0" fillId="0" borderId="0" xfId="0" applyAlignment="1">
      <alignment wrapText="1"/>
    </xf>
    <xf numFmtId="0" fontId="0" fillId="0" borderId="0" xfId="0" applyAlignment="1">
      <alignment vertical="top" wrapText="1"/>
    </xf>
    <xf numFmtId="0" fontId="7" fillId="3" borderId="0" xfId="0" applyFont="1" applyFill="1" applyAlignment="1">
      <alignment horizontal="left" vertical="top" wrapText="1"/>
    </xf>
    <xf numFmtId="0" fontId="7" fillId="0" borderId="0" xfId="0" applyFont="1" applyAlignment="1">
      <alignment vertical="top" wrapText="1"/>
    </xf>
    <xf numFmtId="0" fontId="29" fillId="5" borderId="3" xfId="0" applyFont="1" applyFill="1" applyBorder="1"/>
    <xf numFmtId="0" fontId="29" fillId="5" borderId="4" xfId="0" applyFont="1" applyFill="1" applyBorder="1"/>
    <xf numFmtId="0" fontId="29" fillId="5" borderId="5" xfId="0" applyFont="1" applyFill="1" applyBorder="1"/>
    <xf numFmtId="0" fontId="7" fillId="5" borderId="0" xfId="0" applyFont="1" applyFill="1" applyAlignment="1">
      <alignment horizontal="left"/>
    </xf>
    <xf numFmtId="165" fontId="29" fillId="5" borderId="3" xfId="0" applyNumberFormat="1" applyFont="1" applyFill="1" applyBorder="1"/>
    <xf numFmtId="0" fontId="29" fillId="5" borderId="7" xfId="0" applyFont="1" applyFill="1" applyBorder="1" applyAlignment="1">
      <alignment wrapText="1"/>
    </xf>
    <xf numFmtId="49" fontId="7" fillId="5" borderId="0" xfId="0" applyNumberFormat="1" applyFont="1" applyFill="1"/>
    <xf numFmtId="49" fontId="0" fillId="5" borderId="0" xfId="0" applyNumberFormat="1" applyFill="1"/>
    <xf numFmtId="0" fontId="0" fillId="5" borderId="0" xfId="0" applyFill="1" applyAlignment="1">
      <alignment horizontal="left" vertical="top" wrapText="1"/>
    </xf>
    <xf numFmtId="10" fontId="0" fillId="5" borderId="0" xfId="0" applyNumberFormat="1" applyFill="1"/>
    <xf numFmtId="1" fontId="0" fillId="5" borderId="0" xfId="0" applyNumberFormat="1" applyFill="1"/>
    <xf numFmtId="168" fontId="0" fillId="5" borderId="0" xfId="0" applyNumberFormat="1" applyFill="1"/>
    <xf numFmtId="167" fontId="7" fillId="5" borderId="0" xfId="0" applyNumberFormat="1" applyFont="1" applyFill="1"/>
    <xf numFmtId="165" fontId="29" fillId="5" borderId="4" xfId="0" applyNumberFormat="1" applyFont="1" applyFill="1" applyBorder="1"/>
    <xf numFmtId="0" fontId="0" fillId="5" borderId="0" xfId="0" applyFill="1" applyAlignment="1">
      <alignment horizontal="left"/>
    </xf>
    <xf numFmtId="3" fontId="29" fillId="5" borderId="5" xfId="0" applyNumberFormat="1" applyFont="1" applyFill="1" applyBorder="1"/>
    <xf numFmtId="0" fontId="0" fillId="3" borderId="0" xfId="0" applyFill="1" applyAlignment="1">
      <alignment horizontal="left" vertical="top" wrapText="1"/>
    </xf>
    <xf numFmtId="0" fontId="8" fillId="3" borderId="0" xfId="0" applyFont="1" applyFill="1" applyAlignment="1">
      <alignment horizontal="left" vertical="top" wrapText="1"/>
    </xf>
    <xf numFmtId="0" fontId="9" fillId="3" borderId="0" xfId="0" applyFont="1" applyFill="1" applyAlignment="1">
      <alignment horizontal="left" vertical="top" wrapText="1"/>
    </xf>
    <xf numFmtId="0" fontId="1" fillId="3" borderId="0" xfId="0" applyFont="1" applyFill="1" applyAlignment="1">
      <alignment horizontal="left" vertical="top" wrapText="1"/>
    </xf>
    <xf numFmtId="0" fontId="2" fillId="3" borderId="0" xfId="0" applyFont="1" applyFill="1" applyAlignment="1">
      <alignment horizontal="left" vertical="top" wrapText="1"/>
    </xf>
    <xf numFmtId="0" fontId="17" fillId="3" borderId="0" xfId="0" applyFont="1" applyFill="1" applyAlignment="1">
      <alignment horizontal="left" vertical="top" wrapText="1"/>
    </xf>
    <xf numFmtId="0" fontId="9" fillId="5" borderId="0" xfId="0" applyFont="1" applyFill="1" applyAlignment="1">
      <alignment horizontal="left" vertical="top" wrapText="1"/>
    </xf>
    <xf numFmtId="0" fontId="1" fillId="5" borderId="0" xfId="0" applyFont="1" applyFill="1" applyAlignment="1">
      <alignment horizontal="left" vertical="top" wrapText="1"/>
    </xf>
    <xf numFmtId="0" fontId="1" fillId="3" borderId="0" xfId="0" quotePrefix="1" applyFont="1" applyFill="1" applyAlignment="1">
      <alignment horizontal="left" vertical="top" wrapText="1"/>
    </xf>
    <xf numFmtId="0" fontId="28" fillId="3" borderId="0" xfId="0" applyFont="1" applyFill="1" applyAlignment="1">
      <alignment horizontal="left" vertical="top" wrapText="1"/>
    </xf>
    <xf numFmtId="49" fontId="7" fillId="3" borderId="0" xfId="0" applyNumberFormat="1" applyFont="1" applyFill="1" applyAlignment="1">
      <alignment wrapText="1"/>
    </xf>
    <xf numFmtId="0" fontId="1" fillId="0" borderId="0" xfId="0" applyFont="1"/>
    <xf numFmtId="0" fontId="1" fillId="3" borderId="0" xfId="0" applyFont="1" applyFill="1"/>
    <xf numFmtId="0" fontId="1" fillId="3" borderId="0" xfId="0" applyFont="1" applyFill="1" applyAlignment="1">
      <alignment vertical="top"/>
    </xf>
    <xf numFmtId="3" fontId="0" fillId="5" borderId="0" xfId="0" applyNumberFormat="1" applyFill="1" applyAlignment="1">
      <alignment horizontal="left"/>
    </xf>
    <xf numFmtId="170" fontId="1" fillId="3" borderId="0" xfId="0" applyNumberFormat="1" applyFont="1" applyFill="1"/>
    <xf numFmtId="3" fontId="1" fillId="4" borderId="4" xfId="0" applyNumberFormat="1" applyFont="1" applyFill="1" applyBorder="1" applyProtection="1">
      <protection locked="0"/>
    </xf>
    <xf numFmtId="165" fontId="1" fillId="3" borderId="0" xfId="0" applyNumberFormat="1" applyFont="1" applyFill="1"/>
    <xf numFmtId="0" fontId="18" fillId="3" borderId="0" xfId="0" applyFont="1" applyFill="1"/>
    <xf numFmtId="0" fontId="1" fillId="5" borderId="0" xfId="0" applyFont="1" applyFill="1"/>
    <xf numFmtId="49" fontId="1" fillId="5" borderId="0" xfId="0" applyNumberFormat="1" applyFont="1" applyFill="1"/>
    <xf numFmtId="165" fontId="1" fillId="5" borderId="0" xfId="0" applyNumberFormat="1" applyFont="1" applyFill="1"/>
    <xf numFmtId="9" fontId="1" fillId="3" borderId="0" xfId="0" applyNumberFormat="1" applyFont="1" applyFill="1"/>
    <xf numFmtId="9" fontId="1" fillId="3" borderId="0" xfId="4" applyFont="1" applyFill="1" applyBorder="1" applyProtection="1"/>
    <xf numFmtId="0" fontId="7" fillId="5" borderId="0" xfId="0" applyFont="1" applyFill="1"/>
    <xf numFmtId="0" fontId="32" fillId="3" borderId="0" xfId="0" applyFont="1" applyFill="1"/>
    <xf numFmtId="0" fontId="0" fillId="5" borderId="8" xfId="0" applyFill="1" applyBorder="1" applyAlignment="1">
      <alignment horizontal="left"/>
    </xf>
    <xf numFmtId="3" fontId="0" fillId="5" borderId="8" xfId="0" applyNumberFormat="1" applyFill="1" applyBorder="1" applyAlignment="1">
      <alignment horizontal="left"/>
    </xf>
    <xf numFmtId="3" fontId="1" fillId="5" borderId="9" xfId="0" applyNumberFormat="1" applyFont="1" applyFill="1" applyBorder="1" applyAlignment="1">
      <alignment horizontal="left"/>
    </xf>
    <xf numFmtId="3" fontId="0" fillId="0" borderId="3" xfId="0" applyNumberFormat="1" applyBorder="1" applyProtection="1">
      <protection locked="0"/>
    </xf>
    <xf numFmtId="3" fontId="0" fillId="0" borderId="4" xfId="0" applyNumberFormat="1" applyBorder="1" applyProtection="1">
      <protection locked="0"/>
    </xf>
    <xf numFmtId="3" fontId="0" fillId="0" borderId="5" xfId="0" applyNumberFormat="1" applyBorder="1" applyProtection="1">
      <protection locked="0"/>
    </xf>
    <xf numFmtId="3" fontId="1" fillId="3" borderId="0" xfId="0" applyNumberFormat="1" applyFont="1" applyFill="1"/>
    <xf numFmtId="1" fontId="1" fillId="3" borderId="0" xfId="0" applyNumberFormat="1" applyFont="1" applyFill="1" applyAlignment="1">
      <alignment horizontal="right"/>
    </xf>
    <xf numFmtId="1" fontId="1" fillId="3" borderId="0" xfId="0" applyNumberFormat="1" applyFont="1" applyFill="1" applyAlignment="1">
      <alignment horizontal="left"/>
    </xf>
    <xf numFmtId="1" fontId="1" fillId="3" borderId="0" xfId="0" applyNumberFormat="1" applyFont="1" applyFill="1"/>
    <xf numFmtId="3" fontId="1" fillId="5" borderId="0" xfId="0" applyNumberFormat="1" applyFont="1" applyFill="1"/>
    <xf numFmtId="0" fontId="0" fillId="3" borderId="8" xfId="0" applyFill="1" applyBorder="1"/>
    <xf numFmtId="0" fontId="0" fillId="3" borderId="10" xfId="0" applyFill="1" applyBorder="1" applyAlignment="1">
      <alignment horizontal="left"/>
    </xf>
    <xf numFmtId="165" fontId="29" fillId="3" borderId="0" xfId="0" applyNumberFormat="1" applyFont="1" applyFill="1"/>
    <xf numFmtId="3" fontId="29" fillId="3" borderId="0" xfId="0" applyNumberFormat="1" applyFont="1" applyFill="1"/>
    <xf numFmtId="3" fontId="33" fillId="3" borderId="0" xfId="4" applyNumberFormat="1" applyFont="1" applyFill="1" applyBorder="1" applyAlignment="1" applyProtection="1">
      <alignment vertical="center"/>
    </xf>
    <xf numFmtId="0" fontId="28" fillId="5" borderId="0" xfId="0" applyFont="1" applyFill="1" applyAlignment="1">
      <alignment vertical="top"/>
    </xf>
    <xf numFmtId="0" fontId="33" fillId="3" borderId="0" xfId="0" applyFont="1" applyFill="1" applyAlignment="1">
      <alignment vertical="center"/>
    </xf>
    <xf numFmtId="0" fontId="34" fillId="3" borderId="0" xfId="0" applyFont="1" applyFill="1"/>
    <xf numFmtId="3" fontId="0" fillId="3" borderId="7" xfId="0" applyNumberFormat="1" applyFill="1" applyBorder="1"/>
    <xf numFmtId="0" fontId="0" fillId="5" borderId="0" xfId="0" applyFill="1" applyAlignment="1">
      <alignment horizontal="right"/>
    </xf>
    <xf numFmtId="0" fontId="1" fillId="0" borderId="0" xfId="0" applyFont="1" applyAlignment="1">
      <alignment vertical="top" wrapText="1"/>
    </xf>
    <xf numFmtId="0" fontId="33" fillId="3" borderId="0" xfId="0" applyFont="1" applyFill="1"/>
    <xf numFmtId="0" fontId="2" fillId="0" borderId="0" xfId="0" applyFont="1" applyAlignment="1">
      <alignment vertical="top" wrapText="1"/>
    </xf>
    <xf numFmtId="49" fontId="26" fillId="3" borderId="0" xfId="1" applyNumberFormat="1" applyFill="1" applyAlignment="1">
      <alignment wrapText="1"/>
    </xf>
    <xf numFmtId="0" fontId="29" fillId="0" borderId="0" xfId="0" applyFont="1"/>
    <xf numFmtId="0" fontId="28" fillId="0" borderId="0" xfId="0" applyFont="1"/>
    <xf numFmtId="0" fontId="28" fillId="0" borderId="0" xfId="0" applyFont="1" applyAlignment="1">
      <alignment wrapText="1"/>
    </xf>
    <xf numFmtId="0" fontId="9" fillId="3" borderId="0" xfId="0" applyFont="1" applyFill="1" applyAlignment="1">
      <alignment horizontal="left" wrapText="1"/>
    </xf>
    <xf numFmtId="0" fontId="1" fillId="0" borderId="0" xfId="0" applyFont="1" applyAlignment="1">
      <alignment wrapText="1"/>
    </xf>
    <xf numFmtId="0" fontId="10" fillId="0" borderId="0" xfId="0" applyFont="1"/>
    <xf numFmtId="0" fontId="0" fillId="0" borderId="0" xfId="0" applyAlignment="1">
      <alignment horizontal="left"/>
    </xf>
    <xf numFmtId="0" fontId="28" fillId="0" borderId="0" xfId="0" applyFont="1" applyAlignment="1">
      <alignment horizontal="right"/>
    </xf>
    <xf numFmtId="0" fontId="1" fillId="0" borderId="0" xfId="0" applyFont="1" applyAlignment="1">
      <alignment horizontal="left"/>
    </xf>
    <xf numFmtId="170" fontId="0" fillId="0" borderId="0" xfId="0" applyNumberFormat="1"/>
    <xf numFmtId="1" fontId="0" fillId="0" borderId="0" xfId="0" applyNumberFormat="1"/>
    <xf numFmtId="170" fontId="0" fillId="0" borderId="0" xfId="0" applyNumberFormat="1" applyAlignment="1">
      <alignment horizontal="right"/>
    </xf>
    <xf numFmtId="0" fontId="5" fillId="0" borderId="0" xfId="0" applyFont="1"/>
    <xf numFmtId="169" fontId="0" fillId="0" borderId="0" xfId="0" applyNumberFormat="1"/>
    <xf numFmtId="0" fontId="9" fillId="0" borderId="0" xfId="0" applyFont="1" applyAlignment="1">
      <alignment vertical="top" wrapText="1"/>
    </xf>
    <xf numFmtId="169" fontId="7" fillId="5" borderId="0" xfId="0" applyNumberFormat="1" applyFont="1" applyFill="1" applyAlignment="1">
      <alignment horizontal="right"/>
    </xf>
    <xf numFmtId="0" fontId="28" fillId="5" borderId="0" xfId="0" applyFont="1" applyFill="1" applyAlignment="1">
      <alignment horizontal="left"/>
    </xf>
    <xf numFmtId="165" fontId="11" fillId="3" borderId="0" xfId="0" applyNumberFormat="1" applyFont="1" applyFill="1"/>
    <xf numFmtId="0" fontId="33" fillId="5" borderId="0" xfId="0" applyFont="1" applyFill="1" applyAlignment="1">
      <alignment vertical="top" wrapText="1"/>
    </xf>
    <xf numFmtId="3" fontId="1" fillId="0" borderId="0" xfId="0" applyNumberFormat="1" applyFont="1" applyProtection="1">
      <protection locked="0"/>
    </xf>
    <xf numFmtId="0" fontId="21" fillId="3" borderId="0" xfId="0" applyFont="1" applyFill="1"/>
    <xf numFmtId="0" fontId="33" fillId="3" borderId="0" xfId="0" applyFont="1" applyFill="1" applyAlignment="1">
      <alignment horizontal="left"/>
    </xf>
    <xf numFmtId="0" fontId="7" fillId="3" borderId="3" xfId="0" applyFont="1" applyFill="1" applyBorder="1"/>
    <xf numFmtId="0" fontId="7" fillId="3" borderId="5" xfId="0" applyFont="1" applyFill="1" applyBorder="1"/>
    <xf numFmtId="3" fontId="7" fillId="5" borderId="0" xfId="0" applyNumberFormat="1" applyFont="1" applyFill="1" applyAlignment="1">
      <alignment horizontal="right"/>
    </xf>
    <xf numFmtId="165" fontId="0" fillId="4" borderId="11" xfId="0" applyNumberFormat="1" applyFill="1" applyBorder="1" applyProtection="1">
      <protection locked="0"/>
    </xf>
    <xf numFmtId="165" fontId="0" fillId="4" borderId="0" xfId="0" applyNumberFormat="1" applyFill="1" applyProtection="1">
      <protection locked="0"/>
    </xf>
    <xf numFmtId="165" fontId="0" fillId="4" borderId="12" xfId="0" applyNumberFormat="1" applyFill="1" applyBorder="1" applyProtection="1">
      <protection locked="0"/>
    </xf>
    <xf numFmtId="3" fontId="1" fillId="5" borderId="4" xfId="0" applyNumberFormat="1" applyFont="1" applyFill="1" applyBorder="1" applyProtection="1">
      <protection locked="0"/>
    </xf>
    <xf numFmtId="3" fontId="0" fillId="5" borderId="4" xfId="0" applyNumberFormat="1" applyFill="1" applyBorder="1" applyProtection="1">
      <protection locked="0"/>
    </xf>
    <xf numFmtId="3" fontId="0" fillId="5" borderId="5" xfId="0" applyNumberFormat="1" applyFill="1" applyBorder="1" applyProtection="1">
      <protection locked="0"/>
    </xf>
    <xf numFmtId="0" fontId="9" fillId="0" borderId="0" xfId="0" applyFont="1"/>
    <xf numFmtId="0" fontId="2" fillId="3" borderId="0" xfId="0" applyFont="1" applyFill="1" applyAlignment="1">
      <alignment vertical="center"/>
    </xf>
    <xf numFmtId="3" fontId="0" fillId="5" borderId="5" xfId="0" applyNumberFormat="1" applyFill="1" applyBorder="1"/>
    <xf numFmtId="165" fontId="33" fillId="3" borderId="0" xfId="0" applyNumberFormat="1" applyFont="1" applyFill="1"/>
    <xf numFmtId="0" fontId="35" fillId="3" borderId="0" xfId="0" applyFont="1" applyFill="1"/>
    <xf numFmtId="0" fontId="36" fillId="3" borderId="0" xfId="0" applyFont="1" applyFill="1"/>
    <xf numFmtId="3" fontId="35" fillId="3" borderId="0" xfId="0" applyNumberFormat="1" applyFont="1" applyFill="1"/>
    <xf numFmtId="0" fontId="1" fillId="3" borderId="0" xfId="0" applyFont="1" applyFill="1" applyAlignment="1">
      <alignment horizontal="left" vertical="center"/>
    </xf>
    <xf numFmtId="0" fontId="0" fillId="5" borderId="0" xfId="0" applyFill="1" applyAlignment="1">
      <alignment vertical="center"/>
    </xf>
    <xf numFmtId="1" fontId="37" fillId="5" borderId="7" xfId="0" applyNumberFormat="1" applyFont="1" applyFill="1" applyBorder="1" applyProtection="1">
      <protection locked="0"/>
    </xf>
    <xf numFmtId="10" fontId="37" fillId="5" borderId="7" xfId="0" applyNumberFormat="1" applyFont="1" applyFill="1" applyBorder="1" applyProtection="1">
      <protection locked="0"/>
    </xf>
    <xf numFmtId="0" fontId="28" fillId="3" borderId="0" xfId="0" applyFont="1" applyFill="1" applyAlignment="1">
      <alignment vertical="center"/>
    </xf>
    <xf numFmtId="3" fontId="1" fillId="5" borderId="4" xfId="0" applyNumberFormat="1" applyFont="1" applyFill="1" applyBorder="1"/>
    <xf numFmtId="0" fontId="0" fillId="5" borderId="0" xfId="0" applyFill="1" applyProtection="1">
      <protection locked="0"/>
    </xf>
    <xf numFmtId="0" fontId="1" fillId="5" borderId="0" xfId="0" applyFont="1" applyFill="1" applyAlignment="1">
      <alignment vertical="center"/>
    </xf>
    <xf numFmtId="0" fontId="1" fillId="3" borderId="0" xfId="0" applyFont="1" applyFill="1" applyAlignment="1">
      <alignment vertical="center"/>
    </xf>
    <xf numFmtId="3" fontId="0" fillId="4" borderId="4" xfId="0" applyNumberFormat="1" applyFill="1" applyBorder="1" applyAlignment="1" applyProtection="1">
      <alignment vertical="center"/>
      <protection locked="0"/>
    </xf>
    <xf numFmtId="169" fontId="0" fillId="6" borderId="0" xfId="0" applyNumberFormat="1" applyFill="1" applyAlignment="1">
      <alignment horizontal="center"/>
    </xf>
    <xf numFmtId="0" fontId="0" fillId="6" borderId="0" xfId="0" applyFill="1"/>
    <xf numFmtId="0" fontId="1" fillId="6" borderId="0" xfId="0" applyFont="1" applyFill="1"/>
    <xf numFmtId="169" fontId="0" fillId="6" borderId="0" xfId="0" applyNumberFormat="1" applyFill="1"/>
    <xf numFmtId="3" fontId="1" fillId="0" borderId="3" xfId="0" applyNumberFormat="1" applyFont="1" applyBorder="1" applyProtection="1">
      <protection locked="0"/>
    </xf>
    <xf numFmtId="3" fontId="0" fillId="0" borderId="13" xfId="0" applyNumberFormat="1" applyBorder="1" applyProtection="1">
      <protection locked="0"/>
    </xf>
    <xf numFmtId="3" fontId="0" fillId="0" borderId="14" xfId="0" applyNumberFormat="1" applyBorder="1" applyProtection="1">
      <protection locked="0"/>
    </xf>
    <xf numFmtId="3" fontId="0" fillId="0" borderId="11" xfId="0" applyNumberFormat="1" applyBorder="1" applyProtection="1">
      <protection locked="0"/>
    </xf>
    <xf numFmtId="3" fontId="0" fillId="0" borderId="0" xfId="0" applyNumberFormat="1" applyProtection="1">
      <protection locked="0"/>
    </xf>
    <xf numFmtId="3" fontId="1" fillId="0" borderId="12" xfId="0" applyNumberFormat="1" applyFont="1" applyBorder="1" applyProtection="1">
      <protection locked="0"/>
    </xf>
    <xf numFmtId="3" fontId="1" fillId="0" borderId="10" xfId="0" applyNumberFormat="1" applyFont="1" applyBorder="1" applyProtection="1">
      <protection locked="0"/>
    </xf>
    <xf numFmtId="3" fontId="1" fillId="0" borderId="8" xfId="0" applyNumberFormat="1" applyFont="1" applyBorder="1" applyProtection="1">
      <protection locked="0"/>
    </xf>
    <xf numFmtId="0" fontId="0" fillId="3" borderId="0" xfId="0" applyFill="1" applyAlignment="1">
      <alignment horizontal="left" vertical="center"/>
    </xf>
    <xf numFmtId="3" fontId="1" fillId="0" borderId="14" xfId="0" applyNumberFormat="1" applyFont="1" applyBorder="1" applyProtection="1">
      <protection locked="0"/>
    </xf>
    <xf numFmtId="3" fontId="1" fillId="0" borderId="15" xfId="0" applyNumberFormat="1" applyFont="1" applyBorder="1" applyProtection="1">
      <protection locked="0"/>
    </xf>
    <xf numFmtId="3" fontId="1" fillId="0" borderId="9" xfId="0" applyNumberFormat="1" applyFont="1" applyBorder="1" applyProtection="1">
      <protection locked="0"/>
    </xf>
    <xf numFmtId="0" fontId="5" fillId="6" borderId="0" xfId="0" applyFont="1" applyFill="1"/>
    <xf numFmtId="0" fontId="2" fillId="6" borderId="0" xfId="0" applyFont="1" applyFill="1"/>
    <xf numFmtId="0" fontId="27" fillId="6" borderId="0" xfId="0" applyFont="1" applyFill="1"/>
    <xf numFmtId="0" fontId="38" fillId="6" borderId="0" xfId="0" applyFont="1" applyFill="1"/>
    <xf numFmtId="0" fontId="0" fillId="6" borderId="0" xfId="0" applyFill="1" applyAlignment="1">
      <alignment horizontal="center"/>
    </xf>
    <xf numFmtId="0" fontId="9" fillId="6" borderId="0" xfId="0" applyFont="1" applyFill="1" applyAlignment="1">
      <alignment horizontal="center" wrapText="1"/>
    </xf>
    <xf numFmtId="0" fontId="0" fillId="6" borderId="0" xfId="0" applyFill="1" applyAlignment="1">
      <alignment horizontal="center" wrapText="1"/>
    </xf>
    <xf numFmtId="0" fontId="1" fillId="6" borderId="0" xfId="0" applyFont="1" applyFill="1" applyAlignment="1">
      <alignment wrapText="1"/>
    </xf>
    <xf numFmtId="0" fontId="9" fillId="6" borderId="0" xfId="0" applyFont="1" applyFill="1" applyAlignment="1">
      <alignment vertical="top" wrapText="1"/>
    </xf>
    <xf numFmtId="171" fontId="9" fillId="6" borderId="0" xfId="0" applyNumberFormat="1" applyFont="1" applyFill="1" applyAlignment="1">
      <alignment horizontal="left" vertical="top" wrapText="1"/>
    </xf>
    <xf numFmtId="0" fontId="1" fillId="6" borderId="0" xfId="0" applyFont="1" applyFill="1" applyAlignment="1">
      <alignment horizontal="center"/>
    </xf>
    <xf numFmtId="0" fontId="1" fillId="6" borderId="0" xfId="0" applyFont="1" applyFill="1" applyAlignment="1">
      <alignment horizontal="center" wrapText="1"/>
    </xf>
    <xf numFmtId="170" fontId="2" fillId="6" borderId="0" xfId="0" applyNumberFormat="1" applyFont="1" applyFill="1" applyAlignment="1">
      <alignment horizontal="right"/>
    </xf>
    <xf numFmtId="0" fontId="2" fillId="6" borderId="0" xfId="0" applyFont="1" applyFill="1" applyAlignment="1">
      <alignment horizontal="center" vertical="center"/>
    </xf>
    <xf numFmtId="0" fontId="29" fillId="6" borderId="0" xfId="0" applyFont="1" applyFill="1"/>
    <xf numFmtId="3" fontId="28" fillId="3" borderId="0" xfId="0" applyNumberFormat="1" applyFont="1" applyFill="1"/>
    <xf numFmtId="0" fontId="1" fillId="0" borderId="0" xfId="0" applyFont="1" applyAlignment="1">
      <alignment horizontal="right"/>
    </xf>
    <xf numFmtId="0" fontId="37" fillId="5" borderId="7" xfId="0" applyFont="1" applyFill="1" applyBorder="1"/>
    <xf numFmtId="1" fontId="0" fillId="4" borderId="7" xfId="0" applyNumberFormat="1" applyFill="1" applyBorder="1" applyProtection="1">
      <protection locked="0"/>
    </xf>
    <xf numFmtId="2" fontId="7" fillId="0" borderId="0" xfId="0" applyNumberFormat="1" applyFont="1"/>
    <xf numFmtId="10" fontId="3" fillId="2" borderId="6" xfId="0" applyNumberFormat="1" applyFont="1" applyFill="1" applyBorder="1" applyAlignment="1">
      <alignment horizontal="right" vertical="center"/>
    </xf>
    <xf numFmtId="2" fontId="3" fillId="2" borderId="6" xfId="0" applyNumberFormat="1" applyFont="1" applyFill="1" applyBorder="1" applyAlignment="1">
      <alignment horizontal="right" vertical="center"/>
    </xf>
    <xf numFmtId="166" fontId="1" fillId="3" borderId="0" xfId="0" applyNumberFormat="1" applyFont="1" applyFill="1"/>
    <xf numFmtId="2" fontId="2" fillId="3" borderId="0" xfId="0" applyNumberFormat="1" applyFont="1" applyFill="1" applyAlignment="1">
      <alignment horizontal="right"/>
    </xf>
    <xf numFmtId="0" fontId="29" fillId="5" borderId="7" xfId="0" applyFont="1" applyFill="1" applyBorder="1"/>
    <xf numFmtId="0" fontId="0" fillId="0" borderId="0" xfId="0" applyAlignment="1">
      <alignment horizontal="left" vertical="top" wrapText="1"/>
    </xf>
    <xf numFmtId="0" fontId="1" fillId="5" borderId="12" xfId="0" applyFont="1" applyFill="1" applyBorder="1"/>
    <xf numFmtId="170" fontId="0" fillId="5" borderId="8" xfId="0" applyNumberFormat="1" applyFill="1" applyBorder="1" applyAlignment="1">
      <alignment horizontal="left"/>
    </xf>
    <xf numFmtId="0" fontId="9" fillId="6" borderId="0" xfId="0" applyFont="1" applyFill="1" applyAlignment="1">
      <alignment horizontal="center" vertical="center" wrapText="1"/>
    </xf>
    <xf numFmtId="1" fontId="0" fillId="6" borderId="0" xfId="0" applyNumberFormat="1" applyFill="1"/>
    <xf numFmtId="0" fontId="0" fillId="3" borderId="11" xfId="0" applyFill="1" applyBorder="1" applyAlignment="1">
      <alignment horizontal="left"/>
    </xf>
    <xf numFmtId="3" fontId="1" fillId="5" borderId="12" xfId="0" applyNumberFormat="1" applyFont="1" applyFill="1" applyBorder="1" applyAlignment="1">
      <alignment horizontal="left"/>
    </xf>
    <xf numFmtId="0" fontId="2" fillId="3" borderId="0" xfId="0" applyFont="1" applyFill="1" applyAlignment="1">
      <alignment horizontal="center" wrapText="1"/>
    </xf>
    <xf numFmtId="0" fontId="9" fillId="6" borderId="0" xfId="0" applyFont="1" applyFill="1" applyAlignment="1">
      <alignment vertical="center"/>
    </xf>
    <xf numFmtId="0" fontId="9" fillId="6" borderId="0" xfId="0" applyFont="1" applyFill="1" applyAlignment="1">
      <alignment vertical="center" wrapText="1"/>
    </xf>
    <xf numFmtId="165" fontId="29" fillId="5" borderId="0" xfId="0" applyNumberFormat="1" applyFont="1" applyFill="1"/>
    <xf numFmtId="3" fontId="0" fillId="5" borderId="3" xfId="0" applyNumberFormat="1" applyFill="1" applyBorder="1" applyProtection="1">
      <protection locked="0"/>
    </xf>
    <xf numFmtId="167" fontId="0" fillId="4" borderId="3" xfId="0" applyNumberFormat="1" applyFill="1" applyBorder="1" applyProtection="1">
      <protection locked="0"/>
    </xf>
    <xf numFmtId="167" fontId="0" fillId="4" borderId="5" xfId="0" applyNumberFormat="1" applyFill="1" applyBorder="1" applyProtection="1">
      <protection locked="0"/>
    </xf>
    <xf numFmtId="167" fontId="0" fillId="3" borderId="0" xfId="0" applyNumberFormat="1" applyFill="1"/>
    <xf numFmtId="0" fontId="0" fillId="5" borderId="0" xfId="0" applyFill="1" applyAlignment="1">
      <alignment wrapText="1"/>
    </xf>
    <xf numFmtId="169" fontId="0" fillId="5" borderId="7" xfId="0" applyNumberFormat="1" applyFill="1" applyBorder="1"/>
    <xf numFmtId="0" fontId="0" fillId="0" borderId="14" xfId="0" applyBorder="1"/>
    <xf numFmtId="167" fontId="0" fillId="4" borderId="7" xfId="0" applyNumberFormat="1" applyFill="1" applyBorder="1" applyProtection="1">
      <protection locked="0"/>
    </xf>
    <xf numFmtId="0" fontId="2" fillId="5" borderId="0" xfId="0" applyFont="1" applyFill="1" applyAlignment="1">
      <alignment horizontal="center" wrapText="1"/>
    </xf>
    <xf numFmtId="0" fontId="2" fillId="5" borderId="0" xfId="0" applyFont="1" applyFill="1" applyAlignment="1">
      <alignment horizontal="right" wrapText="1"/>
    </xf>
    <xf numFmtId="0" fontId="1" fillId="5" borderId="0" xfId="0" applyFont="1" applyFill="1" applyAlignment="1">
      <alignment horizontal="right" wrapText="1"/>
    </xf>
    <xf numFmtId="0" fontId="9" fillId="6" borderId="0" xfId="0" applyFont="1" applyFill="1" applyAlignment="1" applyProtection="1">
      <alignment horizontal="center" wrapText="1"/>
      <protection locked="0"/>
    </xf>
    <xf numFmtId="3" fontId="0" fillId="4" borderId="13" xfId="0" applyNumberFormat="1" applyFill="1" applyBorder="1" applyProtection="1">
      <protection locked="0"/>
    </xf>
    <xf numFmtId="3" fontId="0" fillId="4" borderId="14" xfId="0" applyNumberFormat="1" applyFill="1" applyBorder="1" applyProtection="1">
      <protection locked="0"/>
    </xf>
    <xf numFmtId="3" fontId="0" fillId="4" borderId="10" xfId="0" applyNumberFormat="1" applyFill="1" applyBorder="1" applyProtection="1">
      <protection locked="0"/>
    </xf>
    <xf numFmtId="3" fontId="0" fillId="4" borderId="8" xfId="0" applyNumberFormat="1" applyFill="1" applyBorder="1" applyProtection="1">
      <protection locked="0"/>
    </xf>
    <xf numFmtId="3" fontId="0" fillId="5" borderId="0" xfId="0" applyNumberFormat="1" applyFill="1" applyProtection="1">
      <protection locked="0"/>
    </xf>
    <xf numFmtId="10" fontId="1" fillId="6" borderId="0" xfId="0" applyNumberFormat="1" applyFont="1" applyFill="1"/>
    <xf numFmtId="10" fontId="0" fillId="6" borderId="0" xfId="0" applyNumberFormat="1" applyFill="1"/>
    <xf numFmtId="170" fontId="2" fillId="6" borderId="0" xfId="0" applyNumberFormat="1" applyFont="1" applyFill="1" applyAlignment="1">
      <alignment horizontal="center"/>
    </xf>
    <xf numFmtId="0" fontId="1" fillId="6" borderId="0" xfId="0" applyFont="1" applyFill="1" applyAlignment="1">
      <alignment vertical="top" wrapText="1"/>
    </xf>
    <xf numFmtId="0" fontId="0" fillId="6" borderId="0" xfId="0" applyFill="1" applyAlignment="1">
      <alignment vertical="top" wrapText="1"/>
    </xf>
    <xf numFmtId="0" fontId="7" fillId="6" borderId="0" xfId="0" applyFont="1" applyFill="1" applyAlignment="1">
      <alignment vertical="top" wrapText="1"/>
    </xf>
    <xf numFmtId="169" fontId="1" fillId="6" borderId="0" xfId="0" applyNumberFormat="1" applyFont="1" applyFill="1" applyAlignment="1">
      <alignment horizontal="center"/>
    </xf>
    <xf numFmtId="169" fontId="2" fillId="6" borderId="0" xfId="0" applyNumberFormat="1" applyFont="1" applyFill="1" applyAlignment="1">
      <alignment horizontal="center"/>
    </xf>
    <xf numFmtId="169" fontId="27" fillId="6" borderId="0" xfId="0" applyNumberFormat="1" applyFont="1" applyFill="1" applyAlignment="1">
      <alignment horizontal="center"/>
    </xf>
    <xf numFmtId="1" fontId="0" fillId="6" borderId="0" xfId="0" applyNumberFormat="1" applyFill="1" applyAlignment="1">
      <alignment horizontal="center"/>
    </xf>
    <xf numFmtId="1" fontId="1" fillId="6" borderId="0" xfId="0" applyNumberFormat="1" applyFont="1" applyFill="1" applyAlignment="1">
      <alignment horizontal="center"/>
    </xf>
    <xf numFmtId="168" fontId="0" fillId="6" borderId="0" xfId="0" applyNumberFormat="1" applyFill="1" applyAlignment="1">
      <alignment horizontal="center"/>
    </xf>
    <xf numFmtId="168" fontId="1" fillId="6" borderId="0" xfId="0" applyNumberFormat="1" applyFont="1" applyFill="1" applyAlignment="1">
      <alignment horizontal="center"/>
    </xf>
    <xf numFmtId="49" fontId="39" fillId="3" borderId="0" xfId="0" applyNumberFormat="1" applyFont="1" applyFill="1" applyAlignment="1">
      <alignment horizontal="left" vertical="top" wrapText="1"/>
    </xf>
    <xf numFmtId="49" fontId="1" fillId="5" borderId="11" xfId="0" applyNumberFormat="1" applyFont="1" applyFill="1" applyBorder="1" applyProtection="1">
      <protection locked="0"/>
    </xf>
    <xf numFmtId="49" fontId="1" fillId="5" borderId="0" xfId="0" applyNumberFormat="1" applyFont="1" applyFill="1" applyProtection="1">
      <protection locked="0"/>
    </xf>
    <xf numFmtId="49" fontId="1" fillId="5" borderId="12" xfId="0" applyNumberFormat="1" applyFont="1" applyFill="1" applyBorder="1" applyProtection="1">
      <protection locked="0"/>
    </xf>
    <xf numFmtId="0" fontId="1" fillId="4" borderId="11" xfId="0" applyFont="1" applyFill="1" applyBorder="1" applyProtection="1">
      <protection locked="0"/>
    </xf>
    <xf numFmtId="0" fontId="1" fillId="4" borderId="0" xfId="0" applyFont="1" applyFill="1" applyProtection="1">
      <protection locked="0"/>
    </xf>
    <xf numFmtId="0" fontId="0" fillId="4" borderId="0" xfId="0" applyFill="1" applyProtection="1">
      <protection locked="0"/>
    </xf>
    <xf numFmtId="0" fontId="0" fillId="4" borderId="12" xfId="0" applyFill="1" applyBorder="1" applyProtection="1">
      <protection locked="0"/>
    </xf>
    <xf numFmtId="49" fontId="1" fillId="5" borderId="10" xfId="0" applyNumberFormat="1" applyFont="1" applyFill="1" applyBorder="1" applyProtection="1">
      <protection locked="0"/>
    </xf>
    <xf numFmtId="49" fontId="1" fillId="5" borderId="8" xfId="0" applyNumberFormat="1" applyFont="1" applyFill="1" applyBorder="1" applyProtection="1">
      <protection locked="0"/>
    </xf>
    <xf numFmtId="49" fontId="1" fillId="5" borderId="9" xfId="0" applyNumberFormat="1" applyFont="1" applyFill="1" applyBorder="1" applyProtection="1">
      <protection locked="0"/>
    </xf>
    <xf numFmtId="0" fontId="1" fillId="3" borderId="0" xfId="0" applyFont="1" applyFill="1" applyAlignment="1">
      <alignment horizontal="left" vertical="center" wrapText="1"/>
    </xf>
    <xf numFmtId="0" fontId="1" fillId="0" borderId="0" xfId="0" applyFont="1" applyAlignment="1">
      <alignment horizontal="left" vertical="center"/>
    </xf>
    <xf numFmtId="0" fontId="1" fillId="4" borderId="13" xfId="0" applyFont="1" applyFill="1" applyBorder="1" applyProtection="1">
      <protection locked="0"/>
    </xf>
    <xf numFmtId="0" fontId="1" fillId="4" borderId="14" xfId="0" applyFont="1" applyFill="1" applyBorder="1" applyProtection="1">
      <protection locked="0"/>
    </xf>
    <xf numFmtId="0" fontId="1" fillId="4" borderId="15" xfId="0" applyFont="1" applyFill="1" applyBorder="1" applyProtection="1">
      <protection locked="0"/>
    </xf>
    <xf numFmtId="0" fontId="1" fillId="4" borderId="12" xfId="0" applyFont="1" applyFill="1" applyBorder="1" applyProtection="1">
      <protection locked="0"/>
    </xf>
    <xf numFmtId="0" fontId="1" fillId="3" borderId="16" xfId="0" applyFont="1" applyFill="1" applyBorder="1"/>
    <xf numFmtId="0" fontId="1" fillId="3" borderId="17" xfId="0" applyFont="1" applyFill="1" applyBorder="1"/>
    <xf numFmtId="0" fontId="0" fillId="0" borderId="17" xfId="0" applyBorder="1"/>
    <xf numFmtId="0" fontId="0" fillId="0" borderId="18" xfId="0" applyBorder="1"/>
    <xf numFmtId="0" fontId="18" fillId="3" borderId="0" xfId="0" applyFont="1" applyFill="1"/>
    <xf numFmtId="0" fontId="0" fillId="0" borderId="0" xfId="0"/>
    <xf numFmtId="49" fontId="1" fillId="4" borderId="16" xfId="0" applyNumberFormat="1" applyFont="1" applyFill="1" applyBorder="1" applyProtection="1">
      <protection locked="0"/>
    </xf>
    <xf numFmtId="49" fontId="1" fillId="4" borderId="17" xfId="0" applyNumberFormat="1" applyFont="1" applyFill="1" applyBorder="1" applyProtection="1">
      <protection locked="0"/>
    </xf>
    <xf numFmtId="49" fontId="0" fillId="4" borderId="17" xfId="0" applyNumberFormat="1" applyFill="1" applyBorder="1" applyProtection="1">
      <protection locked="0"/>
    </xf>
    <xf numFmtId="49" fontId="0" fillId="4" borderId="18" xfId="0" applyNumberFormat="1" applyFill="1" applyBorder="1" applyProtection="1">
      <protection locked="0"/>
    </xf>
    <xf numFmtId="3" fontId="37" fillId="5" borderId="16" xfId="0" applyNumberFormat="1" applyFont="1" applyFill="1" applyBorder="1" applyProtection="1">
      <protection locked="0"/>
    </xf>
    <xf numFmtId="0" fontId="37" fillId="5" borderId="18" xfId="0" applyFont="1" applyFill="1" applyBorder="1" applyProtection="1">
      <protection locked="0"/>
    </xf>
    <xf numFmtId="0" fontId="1" fillId="4" borderId="16" xfId="0" applyFont="1" applyFill="1" applyBorder="1" applyAlignment="1" applyProtection="1">
      <alignment horizontal="left" vertical="top"/>
      <protection locked="0"/>
    </xf>
    <xf numFmtId="0" fontId="1" fillId="4" borderId="17" xfId="0" applyFont="1" applyFill="1" applyBorder="1" applyAlignment="1" applyProtection="1">
      <alignment horizontal="left" vertical="top"/>
      <protection locked="0"/>
    </xf>
    <xf numFmtId="0" fontId="0" fillId="0" borderId="17" xfId="0" applyBorder="1" applyAlignment="1" applyProtection="1">
      <alignment horizontal="left" vertical="top"/>
      <protection locked="0"/>
    </xf>
    <xf numFmtId="0" fontId="0" fillId="0" borderId="18" xfId="0" applyBorder="1" applyAlignment="1" applyProtection="1">
      <alignment horizontal="left" vertical="top"/>
      <protection locked="0"/>
    </xf>
    <xf numFmtId="0" fontId="0" fillId="0" borderId="0" xfId="0" applyProtection="1">
      <protection locked="0"/>
    </xf>
    <xf numFmtId="0" fontId="0" fillId="0" borderId="12" xfId="0" applyBorder="1" applyProtection="1">
      <protection locked="0"/>
    </xf>
    <xf numFmtId="0" fontId="1" fillId="4" borderId="10" xfId="0" applyFont="1" applyFill="1" applyBorder="1" applyProtection="1">
      <protection locked="0"/>
    </xf>
    <xf numFmtId="0" fontId="1" fillId="4" borderId="8" xfId="0" applyFont="1" applyFill="1" applyBorder="1" applyProtection="1">
      <protection locked="0"/>
    </xf>
    <xf numFmtId="0" fontId="0" fillId="4" borderId="8" xfId="0" applyFill="1" applyBorder="1" applyProtection="1">
      <protection locked="0"/>
    </xf>
    <xf numFmtId="0" fontId="0" fillId="4" borderId="9" xfId="0" applyFill="1" applyBorder="1" applyProtection="1">
      <protection locked="0"/>
    </xf>
    <xf numFmtId="49" fontId="1" fillId="4" borderId="13" xfId="0" applyNumberFormat="1" applyFont="1" applyFill="1" applyBorder="1" applyProtection="1">
      <protection locked="0"/>
    </xf>
    <xf numFmtId="49" fontId="1" fillId="4" borderId="14" xfId="0" applyNumberFormat="1" applyFont="1" applyFill="1" applyBorder="1" applyProtection="1">
      <protection locked="0"/>
    </xf>
    <xf numFmtId="49" fontId="1" fillId="4" borderId="15" xfId="0" applyNumberFormat="1" applyFont="1" applyFill="1" applyBorder="1" applyProtection="1">
      <protection locked="0"/>
    </xf>
    <xf numFmtId="0" fontId="1" fillId="0" borderId="16" xfId="0" applyFont="1" applyBorder="1" applyProtection="1">
      <protection locked="0"/>
    </xf>
    <xf numFmtId="0" fontId="1" fillId="0" borderId="17" xfId="0" applyFont="1" applyBorder="1" applyProtection="1">
      <protection locked="0"/>
    </xf>
    <xf numFmtId="0" fontId="0" fillId="0" borderId="17" xfId="0" applyBorder="1" applyProtection="1">
      <protection locked="0"/>
    </xf>
    <xf numFmtId="0" fontId="0" fillId="0" borderId="18" xfId="0" applyBorder="1" applyProtection="1">
      <protection locked="0"/>
    </xf>
    <xf numFmtId="0" fontId="0" fillId="4" borderId="16" xfId="0" applyFill="1" applyBorder="1" applyProtection="1">
      <protection locked="0"/>
    </xf>
    <xf numFmtId="0" fontId="0" fillId="4" borderId="17" xfId="0" applyFill="1" applyBorder="1" applyProtection="1">
      <protection locked="0"/>
    </xf>
    <xf numFmtId="0" fontId="0" fillId="4" borderId="18" xfId="0" applyFill="1" applyBorder="1" applyProtection="1">
      <protection locked="0"/>
    </xf>
    <xf numFmtId="1" fontId="0" fillId="0" borderId="13" xfId="0" applyNumberFormat="1" applyBorder="1" applyProtection="1">
      <protection locked="0"/>
    </xf>
    <xf numFmtId="0" fontId="0" fillId="0" borderId="14" xfId="0" applyBorder="1" applyProtection="1">
      <protection locked="0"/>
    </xf>
    <xf numFmtId="0" fontId="0" fillId="0" borderId="15" xfId="0" applyBorder="1" applyProtection="1">
      <protection locked="0"/>
    </xf>
    <xf numFmtId="3" fontId="1" fillId="0" borderId="16" xfId="0" applyNumberFormat="1" applyFont="1" applyBorder="1" applyAlignment="1" applyProtection="1">
      <alignment horizontal="left" vertical="top" wrapText="1"/>
      <protection locked="0"/>
    </xf>
    <xf numFmtId="3" fontId="1" fillId="0" borderId="17" xfId="0" applyNumberFormat="1" applyFont="1" applyBorder="1" applyAlignment="1" applyProtection="1">
      <alignment horizontal="left" vertical="top" wrapText="1"/>
      <protection locked="0"/>
    </xf>
    <xf numFmtId="0" fontId="0" fillId="0" borderId="17" xfId="0" applyBorder="1" applyAlignment="1" applyProtection="1">
      <alignment vertical="top" wrapText="1"/>
      <protection locked="0"/>
    </xf>
    <xf numFmtId="0" fontId="0" fillId="0" borderId="18" xfId="0" applyBorder="1" applyAlignment="1" applyProtection="1">
      <alignment vertical="top" wrapText="1"/>
      <protection locked="0"/>
    </xf>
    <xf numFmtId="49" fontId="1" fillId="4" borderId="16" xfId="0" applyNumberFormat="1" applyFont="1" applyFill="1" applyBorder="1" applyAlignment="1" applyProtection="1">
      <alignment vertical="top" wrapText="1"/>
      <protection locked="0"/>
    </xf>
    <xf numFmtId="49" fontId="1" fillId="4" borderId="17" xfId="0" applyNumberFormat="1" applyFont="1" applyFill="1" applyBorder="1" applyAlignment="1" applyProtection="1">
      <alignment vertical="top" wrapText="1"/>
      <protection locked="0"/>
    </xf>
    <xf numFmtId="1" fontId="0" fillId="4" borderId="10" xfId="0" applyNumberFormat="1" applyFill="1" applyBorder="1" applyProtection="1">
      <protection locked="0"/>
    </xf>
    <xf numFmtId="3" fontId="7" fillId="0" borderId="10" xfId="0" applyNumberFormat="1" applyFont="1" applyBorder="1" applyAlignment="1" applyProtection="1">
      <alignment horizontal="right"/>
      <protection locked="0"/>
    </xf>
    <xf numFmtId="0" fontId="0" fillId="0" borderId="9" xfId="0" applyBorder="1" applyAlignment="1" applyProtection="1">
      <alignment horizontal="right"/>
      <protection locked="0"/>
    </xf>
    <xf numFmtId="3" fontId="7" fillId="5" borderId="0" xfId="0" applyNumberFormat="1" applyFont="1" applyFill="1" applyAlignment="1">
      <alignment horizontal="right"/>
    </xf>
    <xf numFmtId="0" fontId="0" fillId="0" borderId="0" xfId="0" applyAlignment="1">
      <alignment horizontal="right"/>
    </xf>
    <xf numFmtId="3" fontId="7" fillId="0" borderId="13" xfId="0" applyNumberFormat="1" applyFont="1" applyBorder="1" applyAlignment="1" applyProtection="1">
      <alignment horizontal="right"/>
      <protection locked="0"/>
    </xf>
    <xf numFmtId="0" fontId="0" fillId="0" borderId="15" xfId="0" applyBorder="1" applyAlignment="1" applyProtection="1">
      <alignment horizontal="right"/>
      <protection locked="0"/>
    </xf>
    <xf numFmtId="0" fontId="7" fillId="3" borderId="16" xfId="0" applyFont="1" applyFill="1" applyBorder="1" applyAlignment="1">
      <alignment vertical="top" wrapText="1"/>
    </xf>
    <xf numFmtId="0" fontId="0" fillId="0" borderId="17" xfId="0" applyBorder="1" applyAlignment="1">
      <alignment vertical="top" wrapText="1"/>
    </xf>
    <xf numFmtId="0" fontId="0" fillId="0" borderId="18" xfId="0" applyBorder="1" applyAlignment="1">
      <alignment vertical="top" wrapText="1"/>
    </xf>
    <xf numFmtId="0" fontId="7" fillId="0" borderId="17" xfId="0" applyFont="1" applyBorder="1"/>
    <xf numFmtId="0" fontId="7" fillId="0" borderId="18" xfId="0" applyFont="1" applyBorder="1"/>
    <xf numFmtId="0" fontId="7" fillId="0" borderId="17" xfId="0" applyFont="1" applyBorder="1" applyProtection="1">
      <protection locked="0"/>
    </xf>
    <xf numFmtId="0" fontId="7" fillId="0" borderId="18" xfId="0" applyFont="1" applyBorder="1" applyProtection="1">
      <protection locked="0"/>
    </xf>
    <xf numFmtId="0" fontId="7" fillId="5" borderId="0" xfId="0" applyFont="1" applyFill="1"/>
    <xf numFmtId="0" fontId="1" fillId="3" borderId="16" xfId="0" applyFont="1" applyFill="1"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3" fontId="2" fillId="5" borderId="0" xfId="0" applyNumberFormat="1" applyFont="1" applyFill="1" applyAlignment="1">
      <alignment horizontal="right"/>
    </xf>
    <xf numFmtId="0" fontId="2" fillId="3" borderId="16" xfId="0" applyFont="1" applyFill="1" applyBorder="1"/>
    <xf numFmtId="0" fontId="2" fillId="3" borderId="0" xfId="0" applyFont="1" applyFill="1" applyAlignment="1">
      <alignment horizontal="center" vertical="center" wrapText="1"/>
    </xf>
    <xf numFmtId="0" fontId="2" fillId="0" borderId="0" xfId="0" applyFont="1" applyAlignment="1">
      <alignment horizontal="center" vertical="center" wrapText="1"/>
    </xf>
    <xf numFmtId="0" fontId="1" fillId="3" borderId="0" xfId="0" applyFont="1" applyFill="1" applyAlignment="1">
      <alignment wrapText="1"/>
    </xf>
    <xf numFmtId="0" fontId="0" fillId="0" borderId="8" xfId="0" applyBorder="1" applyAlignment="1">
      <alignment wrapText="1"/>
    </xf>
    <xf numFmtId="49" fontId="1" fillId="0" borderId="11" xfId="0" applyNumberFormat="1" applyFont="1" applyBorder="1" applyProtection="1">
      <protection locked="0"/>
    </xf>
    <xf numFmtId="49" fontId="1" fillId="0" borderId="0" xfId="0" applyNumberFormat="1" applyFont="1" applyProtection="1">
      <protection locked="0"/>
    </xf>
    <xf numFmtId="49" fontId="1" fillId="0" borderId="12" xfId="0" applyNumberFormat="1" applyFont="1" applyBorder="1" applyProtection="1">
      <protection locked="0"/>
    </xf>
    <xf numFmtId="165" fontId="0" fillId="4" borderId="11" xfId="0" applyNumberFormat="1" applyFill="1" applyBorder="1" applyProtection="1">
      <protection locked="0"/>
    </xf>
    <xf numFmtId="165" fontId="0" fillId="4" borderId="0" xfId="0" applyNumberFormat="1" applyFill="1" applyProtection="1">
      <protection locked="0"/>
    </xf>
    <xf numFmtId="165" fontId="0" fillId="4" borderId="12" xfId="0" applyNumberFormat="1" applyFill="1" applyBorder="1" applyProtection="1">
      <protection locked="0"/>
    </xf>
    <xf numFmtId="0" fontId="1" fillId="5" borderId="11" xfId="0" applyFont="1" applyFill="1" applyBorder="1" applyAlignment="1">
      <alignment horizontal="right"/>
    </xf>
    <xf numFmtId="0" fontId="28" fillId="5" borderId="0" xfId="0" applyFont="1" applyFill="1" applyAlignment="1">
      <alignment horizontal="left" wrapText="1"/>
    </xf>
    <xf numFmtId="0" fontId="0" fillId="0" borderId="0" xfId="0" applyAlignment="1">
      <alignment wrapText="1"/>
    </xf>
    <xf numFmtId="1" fontId="1" fillId="5" borderId="0" xfId="0" applyNumberFormat="1" applyFont="1" applyFill="1" applyAlignment="1">
      <alignment horizontal="right"/>
    </xf>
    <xf numFmtId="0" fontId="0" fillId="5" borderId="0" xfId="0" applyFill="1"/>
    <xf numFmtId="0" fontId="27" fillId="3" borderId="8" xfId="0" applyFont="1" applyFill="1" applyBorder="1"/>
    <xf numFmtId="0" fontId="27" fillId="0" borderId="8" xfId="0" applyFont="1" applyBorder="1"/>
    <xf numFmtId="0" fontId="1" fillId="3" borderId="8" xfId="0" applyFont="1" applyFill="1" applyBorder="1"/>
    <xf numFmtId="0" fontId="1" fillId="0" borderId="8" xfId="0" applyFont="1" applyBorder="1"/>
    <xf numFmtId="169" fontId="0" fillId="0" borderId="10" xfId="0" applyNumberFormat="1" applyBorder="1" applyProtection="1">
      <protection locked="0"/>
    </xf>
    <xf numFmtId="0" fontId="0" fillId="0" borderId="8" xfId="0" applyBorder="1" applyProtection="1">
      <protection locked="0"/>
    </xf>
    <xf numFmtId="0" fontId="0" fillId="0" borderId="9" xfId="0" applyBorder="1" applyProtection="1">
      <protection locked="0"/>
    </xf>
    <xf numFmtId="0" fontId="0" fillId="3" borderId="0" xfId="0" applyFill="1" applyAlignment="1">
      <alignment wrapText="1"/>
    </xf>
    <xf numFmtId="0" fontId="0" fillId="3" borderId="8" xfId="0" applyFill="1" applyBorder="1" applyAlignment="1">
      <alignment wrapText="1"/>
    </xf>
    <xf numFmtId="0" fontId="1" fillId="3" borderId="8" xfId="0" applyFont="1" applyFill="1" applyBorder="1" applyAlignment="1">
      <alignment wrapText="1"/>
    </xf>
    <xf numFmtId="3" fontId="0" fillId="5" borderId="16" xfId="0" applyNumberFormat="1" applyFill="1" applyBorder="1"/>
    <xf numFmtId="0" fontId="0" fillId="5" borderId="18" xfId="0" applyFill="1" applyBorder="1"/>
    <xf numFmtId="169" fontId="1" fillId="0" borderId="16" xfId="0" applyNumberFormat="1" applyFont="1" applyBorder="1" applyProtection="1">
      <protection locked="0"/>
    </xf>
    <xf numFmtId="3" fontId="1" fillId="5" borderId="0" xfId="0" applyNumberFormat="1" applyFont="1" applyFill="1" applyAlignment="1">
      <alignment horizontal="right"/>
    </xf>
    <xf numFmtId="0" fontId="1" fillId="0" borderId="0" xfId="0" applyFont="1"/>
    <xf numFmtId="169" fontId="0" fillId="5" borderId="0" xfId="0" applyNumberFormat="1" applyFill="1" applyProtection="1">
      <protection locked="0"/>
    </xf>
    <xf numFmtId="169" fontId="0" fillId="0" borderId="0" xfId="0" applyNumberFormat="1" applyProtection="1">
      <protection locked="0"/>
    </xf>
    <xf numFmtId="0" fontId="1" fillId="3" borderId="13" xfId="0" applyFont="1" applyFill="1" applyBorder="1"/>
    <xf numFmtId="0" fontId="1" fillId="0" borderId="14" xfId="0" applyFont="1" applyBorder="1"/>
    <xf numFmtId="0" fontId="1" fillId="0" borderId="15" xfId="0" applyFont="1" applyBorder="1"/>
    <xf numFmtId="0" fontId="1" fillId="5" borderId="11" xfId="0" applyFont="1" applyFill="1" applyBorder="1"/>
    <xf numFmtId="0" fontId="1" fillId="5" borderId="0" xfId="0" applyFont="1" applyFill="1"/>
    <xf numFmtId="0" fontId="1" fillId="5" borderId="12" xfId="0" applyFont="1" applyFill="1" applyBorder="1"/>
    <xf numFmtId="0" fontId="1" fillId="5" borderId="11" xfId="0" applyFont="1" applyFill="1" applyBorder="1" applyAlignment="1">
      <alignment wrapText="1"/>
    </xf>
    <xf numFmtId="0" fontId="1" fillId="5" borderId="0" xfId="0" applyFont="1" applyFill="1" applyAlignment="1">
      <alignment wrapText="1"/>
    </xf>
    <xf numFmtId="0" fontId="1" fillId="5" borderId="12" xfId="0" applyFont="1" applyFill="1" applyBorder="1" applyAlignment="1">
      <alignment wrapText="1"/>
    </xf>
    <xf numFmtId="3" fontId="1" fillId="5" borderId="11" xfId="0" applyNumberFormat="1" applyFont="1" applyFill="1" applyBorder="1" applyAlignment="1">
      <alignment horizontal="left"/>
    </xf>
    <xf numFmtId="0" fontId="0" fillId="5" borderId="0" xfId="0" applyFill="1" applyAlignment="1">
      <alignment horizontal="left"/>
    </xf>
    <xf numFmtId="170" fontId="0" fillId="5" borderId="0" xfId="0" applyNumberFormat="1" applyFill="1" applyAlignment="1">
      <alignment horizontal="left"/>
    </xf>
    <xf numFmtId="49" fontId="1" fillId="0" borderId="13" xfId="0" applyNumberFormat="1" applyFont="1" applyBorder="1" applyProtection="1">
      <protection locked="0"/>
    </xf>
    <xf numFmtId="49" fontId="1" fillId="0" borderId="14" xfId="0" applyNumberFormat="1" applyFont="1" applyBorder="1" applyProtection="1">
      <protection locked="0"/>
    </xf>
    <xf numFmtId="49" fontId="1" fillId="0" borderId="15" xfId="0" applyNumberFormat="1" applyFont="1" applyBorder="1" applyProtection="1">
      <protection locked="0"/>
    </xf>
    <xf numFmtId="49" fontId="1" fillId="0" borderId="10" xfId="0" applyNumberFormat="1" applyFont="1" applyBorder="1" applyProtection="1">
      <protection locked="0"/>
    </xf>
    <xf numFmtId="49" fontId="1" fillId="0" borderId="8" xfId="0" applyNumberFormat="1" applyFont="1" applyBorder="1" applyProtection="1">
      <protection locked="0"/>
    </xf>
    <xf numFmtId="49" fontId="1" fillId="0" borderId="9" xfId="0" applyNumberFormat="1" applyFont="1" applyBorder="1" applyProtection="1">
      <protection locked="0"/>
    </xf>
    <xf numFmtId="0" fontId="0" fillId="0" borderId="8" xfId="0" applyBorder="1"/>
    <xf numFmtId="0" fontId="1" fillId="4" borderId="13" xfId="0" applyFont="1" applyFill="1" applyBorder="1" applyAlignment="1" applyProtection="1">
      <alignment vertical="top"/>
      <protection locked="0"/>
    </xf>
    <xf numFmtId="0" fontId="1" fillId="4" borderId="14" xfId="0" applyFont="1" applyFill="1" applyBorder="1" applyAlignment="1" applyProtection="1">
      <alignment vertical="top"/>
      <protection locked="0"/>
    </xf>
    <xf numFmtId="0" fontId="1" fillId="4" borderId="15" xfId="0" applyFont="1" applyFill="1" applyBorder="1" applyAlignment="1" applyProtection="1">
      <alignment vertical="top"/>
      <protection locked="0"/>
    </xf>
    <xf numFmtId="0" fontId="1" fillId="4" borderId="11" xfId="0" applyFont="1" applyFill="1" applyBorder="1" applyAlignment="1" applyProtection="1">
      <alignment vertical="top"/>
      <protection locked="0"/>
    </xf>
    <xf numFmtId="0" fontId="1" fillId="4" borderId="0" xfId="0" applyFont="1" applyFill="1" applyAlignment="1" applyProtection="1">
      <alignment vertical="top"/>
      <protection locked="0"/>
    </xf>
    <xf numFmtId="0" fontId="1" fillId="4" borderId="12" xfId="0" applyFont="1" applyFill="1" applyBorder="1" applyAlignment="1" applyProtection="1">
      <alignment vertical="top"/>
      <protection locked="0"/>
    </xf>
    <xf numFmtId="0" fontId="0" fillId="3" borderId="11" xfId="0" applyFill="1" applyBorder="1"/>
    <xf numFmtId="0" fontId="2" fillId="3" borderId="0" xfId="0" applyFont="1" applyFill="1"/>
    <xf numFmtId="0" fontId="0" fillId="3" borderId="0" xfId="0" applyFill="1"/>
    <xf numFmtId="0" fontId="0" fillId="3" borderId="12" xfId="0" applyFill="1" applyBorder="1"/>
    <xf numFmtId="0" fontId="1" fillId="4" borderId="10" xfId="0" applyFont="1" applyFill="1" applyBorder="1" applyAlignment="1" applyProtection="1">
      <alignment vertical="top"/>
      <protection locked="0"/>
    </xf>
    <xf numFmtId="0" fontId="1" fillId="4" borderId="8" xfId="0" applyFont="1" applyFill="1" applyBorder="1" applyAlignment="1" applyProtection="1">
      <alignment vertical="top"/>
      <protection locked="0"/>
    </xf>
    <xf numFmtId="0" fontId="1" fillId="4" borderId="9" xfId="0" applyFont="1" applyFill="1" applyBorder="1" applyAlignment="1" applyProtection="1">
      <alignment vertical="top"/>
      <protection locked="0"/>
    </xf>
    <xf numFmtId="0" fontId="1" fillId="0" borderId="18" xfId="0" applyFont="1" applyBorder="1"/>
    <xf numFmtId="165" fontId="1" fillId="4" borderId="11" xfId="0" applyNumberFormat="1" applyFont="1" applyFill="1" applyBorder="1" applyProtection="1">
      <protection locked="0"/>
    </xf>
    <xf numFmtId="165" fontId="1" fillId="4" borderId="0" xfId="0" applyNumberFormat="1" applyFont="1" applyFill="1" applyProtection="1">
      <protection locked="0"/>
    </xf>
    <xf numFmtId="165" fontId="1" fillId="4" borderId="12" xfId="0" applyNumberFormat="1" applyFont="1" applyFill="1" applyBorder="1" applyProtection="1">
      <protection locked="0"/>
    </xf>
    <xf numFmtId="165" fontId="0" fillId="4" borderId="10" xfId="0" applyNumberFormat="1" applyFill="1" applyBorder="1" applyProtection="1">
      <protection locked="0"/>
    </xf>
    <xf numFmtId="165" fontId="0" fillId="4" borderId="8" xfId="0" applyNumberFormat="1" applyFill="1" applyBorder="1" applyProtection="1">
      <protection locked="0"/>
    </xf>
    <xf numFmtId="165" fontId="0" fillId="4" borderId="9" xfId="0" applyNumberFormat="1" applyFill="1" applyBorder="1" applyProtection="1">
      <protection locked="0"/>
    </xf>
    <xf numFmtId="9" fontId="1" fillId="3" borderId="16" xfId="0" applyNumberFormat="1" applyFont="1" applyFill="1" applyBorder="1"/>
    <xf numFmtId="9" fontId="1" fillId="5" borderId="16" xfId="0" applyNumberFormat="1" applyFont="1" applyFill="1" applyBorder="1"/>
    <xf numFmtId="165" fontId="1" fillId="4" borderId="13" xfId="0" applyNumberFormat="1" applyFont="1" applyFill="1" applyBorder="1" applyProtection="1">
      <protection locked="0"/>
    </xf>
    <xf numFmtId="165" fontId="1" fillId="4" borderId="14" xfId="0" applyNumberFormat="1" applyFont="1" applyFill="1" applyBorder="1" applyProtection="1">
      <protection locked="0"/>
    </xf>
    <xf numFmtId="165" fontId="1" fillId="4" borderId="15" xfId="0" applyNumberFormat="1" applyFont="1" applyFill="1" applyBorder="1" applyProtection="1">
      <protection locked="0"/>
    </xf>
    <xf numFmtId="0" fontId="1" fillId="3" borderId="0" xfId="0" applyFont="1" applyFill="1"/>
    <xf numFmtId="3" fontId="1" fillId="3" borderId="16" xfId="0" applyNumberFormat="1" applyFont="1" applyFill="1" applyBorder="1"/>
    <xf numFmtId="169" fontId="0" fillId="0" borderId="13" xfId="0" applyNumberFormat="1" applyBorder="1" applyProtection="1">
      <protection locked="0"/>
    </xf>
    <xf numFmtId="0" fontId="29" fillId="5" borderId="3" xfId="0" applyFont="1" applyFill="1" applyBorder="1" applyAlignment="1">
      <alignment wrapText="1"/>
    </xf>
    <xf numFmtId="0" fontId="0" fillId="0" borderId="5" xfId="0" applyBorder="1" applyAlignment="1">
      <alignment wrapText="1"/>
    </xf>
    <xf numFmtId="0" fontId="1" fillId="6" borderId="0" xfId="0" applyFont="1" applyFill="1" applyAlignment="1">
      <alignment vertical="top" wrapText="1"/>
    </xf>
    <xf numFmtId="0" fontId="7" fillId="6" borderId="0" xfId="0" applyFont="1" applyFill="1" applyAlignment="1">
      <alignment vertical="top" wrapText="1"/>
    </xf>
    <xf numFmtId="0" fontId="0" fillId="6" borderId="0" xfId="0" applyFill="1" applyAlignment="1">
      <alignment vertical="top" wrapText="1"/>
    </xf>
    <xf numFmtId="0" fontId="9" fillId="6" borderId="0" xfId="0" applyFont="1" applyFill="1" applyAlignment="1">
      <alignment horizontal="center" vertical="center" wrapText="1"/>
    </xf>
    <xf numFmtId="0" fontId="9" fillId="6" borderId="0" xfId="0" applyFont="1" applyFill="1" applyAlignment="1">
      <alignment wrapText="1"/>
    </xf>
    <xf numFmtId="0" fontId="9" fillId="6" borderId="0" xfId="0" applyFont="1" applyFill="1" applyAlignment="1">
      <alignment vertical="top" wrapText="1"/>
    </xf>
    <xf numFmtId="0" fontId="1" fillId="6" borderId="0" xfId="0" applyFont="1" applyFill="1" applyAlignment="1">
      <alignment wrapText="1"/>
    </xf>
    <xf numFmtId="0" fontId="0" fillId="6" borderId="0" xfId="0" applyFill="1"/>
    <xf numFmtId="0" fontId="0" fillId="6" borderId="0" xfId="0" applyFill="1" applyAlignment="1">
      <alignment horizontal="center" vertical="center" wrapText="1"/>
    </xf>
  </cellXfs>
  <cellStyles count="6">
    <cellStyle name="Hyperlink" xfId="1" builtinId="8"/>
    <cellStyle name="Komma 2" xfId="2" xr:uid="{3F1C1E42-1433-46B7-832E-761A5B92375C}"/>
    <cellStyle name="Normal 2" xfId="3" xr:uid="{5F108804-3168-4E5F-B24D-9B0C05952B59}"/>
    <cellStyle name="Procent" xfId="4" builtinId="5"/>
    <cellStyle name="Standaard" xfId="0" builtinId="0"/>
    <cellStyle name="Standaard 2" xfId="5" xr:uid="{335DDE49-3D8C-458F-A961-03EAD77E0E07}"/>
  </cellStyles>
  <dxfs count="77">
    <dxf>
      <border>
        <left/>
        <right/>
        <top/>
        <bottom/>
      </border>
    </dxf>
    <dxf>
      <fill>
        <patternFill>
          <bgColor theme="0"/>
        </patternFill>
      </fill>
      <border>
        <right style="thin">
          <color indexed="64"/>
        </right>
        <bottom style="thin">
          <color indexed="64"/>
        </bottom>
      </border>
    </dxf>
    <dxf>
      <fill>
        <patternFill>
          <bgColor theme="0"/>
        </patternFill>
      </fill>
      <border>
        <right style="thin">
          <color indexed="64"/>
        </right>
        <top style="thin">
          <color indexed="64"/>
        </top>
      </border>
    </dxf>
    <dxf>
      <fill>
        <patternFill>
          <bgColor rgb="FFB7DEE8"/>
        </patternFill>
      </fill>
    </dxf>
    <dxf>
      <font>
        <color rgb="FFB7DEE8"/>
      </font>
    </dxf>
    <dxf>
      <border>
        <left/>
        <right/>
        <top/>
        <bottom/>
      </border>
    </dxf>
    <dxf>
      <fill>
        <patternFill>
          <bgColor theme="0"/>
        </patternFill>
      </fill>
      <border>
        <bottom style="thin">
          <color indexed="64"/>
        </bottom>
      </border>
    </dxf>
    <dxf>
      <fill>
        <patternFill>
          <bgColor theme="0"/>
        </patternFill>
      </fill>
      <border>
        <top style="thin">
          <color indexed="64"/>
        </top>
      </border>
    </dxf>
    <dxf>
      <border>
        <right style="thin">
          <color indexed="64"/>
        </right>
      </border>
    </dxf>
    <dxf>
      <border>
        <left/>
        <right style="thin">
          <color indexed="64"/>
        </right>
      </border>
    </dxf>
    <dxf>
      <fill>
        <patternFill>
          <bgColor rgb="FFB7DEE8"/>
        </patternFill>
      </fill>
    </dxf>
    <dxf>
      <fill>
        <patternFill>
          <bgColor rgb="FFB7DEE8"/>
        </patternFill>
      </fill>
    </dxf>
    <dxf>
      <fill>
        <patternFill patternType="none">
          <bgColor indexed="65"/>
        </patternFill>
      </fill>
      <border>
        <left style="thin">
          <color indexed="64"/>
        </left>
        <right style="thin">
          <color indexed="64"/>
        </right>
        <top/>
        <bottom style="thin">
          <color indexed="64"/>
        </bottom>
      </border>
    </dxf>
    <dxf>
      <border>
        <left style="thin">
          <color indexed="64"/>
        </left>
        <right style="thin">
          <color indexed="64"/>
        </right>
        <top style="thin">
          <color indexed="64"/>
        </top>
      </border>
    </dxf>
    <dxf>
      <fill>
        <patternFill>
          <bgColor rgb="FFB7DEE8"/>
        </patternFill>
      </fill>
    </dxf>
    <dxf>
      <fill>
        <patternFill>
          <bgColor rgb="FFB7DEE8"/>
        </patternFill>
      </fill>
    </dxf>
    <dxf>
      <fill>
        <patternFill>
          <bgColor theme="0"/>
        </patternFill>
      </fill>
    </dxf>
    <dxf>
      <border>
        <left style="thin">
          <color indexed="64"/>
        </left>
        <right style="thin">
          <color indexed="64"/>
        </right>
        <top/>
        <bottom style="thin">
          <color indexed="64"/>
        </bottom>
      </border>
    </dxf>
    <dxf>
      <font>
        <color rgb="FFB7DEE8"/>
      </font>
    </dxf>
    <dxf>
      <fill>
        <patternFill>
          <bgColor rgb="FFB7DEE8"/>
        </patternFill>
      </fill>
    </dxf>
    <dxf>
      <fill>
        <patternFill>
          <bgColor rgb="FFB7DEE8"/>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B7DEE8"/>
        </patternFill>
      </fill>
      <border>
        <left/>
        <right/>
        <top/>
        <bottom/>
      </border>
    </dxf>
    <dxf>
      <fill>
        <patternFill>
          <bgColor rgb="FFB7DEE8"/>
        </patternFill>
      </fill>
      <border>
        <left/>
        <right/>
        <top style="thin">
          <color indexed="64"/>
        </top>
        <bottom/>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ont>
        <color theme="1"/>
      </font>
      <fill>
        <patternFill patternType="none">
          <bgColor indexed="65"/>
        </patternFill>
      </fill>
    </dxf>
    <dxf>
      <font>
        <color theme="1"/>
      </font>
      <fill>
        <patternFill patternType="none">
          <bgColor indexed="65"/>
        </patternFill>
      </fill>
    </dxf>
    <dxf>
      <font>
        <color theme="1"/>
      </font>
      <fill>
        <patternFill patternType="none">
          <bgColor indexed="65"/>
        </patternFill>
      </fill>
    </dxf>
    <dxf>
      <font>
        <color auto="1"/>
      </font>
    </dxf>
    <dxf>
      <font>
        <color auto="1"/>
      </font>
    </dxf>
    <dxf>
      <font>
        <color theme="1"/>
      </font>
    </dxf>
    <dxf>
      <font>
        <color theme="1"/>
      </font>
    </dxf>
    <dxf>
      <font>
        <color theme="1"/>
      </font>
    </dxf>
    <dxf>
      <font>
        <color theme="1"/>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s>
  <tableStyles count="0" defaultTableStyle="TableStyleMedium2" defaultPivotStyle="PivotStyleLight16"/>
  <colors>
    <mruColors>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List" dx="22" fmlaLink="'Hulpblad_overig '!$B$20" fmlaRange="'Hulpblad_overig '!$A$41:$A$42" sel="2" val="0"/>
</file>

<file path=xl/ctrlProps/ctrlProp10.xml><?xml version="1.0" encoding="utf-8"?>
<formControlPr xmlns="http://schemas.microsoft.com/office/spreadsheetml/2009/9/main" objectType="List" dx="22" fmlaLink="'Hulpblad_overig '!$A$39" fmlaRange="'Hulpblad_overig '!$A$37:$A$38" sel="1" val="0"/>
</file>

<file path=xl/ctrlProps/ctrlProp2.xml><?xml version="1.0" encoding="utf-8"?>
<formControlPr xmlns="http://schemas.microsoft.com/office/spreadsheetml/2009/9/main" objectType="List" dx="22" fmlaLink="'Hulpblad_overig '!$B$4" fmlaRange="'Hulpblad_overig '!$A$41:$A$42" sel="1" val="0"/>
</file>

<file path=xl/ctrlProps/ctrlProp3.xml><?xml version="1.0" encoding="utf-8"?>
<formControlPr xmlns="http://schemas.microsoft.com/office/spreadsheetml/2009/9/main" objectType="List" dx="22" fmlaLink="'Hulpblad_overig '!$B$17" fmlaRange="'Hulpblad_overig '!$A$41:$A$42" sel="1" val="0"/>
</file>

<file path=xl/ctrlProps/ctrlProp4.xml><?xml version="1.0" encoding="utf-8"?>
<formControlPr xmlns="http://schemas.microsoft.com/office/spreadsheetml/2009/9/main" objectType="List" dx="22" fmlaLink="'Hulpblad_overig '!$B$10" fmlaRange="'Hulpblad_overig '!$A$7:$A$9" sel="1" val="0"/>
</file>

<file path=xl/ctrlProps/ctrlProp5.xml><?xml version="1.0" encoding="utf-8"?>
<formControlPr xmlns="http://schemas.microsoft.com/office/spreadsheetml/2009/9/main" objectType="List" dx="22" fmlaLink="'Hulpblad_overig '!$B$14" fmlaRange="'Hulpblad_overig '!$A$13:$A14" sel="1" val="0"/>
</file>

<file path=xl/ctrlProps/ctrlProp6.xml><?xml version="1.0" encoding="utf-8"?>
<formControlPr xmlns="http://schemas.microsoft.com/office/spreadsheetml/2009/9/main" objectType="List" dx="22" fmlaLink="'Hulpblad_overig '!$B$30" fmlaRange="'Hulpblad_overig '!$A$26:$A$29" sel="4" val="0"/>
</file>

<file path=xl/ctrlProps/ctrlProp7.xml><?xml version="1.0" encoding="utf-8"?>
<formControlPr xmlns="http://schemas.microsoft.com/office/spreadsheetml/2009/9/main" objectType="List" dx="22" fmlaLink="'Hulpblad_overig '!$B$32" fmlaRange="'Hulpblad_overig '!$A$41:$A$42" sel="2" val="0"/>
</file>

<file path=xl/ctrlProps/ctrlProp8.xml><?xml version="1.0" encoding="utf-8"?>
<formControlPr xmlns="http://schemas.microsoft.com/office/spreadsheetml/2009/9/main" objectType="List" dx="22" fmlaLink="Hulpblad_categorieën_parameters!$B$6" fmlaRange="Hulpblad_categorieën_parameters!$B$2:$B$5" sel="1" val="0"/>
</file>

<file path=xl/ctrlProps/ctrlProp9.xml><?xml version="1.0" encoding="utf-8"?>
<formControlPr xmlns="http://schemas.microsoft.com/office/spreadsheetml/2009/9/main" objectType="List" dx="22" fmlaLink="Hulpblad_categorieën_parameters!$C$26" fmlaRange="Hulpblad_categorieën_parameters!$C$14:$C$25"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6562725</xdr:colOff>
      <xdr:row>1</xdr:row>
      <xdr:rowOff>9525</xdr:rowOff>
    </xdr:to>
    <xdr:pic>
      <xdr:nvPicPr>
        <xdr:cNvPr id="23650" name="Afbeelding 2">
          <a:extLst>
            <a:ext uri="{FF2B5EF4-FFF2-40B4-BE49-F238E27FC236}">
              <a16:creationId xmlns:a16="http://schemas.microsoft.com/office/drawing/2014/main" id="{E373CE3A-58FF-B2AA-F74B-D90FB63EA7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8280"/>
        <a:stretch>
          <a:fillRect/>
        </a:stretch>
      </xdr:blipFill>
      <xdr:spPr bwMode="auto">
        <a:xfrm>
          <a:off x="19050" y="0"/>
          <a:ext cx="6543675"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695325</xdr:colOff>
          <xdr:row>46</xdr:row>
          <xdr:rowOff>47625</xdr:rowOff>
        </xdr:from>
        <xdr:to>
          <xdr:col>13</xdr:col>
          <xdr:colOff>19050</xdr:colOff>
          <xdr:row>48</xdr:row>
          <xdr:rowOff>38100</xdr:rowOff>
        </xdr:to>
        <xdr:sp macro="" textlink="">
          <xdr:nvSpPr>
            <xdr:cNvPr id="15364" name="List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7</xdr:row>
          <xdr:rowOff>85725</xdr:rowOff>
        </xdr:from>
        <xdr:to>
          <xdr:col>13</xdr:col>
          <xdr:colOff>0</xdr:colOff>
          <xdr:row>8</xdr:row>
          <xdr:rowOff>0</xdr:rowOff>
        </xdr:to>
        <xdr:sp macro="" textlink="">
          <xdr:nvSpPr>
            <xdr:cNvPr id="15379" name="List Box 19" hidden="1">
              <a:extLst>
                <a:ext uri="{63B3BB69-23CF-44E3-9099-C40C66FF867C}">
                  <a14:compatExt spid="_x0000_s15379"/>
                </a:ext>
                <a:ext uri="{FF2B5EF4-FFF2-40B4-BE49-F238E27FC236}">
                  <a16:creationId xmlns:a16="http://schemas.microsoft.com/office/drawing/2014/main" id="{00000000-0008-0000-0100-00001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13</xdr:row>
          <xdr:rowOff>152400</xdr:rowOff>
        </xdr:from>
        <xdr:to>
          <xdr:col>12</xdr:col>
          <xdr:colOff>923925</xdr:colOff>
          <xdr:row>14</xdr:row>
          <xdr:rowOff>180975</xdr:rowOff>
        </xdr:to>
        <xdr:sp macro="" textlink="">
          <xdr:nvSpPr>
            <xdr:cNvPr id="15384" name="List Box 24" hidden="1">
              <a:extLst>
                <a:ext uri="{63B3BB69-23CF-44E3-9099-C40C66FF867C}">
                  <a14:compatExt spid="_x0000_s15384"/>
                </a:ext>
                <a:ext uri="{FF2B5EF4-FFF2-40B4-BE49-F238E27FC236}">
                  <a16:creationId xmlns:a16="http://schemas.microsoft.com/office/drawing/2014/main" id="{00000000-0008-0000-0100-000018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1381125</xdr:colOff>
          <xdr:row>8</xdr:row>
          <xdr:rowOff>104775</xdr:rowOff>
        </xdr:from>
        <xdr:to>
          <xdr:col>13</xdr:col>
          <xdr:colOff>0</xdr:colOff>
          <xdr:row>8</xdr:row>
          <xdr:rowOff>533400</xdr:rowOff>
        </xdr:to>
        <xdr:sp macro="" textlink="">
          <xdr:nvSpPr>
            <xdr:cNvPr id="15385" name="List Box 25" hidden="1">
              <a:extLst>
                <a:ext uri="{63B3BB69-23CF-44E3-9099-C40C66FF867C}">
                  <a14:compatExt spid="_x0000_s15385"/>
                </a:ext>
                <a:ext uri="{FF2B5EF4-FFF2-40B4-BE49-F238E27FC236}">
                  <a16:creationId xmlns:a16="http://schemas.microsoft.com/office/drawing/2014/main" id="{00000000-0008-0000-0100-000019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1381125</xdr:colOff>
          <xdr:row>9</xdr:row>
          <xdr:rowOff>57150</xdr:rowOff>
        </xdr:from>
        <xdr:to>
          <xdr:col>13</xdr:col>
          <xdr:colOff>0</xdr:colOff>
          <xdr:row>9</xdr:row>
          <xdr:rowOff>361950</xdr:rowOff>
        </xdr:to>
        <xdr:sp macro="" textlink="">
          <xdr:nvSpPr>
            <xdr:cNvPr id="15386" name="List Box 26" hidden="1">
              <a:extLst>
                <a:ext uri="{63B3BB69-23CF-44E3-9099-C40C66FF867C}">
                  <a14:compatExt spid="_x0000_s15386"/>
                </a:ext>
                <a:ext uri="{FF2B5EF4-FFF2-40B4-BE49-F238E27FC236}">
                  <a16:creationId xmlns:a16="http://schemas.microsoft.com/office/drawing/2014/main" id="{00000000-0008-0000-0100-00001A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48</xdr:row>
          <xdr:rowOff>133350</xdr:rowOff>
        </xdr:from>
        <xdr:to>
          <xdr:col>17</xdr:col>
          <xdr:colOff>447675</xdr:colOff>
          <xdr:row>50</xdr:row>
          <xdr:rowOff>104775</xdr:rowOff>
        </xdr:to>
        <xdr:sp macro="" textlink="">
          <xdr:nvSpPr>
            <xdr:cNvPr id="15388" name="List Box 28" hidden="1">
              <a:extLst>
                <a:ext uri="{63B3BB69-23CF-44E3-9099-C40C66FF867C}">
                  <a14:compatExt spid="_x0000_s15388"/>
                </a:ext>
                <a:ext uri="{FF2B5EF4-FFF2-40B4-BE49-F238E27FC236}">
                  <a16:creationId xmlns:a16="http://schemas.microsoft.com/office/drawing/2014/main" id="{00000000-0008-0000-0100-00001C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16</xdr:row>
          <xdr:rowOff>47625</xdr:rowOff>
        </xdr:from>
        <xdr:to>
          <xdr:col>13</xdr:col>
          <xdr:colOff>0</xdr:colOff>
          <xdr:row>16</xdr:row>
          <xdr:rowOff>342900</xdr:rowOff>
        </xdr:to>
        <xdr:sp macro="" textlink="">
          <xdr:nvSpPr>
            <xdr:cNvPr id="15403" name="List Box 43" hidden="1">
              <a:extLst>
                <a:ext uri="{63B3BB69-23CF-44E3-9099-C40C66FF867C}">
                  <a14:compatExt spid="_x0000_s15403"/>
                </a:ext>
                <a:ext uri="{FF2B5EF4-FFF2-40B4-BE49-F238E27FC236}">
                  <a16:creationId xmlns:a16="http://schemas.microsoft.com/office/drawing/2014/main" id="{00000000-0008-0000-0100-00002B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28575</xdr:colOff>
          <xdr:row>7</xdr:row>
          <xdr:rowOff>19050</xdr:rowOff>
        </xdr:from>
        <xdr:to>
          <xdr:col>5</xdr:col>
          <xdr:colOff>28575</xdr:colOff>
          <xdr:row>7</xdr:row>
          <xdr:rowOff>952500</xdr:rowOff>
        </xdr:to>
        <xdr:sp macro="" textlink="">
          <xdr:nvSpPr>
            <xdr:cNvPr id="7177" name="List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xdr:row>
          <xdr:rowOff>19050</xdr:rowOff>
        </xdr:from>
        <xdr:to>
          <xdr:col>5</xdr:col>
          <xdr:colOff>9525</xdr:colOff>
          <xdr:row>8</xdr:row>
          <xdr:rowOff>1657350</xdr:rowOff>
        </xdr:to>
        <xdr:sp macro="" textlink="">
          <xdr:nvSpPr>
            <xdr:cNvPr id="7179" name="List Box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19050</xdr:colOff>
          <xdr:row>25</xdr:row>
          <xdr:rowOff>152400</xdr:rowOff>
        </xdr:from>
        <xdr:to>
          <xdr:col>10</xdr:col>
          <xdr:colOff>9525</xdr:colOff>
          <xdr:row>27</xdr:row>
          <xdr:rowOff>142875</xdr:rowOff>
        </xdr:to>
        <xdr:sp macro="" textlink="">
          <xdr:nvSpPr>
            <xdr:cNvPr id="17940" name="List Box 532" hidden="1">
              <a:extLst>
                <a:ext uri="{63B3BB69-23CF-44E3-9099-C40C66FF867C}">
                  <a14:compatExt spid="_x0000_s17940"/>
                </a:ext>
                <a:ext uri="{FF2B5EF4-FFF2-40B4-BE49-F238E27FC236}">
                  <a16:creationId xmlns:a16="http://schemas.microsoft.com/office/drawing/2014/main" id="{00000000-0008-0000-0300-0000144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rvo.nl/subsidies-financiering/sce"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1AF48-22AD-4586-A5C8-9BF08F001600}">
  <sheetPr>
    <pageSetUpPr fitToPage="1"/>
  </sheetPr>
  <dimension ref="A1:O38"/>
  <sheetViews>
    <sheetView tabSelected="1" zoomScaleNormal="100" workbookViewId="0">
      <selection activeCell="B5" sqref="B5"/>
    </sheetView>
  </sheetViews>
  <sheetFormatPr defaultRowHeight="12.75" x14ac:dyDescent="0.2"/>
  <cols>
    <col min="1" max="1" width="98.85546875" style="92" customWidth="1"/>
    <col min="2" max="16384" width="9.140625" style="92"/>
  </cols>
  <sheetData>
    <row r="1" spans="1:2" ht="135" customHeight="1" x14ac:dyDescent="0.2"/>
    <row r="2" spans="1:2" ht="70.5" x14ac:dyDescent="0.2">
      <c r="A2" s="93" t="s">
        <v>233</v>
      </c>
    </row>
    <row r="3" spans="1:2" ht="51.75" customHeight="1" x14ac:dyDescent="0.2">
      <c r="A3" s="273" t="s">
        <v>256</v>
      </c>
    </row>
    <row r="4" spans="1:2" ht="21.75" customHeight="1" x14ac:dyDescent="0.2">
      <c r="A4" s="94" t="s">
        <v>36</v>
      </c>
    </row>
    <row r="5" spans="1:2" ht="39" customHeight="1" x14ac:dyDescent="0.2">
      <c r="A5" s="95" t="s">
        <v>126</v>
      </c>
    </row>
    <row r="6" spans="1:2" ht="15.75" x14ac:dyDescent="0.25">
      <c r="A6" s="142" t="s">
        <v>137</v>
      </c>
      <c r="B6" s="164"/>
    </row>
    <row r="7" spans="1:2" ht="29.25" customHeight="1" x14ac:dyDescent="0.2">
      <c r="A7" s="95" t="s">
        <v>131</v>
      </c>
    </row>
    <row r="8" spans="1:2" ht="29.25" customHeight="1" x14ac:dyDescent="0.25">
      <c r="A8" s="146" t="s">
        <v>91</v>
      </c>
    </row>
    <row r="9" spans="1:2" ht="56.25" customHeight="1" x14ac:dyDescent="0.2">
      <c r="A9" s="95" t="s">
        <v>92</v>
      </c>
    </row>
    <row r="10" spans="1:2" ht="12.75" customHeight="1" x14ac:dyDescent="0.2">
      <c r="A10" s="102"/>
    </row>
    <row r="11" spans="1:2" ht="18" x14ac:dyDescent="0.2">
      <c r="A11" s="94" t="s">
        <v>49</v>
      </c>
    </row>
    <row r="12" spans="1:2" ht="8.25" customHeight="1" x14ac:dyDescent="0.2">
      <c r="A12" s="94"/>
    </row>
    <row r="13" spans="1:2" x14ac:dyDescent="0.2">
      <c r="A13" s="96" t="s">
        <v>50</v>
      </c>
    </row>
    <row r="14" spans="1:2" ht="27.75" customHeight="1" x14ac:dyDescent="0.2">
      <c r="A14" s="95" t="s">
        <v>87</v>
      </c>
    </row>
    <row r="15" spans="1:2" ht="12.75" customHeight="1" x14ac:dyDescent="0.2">
      <c r="A15" s="95" t="s">
        <v>51</v>
      </c>
    </row>
    <row r="16" spans="1:2" s="5" customFormat="1" x14ac:dyDescent="0.2">
      <c r="A16" s="6"/>
    </row>
    <row r="17" spans="1:15" x14ac:dyDescent="0.2">
      <c r="A17" s="96" t="s">
        <v>127</v>
      </c>
    </row>
    <row r="18" spans="1:15" ht="25.5" x14ac:dyDescent="0.2">
      <c r="A18" s="95" t="s">
        <v>128</v>
      </c>
    </row>
    <row r="19" spans="1:15" x14ac:dyDescent="0.2">
      <c r="A19" s="95"/>
    </row>
    <row r="20" spans="1:15" x14ac:dyDescent="0.2">
      <c r="A20" s="96" t="s">
        <v>55</v>
      </c>
    </row>
    <row r="21" spans="1:15" ht="25.5" x14ac:dyDescent="0.2">
      <c r="A21" s="95" t="s">
        <v>130</v>
      </c>
    </row>
    <row r="22" spans="1:15" ht="25.5" x14ac:dyDescent="0.2">
      <c r="A22" s="95" t="s">
        <v>52</v>
      </c>
    </row>
    <row r="23" spans="1:15" x14ac:dyDescent="0.2">
      <c r="A23" s="96"/>
    </row>
    <row r="24" spans="1:15" x14ac:dyDescent="0.2">
      <c r="A24" s="97" t="s">
        <v>46</v>
      </c>
      <c r="B24" s="95"/>
      <c r="C24" s="95"/>
      <c r="D24" s="95"/>
      <c r="E24" s="95"/>
    </row>
    <row r="25" spans="1:15" ht="25.5" x14ac:dyDescent="0.2">
      <c r="A25" s="95" t="s">
        <v>88</v>
      </c>
      <c r="B25" s="95"/>
      <c r="C25" s="95"/>
      <c r="D25" s="95"/>
      <c r="E25" s="95"/>
    </row>
    <row r="26" spans="1:15" x14ac:dyDescent="0.2">
      <c r="A26" s="95" t="s">
        <v>89</v>
      </c>
      <c r="B26" s="95"/>
      <c r="C26" s="95"/>
      <c r="D26" s="95"/>
      <c r="E26" s="95"/>
    </row>
    <row r="28" spans="1:15" s="84" customFormat="1" ht="22.5" customHeight="1" x14ac:dyDescent="0.2">
      <c r="A28" s="98" t="s">
        <v>37</v>
      </c>
    </row>
    <row r="29" spans="1:15" s="84" customFormat="1" ht="25.5" x14ac:dyDescent="0.2">
      <c r="A29" s="99" t="s">
        <v>53</v>
      </c>
    </row>
    <row r="30" spans="1:15" x14ac:dyDescent="0.2">
      <c r="A30" s="99" t="s">
        <v>129</v>
      </c>
    </row>
    <row r="31" spans="1:15" ht="25.5" x14ac:dyDescent="0.2">
      <c r="A31" s="99" t="s">
        <v>90</v>
      </c>
      <c r="O31" s="100"/>
    </row>
    <row r="33" spans="1:1" ht="22.5" customHeight="1" x14ac:dyDescent="0.2">
      <c r="A33" s="94" t="s">
        <v>12</v>
      </c>
    </row>
    <row r="34" spans="1:1" ht="25.5" x14ac:dyDescent="0.2">
      <c r="A34" s="95" t="s">
        <v>54</v>
      </c>
    </row>
    <row r="38" spans="1:1" x14ac:dyDescent="0.2">
      <c r="A38" s="101"/>
    </row>
  </sheetData>
  <sheetProtection algorithmName="SHA-512" hashValue="MhTKT1Xv6p3pdLxTKjDwJXEp/NukuH/XIOo1ptdMdQu6Q3sQ4m950m/0xbKgEFHcBxBPGYF9r+ZqCla/cSK+4Q==" saltValue="iOUbTaE9hHAfIaLooFpW+w==" spinCount="100000" sheet="1" objects="1" scenarios="1"/>
  <hyperlinks>
    <hyperlink ref="A6" r:id="rId1" location="uw-aanvraag-voorbereiden" xr:uid="{CCCA50A0-4E96-41BF-9A3D-468BDD95547C}"/>
  </hyperlinks>
  <pageMargins left="0.7" right="0.7" top="0.75" bottom="0.75" header="0.3" footer="0.3"/>
  <pageSetup paperSize="9" scale="90"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C0BBE-95F4-48BD-B540-AAC62C509EC1}">
  <sheetPr>
    <pageSetUpPr fitToPage="1"/>
  </sheetPr>
  <dimension ref="A1:AG86"/>
  <sheetViews>
    <sheetView zoomScaleNormal="100" workbookViewId="0">
      <selection activeCell="M57" sqref="M57"/>
    </sheetView>
  </sheetViews>
  <sheetFormatPr defaultColWidth="8.7109375" defaultRowHeight="12.75" x14ac:dyDescent="0.2"/>
  <cols>
    <col min="1" max="1" width="38" style="5" customWidth="1"/>
    <col min="2" max="2" width="8.7109375" style="5" customWidth="1"/>
    <col min="3" max="3" width="6.5703125" style="5" customWidth="1"/>
    <col min="4" max="4" width="2.7109375" style="5" customWidth="1"/>
    <col min="5" max="5" width="17.85546875" style="5" customWidth="1"/>
    <col min="6" max="6" width="2.7109375" style="5" customWidth="1"/>
    <col min="7" max="7" width="12.42578125" style="5" customWidth="1"/>
    <col min="8" max="8" width="2.7109375" style="5" customWidth="1"/>
    <col min="9" max="9" width="14.85546875" style="5" customWidth="1"/>
    <col min="10" max="10" width="20.85546875" style="5" customWidth="1"/>
    <col min="11" max="11" width="11.28515625" style="5" customWidth="1"/>
    <col min="12" max="12" width="10.5703125" style="5" customWidth="1"/>
    <col min="13" max="13" width="14" style="5" customWidth="1"/>
    <col min="14" max="14" width="2.5703125" style="5" customWidth="1"/>
    <col min="15" max="15" width="20.7109375" style="5" customWidth="1"/>
    <col min="16" max="28" width="11.7109375" style="5" customWidth="1"/>
    <col min="29" max="29" width="10.140625" style="5" bestFit="1" customWidth="1"/>
    <col min="30" max="16384" width="8.7109375" style="5"/>
  </cols>
  <sheetData>
    <row r="1" spans="1:22" ht="45" x14ac:dyDescent="0.6">
      <c r="A1" s="4" t="str">
        <f>Invulinstructie_en_disclaimer!A2</f>
        <v>Model haalbaarheidsstudie SCE 2026</v>
      </c>
      <c r="O1" s="8"/>
    </row>
    <row r="2" spans="1:22" ht="11.25" customHeight="1" x14ac:dyDescent="0.6">
      <c r="A2" s="4"/>
      <c r="O2" s="8"/>
    </row>
    <row r="3" spans="1:22" ht="20.100000000000001" customHeight="1" x14ac:dyDescent="0.3">
      <c r="A3" s="9" t="s">
        <v>134</v>
      </c>
      <c r="L3" s="9"/>
      <c r="O3" s="10"/>
    </row>
    <row r="4" spans="1:22" ht="20.100000000000001" customHeight="1" x14ac:dyDescent="0.3">
      <c r="A4" s="10"/>
      <c r="O4" s="10"/>
    </row>
    <row r="5" spans="1:22" ht="18" x14ac:dyDescent="0.25">
      <c r="A5" s="9" t="s">
        <v>153</v>
      </c>
      <c r="K5" s="104"/>
    </row>
    <row r="6" spans="1:22" ht="18" x14ac:dyDescent="0.25">
      <c r="A6" s="9"/>
      <c r="K6" s="104"/>
    </row>
    <row r="7" spans="1:22" x14ac:dyDescent="0.2">
      <c r="A7" s="7" t="s">
        <v>56</v>
      </c>
      <c r="B7" s="315"/>
      <c r="C7" s="316"/>
      <c r="D7" s="317"/>
      <c r="E7" s="317"/>
      <c r="F7" s="317"/>
      <c r="G7" s="317"/>
      <c r="H7" s="317"/>
      <c r="I7" s="317"/>
      <c r="J7" s="317"/>
      <c r="K7" s="317"/>
      <c r="L7" s="317"/>
      <c r="M7" s="318"/>
    </row>
    <row r="8" spans="1:22" ht="31.5" customHeight="1" x14ac:dyDescent="0.2">
      <c r="A8" s="181" t="s">
        <v>108</v>
      </c>
      <c r="B8" s="40"/>
      <c r="C8" s="40"/>
      <c r="D8" s="40"/>
      <c r="E8" s="40"/>
      <c r="F8" s="40"/>
      <c r="G8" s="40"/>
      <c r="H8" s="40"/>
      <c r="I8" s="40"/>
      <c r="J8" s="40"/>
      <c r="K8" s="40"/>
      <c r="O8" s="135" t="str">
        <f>IF('Hulpblad_overig '!B4=2,"Wanneer u geen producent bent, kan aan u geen subsidie worden verleend","")</f>
        <v/>
      </c>
    </row>
    <row r="9" spans="1:22" ht="47.25" customHeight="1" x14ac:dyDescent="0.2">
      <c r="A9" s="175" t="s">
        <v>196</v>
      </c>
      <c r="B9" s="40"/>
      <c r="C9" s="182"/>
      <c r="D9" s="40"/>
      <c r="E9" s="40"/>
      <c r="F9" s="40"/>
      <c r="G9" s="40"/>
      <c r="H9" s="40"/>
      <c r="I9" s="40"/>
      <c r="J9" s="40"/>
      <c r="K9" s="40"/>
      <c r="L9" s="135"/>
      <c r="O9" s="182" t="str">
        <f>IF('Hulpblad_overig '!B10=1,"Voeg de statuten van de coöperatie toe.",IF('Hulpblad_overig '!B10=2,"Voeg de Modelverklaring gezamenlijke aanvraag en de statuten van de coöperatie én de project BV toe.",""))</f>
        <v>Voeg de statuten van de coöperatie toe.</v>
      </c>
      <c r="V9" s="7"/>
    </row>
    <row r="10" spans="1:22" ht="30.75" customHeight="1" x14ac:dyDescent="0.25">
      <c r="A10" s="189" t="str">
        <f>IF('Hulpblad_overig '!B10=3,"Wordt de productie-installatie aangebracht op of aan een gebouw dat in eigendom is van een VvE?","Niet van toepassing")</f>
        <v>Niet van toepassing</v>
      </c>
      <c r="B10" s="40"/>
      <c r="C10" s="40"/>
      <c r="D10" s="40"/>
      <c r="E10" s="40"/>
      <c r="F10" s="40"/>
      <c r="G10" s="40"/>
      <c r="H10" s="40"/>
      <c r="I10" s="40"/>
      <c r="J10" s="40"/>
      <c r="K10" s="40"/>
      <c r="L10" s="164"/>
    </row>
    <row r="11" spans="1:22" ht="15" customHeight="1" x14ac:dyDescent="0.2">
      <c r="A11" s="105"/>
      <c r="B11" s="40"/>
      <c r="C11" s="40"/>
      <c r="D11" s="40"/>
      <c r="E11" s="40"/>
      <c r="F11" s="40"/>
      <c r="G11" s="40"/>
      <c r="H11" s="40"/>
      <c r="I11" s="40"/>
      <c r="J11" s="40"/>
      <c r="K11" s="40"/>
      <c r="L11" s="135"/>
    </row>
    <row r="12" spans="1:22" ht="12.75" customHeight="1" x14ac:dyDescent="0.2">
      <c r="A12" s="105" t="str">
        <f>IF('Hulpblad_overig '!B10&lt;3,"Wat is het aantal beoogde deelnemers in het project?","Wat is het aantal leden van de VvE die woonachtig of gevestigd zijn binnen de postcoderoos?")</f>
        <v>Wat is het aantal beoogde deelnemers in het project?</v>
      </c>
      <c r="B12" s="40"/>
      <c r="C12" s="40"/>
      <c r="D12" s="40"/>
      <c r="E12" s="40"/>
      <c r="F12" s="40"/>
      <c r="G12" s="40"/>
      <c r="H12" s="40"/>
      <c r="I12" s="40"/>
      <c r="J12" s="40"/>
      <c r="K12" s="322">
        <v>0</v>
      </c>
      <c r="L12" s="323"/>
      <c r="M12" s="324"/>
      <c r="O12" s="189" t="str">
        <f>IF(AND('Hulpblad_overig '!B10=3,'Hulpblad_overig '!B14=1),"Minimaal 75% van de leden van de VvE moeten woonachtig of gevestigd zijn binnen de aangevraagde postcoderoos","Er geldt een minimum aantal deelnemers in het project.")</f>
        <v>Er geldt een minimum aantal deelnemers in het project.</v>
      </c>
      <c r="T12" s="40"/>
    </row>
    <row r="13" spans="1:22" ht="12.75" customHeight="1" x14ac:dyDescent="0.2">
      <c r="A13" s="105" t="str">
        <f>IF('Hulpblad_overig '!B10=3,"Wat is het aantal leden van de VvE die woonachtig of gevestigd zijn buiten de postcoderoos?","")</f>
        <v/>
      </c>
      <c r="B13" s="40"/>
      <c r="C13" s="40"/>
      <c r="D13" s="40"/>
      <c r="E13" s="40"/>
      <c r="F13" s="40"/>
      <c r="G13" s="40"/>
      <c r="H13" s="40"/>
      <c r="I13" s="40"/>
      <c r="J13" s="40"/>
      <c r="K13" s="331"/>
      <c r="L13" s="310"/>
      <c r="M13" s="311"/>
      <c r="O13" s="185" t="str">
        <f>IF(K13=0,"",IF(K12/K13&lt;(75/25),"Er wordt niet voldaan aan de voorwaarde dat minimaal 75% van de leden van de VvE woonachtig of gevestigd moet zijn in de postcoderoos!",""))</f>
        <v/>
      </c>
    </row>
    <row r="14" spans="1:22" ht="21.75" customHeight="1" x14ac:dyDescent="0.25">
      <c r="A14" s="7" t="s">
        <v>145</v>
      </c>
      <c r="B14" s="40"/>
      <c r="C14" s="40"/>
      <c r="D14" s="40"/>
      <c r="E14" s="40"/>
      <c r="F14" s="40"/>
      <c r="G14" s="40"/>
      <c r="H14" s="40"/>
      <c r="I14" s="40"/>
      <c r="J14" s="40"/>
      <c r="K14" s="40"/>
      <c r="L14" s="140"/>
    </row>
    <row r="15" spans="1:22" ht="28.5" customHeight="1" x14ac:dyDescent="0.2">
      <c r="A15" s="105" t="s">
        <v>146</v>
      </c>
      <c r="B15" s="40"/>
      <c r="C15" s="40"/>
      <c r="D15" s="40"/>
      <c r="E15" s="40"/>
      <c r="F15" s="40"/>
      <c r="G15" s="40"/>
      <c r="H15" s="40"/>
      <c r="I15" s="40"/>
      <c r="J15" s="40"/>
      <c r="K15" s="40"/>
      <c r="O15" s="135"/>
    </row>
    <row r="16" spans="1:22" ht="12.75" customHeight="1" x14ac:dyDescent="0.2">
      <c r="A16" s="71" t="s">
        <v>63</v>
      </c>
      <c r="D16" s="30"/>
      <c r="E16" s="11"/>
      <c r="F16" s="11"/>
      <c r="G16" s="11"/>
      <c r="H16" s="11"/>
      <c r="I16" s="11"/>
      <c r="J16" s="11"/>
      <c r="K16" s="319">
        <v>1</v>
      </c>
      <c r="L16" s="320"/>
      <c r="M16" s="321"/>
      <c r="O16" s="17" t="str">
        <f>IF(K16&lt;1,"U heeft nog geen aantal productie-installaties ingevuld!","")</f>
        <v/>
      </c>
    </row>
    <row r="17" spans="1:28" ht="35.25" customHeight="1" x14ac:dyDescent="0.2">
      <c r="A17" s="188" t="s">
        <v>162</v>
      </c>
      <c r="D17" s="30"/>
      <c r="E17" s="11"/>
      <c r="F17" s="11"/>
      <c r="G17" s="11"/>
      <c r="H17" s="11"/>
      <c r="I17" s="11"/>
      <c r="J17" s="11"/>
      <c r="K17" s="187"/>
      <c r="L17" s="187"/>
      <c r="M17" s="187"/>
    </row>
    <row r="18" spans="1:28" ht="12.75" customHeight="1" x14ac:dyDescent="0.2">
      <c r="A18" s="105" t="str">
        <f>IF('Hulpblad_overig '!B32=1,"Voor hoeveel nog niet gerealiseerde productie-installaties is in een eerdere ronde SCE-subsidie verleend?","")</f>
        <v/>
      </c>
      <c r="D18" s="30"/>
      <c r="E18" s="11"/>
      <c r="F18" s="11"/>
      <c r="G18" s="11"/>
      <c r="H18" s="11"/>
      <c r="I18" s="11"/>
      <c r="J18" s="11"/>
      <c r="K18" s="319"/>
      <c r="L18" s="320"/>
      <c r="M18" s="321"/>
      <c r="O18" s="17" t="str">
        <f>IF(AND('Hulpblad_overig '!B32=1,K18&lt;1),"U heeft nog geen aantal productie-installaties ingevuld!","")</f>
        <v/>
      </c>
    </row>
    <row r="19" spans="1:28" ht="12.75" customHeight="1" x14ac:dyDescent="0.2">
      <c r="A19" s="105"/>
      <c r="D19" s="30"/>
      <c r="E19" s="11"/>
      <c r="F19" s="11"/>
      <c r="G19" s="11"/>
      <c r="H19" s="11"/>
      <c r="I19" s="11"/>
      <c r="J19" s="11"/>
      <c r="K19" s="40"/>
    </row>
    <row r="20" spans="1:28" ht="18" customHeight="1" x14ac:dyDescent="0.25">
      <c r="A20" s="9" t="str">
        <f>IF(K16&gt;1,"Omschrijving van de "&amp;K16&amp;" productie-installaties voor de SCE 2026","Omschrijving van de productie-installatie")</f>
        <v>Omschrijving van de productie-installatie</v>
      </c>
      <c r="B20" s="106"/>
      <c r="C20" s="106"/>
      <c r="D20" s="90"/>
      <c r="E20" s="53"/>
      <c r="F20" s="53"/>
      <c r="G20" s="53"/>
      <c r="H20" s="53"/>
      <c r="I20" s="53"/>
      <c r="J20" s="53"/>
      <c r="K20" s="107"/>
      <c r="L20" s="7"/>
      <c r="M20" s="20"/>
    </row>
    <row r="21" spans="1:28" ht="163.5" customHeight="1" x14ac:dyDescent="0.2">
      <c r="A21" s="104"/>
      <c r="B21" s="325"/>
      <c r="C21" s="326"/>
      <c r="D21" s="327"/>
      <c r="E21" s="327"/>
      <c r="F21" s="327"/>
      <c r="G21" s="327"/>
      <c r="H21" s="327"/>
      <c r="I21" s="327"/>
      <c r="J21" s="327"/>
      <c r="K21" s="327"/>
      <c r="L21" s="327"/>
      <c r="M21" s="328"/>
      <c r="N21" s="40"/>
    </row>
    <row r="22" spans="1:28" ht="19.5" customHeight="1" x14ac:dyDescent="0.2">
      <c r="D22" s="30"/>
      <c r="E22" s="11"/>
      <c r="F22" s="11"/>
      <c r="G22" s="11"/>
      <c r="H22" s="11"/>
      <c r="I22" s="11"/>
      <c r="J22" s="11"/>
      <c r="K22" s="11"/>
    </row>
    <row r="23" spans="1:28" ht="18" customHeight="1" x14ac:dyDescent="0.25">
      <c r="A23" s="9" t="str">
        <f>IF(AND(K16=1,'Hulpblad_overig '!B32=2),"Financieringsplan voor de productie-installatie voor de SCE 2026",IF(AND(K16&gt;1,'Hulpblad_overig '!B32=2),"Financieringsplan voor de "&amp;K16&amp;" productie-installaties voor de SCE 2026",IF(AND(K16=1,'Hulpblad_overig '!B32=1,K18=1),"Financieringsplan voor de productie-installatie voor de SCE 2026 en de productie-installatie uit een vorige SCE-ronde",IF(AND(K16=1,'Hulpblad_overig '!B32=1,K18&gt;1),"Financieringsplan voor de productie-installatie voor de SCE 2026 en de "&amp;K18&amp;" productie-installaties uit een vorige SCE-ronde",IF(AND(K16&gt;1,'Hulpblad_overig '!B32=1,K18=1),"Financieringsplan voor de "&amp;K16&amp;" productie-installatie voor de SCE 2026 en de productie-installatie uit een vorige SCE-ronde",IF(AND(K16&gt;1,'Hulpblad_overig '!B32=1,K18&gt;1),"Financieringsplan voor de "&amp;K16&amp;" productie-installaties voor de SCE 2026 en de "&amp;K18&amp;" productie-installaties uit een vorige SCE-ronde",""))))))</f>
        <v>Financieringsplan voor de productie-installatie voor de SCE 2026</v>
      </c>
      <c r="D23" s="30"/>
      <c r="E23" s="11"/>
      <c r="F23" s="11"/>
      <c r="G23" s="11"/>
      <c r="H23" s="11"/>
      <c r="I23" s="11"/>
      <c r="J23" s="11"/>
      <c r="K23" s="11"/>
    </row>
    <row r="24" spans="1:28" ht="163.5" customHeight="1" x14ac:dyDescent="0.2">
      <c r="A24" s="7"/>
      <c r="B24" s="329"/>
      <c r="C24" s="330"/>
      <c r="D24" s="330"/>
      <c r="E24" s="330"/>
      <c r="F24" s="330"/>
      <c r="G24" s="330"/>
      <c r="H24" s="330"/>
      <c r="I24" s="330"/>
      <c r="J24" s="330"/>
      <c r="K24" s="330"/>
      <c r="L24" s="317"/>
      <c r="M24" s="318"/>
    </row>
    <row r="25" spans="1:28" x14ac:dyDescent="0.2">
      <c r="A25" s="7"/>
      <c r="D25" s="30"/>
      <c r="E25" s="11"/>
      <c r="F25" s="11"/>
      <c r="G25" s="11"/>
      <c r="H25" s="11"/>
      <c r="I25" s="11"/>
      <c r="J25" s="11"/>
      <c r="K25" s="11"/>
    </row>
    <row r="27" spans="1:28" ht="18" x14ac:dyDescent="0.25">
      <c r="A27" s="9" t="str">
        <f>IF(K16&gt;1,"Investeringskosten voor de "&amp;K16&amp;" productie-installaties voor de SCE 2026","Investeringskosten voor de productie-installatie")</f>
        <v>Investeringskosten voor de productie-installatie</v>
      </c>
    </row>
    <row r="28" spans="1:28" x14ac:dyDescent="0.2">
      <c r="A28" s="104" t="s">
        <v>57</v>
      </c>
    </row>
    <row r="29" spans="1:28" x14ac:dyDescent="0.2">
      <c r="B29" s="312"/>
      <c r="C29" s="313"/>
      <c r="D29" s="313"/>
      <c r="E29" s="313"/>
      <c r="F29" s="313"/>
      <c r="G29" s="313"/>
      <c r="H29" s="313"/>
      <c r="I29" s="313"/>
      <c r="J29" s="313"/>
      <c r="K29" s="314"/>
      <c r="M29" s="23">
        <v>0</v>
      </c>
      <c r="N29" s="34"/>
      <c r="O29" s="11"/>
      <c r="P29" s="11"/>
      <c r="Q29" s="11"/>
      <c r="R29" s="11"/>
      <c r="S29" s="11"/>
      <c r="T29" s="11"/>
      <c r="U29" s="11"/>
      <c r="V29" s="11"/>
      <c r="W29" s="11"/>
      <c r="X29" s="11"/>
      <c r="Y29" s="11"/>
      <c r="Z29" s="11"/>
      <c r="AA29" s="11"/>
      <c r="AB29" s="11"/>
    </row>
    <row r="30" spans="1:28" x14ac:dyDescent="0.2">
      <c r="B30" s="274"/>
      <c r="C30" s="275"/>
      <c r="D30" s="275"/>
      <c r="E30" s="275"/>
      <c r="F30" s="275"/>
      <c r="G30" s="275"/>
      <c r="H30" s="275"/>
      <c r="I30" s="275"/>
      <c r="J30" s="275"/>
      <c r="K30" s="276"/>
      <c r="L30" s="40"/>
      <c r="M30" s="171">
        <v>0</v>
      </c>
      <c r="N30" s="34"/>
      <c r="O30" s="11"/>
      <c r="P30" s="11"/>
      <c r="Q30" s="11"/>
      <c r="R30" s="11"/>
      <c r="S30" s="11"/>
      <c r="T30" s="11"/>
      <c r="U30" s="11"/>
      <c r="V30" s="11"/>
      <c r="W30" s="11"/>
      <c r="X30" s="11"/>
      <c r="Y30" s="11"/>
      <c r="Z30" s="11"/>
      <c r="AA30" s="11"/>
      <c r="AB30" s="11"/>
    </row>
    <row r="31" spans="1:28" x14ac:dyDescent="0.2">
      <c r="B31" s="274"/>
      <c r="C31" s="275"/>
      <c r="D31" s="275"/>
      <c r="E31" s="275"/>
      <c r="F31" s="275"/>
      <c r="G31" s="275"/>
      <c r="H31" s="275"/>
      <c r="I31" s="275"/>
      <c r="J31" s="275"/>
      <c r="K31" s="276"/>
      <c r="L31" s="40"/>
      <c r="M31" s="171">
        <v>0</v>
      </c>
      <c r="N31" s="34"/>
      <c r="O31" s="11"/>
      <c r="P31" s="11"/>
      <c r="Q31" s="11"/>
      <c r="R31" s="11"/>
      <c r="S31" s="11"/>
      <c r="T31" s="11"/>
      <c r="U31" s="11"/>
      <c r="V31" s="11"/>
      <c r="W31" s="11"/>
      <c r="X31" s="11"/>
      <c r="Y31" s="11"/>
      <c r="Z31" s="11"/>
      <c r="AA31" s="11"/>
      <c r="AB31" s="11"/>
    </row>
    <row r="32" spans="1:28" x14ac:dyDescent="0.2">
      <c r="B32" s="274"/>
      <c r="C32" s="275"/>
      <c r="D32" s="275"/>
      <c r="E32" s="275"/>
      <c r="F32" s="275"/>
      <c r="G32" s="275"/>
      <c r="H32" s="275"/>
      <c r="I32" s="275"/>
      <c r="J32" s="275"/>
      <c r="K32" s="276"/>
      <c r="L32" s="40"/>
      <c r="M32" s="171">
        <v>0</v>
      </c>
      <c r="N32" s="34"/>
      <c r="O32" s="11"/>
      <c r="P32" s="11"/>
      <c r="Q32" s="11"/>
      <c r="R32" s="11"/>
      <c r="S32" s="11"/>
      <c r="T32" s="11"/>
      <c r="U32" s="11"/>
      <c r="V32" s="11"/>
      <c r="W32" s="11"/>
      <c r="X32" s="11"/>
      <c r="Y32" s="11"/>
      <c r="Z32" s="11"/>
      <c r="AA32" s="11"/>
      <c r="AB32" s="11"/>
    </row>
    <row r="33" spans="1:29" x14ac:dyDescent="0.2">
      <c r="B33" s="274"/>
      <c r="C33" s="275"/>
      <c r="D33" s="275"/>
      <c r="E33" s="275"/>
      <c r="F33" s="275"/>
      <c r="G33" s="275"/>
      <c r="H33" s="275"/>
      <c r="I33" s="275"/>
      <c r="J33" s="275"/>
      <c r="K33" s="276"/>
      <c r="L33" s="40"/>
      <c r="M33" s="171">
        <v>0</v>
      </c>
      <c r="N33" s="34"/>
      <c r="O33" s="11"/>
      <c r="P33" s="11"/>
      <c r="Q33" s="11"/>
      <c r="R33" s="11"/>
      <c r="S33" s="11"/>
      <c r="T33" s="11"/>
      <c r="U33" s="11"/>
      <c r="V33" s="11"/>
      <c r="W33" s="11"/>
      <c r="X33" s="11"/>
      <c r="Y33" s="11"/>
      <c r="Z33" s="11"/>
      <c r="AA33" s="11"/>
      <c r="AB33" s="11"/>
    </row>
    <row r="34" spans="1:29" x14ac:dyDescent="0.2">
      <c r="B34" s="274"/>
      <c r="C34" s="275"/>
      <c r="D34" s="275"/>
      <c r="E34" s="275"/>
      <c r="F34" s="275"/>
      <c r="G34" s="275"/>
      <c r="H34" s="275"/>
      <c r="I34" s="275"/>
      <c r="J34" s="275"/>
      <c r="K34" s="276"/>
      <c r="L34" s="40"/>
      <c r="M34" s="172">
        <v>0</v>
      </c>
      <c r="N34" s="34"/>
      <c r="O34" s="11"/>
      <c r="P34" s="11"/>
      <c r="Q34" s="11"/>
      <c r="R34" s="11"/>
      <c r="S34" s="11"/>
      <c r="T34" s="11"/>
      <c r="U34" s="11"/>
      <c r="V34" s="11"/>
      <c r="W34" s="11"/>
      <c r="X34" s="11"/>
      <c r="Y34" s="11"/>
      <c r="Z34" s="11"/>
      <c r="AA34" s="11"/>
      <c r="AB34" s="11"/>
    </row>
    <row r="35" spans="1:29" x14ac:dyDescent="0.2">
      <c r="B35" s="274"/>
      <c r="C35" s="275"/>
      <c r="D35" s="275"/>
      <c r="E35" s="275"/>
      <c r="F35" s="275"/>
      <c r="G35" s="275"/>
      <c r="H35" s="275"/>
      <c r="I35" s="275"/>
      <c r="J35" s="275"/>
      <c r="K35" s="276"/>
      <c r="L35" s="40"/>
      <c r="M35" s="172">
        <v>0</v>
      </c>
      <c r="N35" s="34"/>
      <c r="O35" s="11"/>
      <c r="P35" s="11"/>
      <c r="Q35" s="11"/>
      <c r="R35" s="11"/>
      <c r="S35" s="11"/>
      <c r="T35" s="11"/>
      <c r="U35" s="11"/>
      <c r="V35" s="11"/>
      <c r="W35" s="11"/>
      <c r="X35" s="11"/>
      <c r="Y35" s="11"/>
      <c r="Z35" s="11"/>
      <c r="AA35" s="11"/>
      <c r="AB35" s="11"/>
    </row>
    <row r="36" spans="1:29" x14ac:dyDescent="0.2">
      <c r="B36" s="274"/>
      <c r="C36" s="275"/>
      <c r="D36" s="275"/>
      <c r="E36" s="275"/>
      <c r="F36" s="275"/>
      <c r="G36" s="275"/>
      <c r="H36" s="275"/>
      <c r="I36" s="275"/>
      <c r="J36" s="275"/>
      <c r="K36" s="276"/>
      <c r="L36" s="40"/>
      <c r="M36" s="172">
        <v>0</v>
      </c>
      <c r="N36" s="34"/>
      <c r="O36" s="11"/>
      <c r="P36" s="11"/>
      <c r="Q36" s="11"/>
      <c r="R36" s="11"/>
      <c r="S36" s="11"/>
      <c r="T36" s="11"/>
      <c r="U36" s="11"/>
      <c r="V36" s="11"/>
      <c r="W36" s="11"/>
      <c r="X36" s="11"/>
      <c r="Y36" s="11"/>
      <c r="Z36" s="11"/>
      <c r="AA36" s="11"/>
      <c r="AB36" s="11"/>
    </row>
    <row r="37" spans="1:29" x14ac:dyDescent="0.2">
      <c r="B37" s="274"/>
      <c r="C37" s="275"/>
      <c r="D37" s="275"/>
      <c r="E37" s="275"/>
      <c r="F37" s="275"/>
      <c r="G37" s="275"/>
      <c r="H37" s="275"/>
      <c r="I37" s="275"/>
      <c r="J37" s="275"/>
      <c r="K37" s="276"/>
      <c r="L37" s="40"/>
      <c r="M37" s="172">
        <v>0</v>
      </c>
      <c r="N37" s="34"/>
      <c r="O37" s="11"/>
      <c r="P37" s="11"/>
      <c r="Q37" s="11"/>
      <c r="R37" s="11"/>
      <c r="S37" s="11"/>
      <c r="T37" s="11"/>
      <c r="U37" s="11"/>
      <c r="V37" s="11"/>
      <c r="W37" s="11"/>
      <c r="X37" s="11"/>
      <c r="Y37" s="11"/>
      <c r="Z37" s="11"/>
      <c r="AA37" s="11"/>
      <c r="AB37" s="11"/>
    </row>
    <row r="38" spans="1:29" x14ac:dyDescent="0.2">
      <c r="A38" s="104"/>
      <c r="B38" s="281"/>
      <c r="C38" s="282"/>
      <c r="D38" s="282"/>
      <c r="E38" s="282"/>
      <c r="F38" s="282"/>
      <c r="G38" s="282"/>
      <c r="H38" s="282"/>
      <c r="I38" s="282"/>
      <c r="J38" s="282"/>
      <c r="K38" s="283"/>
      <c r="L38" s="40"/>
      <c r="M38" s="173">
        <v>0</v>
      </c>
      <c r="N38" s="34"/>
      <c r="O38" s="11"/>
      <c r="P38" s="11"/>
      <c r="Q38" s="11"/>
      <c r="R38" s="11"/>
      <c r="S38" s="11"/>
      <c r="T38" s="11"/>
      <c r="U38" s="11"/>
      <c r="V38" s="11"/>
      <c r="W38" s="11"/>
      <c r="X38" s="11"/>
      <c r="Y38" s="11"/>
      <c r="Z38" s="11"/>
      <c r="AA38" s="11"/>
      <c r="AB38" s="11"/>
    </row>
    <row r="39" spans="1:29" x14ac:dyDescent="0.2">
      <c r="A39" s="104" t="s">
        <v>13</v>
      </c>
      <c r="B39" s="33"/>
      <c r="C39" s="33"/>
      <c r="D39" s="33"/>
      <c r="E39" s="33"/>
      <c r="F39" s="33"/>
      <c r="G39" s="33"/>
      <c r="H39" s="33"/>
      <c r="I39" s="33"/>
      <c r="J39" s="33"/>
      <c r="K39" s="33"/>
      <c r="M39" s="12">
        <f>SUM(M29:M38)</f>
        <v>0</v>
      </c>
      <c r="N39" s="34"/>
      <c r="O39" s="13"/>
      <c r="P39" s="13"/>
      <c r="Q39" s="13"/>
      <c r="R39" s="13"/>
      <c r="S39" s="13"/>
      <c r="T39" s="13"/>
      <c r="U39" s="13"/>
      <c r="V39" s="13"/>
      <c r="W39" s="13"/>
      <c r="X39" s="13"/>
      <c r="Y39" s="13"/>
      <c r="Z39" s="13"/>
      <c r="AA39" s="13"/>
      <c r="AB39" s="13"/>
    </row>
    <row r="41" spans="1:29" s="7" customFormat="1" x14ac:dyDescent="0.2">
      <c r="M41" s="12"/>
      <c r="N41" s="13"/>
      <c r="O41" s="13"/>
      <c r="P41" s="13"/>
      <c r="Q41" s="13"/>
      <c r="R41" s="13"/>
      <c r="S41" s="13"/>
      <c r="T41" s="13"/>
      <c r="U41" s="13"/>
      <c r="V41" s="13"/>
      <c r="W41" s="13"/>
      <c r="X41" s="13"/>
      <c r="Y41" s="13"/>
      <c r="Z41" s="13"/>
      <c r="AA41" s="13"/>
      <c r="AB41" s="13"/>
      <c r="AC41" s="13"/>
    </row>
    <row r="42" spans="1:29" s="7" customFormat="1" ht="18" x14ac:dyDescent="0.25">
      <c r="A42" s="9" t="s">
        <v>17</v>
      </c>
      <c r="B42" s="5"/>
      <c r="C42" s="5"/>
      <c r="D42" s="5"/>
      <c r="E42" s="5"/>
      <c r="F42" s="5"/>
      <c r="G42" s="5"/>
      <c r="H42" s="5"/>
      <c r="I42" s="5"/>
      <c r="J42" s="5"/>
      <c r="K42" s="5"/>
      <c r="M42" s="12"/>
      <c r="N42" s="13"/>
      <c r="O42" s="13"/>
      <c r="P42" s="13"/>
      <c r="Q42" s="13"/>
      <c r="R42" s="13"/>
      <c r="S42" s="13"/>
      <c r="T42" s="13"/>
      <c r="U42" s="13"/>
      <c r="V42" s="13"/>
      <c r="W42" s="13"/>
      <c r="X42" s="13"/>
      <c r="Y42" s="13"/>
      <c r="Z42" s="13"/>
      <c r="AA42" s="13"/>
      <c r="AB42" s="13"/>
      <c r="AC42" s="13"/>
    </row>
    <row r="43" spans="1:29" s="7" customFormat="1" ht="18" x14ac:dyDescent="0.25">
      <c r="A43" s="9"/>
      <c r="B43" s="5"/>
      <c r="C43" s="5"/>
      <c r="D43" s="5"/>
      <c r="E43" s="5"/>
      <c r="F43" s="5"/>
      <c r="G43" s="5"/>
      <c r="H43" s="5"/>
      <c r="I43" s="5"/>
      <c r="J43" s="5"/>
      <c r="K43" s="5"/>
      <c r="M43" s="12"/>
      <c r="N43" s="13"/>
      <c r="O43" s="13"/>
      <c r="P43" s="13"/>
      <c r="Q43" s="13"/>
      <c r="R43" s="13"/>
      <c r="S43" s="13"/>
      <c r="T43" s="13"/>
      <c r="U43" s="13"/>
      <c r="V43" s="13"/>
      <c r="W43" s="13"/>
      <c r="X43" s="13"/>
      <c r="Y43" s="13"/>
      <c r="Z43" s="13"/>
      <c r="AA43" s="13"/>
      <c r="AB43" s="13"/>
      <c r="AC43" s="13"/>
    </row>
    <row r="44" spans="1:29" s="7" customFormat="1" ht="15" x14ac:dyDescent="0.25">
      <c r="A44" s="110" t="s">
        <v>29</v>
      </c>
      <c r="B44" s="5"/>
      <c r="C44" s="5"/>
      <c r="D44" s="5"/>
      <c r="E44" s="5"/>
      <c r="F44" s="5"/>
      <c r="G44" s="5"/>
      <c r="H44" s="58"/>
      <c r="I44" s="40"/>
      <c r="J44" s="5"/>
      <c r="K44" s="5"/>
      <c r="M44" s="12"/>
      <c r="N44" s="13"/>
      <c r="O44" s="13"/>
      <c r="P44" s="13"/>
      <c r="Q44" s="13"/>
      <c r="R44" s="13"/>
      <c r="S44" s="13"/>
      <c r="T44" s="13"/>
      <c r="U44" s="13"/>
      <c r="V44" s="13"/>
      <c r="W44" s="13"/>
      <c r="X44" s="13"/>
      <c r="Y44" s="13"/>
      <c r="Z44" s="13"/>
      <c r="AA44" s="13"/>
      <c r="AB44" s="13"/>
      <c r="AC44" s="13"/>
    </row>
    <row r="45" spans="1:29" s="7" customFormat="1" ht="17.25" customHeight="1" x14ac:dyDescent="0.2">
      <c r="A45" s="104" t="s">
        <v>58</v>
      </c>
      <c r="B45" s="5"/>
      <c r="C45" s="5"/>
      <c r="D45" s="5"/>
      <c r="E45" s="5"/>
      <c r="F45" s="5"/>
      <c r="G45" s="5"/>
      <c r="H45" s="5"/>
      <c r="I45" s="5"/>
      <c r="J45" s="5"/>
      <c r="K45" s="15"/>
      <c r="M45" s="111"/>
      <c r="N45" s="111"/>
      <c r="O45" s="13"/>
      <c r="P45" s="13"/>
      <c r="Q45" s="13"/>
      <c r="R45" s="13"/>
      <c r="S45" s="13"/>
      <c r="T45" s="13"/>
      <c r="U45" s="13"/>
      <c r="V45" s="13"/>
      <c r="W45" s="13"/>
      <c r="X45" s="13"/>
      <c r="Y45" s="13"/>
      <c r="Z45" s="13"/>
      <c r="AA45" s="13"/>
      <c r="AB45" s="13"/>
      <c r="AC45" s="13"/>
    </row>
    <row r="46" spans="1:29" x14ac:dyDescent="0.2">
      <c r="B46" s="296"/>
      <c r="C46" s="297"/>
      <c r="D46" s="298"/>
      <c r="E46" s="298"/>
      <c r="F46" s="298"/>
      <c r="G46" s="298"/>
      <c r="H46" s="298"/>
      <c r="I46" s="298"/>
      <c r="J46" s="298"/>
      <c r="K46" s="299"/>
      <c r="M46" s="31">
        <v>0</v>
      </c>
      <c r="N46" s="13"/>
      <c r="O46" s="11"/>
      <c r="P46" s="11"/>
      <c r="Q46" s="11"/>
      <c r="R46" s="11"/>
      <c r="S46" s="11"/>
      <c r="T46" s="11"/>
      <c r="U46" s="11"/>
      <c r="V46" s="11"/>
      <c r="W46" s="11"/>
      <c r="X46" s="11"/>
      <c r="Y46" s="11"/>
      <c r="Z46" s="11"/>
      <c r="AA46" s="11"/>
      <c r="AB46" s="11"/>
    </row>
    <row r="47" spans="1:29" x14ac:dyDescent="0.2">
      <c r="B47" s="104" t="s">
        <v>41</v>
      </c>
      <c r="C47" s="104"/>
      <c r="D47" s="83"/>
      <c r="E47" s="83"/>
      <c r="F47" s="83"/>
      <c r="G47" s="83"/>
      <c r="H47" s="83"/>
      <c r="I47" s="83"/>
      <c r="J47" s="83"/>
      <c r="K47" s="83"/>
      <c r="L47" s="40"/>
      <c r="M47" s="37"/>
      <c r="N47" s="13"/>
      <c r="O47" s="11"/>
      <c r="P47" s="11"/>
      <c r="Q47" s="11"/>
      <c r="R47" s="11"/>
      <c r="S47" s="11"/>
      <c r="T47" s="11"/>
      <c r="U47" s="11"/>
      <c r="V47" s="11"/>
      <c r="W47" s="11"/>
      <c r="X47" s="11"/>
      <c r="Y47" s="11"/>
      <c r="Z47" s="11"/>
      <c r="AA47" s="11"/>
      <c r="AB47" s="11"/>
    </row>
    <row r="48" spans="1:29" x14ac:dyDescent="0.2">
      <c r="B48" s="112"/>
      <c r="C48" s="112"/>
      <c r="D48" s="83"/>
      <c r="E48" s="83"/>
      <c r="F48" s="83"/>
      <c r="G48" s="83"/>
      <c r="H48" s="83"/>
      <c r="I48" s="83"/>
      <c r="J48" s="83"/>
      <c r="K48" s="83"/>
      <c r="L48" s="90"/>
      <c r="M48" s="90"/>
      <c r="N48" s="13"/>
      <c r="O48" s="11"/>
      <c r="P48" s="11"/>
      <c r="Q48" s="11"/>
      <c r="R48" s="11"/>
      <c r="S48" s="11"/>
      <c r="T48" s="11"/>
      <c r="U48" s="11"/>
      <c r="V48" s="11"/>
      <c r="W48" s="11"/>
      <c r="X48" s="11"/>
      <c r="Y48" s="11"/>
      <c r="Z48" s="11"/>
      <c r="AA48" s="11"/>
      <c r="AB48" s="11"/>
    </row>
    <row r="49" spans="1:33" s="7" customFormat="1" ht="31.5" customHeight="1" x14ac:dyDescent="0.2">
      <c r="A49" s="7" t="str">
        <f>IF('Hulpblad_overig '!B10&lt;3,"Worden ook rentedragende leningen van deelnemers van de energiecoöporatie ingebracht in dit project of projecten?","U vraagt aan voor een Vereniging van eigenaren, u kunt regels 48 t/m 52 overslaan" )</f>
        <v>Worden ook rentedragende leningen van deelnemers van de energiecoöporatie ingebracht in dit project of projecten?</v>
      </c>
      <c r="B49" s="5"/>
      <c r="C49" s="5"/>
      <c r="D49" s="5"/>
      <c r="E49" s="5"/>
      <c r="F49" s="5"/>
      <c r="G49" s="5"/>
      <c r="H49" s="5"/>
      <c r="I49" s="5"/>
      <c r="J49" s="5"/>
      <c r="K49" s="15"/>
      <c r="M49" s="111"/>
      <c r="N49" s="111"/>
      <c r="O49" s="13"/>
      <c r="P49" s="13"/>
      <c r="Q49" s="13"/>
      <c r="R49" s="13"/>
      <c r="S49" s="13"/>
      <c r="T49" s="13"/>
      <c r="U49" s="13"/>
      <c r="V49" s="13"/>
      <c r="W49" s="13"/>
      <c r="X49" s="13"/>
      <c r="Y49" s="13"/>
      <c r="Z49" s="13"/>
      <c r="AA49" s="13"/>
      <c r="AB49" s="13"/>
      <c r="AC49" s="13"/>
    </row>
    <row r="50" spans="1:33" s="7" customFormat="1" ht="21.75" customHeight="1" x14ac:dyDescent="0.25">
      <c r="A50" s="110"/>
      <c r="B50" s="5"/>
      <c r="C50" s="5"/>
      <c r="D50" s="5"/>
      <c r="E50" s="5"/>
      <c r="F50" s="5"/>
      <c r="G50" s="5"/>
      <c r="H50" s="5"/>
      <c r="I50" s="5"/>
      <c r="J50" s="5"/>
      <c r="K50" s="15"/>
      <c r="M50" s="111"/>
      <c r="N50" s="111"/>
      <c r="O50" s="13"/>
      <c r="P50" s="13"/>
      <c r="Q50" s="13"/>
      <c r="R50" s="5"/>
      <c r="S50" s="5"/>
      <c r="T50" s="13"/>
      <c r="U50" s="13"/>
      <c r="V50" s="13"/>
      <c r="W50" s="13"/>
      <c r="X50" s="13"/>
      <c r="Y50" s="13"/>
      <c r="Z50" s="13"/>
      <c r="AA50" s="13"/>
      <c r="AB50" s="13"/>
      <c r="AC50" s="13"/>
    </row>
    <row r="51" spans="1:33" s="7" customFormat="1" ht="17.25" customHeight="1" x14ac:dyDescent="0.2">
      <c r="A51" s="71" t="str">
        <f>IF('Hulpblad_overig '!B10=3,"",
IF(AND('Hulpblad_overig '!B10&lt;3,'Hulpblad_overig '!B30=1),"Leningen deelnemers coöperatie met aflossing in jaar 1 t/m 15",
IF(AND('Hulpblad_overig '!B10&lt;3,'Hulpblad_overig '!B30=2),"Leningen deelnemers coöperatie met aflossing in jaar 16 t/m 20",
IF(AND('Hulpblad_overig '!B10&lt;3,'Hulpblad_overig '!B30=3),"Leningen deelnemers coöperatie met aflossing ná jaar 20",
"Er worden geen rentedragende leningen van deelnemers ingebracht, u kunt regel 53 overslaan"))))</f>
        <v>Er worden geen rentedragende leningen van deelnemers ingebracht, u kunt regel 53 overslaan</v>
      </c>
      <c r="B51" s="5"/>
      <c r="C51" s="5"/>
      <c r="D51" s="5"/>
      <c r="E51" s="5"/>
      <c r="F51" s="5"/>
      <c r="G51" s="5"/>
      <c r="H51" s="5"/>
      <c r="I51" s="5"/>
      <c r="J51" s="5"/>
      <c r="K51" s="15"/>
      <c r="M51" s="111"/>
      <c r="N51" s="111"/>
      <c r="O51" s="13"/>
      <c r="P51" s="13"/>
      <c r="Q51" s="13"/>
      <c r="R51" s="5"/>
      <c r="S51" s="5"/>
      <c r="T51" s="13"/>
      <c r="U51" s="13"/>
      <c r="V51" s="13"/>
      <c r="W51" s="13"/>
      <c r="X51" s="13"/>
      <c r="Y51" s="13"/>
      <c r="Z51" s="13"/>
      <c r="AA51" s="13"/>
      <c r="AB51" s="13"/>
      <c r="AC51" s="13"/>
    </row>
    <row r="52" spans="1:33" s="7" customFormat="1" x14ac:dyDescent="0.2">
      <c r="B52" s="104" t="str">
        <f>IF(OR(AND('Hulpblad_overig '!B10=1,'Hulpblad_overig '!B30=1),AND('Hulpblad_overig '!B10=1,'Hulpblad_overig '!B30=2),AND('Hulpblad_overig '!B10=1,'Hulpblad_overig '!B30=3)),"Bedrag lening (€)","")</f>
        <v/>
      </c>
      <c r="D52" s="104"/>
      <c r="E52" s="104" t="str">
        <f>IF(OR(AND('Hulpblad_overig '!B10=1,'Hulpblad_overig '!B30=1),AND('Hulpblad_overig '!B10=1,'Hulpblad_overig '!B30=2),AND('Hulpblad_overig '!B10=1,'Hulpblad_overig '!B30=3)),"Aflossing lening (jaar)","")</f>
        <v/>
      </c>
      <c r="G52" s="104" t="str">
        <f>IF(OR(AND('Hulpblad_overig '!B10=1,'Hulpblad_overig '!B30=1),AND('Hulpblad_overig '!B10=1,'Hulpblad_overig '!B30=2),AND('Hulpblad_overig '!B10=1,'Hulpblad_overig '!B30=3)),"Aflossingsvorm","")</f>
        <v/>
      </c>
      <c r="H52" s="104"/>
      <c r="I52" s="104" t="str">
        <f>IF(OR(AND('Hulpblad_overig '!B10=1,'Hulpblad_overig '!B30=1),AND('Hulpblad_overig '!B10=1,'Hulpblad_overig '!B30=2),AND('Hulpblad_overig '!B10=1,'Hulpblad_overig '!B30=3)),"Rente lening (%)","")</f>
        <v/>
      </c>
      <c r="J52" s="104"/>
      <c r="L52" s="104"/>
      <c r="Q52" s="104"/>
      <c r="T52" s="12"/>
      <c r="U52" s="13"/>
      <c r="V52" s="13"/>
      <c r="W52" s="13"/>
      <c r="X52" s="13"/>
      <c r="Y52" s="13"/>
      <c r="Z52" s="13"/>
      <c r="AA52" s="13"/>
      <c r="AB52" s="13"/>
      <c r="AC52" s="13"/>
      <c r="AD52" s="13"/>
      <c r="AE52" s="13"/>
      <c r="AF52" s="13"/>
      <c r="AG52" s="13"/>
    </row>
    <row r="53" spans="1:33" s="7" customFormat="1" ht="15.75" x14ac:dyDescent="0.25">
      <c r="A53" s="104" t="str">
        <f>IF(OR(AND('Hulpblad_overig '!B10=1,'Hulpblad_overig '!B30=1),AND('Hulpblad_overig '!B10=1,'Hulpblad_overig '!B30=2),AND('Hulpblad_overig '!B10=1,'Hulpblad_overig '!B30=3)),
"Gegevens lening deelnemers","")</f>
        <v/>
      </c>
      <c r="B53" s="300">
        <v>0</v>
      </c>
      <c r="C53" s="301"/>
      <c r="D53" s="40"/>
      <c r="E53" s="183" t="str">
        <f>IF(A51="Leningen deelnemers coöperatie met aflossing in jaar 1 t/m 15","jaar 1 t/m 15",
IF(A51="Leningen deelnemers coöperatie met aflossing in jaar 16 t/m 20","jaar 16 t/m 20",
IF(A51="Leningen deelnemers coöperatie met aflossing ná jaar 20","ná jaar 20",
"")))</f>
        <v/>
      </c>
      <c r="F53" s="40"/>
      <c r="G53" s="224" t="s">
        <v>82</v>
      </c>
      <c r="H53" s="40"/>
      <c r="I53" s="184">
        <v>0</v>
      </c>
      <c r="J53" s="40"/>
      <c r="L53" s="104"/>
      <c r="N53" s="104"/>
      <c r="O53" s="177" t="str">
        <f>IF(AND('Hulpblad_overig '!B30=4,Financiering_en_projectplan!B53&gt;0),"U heeft hierboven aangegeven dat geen rentedragende leningen van deelnemers van de energiecoöperatie worden ingebracht!","")</f>
        <v/>
      </c>
      <c r="T53" s="12"/>
      <c r="U53" s="13"/>
      <c r="V53" s="13"/>
      <c r="W53" s="13"/>
      <c r="X53" s="13"/>
      <c r="Y53" s="13"/>
      <c r="Z53" s="13"/>
      <c r="AA53" s="13"/>
      <c r="AB53" s="13"/>
      <c r="AC53" s="13"/>
      <c r="AD53" s="13"/>
      <c r="AE53" s="13"/>
      <c r="AF53" s="13"/>
      <c r="AG53" s="13"/>
    </row>
    <row r="54" spans="1:33" s="7" customFormat="1" ht="17.25" customHeight="1" x14ac:dyDescent="0.2">
      <c r="A54" s="20"/>
      <c r="B54" s="5"/>
      <c r="C54" s="5"/>
      <c r="D54" s="5"/>
      <c r="E54" s="5"/>
      <c r="F54" s="5"/>
      <c r="G54" s="5"/>
      <c r="H54" s="5"/>
      <c r="I54" s="5"/>
      <c r="J54" s="5"/>
      <c r="K54" s="15"/>
      <c r="M54" s="111"/>
      <c r="N54" s="111"/>
      <c r="O54" s="13"/>
      <c r="P54" s="13"/>
      <c r="Q54" s="13"/>
      <c r="R54" s="13"/>
      <c r="S54" s="13"/>
      <c r="T54" s="13"/>
      <c r="U54" s="13"/>
      <c r="V54" s="13"/>
      <c r="W54" s="13"/>
      <c r="X54" s="13"/>
      <c r="Y54" s="13"/>
      <c r="Z54" s="13"/>
      <c r="AA54" s="13"/>
      <c r="AB54" s="13"/>
      <c r="AC54" s="13"/>
    </row>
    <row r="55" spans="1:33" s="7" customFormat="1" ht="17.25" customHeight="1" x14ac:dyDescent="0.25">
      <c r="A55" s="294" t="s">
        <v>59</v>
      </c>
      <c r="B55" s="295"/>
      <c r="C55" s="295"/>
      <c r="D55" s="5"/>
      <c r="E55" s="5"/>
      <c r="F55" s="5"/>
      <c r="G55" s="5"/>
      <c r="H55" s="5"/>
      <c r="I55" s="5"/>
      <c r="J55" s="5"/>
      <c r="K55" s="15"/>
      <c r="M55" s="111"/>
      <c r="N55" s="111"/>
      <c r="O55" s="13"/>
      <c r="P55" s="13"/>
      <c r="Q55" s="13"/>
      <c r="R55" s="13"/>
      <c r="S55" s="13"/>
      <c r="T55" s="13"/>
      <c r="U55" s="13"/>
      <c r="V55" s="13"/>
      <c r="W55" s="13"/>
      <c r="X55" s="13"/>
      <c r="Y55" s="13"/>
      <c r="Z55" s="13"/>
      <c r="AA55" s="13"/>
      <c r="AB55" s="13"/>
      <c r="AC55" s="13"/>
    </row>
    <row r="56" spans="1:33" s="7" customFormat="1" ht="12.75" customHeight="1" x14ac:dyDescent="0.2">
      <c r="A56" s="104" t="str">
        <f>IF('Hulpblad_overig '!B10&lt;3,"Inbreng van eigen vermogen van deelnemers van de energiecoöperatie (dit is de inbreng van de deelnemende leden die in de postcoderoos woonachtig of gevestigd zijn) (€)","Inbreng van eigen vermogen leden VvE (€)")</f>
        <v>Inbreng van eigen vermogen van deelnemers van de energiecoöperatie (dit is de inbreng van de deelnemende leden die in de postcoderoos woonachtig of gevestigd zijn) (€)</v>
      </c>
      <c r="B56" s="5"/>
      <c r="C56" s="5"/>
      <c r="D56" s="5"/>
      <c r="E56" s="5"/>
      <c r="F56" s="5"/>
      <c r="G56" s="5"/>
      <c r="H56" s="5"/>
      <c r="I56" s="5"/>
      <c r="J56" s="5"/>
      <c r="K56" s="15"/>
      <c r="M56" s="195">
        <v>0</v>
      </c>
      <c r="N56" s="111"/>
      <c r="O56" s="13"/>
      <c r="P56" s="13"/>
      <c r="Q56" s="13"/>
      <c r="R56" s="13"/>
      <c r="S56" s="13"/>
      <c r="T56" s="13"/>
      <c r="U56" s="13"/>
      <c r="V56" s="13"/>
      <c r="W56" s="13"/>
      <c r="X56" s="13"/>
      <c r="Y56" s="13"/>
      <c r="Z56" s="13"/>
      <c r="AA56" s="13"/>
      <c r="AB56" s="13"/>
      <c r="AC56" s="13"/>
    </row>
    <row r="57" spans="1:33" s="7" customFormat="1" ht="12.75" customHeight="1" x14ac:dyDescent="0.2">
      <c r="A57" s="104" t="str">
        <f>IF(OR(AND('Hulpblad_overig '!B10&lt;3,'Hulpblad_overig '!B30=1),AND('Hulpblad_overig '!B10&lt;3,'Hulpblad_overig '!B30=2),AND('Hulpblad_overig '!B10&lt;3,'Hulpblad_overig '!B30=3)),"Inbreng van eigen vermogen middels rentedragende leningen van deelnemers van de energiecoöperatie (€)","N.v.t.")</f>
        <v>N.v.t.</v>
      </c>
      <c r="B57" s="5"/>
      <c r="C57" s="5"/>
      <c r="D57" s="5"/>
      <c r="E57" s="5"/>
      <c r="F57" s="5"/>
      <c r="G57" s="5"/>
      <c r="H57" s="5"/>
      <c r="I57" s="5"/>
      <c r="J57" s="5"/>
      <c r="K57" s="15"/>
      <c r="M57" s="186">
        <f>IF(OR(AND('Hulpblad_overig '!B10&lt;3,'Hulpblad_overig '!B30=1),AND('Hulpblad_overig '!B10&lt;3,'Hulpblad_overig '!B30=2),AND('Hulpblad_overig '!B10&lt;3,'Hulpblad_overig '!B30=3)),B53,0)</f>
        <v>0</v>
      </c>
      <c r="P57" s="13"/>
      <c r="Q57" s="13"/>
      <c r="R57" s="13"/>
      <c r="S57" s="13"/>
      <c r="T57" s="13"/>
      <c r="U57" s="13"/>
      <c r="V57" s="13"/>
      <c r="W57" s="13"/>
      <c r="X57" s="13"/>
      <c r="Y57" s="13"/>
      <c r="Z57" s="13"/>
      <c r="AA57" s="13"/>
      <c r="AB57" s="13"/>
      <c r="AC57" s="13"/>
    </row>
    <row r="58" spans="1:33" s="7" customFormat="1" ht="12.75" customHeight="1" x14ac:dyDescent="0.2">
      <c r="A58" s="284" t="str">
        <f>IF('Hulpblad_overig '!B10&lt;3,"Inbreng eigen vermogen van deelnemers in de energiecoöperatie die niet in de postcoderoos wonen (€)","N.v.t.")</f>
        <v>Inbreng eigen vermogen van deelnemers in de energiecoöperatie die niet in de postcoderoos wonen (€)</v>
      </c>
      <c r="B58" s="285"/>
      <c r="C58" s="285"/>
      <c r="D58" s="285"/>
      <c r="E58" s="285"/>
      <c r="F58" s="285"/>
      <c r="G58" s="285"/>
      <c r="H58" s="285"/>
      <c r="I58" s="285"/>
      <c r="J58" s="285"/>
      <c r="K58" s="285"/>
      <c r="M58" s="190">
        <v>0</v>
      </c>
      <c r="N58" s="34"/>
      <c r="O58" s="13"/>
      <c r="P58" s="13"/>
      <c r="Q58" s="13"/>
      <c r="R58" s="13"/>
      <c r="S58" s="13"/>
      <c r="T58" s="13"/>
      <c r="U58" s="13"/>
      <c r="V58" s="13"/>
      <c r="W58" s="13"/>
      <c r="X58" s="13"/>
      <c r="Y58" s="13"/>
      <c r="Z58" s="13"/>
      <c r="AA58" s="13"/>
      <c r="AB58" s="13"/>
      <c r="AC58" s="13"/>
    </row>
    <row r="59" spans="1:33" s="7" customFormat="1" ht="12.75" customHeight="1" x14ac:dyDescent="0.2">
      <c r="A59" s="104" t="str">
        <f>IF('Hulpblad_overig '!B10&lt;3,"Inbreng eigen vermogen opgebouwd in het verleden door de energiecoöperatie zelf (€)","Inbreng eigen vermogen opgebouwd in het verleden door de VvE zelf")</f>
        <v>Inbreng eigen vermogen opgebouwd in het verleden door de energiecoöperatie zelf (€)</v>
      </c>
      <c r="B59" s="5"/>
      <c r="C59" s="5"/>
      <c r="D59" s="5"/>
      <c r="E59" s="5"/>
      <c r="F59" s="5"/>
      <c r="G59" s="5"/>
      <c r="H59" s="5"/>
      <c r="I59" s="5"/>
      <c r="J59" s="5"/>
      <c r="K59" s="15"/>
      <c r="M59" s="24">
        <v>0</v>
      </c>
      <c r="N59" s="34"/>
      <c r="O59" s="13"/>
      <c r="P59" s="13"/>
      <c r="Q59" s="13"/>
      <c r="R59" s="13"/>
      <c r="S59" s="13"/>
      <c r="T59" s="13"/>
      <c r="U59" s="13"/>
      <c r="V59" s="13"/>
      <c r="W59" s="13"/>
      <c r="X59" s="13"/>
      <c r="Y59" s="13"/>
      <c r="Z59" s="13"/>
      <c r="AA59" s="13"/>
      <c r="AB59" s="13"/>
      <c r="AC59" s="13"/>
    </row>
    <row r="60" spans="1:33" s="7" customFormat="1" ht="15" customHeight="1" x14ac:dyDescent="0.2">
      <c r="A60" s="104" t="s">
        <v>40</v>
      </c>
      <c r="B60" s="290" t="str">
        <f>IF('Hulpblad_overig '!B20=2,"",B46)</f>
        <v/>
      </c>
      <c r="C60" s="291"/>
      <c r="D60" s="292"/>
      <c r="E60" s="292"/>
      <c r="F60" s="292"/>
      <c r="G60" s="292"/>
      <c r="H60" s="292"/>
      <c r="I60" s="292"/>
      <c r="J60" s="292"/>
      <c r="K60" s="293"/>
      <c r="M60" s="176">
        <f>IF('Hulpblad_overig '!B20=1,M46,0)</f>
        <v>0</v>
      </c>
      <c r="O60" s="42" t="str">
        <f>IF(M60&gt;0,"Voeg subsidiebeschikking van "&amp;B60&amp;" toe.","")</f>
        <v/>
      </c>
      <c r="P60" s="13"/>
      <c r="Q60" s="13"/>
      <c r="R60" s="13"/>
      <c r="S60" s="13"/>
      <c r="T60" s="13"/>
      <c r="U60" s="13"/>
      <c r="V60" s="13"/>
      <c r="W60" s="13"/>
      <c r="X60" s="13"/>
      <c r="Y60" s="13"/>
      <c r="Z60" s="13"/>
      <c r="AA60" s="13"/>
      <c r="AB60" s="13"/>
      <c r="AC60" s="13"/>
    </row>
    <row r="61" spans="1:33" s="7" customFormat="1" x14ac:dyDescent="0.2">
      <c r="A61" s="104"/>
      <c r="B61" s="30"/>
      <c r="C61" s="30"/>
      <c r="D61" s="40"/>
      <c r="E61" s="40"/>
      <c r="F61" s="40"/>
      <c r="G61" s="40"/>
      <c r="H61" s="40"/>
      <c r="I61" s="40"/>
      <c r="J61" s="40"/>
      <c r="K61" s="40"/>
      <c r="M61" s="37"/>
      <c r="N61" s="113"/>
      <c r="O61" s="13"/>
      <c r="P61" s="13"/>
      <c r="Q61" s="13"/>
      <c r="R61" s="13"/>
      <c r="S61" s="13"/>
      <c r="T61" s="13"/>
      <c r="U61" s="13"/>
      <c r="V61" s="13"/>
      <c r="W61" s="13"/>
      <c r="X61" s="13"/>
      <c r="Y61" s="13"/>
      <c r="Z61" s="13"/>
      <c r="AA61" s="13"/>
      <c r="AB61" s="13"/>
      <c r="AC61" s="13"/>
    </row>
    <row r="62" spans="1:33" s="7" customFormat="1" x14ac:dyDescent="0.2">
      <c r="A62" s="7" t="s">
        <v>33</v>
      </c>
      <c r="L62" s="5"/>
      <c r="M62" s="12">
        <f>SUM(M56:M60)</f>
        <v>0</v>
      </c>
      <c r="N62" s="34"/>
      <c r="O62" s="13"/>
      <c r="P62" s="13"/>
      <c r="Q62" s="13"/>
      <c r="R62" s="13"/>
      <c r="S62" s="13"/>
      <c r="T62" s="13"/>
      <c r="U62" s="13"/>
      <c r="V62" s="13"/>
      <c r="W62" s="13"/>
      <c r="X62" s="13"/>
      <c r="Y62" s="13"/>
      <c r="Z62" s="13"/>
      <c r="AA62" s="13"/>
      <c r="AB62" s="13"/>
      <c r="AC62" s="13"/>
    </row>
    <row r="63" spans="1:33" s="7" customFormat="1" x14ac:dyDescent="0.2">
      <c r="A63" s="104" t="s">
        <v>70</v>
      </c>
      <c r="B63" s="5"/>
      <c r="C63" s="5"/>
      <c r="D63" s="5"/>
      <c r="E63" s="5"/>
      <c r="F63" s="5"/>
      <c r="G63" s="5"/>
      <c r="H63" s="5"/>
      <c r="I63" s="5"/>
      <c r="J63" s="5"/>
      <c r="M63" s="114" t="e">
        <f>M62/M39</f>
        <v>#DIV/0!</v>
      </c>
      <c r="N63" s="42"/>
      <c r="O63" s="13"/>
      <c r="P63" s="13"/>
      <c r="Q63" s="13"/>
      <c r="R63" s="13"/>
      <c r="S63" s="13"/>
      <c r="T63" s="13"/>
      <c r="U63" s="13"/>
      <c r="V63" s="13"/>
      <c r="W63" s="13"/>
      <c r="X63" s="13"/>
      <c r="Y63" s="13"/>
      <c r="Z63" s="13"/>
      <c r="AA63" s="13"/>
      <c r="AB63" s="13"/>
      <c r="AC63" s="13"/>
    </row>
    <row r="64" spans="1:33" s="7" customFormat="1" x14ac:dyDescent="0.2">
      <c r="L64" s="5"/>
      <c r="M64" s="12"/>
      <c r="N64" s="34"/>
      <c r="O64" s="13"/>
      <c r="P64" s="13"/>
      <c r="Q64" s="13"/>
      <c r="R64" s="13"/>
      <c r="S64" s="13"/>
      <c r="T64" s="13"/>
      <c r="U64" s="13"/>
      <c r="V64" s="13"/>
      <c r="W64" s="13"/>
      <c r="X64" s="13"/>
      <c r="Y64" s="13"/>
      <c r="Z64" s="13"/>
      <c r="AA64" s="13"/>
      <c r="AB64" s="13"/>
      <c r="AC64" s="13"/>
    </row>
    <row r="65" spans="1:29" s="7" customFormat="1" x14ac:dyDescent="0.2">
      <c r="M65" s="12"/>
      <c r="N65" s="13"/>
      <c r="O65" s="13"/>
      <c r="P65" s="13"/>
      <c r="Q65" s="13"/>
      <c r="R65" s="13"/>
      <c r="S65" s="13"/>
      <c r="T65" s="13"/>
      <c r="U65" s="13"/>
      <c r="V65" s="13"/>
      <c r="W65" s="13"/>
      <c r="X65" s="13"/>
      <c r="Y65" s="13"/>
      <c r="Z65" s="13"/>
      <c r="AA65" s="13"/>
      <c r="AB65" s="13"/>
      <c r="AC65" s="13"/>
    </row>
    <row r="66" spans="1:29" s="7" customFormat="1" ht="15" x14ac:dyDescent="0.25">
      <c r="A66" s="110" t="s">
        <v>39</v>
      </c>
      <c r="M66" s="12"/>
      <c r="N66" s="13"/>
      <c r="O66" s="13"/>
      <c r="P66" s="13"/>
      <c r="Q66" s="13"/>
      <c r="R66" s="13"/>
      <c r="S66" s="13"/>
      <c r="T66" s="13"/>
      <c r="U66" s="13"/>
      <c r="V66" s="13"/>
      <c r="W66" s="13"/>
      <c r="X66" s="13"/>
      <c r="Y66" s="13"/>
      <c r="Z66" s="13"/>
      <c r="AA66" s="13"/>
      <c r="AB66" s="13"/>
      <c r="AC66" s="13"/>
    </row>
    <row r="68" spans="1:29" s="7" customFormat="1" x14ac:dyDescent="0.2">
      <c r="A68" s="104" t="s">
        <v>38</v>
      </c>
      <c r="B68" s="5"/>
      <c r="C68" s="5"/>
      <c r="D68" s="5"/>
      <c r="E68" s="5"/>
      <c r="F68" s="5"/>
      <c r="G68" s="5"/>
      <c r="H68" s="5"/>
      <c r="I68" s="5"/>
      <c r="J68" s="5"/>
      <c r="K68" s="15"/>
      <c r="M68" s="12"/>
      <c r="N68" s="13"/>
      <c r="O68" s="13"/>
      <c r="P68" s="13"/>
      <c r="Q68" s="13"/>
      <c r="R68" s="13"/>
      <c r="S68" s="13"/>
      <c r="T68" s="13"/>
      <c r="U68" s="13"/>
      <c r="V68" s="13"/>
      <c r="W68" s="13"/>
      <c r="X68" s="13"/>
      <c r="Y68" s="13"/>
      <c r="Z68" s="13"/>
      <c r="AA68" s="13"/>
      <c r="AB68" s="13"/>
      <c r="AC68" s="13"/>
    </row>
    <row r="69" spans="1:29" s="7" customFormat="1" x14ac:dyDescent="0.2">
      <c r="A69" s="104"/>
      <c r="B69" s="286"/>
      <c r="C69" s="287"/>
      <c r="D69" s="287"/>
      <c r="E69" s="287"/>
      <c r="F69" s="287"/>
      <c r="G69" s="287"/>
      <c r="H69" s="287"/>
      <c r="I69" s="287"/>
      <c r="J69" s="287"/>
      <c r="K69" s="288"/>
      <c r="M69" s="23">
        <v>0</v>
      </c>
      <c r="O69" s="34" t="str">
        <f t="shared" ref="O69:O78" si="0">IF(M69&gt;0,"Voeg eventueel contract, offerte of intentieverklaring toe van "&amp;B69&amp;".","")</f>
        <v/>
      </c>
      <c r="P69" s="13"/>
      <c r="Q69" s="13"/>
      <c r="R69" s="13"/>
      <c r="S69" s="13"/>
      <c r="T69" s="13"/>
      <c r="U69" s="13"/>
      <c r="V69" s="13"/>
      <c r="W69" s="13"/>
      <c r="X69" s="13"/>
      <c r="Y69" s="13"/>
      <c r="Z69" s="13"/>
      <c r="AA69" s="13"/>
      <c r="AB69" s="13"/>
      <c r="AC69" s="13"/>
    </row>
    <row r="70" spans="1:29" s="7" customFormat="1" x14ac:dyDescent="0.2">
      <c r="A70" s="104"/>
      <c r="B70" s="277"/>
      <c r="C70" s="278"/>
      <c r="D70" s="278"/>
      <c r="E70" s="278"/>
      <c r="F70" s="278"/>
      <c r="G70" s="278"/>
      <c r="H70" s="278"/>
      <c r="I70" s="278"/>
      <c r="J70" s="278"/>
      <c r="K70" s="289"/>
      <c r="M70" s="108">
        <v>0</v>
      </c>
      <c r="O70" s="34" t="str">
        <f t="shared" si="0"/>
        <v/>
      </c>
      <c r="P70" s="13"/>
      <c r="Q70" s="13"/>
      <c r="R70" s="13"/>
      <c r="S70" s="13"/>
      <c r="T70" s="13"/>
      <c r="U70" s="13"/>
      <c r="V70" s="13"/>
      <c r="W70" s="13"/>
      <c r="X70" s="13"/>
      <c r="Y70" s="13"/>
      <c r="Z70" s="13"/>
      <c r="AA70" s="13"/>
      <c r="AB70" s="13"/>
      <c r="AC70" s="13"/>
    </row>
    <row r="71" spans="1:29" s="7" customFormat="1" x14ac:dyDescent="0.2">
      <c r="A71" s="104"/>
      <c r="B71" s="277"/>
      <c r="C71" s="278"/>
      <c r="D71" s="306"/>
      <c r="E71" s="306"/>
      <c r="F71" s="306"/>
      <c r="G71" s="306"/>
      <c r="H71" s="306"/>
      <c r="I71" s="306"/>
      <c r="J71" s="306"/>
      <c r="K71" s="307"/>
      <c r="M71" s="108">
        <v>0</v>
      </c>
      <c r="O71" s="34" t="str">
        <f t="shared" si="0"/>
        <v/>
      </c>
      <c r="P71" s="13"/>
      <c r="Q71" s="13"/>
      <c r="R71" s="13"/>
      <c r="S71" s="13"/>
      <c r="T71" s="13"/>
      <c r="U71" s="13"/>
      <c r="V71" s="13"/>
      <c r="W71" s="13"/>
      <c r="X71" s="13"/>
      <c r="Y71" s="13"/>
      <c r="Z71" s="13"/>
      <c r="AA71" s="13"/>
      <c r="AB71" s="13"/>
      <c r="AC71" s="13"/>
    </row>
    <row r="72" spans="1:29" s="7" customFormat="1" x14ac:dyDescent="0.2">
      <c r="A72" s="104"/>
      <c r="B72" s="277"/>
      <c r="C72" s="278"/>
      <c r="D72" s="306"/>
      <c r="E72" s="306"/>
      <c r="F72" s="306"/>
      <c r="G72" s="306"/>
      <c r="H72" s="306"/>
      <c r="I72" s="306"/>
      <c r="J72" s="306"/>
      <c r="K72" s="307"/>
      <c r="M72" s="108">
        <v>0</v>
      </c>
      <c r="O72" s="34" t="str">
        <f t="shared" si="0"/>
        <v/>
      </c>
      <c r="P72" s="13"/>
      <c r="Q72" s="13"/>
      <c r="R72" s="13"/>
      <c r="S72" s="13"/>
      <c r="T72" s="13"/>
      <c r="U72" s="13"/>
      <c r="V72" s="13"/>
      <c r="W72" s="13"/>
      <c r="X72" s="13"/>
      <c r="Y72" s="13"/>
      <c r="Z72" s="13"/>
      <c r="AA72" s="13"/>
      <c r="AB72" s="13"/>
      <c r="AC72" s="13"/>
    </row>
    <row r="73" spans="1:29" s="7" customFormat="1" x14ac:dyDescent="0.2">
      <c r="A73" s="104"/>
      <c r="B73" s="277"/>
      <c r="C73" s="278"/>
      <c r="D73" s="306"/>
      <c r="E73" s="306"/>
      <c r="F73" s="306"/>
      <c r="G73" s="306"/>
      <c r="H73" s="306"/>
      <c r="I73" s="306"/>
      <c r="J73" s="306"/>
      <c r="K73" s="307"/>
      <c r="M73" s="108">
        <v>0</v>
      </c>
      <c r="O73" s="34" t="str">
        <f t="shared" si="0"/>
        <v/>
      </c>
      <c r="P73" s="13"/>
      <c r="Q73" s="13"/>
      <c r="R73" s="13"/>
      <c r="S73" s="13"/>
      <c r="T73" s="13"/>
      <c r="U73" s="13"/>
      <c r="V73" s="13"/>
      <c r="W73" s="13"/>
      <c r="X73" s="13"/>
      <c r="Y73" s="13"/>
      <c r="Z73" s="13"/>
      <c r="AA73" s="13"/>
      <c r="AB73" s="13"/>
      <c r="AC73" s="13"/>
    </row>
    <row r="74" spans="1:29" s="7" customFormat="1" x14ac:dyDescent="0.2">
      <c r="A74" s="104"/>
      <c r="B74" s="277"/>
      <c r="C74" s="278"/>
      <c r="D74" s="306"/>
      <c r="E74" s="306"/>
      <c r="F74" s="306"/>
      <c r="G74" s="306"/>
      <c r="H74" s="306"/>
      <c r="I74" s="306"/>
      <c r="J74" s="306"/>
      <c r="K74" s="307"/>
      <c r="M74" s="108">
        <v>0</v>
      </c>
      <c r="O74" s="34" t="str">
        <f t="shared" si="0"/>
        <v/>
      </c>
      <c r="P74" s="13"/>
      <c r="Q74" s="13"/>
      <c r="R74" s="13"/>
      <c r="S74" s="13"/>
      <c r="T74" s="13"/>
      <c r="U74" s="13"/>
      <c r="V74" s="13"/>
      <c r="W74" s="13"/>
      <c r="X74" s="13"/>
      <c r="Y74" s="13"/>
      <c r="Z74" s="13"/>
      <c r="AA74" s="13"/>
      <c r="AB74" s="13"/>
      <c r="AC74" s="13"/>
    </row>
    <row r="75" spans="1:29" s="7" customFormat="1" x14ac:dyDescent="0.2">
      <c r="A75" s="104"/>
      <c r="B75" s="277"/>
      <c r="C75" s="278"/>
      <c r="D75" s="306"/>
      <c r="E75" s="306"/>
      <c r="F75" s="306"/>
      <c r="G75" s="306"/>
      <c r="H75" s="306"/>
      <c r="I75" s="306"/>
      <c r="J75" s="306"/>
      <c r="K75" s="307"/>
      <c r="M75" s="108">
        <v>0</v>
      </c>
      <c r="O75" s="34" t="str">
        <f t="shared" si="0"/>
        <v/>
      </c>
      <c r="P75" s="13"/>
      <c r="Q75" s="13"/>
      <c r="R75" s="13"/>
      <c r="S75" s="13"/>
      <c r="T75" s="13"/>
      <c r="U75" s="13"/>
      <c r="V75" s="13"/>
      <c r="W75" s="13"/>
      <c r="X75" s="13"/>
      <c r="Y75" s="13"/>
      <c r="Z75" s="13"/>
      <c r="AA75" s="13"/>
      <c r="AB75" s="13"/>
      <c r="AC75" s="13"/>
    </row>
    <row r="76" spans="1:29" s="7" customFormat="1" x14ac:dyDescent="0.2">
      <c r="A76" s="104"/>
      <c r="B76" s="277"/>
      <c r="C76" s="278"/>
      <c r="D76" s="278"/>
      <c r="E76" s="278"/>
      <c r="F76" s="278"/>
      <c r="G76" s="278"/>
      <c r="H76" s="278"/>
      <c r="I76" s="278"/>
      <c r="J76" s="278"/>
      <c r="K76" s="289"/>
      <c r="M76" s="108">
        <v>0</v>
      </c>
      <c r="O76" s="34" t="str">
        <f t="shared" si="0"/>
        <v/>
      </c>
      <c r="P76" s="13"/>
      <c r="Q76" s="13"/>
      <c r="R76" s="13"/>
      <c r="S76" s="13"/>
      <c r="T76" s="13"/>
      <c r="U76" s="13"/>
      <c r="V76" s="13"/>
      <c r="W76" s="13"/>
      <c r="X76" s="13"/>
      <c r="Y76" s="13"/>
      <c r="Z76" s="13"/>
      <c r="AA76" s="13"/>
      <c r="AB76" s="13"/>
      <c r="AC76" s="13"/>
    </row>
    <row r="77" spans="1:29" s="7" customFormat="1" x14ac:dyDescent="0.2">
      <c r="A77" s="104"/>
      <c r="B77" s="277"/>
      <c r="C77" s="278"/>
      <c r="D77" s="279"/>
      <c r="E77" s="279"/>
      <c r="F77" s="279"/>
      <c r="G77" s="279"/>
      <c r="H77" s="279"/>
      <c r="I77" s="279"/>
      <c r="J77" s="279"/>
      <c r="K77" s="280"/>
      <c r="M77" s="24">
        <v>0</v>
      </c>
      <c r="O77" s="34" t="str">
        <f t="shared" si="0"/>
        <v/>
      </c>
      <c r="P77" s="13"/>
      <c r="Q77" s="13"/>
      <c r="R77" s="13"/>
      <c r="S77" s="13"/>
      <c r="T77" s="13"/>
      <c r="U77" s="13"/>
      <c r="V77" s="13"/>
      <c r="W77" s="13"/>
      <c r="X77" s="13"/>
      <c r="Y77" s="13"/>
      <c r="Z77" s="13"/>
      <c r="AA77" s="13"/>
      <c r="AB77" s="13"/>
      <c r="AC77" s="13"/>
    </row>
    <row r="78" spans="1:29" x14ac:dyDescent="0.2">
      <c r="B78" s="308"/>
      <c r="C78" s="309"/>
      <c r="D78" s="310"/>
      <c r="E78" s="310"/>
      <c r="F78" s="310"/>
      <c r="G78" s="310"/>
      <c r="H78" s="310"/>
      <c r="I78" s="310"/>
      <c r="J78" s="310"/>
      <c r="K78" s="311"/>
      <c r="M78" s="25">
        <v>0</v>
      </c>
      <c r="O78" s="34" t="str">
        <f t="shared" si="0"/>
        <v/>
      </c>
      <c r="P78" s="11"/>
      <c r="Q78" s="11"/>
      <c r="R78" s="11"/>
      <c r="S78" s="11"/>
      <c r="T78" s="11"/>
      <c r="U78" s="11"/>
      <c r="V78" s="11"/>
      <c r="W78" s="11"/>
      <c r="X78" s="11"/>
      <c r="Y78" s="11"/>
      <c r="Z78" s="11"/>
      <c r="AA78" s="11"/>
      <c r="AB78" s="11"/>
    </row>
    <row r="79" spans="1:29" x14ac:dyDescent="0.2">
      <c r="A79" s="7" t="s">
        <v>60</v>
      </c>
      <c r="M79" s="12">
        <f>SUM(M69:M78)</f>
        <v>0</v>
      </c>
      <c r="N79" s="34"/>
    </row>
    <row r="80" spans="1:29" x14ac:dyDescent="0.2">
      <c r="A80" s="7" t="s">
        <v>61</v>
      </c>
      <c r="M80" s="12">
        <f>M39-M62-M79</f>
        <v>0</v>
      </c>
      <c r="N80" s="42"/>
    </row>
    <row r="81" spans="1:29" x14ac:dyDescent="0.2">
      <c r="M81" s="12"/>
      <c r="N81" s="34"/>
    </row>
    <row r="82" spans="1:29" s="7" customFormat="1" x14ac:dyDescent="0.2">
      <c r="A82" s="104" t="s">
        <v>26</v>
      </c>
      <c r="B82" s="5"/>
      <c r="C82" s="5"/>
      <c r="D82" s="5"/>
      <c r="E82" s="5"/>
      <c r="F82" s="5"/>
      <c r="G82" s="5"/>
      <c r="H82" s="5"/>
      <c r="I82" s="5"/>
      <c r="J82" s="5"/>
      <c r="M82" s="115" t="e">
        <f>(M79+M80)/M39</f>
        <v>#DIV/0!</v>
      </c>
      <c r="N82" s="13"/>
      <c r="O82" s="13"/>
      <c r="P82" s="13"/>
      <c r="Q82" s="13"/>
      <c r="R82" s="13"/>
      <c r="S82" s="13"/>
      <c r="T82" s="13"/>
      <c r="U82" s="13"/>
      <c r="V82" s="13"/>
      <c r="W82" s="13"/>
      <c r="X82" s="13"/>
      <c r="Y82" s="13"/>
      <c r="Z82" s="13"/>
      <c r="AA82" s="13"/>
      <c r="AB82" s="13"/>
      <c r="AC82" s="13"/>
    </row>
    <row r="83" spans="1:29" s="7" customFormat="1" x14ac:dyDescent="0.2">
      <c r="A83" s="104" t="s">
        <v>62</v>
      </c>
      <c r="B83" s="5"/>
      <c r="C83" s="5"/>
      <c r="D83" s="5"/>
      <c r="E83" s="5"/>
      <c r="F83" s="5"/>
      <c r="G83" s="5"/>
      <c r="H83" s="5"/>
      <c r="I83" s="5"/>
      <c r="J83" s="5"/>
      <c r="M83" s="15" t="e">
        <f>M39*M82</f>
        <v>#DIV/0!</v>
      </c>
      <c r="N83" s="13"/>
      <c r="O83" s="13"/>
      <c r="P83" s="13"/>
      <c r="Q83" s="13"/>
      <c r="R83" s="13"/>
      <c r="S83" s="13"/>
      <c r="T83" s="13"/>
      <c r="U83" s="13"/>
      <c r="V83" s="13"/>
      <c r="W83" s="13"/>
      <c r="X83" s="13"/>
      <c r="Y83" s="13"/>
      <c r="Z83" s="13"/>
      <c r="AA83" s="13"/>
      <c r="AB83" s="13"/>
      <c r="AC83" s="13"/>
    </row>
    <row r="84" spans="1:29" x14ac:dyDescent="0.2">
      <c r="M84" s="12"/>
      <c r="N84" s="34"/>
    </row>
    <row r="85" spans="1:29" x14ac:dyDescent="0.2">
      <c r="A85" s="7" t="s">
        <v>30</v>
      </c>
    </row>
    <row r="86" spans="1:29" ht="137.25" customHeight="1" x14ac:dyDescent="0.2">
      <c r="A86" s="302"/>
      <c r="B86" s="303"/>
      <c r="C86" s="303"/>
      <c r="D86" s="303"/>
      <c r="E86" s="303"/>
      <c r="F86" s="303"/>
      <c r="G86" s="303"/>
      <c r="H86" s="303"/>
      <c r="I86" s="303"/>
      <c r="J86" s="303"/>
      <c r="K86" s="303"/>
      <c r="L86" s="304"/>
      <c r="M86" s="305"/>
    </row>
  </sheetData>
  <sheetProtection password="E3C3" sheet="1" objects="1" scenarios="1"/>
  <mergeCells count="33">
    <mergeCell ref="B29:K29"/>
    <mergeCell ref="B32:K32"/>
    <mergeCell ref="B7:M7"/>
    <mergeCell ref="K16:M16"/>
    <mergeCell ref="K12:M12"/>
    <mergeCell ref="B21:M21"/>
    <mergeCell ref="B24:M24"/>
    <mergeCell ref="K13:M13"/>
    <mergeCell ref="K18:M18"/>
    <mergeCell ref="B30:K30"/>
    <mergeCell ref="A86:M86"/>
    <mergeCell ref="B71:K71"/>
    <mergeCell ref="B72:K72"/>
    <mergeCell ref="B73:K73"/>
    <mergeCell ref="B74:K74"/>
    <mergeCell ref="B78:K78"/>
    <mergeCell ref="B75:K75"/>
    <mergeCell ref="B76:K76"/>
    <mergeCell ref="B35:K35"/>
    <mergeCell ref="B77:K77"/>
    <mergeCell ref="B34:K34"/>
    <mergeCell ref="B33:K33"/>
    <mergeCell ref="B31:K31"/>
    <mergeCell ref="B38:K38"/>
    <mergeCell ref="A58:K58"/>
    <mergeCell ref="B69:K69"/>
    <mergeCell ref="B70:K70"/>
    <mergeCell ref="B60:K60"/>
    <mergeCell ref="A55:C55"/>
    <mergeCell ref="B36:K36"/>
    <mergeCell ref="B37:K37"/>
    <mergeCell ref="B46:K46"/>
    <mergeCell ref="B53:C53"/>
  </mergeCells>
  <conditionalFormatting sqref="B30:C30">
    <cfRule type="expression" dxfId="76" priority="54" stopIfTrue="1">
      <formula>K16&gt;1</formula>
    </cfRule>
  </conditionalFormatting>
  <conditionalFormatting sqref="B31:C31">
    <cfRule type="expression" dxfId="75" priority="191" stopIfTrue="1">
      <formula>K16&gt;2</formula>
    </cfRule>
  </conditionalFormatting>
  <conditionalFormatting sqref="B32:C32">
    <cfRule type="expression" dxfId="74" priority="193" stopIfTrue="1">
      <formula>K16&gt;3</formula>
    </cfRule>
  </conditionalFormatting>
  <conditionalFormatting sqref="B33:C33">
    <cfRule type="expression" dxfId="73" priority="195" stopIfTrue="1">
      <formula>K16&gt;4</formula>
    </cfRule>
  </conditionalFormatting>
  <conditionalFormatting sqref="B34:C34">
    <cfRule type="expression" dxfId="72" priority="197" stopIfTrue="1">
      <formula>K16&gt;5</formula>
    </cfRule>
  </conditionalFormatting>
  <conditionalFormatting sqref="B35:C35">
    <cfRule type="expression" dxfId="71" priority="199" stopIfTrue="1">
      <formula>K16&gt;6</formula>
    </cfRule>
  </conditionalFormatting>
  <conditionalFormatting sqref="B36:C36">
    <cfRule type="expression" dxfId="70" priority="201" stopIfTrue="1">
      <formula>K16&gt;7</formula>
    </cfRule>
  </conditionalFormatting>
  <conditionalFormatting sqref="B37:C37">
    <cfRule type="expression" dxfId="69" priority="203" stopIfTrue="1">
      <formula>K16&gt;8</formula>
    </cfRule>
  </conditionalFormatting>
  <conditionalFormatting sqref="B38:C38">
    <cfRule type="expression" dxfId="68" priority="205" stopIfTrue="1">
      <formula>K16&gt;9</formula>
    </cfRule>
  </conditionalFormatting>
  <conditionalFormatting sqref="B53:C53">
    <cfRule type="expression" dxfId="67" priority="25" stopIfTrue="1">
      <formula>A51="Leningen deelnemers coöperatie met aflossing in jaar 16 t/m 20"</formula>
    </cfRule>
    <cfRule type="expression" dxfId="66" priority="4" stopIfTrue="1">
      <formula>A51="Leningen deelnemers coöperatie met aflossing ná jaar 20"</formula>
    </cfRule>
    <cfRule type="expression" dxfId="65" priority="10" stopIfTrue="1">
      <formula>A51="Leningen deelnemers coöperatie met aflossing in jaar 1 t/m 15"</formula>
    </cfRule>
  </conditionalFormatting>
  <conditionalFormatting sqref="D31:I31">
    <cfRule type="expression" dxfId="64" priority="223" stopIfTrue="1">
      <formula>L16&gt;2</formula>
    </cfRule>
  </conditionalFormatting>
  <conditionalFormatting sqref="D32:I32">
    <cfRule type="expression" dxfId="63" priority="225" stopIfTrue="1">
      <formula>L16&gt;3</formula>
    </cfRule>
  </conditionalFormatting>
  <conditionalFormatting sqref="D33:I33">
    <cfRule type="expression" dxfId="62" priority="227" stopIfTrue="1">
      <formula>L16&gt;4</formula>
    </cfRule>
  </conditionalFormatting>
  <conditionalFormatting sqref="D34:I34">
    <cfRule type="expression" dxfId="61" priority="229" stopIfTrue="1">
      <formula>L16&gt;5</formula>
    </cfRule>
  </conditionalFormatting>
  <conditionalFormatting sqref="D35:I35">
    <cfRule type="expression" dxfId="60" priority="231" stopIfTrue="1">
      <formula>L16&gt;6</formula>
    </cfRule>
  </conditionalFormatting>
  <conditionalFormatting sqref="D36:I36">
    <cfRule type="expression" dxfId="59" priority="233" stopIfTrue="1">
      <formula>L16&gt;7</formula>
    </cfRule>
  </conditionalFormatting>
  <conditionalFormatting sqref="D37:I37">
    <cfRule type="expression" dxfId="58" priority="235" stopIfTrue="1">
      <formula>L16&gt;8</formula>
    </cfRule>
  </conditionalFormatting>
  <conditionalFormatting sqref="D38:I38">
    <cfRule type="expression" dxfId="57" priority="237" stopIfTrue="1">
      <formula>L16&gt;9</formula>
    </cfRule>
  </conditionalFormatting>
  <conditionalFormatting sqref="E53">
    <cfRule type="expression" dxfId="56" priority="2" stopIfTrue="1">
      <formula>A51="Leningen deelnemers coöperatie met aflossing ná jaar 20"</formula>
    </cfRule>
    <cfRule type="expression" dxfId="55" priority="8" stopIfTrue="1">
      <formula>A51="Leningen deelnemers coöperatie met aflossing in jaar 1 t/m 15"</formula>
    </cfRule>
    <cfRule type="expression" dxfId="54" priority="24" stopIfTrue="1">
      <formula>A51="Leningen deelnemers coöperatie met aflossing in jaar 16 t/m 20"</formula>
    </cfRule>
  </conditionalFormatting>
  <conditionalFormatting sqref="G53">
    <cfRule type="expression" dxfId="53" priority="3" stopIfTrue="1">
      <formula>A51="Leningen deelnemers coöperatie met aflossing ná jaar 20"</formula>
    </cfRule>
    <cfRule type="expression" dxfId="52" priority="6" stopIfTrue="1">
      <formula>A51="Leningen deelnemers coöperatie met aflossing in jaar 1 t/m 15"</formula>
    </cfRule>
    <cfRule type="expression" dxfId="51" priority="7" stopIfTrue="1">
      <formula>A51="Leningen deelnemers coöperatie met aflossing in jaar 16 t/m 20"</formula>
    </cfRule>
  </conditionalFormatting>
  <conditionalFormatting sqref="I53">
    <cfRule type="expression" dxfId="50" priority="23" stopIfTrue="1">
      <formula>A51="Leningen deelnemers coöperatie met aflossing in jaar 16 t/m 20"</formula>
    </cfRule>
    <cfRule type="expression" dxfId="49" priority="9" stopIfTrue="1">
      <formula>A51="Leningen deelnemers coöperatie met aflossing in jaar 1 t/m 15"</formula>
    </cfRule>
    <cfRule type="expression" dxfId="48" priority="1" stopIfTrue="1">
      <formula>A51="Leningen deelnemers coöperatie met aflossing ná jaar 20"</formula>
    </cfRule>
  </conditionalFormatting>
  <conditionalFormatting sqref="J31">
    <cfRule type="expression" dxfId="47" priority="206" stopIfTrue="1">
      <formula>P16&gt;2</formula>
    </cfRule>
  </conditionalFormatting>
  <conditionalFormatting sqref="J32">
    <cfRule type="expression" dxfId="46" priority="208" stopIfTrue="1">
      <formula>P16&gt;3</formula>
    </cfRule>
  </conditionalFormatting>
  <conditionalFormatting sqref="J33">
    <cfRule type="expression" dxfId="45" priority="210" stopIfTrue="1">
      <formula>P16&gt;4</formula>
    </cfRule>
  </conditionalFormatting>
  <conditionalFormatting sqref="J34">
    <cfRule type="expression" dxfId="44" priority="212" stopIfTrue="1">
      <formula>P16&gt;5</formula>
    </cfRule>
  </conditionalFormatting>
  <conditionalFormatting sqref="J35">
    <cfRule type="expression" dxfId="43" priority="214" stopIfTrue="1">
      <formula>P16&gt;6</formula>
    </cfRule>
  </conditionalFormatting>
  <conditionalFormatting sqref="J36">
    <cfRule type="expression" dxfId="42" priority="216" stopIfTrue="1">
      <formula>P16&gt;7</formula>
    </cfRule>
  </conditionalFormatting>
  <conditionalFormatting sqref="J37">
    <cfRule type="expression" dxfId="41" priority="218" stopIfTrue="1">
      <formula>P16&gt;8</formula>
    </cfRule>
  </conditionalFormatting>
  <conditionalFormatting sqref="J38">
    <cfRule type="expression" dxfId="40" priority="220" stopIfTrue="1">
      <formula>P16&gt;9</formula>
    </cfRule>
  </conditionalFormatting>
  <conditionalFormatting sqref="K31">
    <cfRule type="expression" dxfId="39" priority="53" stopIfTrue="1">
      <formula>N16&gt;2</formula>
    </cfRule>
  </conditionalFormatting>
  <conditionalFormatting sqref="K32">
    <cfRule type="expression" dxfId="38" priority="52" stopIfTrue="1">
      <formula>N16&gt;3</formula>
    </cfRule>
  </conditionalFormatting>
  <conditionalFormatting sqref="K33">
    <cfRule type="expression" dxfId="37" priority="51" stopIfTrue="1">
      <formula>N16&gt;4</formula>
    </cfRule>
  </conditionalFormatting>
  <conditionalFormatting sqref="K34">
    <cfRule type="expression" dxfId="36" priority="50" stopIfTrue="1">
      <formula>N16&gt;5</formula>
    </cfRule>
  </conditionalFormatting>
  <conditionalFormatting sqref="K35">
    <cfRule type="expression" dxfId="35" priority="49" stopIfTrue="1">
      <formula>N16&gt;6</formula>
    </cfRule>
  </conditionalFormatting>
  <conditionalFormatting sqref="K36">
    <cfRule type="expression" dxfId="34" priority="48" stopIfTrue="1">
      <formula>N16&gt;7</formula>
    </cfRule>
  </conditionalFormatting>
  <conditionalFormatting sqref="K37">
    <cfRule type="expression" dxfId="33" priority="47" stopIfTrue="1">
      <formula>N16&gt;8</formula>
    </cfRule>
  </conditionalFormatting>
  <conditionalFormatting sqref="K38">
    <cfRule type="expression" dxfId="32" priority="46" stopIfTrue="1">
      <formula>N16&gt;9</formula>
    </cfRule>
  </conditionalFormatting>
  <conditionalFormatting sqref="K13:M13">
    <cfRule type="expression" dxfId="31" priority="13" stopIfTrue="1">
      <formula>A13=""</formula>
    </cfRule>
  </conditionalFormatting>
  <conditionalFormatting sqref="K18:M18">
    <cfRule type="expression" dxfId="30" priority="12" stopIfTrue="1">
      <formula>A18=""</formula>
    </cfRule>
  </conditionalFormatting>
  <conditionalFormatting sqref="M30">
    <cfRule type="expression" dxfId="29" priority="45" stopIfTrue="1">
      <formula>K16&gt;1</formula>
    </cfRule>
  </conditionalFormatting>
  <conditionalFormatting sqref="M31">
    <cfRule type="expression" dxfId="28" priority="44" stopIfTrue="1">
      <formula>K16&gt;2</formula>
    </cfRule>
  </conditionalFormatting>
  <conditionalFormatting sqref="M32">
    <cfRule type="expression" dxfId="27" priority="43" stopIfTrue="1">
      <formula>K16&gt;3</formula>
    </cfRule>
  </conditionalFormatting>
  <conditionalFormatting sqref="M33">
    <cfRule type="expression" dxfId="26" priority="42" stopIfTrue="1">
      <formula>K16&gt;4</formula>
    </cfRule>
  </conditionalFormatting>
  <conditionalFormatting sqref="M34">
    <cfRule type="expression" dxfId="25" priority="41" stopIfTrue="1">
      <formula>K16&gt;5</formula>
    </cfRule>
  </conditionalFormatting>
  <conditionalFormatting sqref="M35">
    <cfRule type="expression" dxfId="24" priority="39" stopIfTrue="1">
      <formula>K16&gt;6</formula>
    </cfRule>
  </conditionalFormatting>
  <conditionalFormatting sqref="M36">
    <cfRule type="expression" dxfId="23" priority="38" stopIfTrue="1">
      <formula>K16&gt;7</formula>
    </cfRule>
  </conditionalFormatting>
  <conditionalFormatting sqref="M37">
    <cfRule type="expression" dxfId="22" priority="37" stopIfTrue="1">
      <formula>K16&gt;8</formula>
    </cfRule>
  </conditionalFormatting>
  <conditionalFormatting sqref="M38">
    <cfRule type="expression" dxfId="21" priority="36" stopIfTrue="1">
      <formula>K16&gt;9</formula>
    </cfRule>
  </conditionalFormatting>
  <conditionalFormatting sqref="M58">
    <cfRule type="expression" dxfId="20" priority="11" stopIfTrue="1">
      <formula>A58="N.v.t."</formula>
    </cfRule>
  </conditionalFormatting>
  <dataValidations count="1">
    <dataValidation type="whole" operator="greaterThanOrEqual" allowBlank="1" showInputMessage="1" showErrorMessage="1" error="U kunt hier alleen een geheel getal invullen!" sqref="K12:M12" xr:uid="{366DB69E-71C1-4BA3-B91B-10C5783E6FB3}">
      <formula1>0</formula1>
    </dataValidation>
  </dataValidations>
  <pageMargins left="0.7" right="0.7" top="0.75" bottom="0.75" header="0.3" footer="0.3"/>
  <pageSetup paperSize="9" scale="34" orientation="portrait" r:id="rId1"/>
  <ignoredErrors>
    <ignoredError sqref="M82:M83 M63"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5364" r:id="rId4" name="List Box 4">
              <controlPr defaultSize="0" autoLine="0" autoPict="0">
                <anchor moveWithCells="1" sizeWithCells="1">
                  <from>
                    <xdr:col>11</xdr:col>
                    <xdr:colOff>695325</xdr:colOff>
                    <xdr:row>46</xdr:row>
                    <xdr:rowOff>47625</xdr:rowOff>
                  </from>
                  <to>
                    <xdr:col>13</xdr:col>
                    <xdr:colOff>19050</xdr:colOff>
                    <xdr:row>48</xdr:row>
                    <xdr:rowOff>38100</xdr:rowOff>
                  </to>
                </anchor>
              </controlPr>
            </control>
          </mc:Choice>
        </mc:AlternateContent>
        <mc:AlternateContent xmlns:mc="http://schemas.openxmlformats.org/markup-compatibility/2006">
          <mc:Choice Requires="x14">
            <control shapeId="15379" r:id="rId5" name="List Box 19">
              <controlPr defaultSize="0" autoLine="0" autoPict="0">
                <anchor moveWithCells="1" sizeWithCells="1">
                  <from>
                    <xdr:col>10</xdr:col>
                    <xdr:colOff>0</xdr:colOff>
                    <xdr:row>7</xdr:row>
                    <xdr:rowOff>85725</xdr:rowOff>
                  </from>
                  <to>
                    <xdr:col>13</xdr:col>
                    <xdr:colOff>0</xdr:colOff>
                    <xdr:row>8</xdr:row>
                    <xdr:rowOff>0</xdr:rowOff>
                  </to>
                </anchor>
              </controlPr>
            </control>
          </mc:Choice>
        </mc:AlternateContent>
        <mc:AlternateContent xmlns:mc="http://schemas.openxmlformats.org/markup-compatibility/2006">
          <mc:Choice Requires="x14">
            <control shapeId="15384" r:id="rId6" name="List Box 24">
              <controlPr defaultSize="0" autoLine="0" autoPict="0">
                <anchor moveWithCells="1" sizeWithCells="1">
                  <from>
                    <xdr:col>10</xdr:col>
                    <xdr:colOff>9525</xdr:colOff>
                    <xdr:row>13</xdr:row>
                    <xdr:rowOff>152400</xdr:rowOff>
                  </from>
                  <to>
                    <xdr:col>12</xdr:col>
                    <xdr:colOff>923925</xdr:colOff>
                    <xdr:row>14</xdr:row>
                    <xdr:rowOff>180975</xdr:rowOff>
                  </to>
                </anchor>
              </controlPr>
            </control>
          </mc:Choice>
        </mc:AlternateContent>
        <mc:AlternateContent xmlns:mc="http://schemas.openxmlformats.org/markup-compatibility/2006">
          <mc:Choice Requires="x14">
            <control shapeId="15385" r:id="rId7" name="List Box 25">
              <controlPr defaultSize="0" autoLine="0" autoPict="0">
                <anchor moveWithCells="1" sizeWithCells="1">
                  <from>
                    <xdr:col>9</xdr:col>
                    <xdr:colOff>1381125</xdr:colOff>
                    <xdr:row>8</xdr:row>
                    <xdr:rowOff>104775</xdr:rowOff>
                  </from>
                  <to>
                    <xdr:col>13</xdr:col>
                    <xdr:colOff>0</xdr:colOff>
                    <xdr:row>8</xdr:row>
                    <xdr:rowOff>533400</xdr:rowOff>
                  </to>
                </anchor>
              </controlPr>
            </control>
          </mc:Choice>
        </mc:AlternateContent>
        <mc:AlternateContent xmlns:mc="http://schemas.openxmlformats.org/markup-compatibility/2006">
          <mc:Choice Requires="x14">
            <control shapeId="15386" r:id="rId8" name="List Box 26">
              <controlPr defaultSize="0" autoLine="0" autoPict="0">
                <anchor moveWithCells="1" sizeWithCells="1">
                  <from>
                    <xdr:col>9</xdr:col>
                    <xdr:colOff>1381125</xdr:colOff>
                    <xdr:row>9</xdr:row>
                    <xdr:rowOff>57150</xdr:rowOff>
                  </from>
                  <to>
                    <xdr:col>13</xdr:col>
                    <xdr:colOff>0</xdr:colOff>
                    <xdr:row>9</xdr:row>
                    <xdr:rowOff>361950</xdr:rowOff>
                  </to>
                </anchor>
              </controlPr>
            </control>
          </mc:Choice>
        </mc:AlternateContent>
        <mc:AlternateContent xmlns:mc="http://schemas.openxmlformats.org/markup-compatibility/2006">
          <mc:Choice Requires="x14">
            <control shapeId="15388" r:id="rId9" name="List Box 28">
              <controlPr defaultSize="0" autoLine="0" autoPict="0">
                <anchor moveWithCells="1" sizeWithCells="1">
                  <from>
                    <xdr:col>12</xdr:col>
                    <xdr:colOff>0</xdr:colOff>
                    <xdr:row>48</xdr:row>
                    <xdr:rowOff>133350</xdr:rowOff>
                  </from>
                  <to>
                    <xdr:col>17</xdr:col>
                    <xdr:colOff>447675</xdr:colOff>
                    <xdr:row>50</xdr:row>
                    <xdr:rowOff>104775</xdr:rowOff>
                  </to>
                </anchor>
              </controlPr>
            </control>
          </mc:Choice>
        </mc:AlternateContent>
        <mc:AlternateContent xmlns:mc="http://schemas.openxmlformats.org/markup-compatibility/2006">
          <mc:Choice Requires="x14">
            <control shapeId="15403" r:id="rId10" name="List Box 43">
              <controlPr defaultSize="0" autoLine="0" autoPict="0">
                <anchor moveWithCells="1" sizeWithCells="1">
                  <from>
                    <xdr:col>10</xdr:col>
                    <xdr:colOff>0</xdr:colOff>
                    <xdr:row>16</xdr:row>
                    <xdr:rowOff>47625</xdr:rowOff>
                  </from>
                  <to>
                    <xdr:col>13</xdr:col>
                    <xdr:colOff>0</xdr:colOff>
                    <xdr:row>16</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58BE8-2D28-498F-989F-F5482AA0BA8F}">
  <sheetPr codeName="Blad3">
    <pageSetUpPr fitToPage="1"/>
  </sheetPr>
  <dimension ref="A1:S138"/>
  <sheetViews>
    <sheetView showGridLines="0" zoomScaleNormal="100" workbookViewId="0">
      <selection activeCell="E15" sqref="E15"/>
    </sheetView>
  </sheetViews>
  <sheetFormatPr defaultColWidth="8.7109375" defaultRowHeight="12.75" x14ac:dyDescent="0.2"/>
  <cols>
    <col min="1" max="1" width="55.7109375" style="5" customWidth="1"/>
    <col min="2" max="3" width="8.7109375" style="7" customWidth="1"/>
    <col min="4" max="4" width="10.7109375" style="5" customWidth="1"/>
    <col min="5" max="5" width="118.7109375" style="5" customWidth="1"/>
    <col min="6" max="6" width="76.5703125" style="5" customWidth="1"/>
    <col min="7" max="7" width="14" style="5" bestFit="1" customWidth="1"/>
    <col min="8" max="14" width="12.7109375" style="5" customWidth="1"/>
    <col min="15" max="15" width="13.7109375" style="5" customWidth="1"/>
    <col min="16" max="16" width="12.42578125" style="5" customWidth="1"/>
    <col min="17" max="16384" width="8.7109375" style="5"/>
  </cols>
  <sheetData>
    <row r="1" spans="1:14" ht="45" x14ac:dyDescent="0.6">
      <c r="A1" s="4" t="str">
        <f>Invulinstructie_en_disclaimer!A2</f>
        <v>Model haalbaarheidsstudie SCE 2026</v>
      </c>
      <c r="I1" s="8"/>
    </row>
    <row r="2" spans="1:14" ht="33" customHeight="1" x14ac:dyDescent="0.3">
      <c r="A2" s="9" t="s">
        <v>98</v>
      </c>
      <c r="E2" s="40"/>
      <c r="G2" s="9"/>
      <c r="I2" s="10"/>
    </row>
    <row r="3" spans="1:14" ht="43.5" customHeight="1" x14ac:dyDescent="0.2">
      <c r="A3" s="35" t="s">
        <v>2</v>
      </c>
      <c r="F3" s="32"/>
    </row>
    <row r="4" spans="1:14" x14ac:dyDescent="0.2">
      <c r="A4" s="7" t="s">
        <v>42</v>
      </c>
      <c r="B4" s="290">
        <f>Financiering_en_projectplan!B7</f>
        <v>0</v>
      </c>
      <c r="C4" s="341"/>
      <c r="D4" s="341"/>
      <c r="E4" s="342"/>
    </row>
    <row r="5" spans="1:14" x14ac:dyDescent="0.2">
      <c r="A5" s="6"/>
      <c r="B5" s="116"/>
      <c r="C5" s="116"/>
      <c r="D5" s="116"/>
      <c r="E5" s="116"/>
    </row>
    <row r="6" spans="1:14" x14ac:dyDescent="0.2">
      <c r="A6" s="7" t="s">
        <v>9</v>
      </c>
      <c r="B6" s="315"/>
      <c r="C6" s="343"/>
      <c r="D6" s="343"/>
      <c r="E6" s="344"/>
    </row>
    <row r="7" spans="1:14" x14ac:dyDescent="0.2">
      <c r="A7" s="6"/>
      <c r="B7" s="116"/>
      <c r="C7" s="116"/>
      <c r="D7" s="116"/>
      <c r="E7" s="116"/>
    </row>
    <row r="8" spans="1:14" ht="92.25" customHeight="1" x14ac:dyDescent="0.2">
      <c r="A8" s="71" t="s">
        <v>93</v>
      </c>
      <c r="B8" s="345"/>
      <c r="C8" s="295"/>
      <c r="D8" s="295"/>
      <c r="E8" s="295"/>
    </row>
    <row r="9" spans="1:14" ht="148.5" customHeight="1" x14ac:dyDescent="0.2">
      <c r="A9" s="71" t="s">
        <v>116</v>
      </c>
      <c r="B9" s="345"/>
      <c r="C9" s="345"/>
      <c r="D9" s="345"/>
      <c r="E9" s="345"/>
      <c r="F9" s="134" t="str">
        <f>IF(Hulpblad_categorieën_parameters!D26="","U moet nog een categorie kiezen!","")</f>
        <v/>
      </c>
    </row>
    <row r="10" spans="1:14" s="7" customFormat="1" ht="15" x14ac:dyDescent="0.25">
      <c r="A10" s="110" t="s">
        <v>96</v>
      </c>
      <c r="B10" s="350" t="str">
        <f>Hulpblad_categorieën_parameters!D26</f>
        <v xml:space="preserve">Zon-PV ≥ 15 kWp en ≤ 100 kWp, kleinverbruikersaansluiting </v>
      </c>
      <c r="C10" s="292"/>
      <c r="D10" s="292"/>
      <c r="E10" s="293"/>
      <c r="F10" s="44"/>
      <c r="G10" s="13"/>
      <c r="H10" s="13"/>
      <c r="I10" s="13"/>
      <c r="J10" s="13"/>
      <c r="K10" s="13"/>
      <c r="L10" s="13"/>
      <c r="M10" s="13"/>
      <c r="N10" s="13"/>
    </row>
    <row r="11" spans="1:14" s="7" customFormat="1" ht="14.25" x14ac:dyDescent="0.2">
      <c r="A11" s="163"/>
      <c r="C11" s="40"/>
      <c r="D11" s="40"/>
      <c r="E11" s="111"/>
      <c r="F11" s="44"/>
      <c r="G11" s="13"/>
      <c r="H11" s="13"/>
      <c r="I11" s="13"/>
      <c r="J11" s="13"/>
      <c r="K11" s="13"/>
      <c r="L11" s="13"/>
      <c r="M11" s="13"/>
      <c r="N11" s="13"/>
    </row>
    <row r="12" spans="1:14" ht="32.25" customHeight="1" x14ac:dyDescent="0.2">
      <c r="A12" s="35" t="s">
        <v>97</v>
      </c>
      <c r="B12" s="116"/>
      <c r="C12" s="116"/>
      <c r="D12" s="116"/>
      <c r="E12" s="116"/>
      <c r="F12" s="134"/>
    </row>
    <row r="13" spans="1:14" x14ac:dyDescent="0.2">
      <c r="A13" s="104" t="str">
        <f>VLOOKUP(Hulpblad_categorieën_parameters!D26,Hulpblad_categorieën_parameters!A31:Q56,16,)</f>
        <v>Vermogen van de productie-installatie (kWp)</v>
      </c>
      <c r="B13" s="336">
        <v>0</v>
      </c>
      <c r="C13" s="337"/>
      <c r="D13" s="158">
        <f>B13/1000</f>
        <v>0</v>
      </c>
      <c r="E13" s="104" t="str">
        <f>VLOOKUP(Hulpblad_categorieën_parameters!D26,Hulpblad_categorieën_parameters!A31:Q56,17,)</f>
        <v>MWp</v>
      </c>
      <c r="G13" s="40"/>
    </row>
    <row r="14" spans="1:14" x14ac:dyDescent="0.2">
      <c r="A14" s="104" t="s">
        <v>73</v>
      </c>
      <c r="B14" s="332">
        <v>0</v>
      </c>
      <c r="C14" s="333"/>
      <c r="E14" s="159"/>
      <c r="F14" s="7"/>
      <c r="G14" s="40"/>
    </row>
    <row r="15" spans="1:14" x14ac:dyDescent="0.2">
      <c r="A15" s="104" t="s">
        <v>72</v>
      </c>
      <c r="B15" s="334" t="e">
        <f>B14/B13</f>
        <v>#DIV/0!</v>
      </c>
      <c r="C15" s="335"/>
      <c r="D15" s="79"/>
      <c r="E15" s="49" t="e">
        <f>IF(B15&gt;8760,"Aantal vollasturen kan niet hoger zijn dan het aantal uren per jaar!",IF(B15&gt;VLOOKUP(B10,Hulpblad_categorieën_parameters!A31:R56,8,FALSE),"U krijgt maximaal "&amp;VLOOKUP(B10,Hulpblad_categorieën_parameters!A31:R56,8,FALSE)&amp;" vollasturen gesubsidieerd!",IF(OR(Hulpblad_categorieën_parameters!C6="Windenergie kleinverbruikersaansluiting",Hulpblad_categorieën_parameters!C6="Windenergie grootverbruikersaansluiting"),"Controleer of deze waarde overeenkomt met de P50-waarde vollasturen uit de windenergie-opbrengstberekening.","")))</f>
        <v>#DIV/0!</v>
      </c>
      <c r="G15" s="40"/>
    </row>
    <row r="16" spans="1:14" x14ac:dyDescent="0.2">
      <c r="A16" s="104"/>
      <c r="B16" s="167"/>
      <c r="C16" s="138"/>
      <c r="D16" s="79"/>
      <c r="E16" s="17"/>
      <c r="G16" s="40"/>
    </row>
    <row r="17" spans="1:16" x14ac:dyDescent="0.2">
      <c r="A17" s="7" t="s">
        <v>74</v>
      </c>
      <c r="B17" s="349">
        <f>MIN(B14,B13*VLOOKUP(B10,Hulpblad_categorieën_parameters!A31:AF56,8,FALSE),VLOOKUP(B10,Hulpblad_categorieën_parameters!A31:AF56,32,FALSE)*VLOOKUP(B10,Hulpblad_categorieën_parameters!A31:AF56,8,FALSE))</f>
        <v>0</v>
      </c>
      <c r="C17" s="349"/>
      <c r="D17" s="79"/>
      <c r="E17" s="17" t="str">
        <f>IF(B17&lt;B14,"Dit is de maximale subsidiabele productie!","")</f>
        <v/>
      </c>
      <c r="G17" s="40"/>
    </row>
    <row r="18" spans="1:16" ht="18.75" customHeight="1" x14ac:dyDescent="0.2">
      <c r="C18" s="33"/>
      <c r="D18" s="30"/>
      <c r="E18" s="11"/>
      <c r="F18" s="40"/>
    </row>
    <row r="19" spans="1:16" ht="24" customHeight="1" x14ac:dyDescent="0.4">
      <c r="A19" s="35" t="s">
        <v>115</v>
      </c>
      <c r="D19" s="117"/>
      <c r="E19" s="7"/>
      <c r="F19" s="7"/>
      <c r="G19" s="7"/>
      <c r="H19" s="7"/>
      <c r="I19" s="7"/>
      <c r="J19" s="7"/>
      <c r="K19" s="7"/>
      <c r="L19" s="7"/>
      <c r="M19" s="7"/>
      <c r="N19" s="7"/>
      <c r="O19" s="7"/>
    </row>
    <row r="20" spans="1:16" ht="244.5" customHeight="1" x14ac:dyDescent="0.2">
      <c r="A20" s="346" t="str">
        <f>VLOOKUP(B10,Hulpblad_categorieën_parameters!A31:M56,10,FALSE)</f>
        <v>U vraagt subsidie aan in een categorie zon-PV. U hoeft geen energie-opbrengstberekening toe te voegen. Bij zon-PV wordt de energieopbrengst (kWh/jaar) berekend door het piekvermogen van de installatie (in kWp) te vermenigvuldigen met 900 vollasturen/jaar. 
U wordt gevraagd om een gedetailleerde tekening op schaal waarop de aangevraagde zon-PV-installatie nauwkeurig op de beoogde locatie is ingetekend, toe te voegen. Zijn of komen er op de beoogde locatie meer installaties, dan geeft u dit duidelijk aan. Uit de intekening moet ook de oriëntatie van de installatie blijken. 
Bij een gebouwgebonden zon-PV-installatie berekent u het beschikbare dakoppervlak en houdt u rekening met lichtstraten en klimaatinstallaties die op het dak staan en voegt u een "Verklaring geschiktheid dak of gevel" bij uw aanvraag. Het verplichte format is beschikbaar is op www.rvo.nl.  Uit deze verklaring moet blijken dat het dak of de gevel geschikt is of wordt gemaakt voor het plaatsen van de zonnepanelen. 
Bij een grondgebonden zon-PV-installatie zijn natuurinclusief eisen van toepassing.
Om te voldoen aan de natuurinclusief eisen dient de open ruimte tussen de tafels met zonnepanelen, van bovenaf gezien, minimaal 25% te bedragen. Daarnaast kunt u alleen voor de categorie natuurinclusief aanvragen als de vergunning die op grond van de Omgevingswet noodzakelijk is voor de realisatie van de productie-installatie de volgende voorwaarde bevat dat:
a. er van bovenaf gezien minimaal 25% open ruimte tussen de tafels met zonnepanelen aanwezig is;
b. er een inrichtingsplan en beheerplan is dat ten doel heeft om verslechtering van de bodemkwaliteit, waterkwaliteit en ecologische kwaliteit gedurende de subsidieperiode te voorkomen; 
c. de subsidie-ontvanger de effecten van de productie-installatie op de bodemkwaliteit, waterkwaliteit en biodiversiteit monitort en, indien nodig, aanvullende maatregelen neemt om verslechtering van de bodemkwaliteit, waterkwaliteit en ecologische kwaliteit gedurende de subsidieperiode te voorkomen; en 
d. de subsidie-ontvanger een nulmeting uitvoert om de huidige waarde van de bodemkwaliteit, de waterkwaliteit en de ecologische kwaliteit vast te stellen.</v>
      </c>
      <c r="B20" s="347"/>
      <c r="C20" s="347"/>
      <c r="D20" s="347"/>
      <c r="E20" s="348"/>
      <c r="F20" s="161"/>
      <c r="G20" s="40"/>
      <c r="H20" s="40"/>
    </row>
    <row r="21" spans="1:16" ht="18.75" customHeight="1" x14ac:dyDescent="0.2">
      <c r="A21" s="74"/>
      <c r="B21" s="84"/>
      <c r="C21" s="84"/>
      <c r="D21" s="84"/>
      <c r="E21" s="84"/>
      <c r="F21" s="40"/>
      <c r="G21" s="40"/>
      <c r="H21" s="40"/>
    </row>
    <row r="22" spans="1:16" s="7" customFormat="1" ht="18" x14ac:dyDescent="0.25">
      <c r="A22" s="9" t="str">
        <f>IF(AND('Hulpblad_overig '!B10=3,'Hulpblad_overig '!B14=1),"Minimaal 75% van de leden van de VvE moeten woonachtig of gevestigd zijn binnen de postcoderoos",IF('Hulpblad_overig '!B72&gt;Financiering_en_projectplan!K12,"U hebt een te laag aantal beoogde deelnemende leden opgegeven op tabblad Financiering_en_projectplan","U voldoet aan de voorwaarde van minimaal "&amp;'Hulpblad_overig '!B72&amp;" leden bij coöporatie of grond-vereniging van eigenaren"))</f>
        <v>U voldoet aan de voorwaarde van minimaal 0 leden bij coöporatie of grond-vereniging van eigenaren</v>
      </c>
      <c r="B22" s="38"/>
      <c r="C22" s="38"/>
      <c r="D22" s="40"/>
      <c r="E22" s="40"/>
      <c r="F22" s="38"/>
      <c r="G22" s="43"/>
      <c r="H22" s="44"/>
      <c r="I22" s="13"/>
      <c r="J22" s="13"/>
      <c r="K22" s="13"/>
      <c r="L22" s="13"/>
      <c r="M22" s="13"/>
      <c r="N22" s="13"/>
      <c r="O22" s="13"/>
      <c r="P22" s="13"/>
    </row>
    <row r="23" spans="1:16" s="7" customFormat="1" ht="54.75" customHeight="1" x14ac:dyDescent="0.2">
      <c r="A23" s="338" t="str">
        <f>IF(AND('Hulpblad_overig '!B10=3,'Hulpblad_overig '!B14=1),"Bij een productie-installatie die op of aan een gebouw wordt aangebracht die in eigendom is van de VvE, moet minimaal 75% van de leden van de VvE woonachtig of gevestigd zijn binnen de aangevraagde postcoderoos.",VLOOKUP(Hulpblad_categorieën_parameters!D26,Hulpblad_categorieën_parameters!A31:S56,19,))</f>
        <v>U vraagt subsidie aan in de categorie zon-PV. Hiervoor geldt als voorwaarde minimaal één deelnemend lid per 5 kWp in een coöperatie of grond-vereniging van eigenaren. Bij een vermogen van 0 kWp moeten er minimaal 0 leden worden ingeschreven. Binnen één jaar na de datum van de beschikking tot subsidieverlening moet RVO de lijst van deelnemende leden met de naam en het adres van elk deelnemend lid hebben ontvangen.</v>
      </c>
      <c r="B23" s="339"/>
      <c r="C23" s="339"/>
      <c r="D23" s="339"/>
      <c r="E23" s="340"/>
      <c r="F23" s="38"/>
      <c r="G23" s="43"/>
      <c r="H23" s="44"/>
      <c r="I23" s="13"/>
      <c r="J23" s="13"/>
      <c r="K23" s="13"/>
      <c r="L23" s="13"/>
      <c r="M23" s="13"/>
      <c r="N23" s="13"/>
      <c r="O23" s="13"/>
      <c r="P23" s="13"/>
    </row>
    <row r="24" spans="1:16" s="7" customFormat="1" x14ac:dyDescent="0.2">
      <c r="A24" s="6"/>
      <c r="B24" s="38"/>
      <c r="C24" s="38"/>
      <c r="D24" s="40"/>
      <c r="E24" s="46"/>
      <c r="F24" s="38"/>
      <c r="G24" s="43"/>
      <c r="H24" s="44"/>
      <c r="I24" s="13"/>
      <c r="J24" s="13"/>
      <c r="K24" s="13"/>
      <c r="L24" s="13"/>
      <c r="M24" s="13"/>
      <c r="N24" s="13"/>
      <c r="O24" s="13"/>
      <c r="P24" s="13"/>
    </row>
    <row r="25" spans="1:16" s="7" customFormat="1" x14ac:dyDescent="0.2">
      <c r="A25" s="6"/>
      <c r="B25" s="38"/>
      <c r="C25" s="38"/>
      <c r="D25" s="40"/>
      <c r="E25" s="37"/>
      <c r="F25" s="38"/>
      <c r="G25" s="43"/>
      <c r="H25" s="44"/>
      <c r="I25" s="13"/>
      <c r="J25" s="13"/>
      <c r="K25" s="13"/>
      <c r="L25" s="13"/>
      <c r="M25" s="13"/>
      <c r="N25" s="13"/>
      <c r="O25" s="13"/>
      <c r="P25" s="13"/>
    </row>
    <row r="26" spans="1:16" s="7" customFormat="1" x14ac:dyDescent="0.2">
      <c r="B26" s="38"/>
      <c r="C26" s="38"/>
      <c r="D26" s="40"/>
      <c r="E26" s="37"/>
      <c r="F26" s="38"/>
      <c r="G26" s="43"/>
      <c r="H26" s="44"/>
      <c r="I26" s="13"/>
      <c r="J26" s="13"/>
      <c r="K26" s="13"/>
      <c r="L26" s="13"/>
      <c r="M26" s="13"/>
      <c r="N26" s="13"/>
      <c r="O26" s="13"/>
      <c r="P26" s="13"/>
    </row>
    <row r="27" spans="1:16" s="7" customFormat="1" x14ac:dyDescent="0.2">
      <c r="A27" s="6"/>
      <c r="B27" s="38"/>
      <c r="C27" s="38"/>
      <c r="D27" s="40"/>
      <c r="E27" s="37"/>
      <c r="F27" s="38"/>
      <c r="G27" s="43"/>
      <c r="H27" s="44"/>
      <c r="I27" s="13"/>
      <c r="J27" s="13"/>
      <c r="K27" s="13"/>
      <c r="L27" s="13"/>
      <c r="M27" s="13"/>
      <c r="N27" s="13"/>
      <c r="O27" s="13"/>
      <c r="P27" s="13"/>
    </row>
    <row r="28" spans="1:16" s="7" customFormat="1" x14ac:dyDescent="0.2">
      <c r="A28" s="6"/>
      <c r="B28" s="38"/>
      <c r="C28" s="38"/>
      <c r="D28" s="40"/>
      <c r="E28" s="46"/>
      <c r="F28" s="38"/>
      <c r="G28" s="43"/>
      <c r="H28" s="44"/>
      <c r="I28" s="13"/>
      <c r="J28" s="13"/>
      <c r="K28" s="13"/>
      <c r="L28" s="13"/>
      <c r="M28" s="13"/>
      <c r="N28" s="13"/>
      <c r="O28" s="13"/>
      <c r="P28" s="13"/>
    </row>
    <row r="29" spans="1:16" s="7" customFormat="1" x14ac:dyDescent="0.2">
      <c r="A29" s="6"/>
      <c r="B29" s="38"/>
      <c r="C29" s="38"/>
      <c r="D29" s="40"/>
      <c r="E29" s="37"/>
      <c r="F29" s="38"/>
      <c r="G29" s="43"/>
      <c r="H29" s="44"/>
      <c r="I29" s="13"/>
      <c r="J29" s="13"/>
      <c r="K29" s="13"/>
      <c r="L29" s="13"/>
      <c r="M29" s="13"/>
      <c r="N29" s="13"/>
      <c r="O29" s="13"/>
      <c r="P29" s="13"/>
    </row>
    <row r="30" spans="1:16" s="7" customFormat="1" x14ac:dyDescent="0.2">
      <c r="A30" s="6"/>
      <c r="B30" s="38"/>
      <c r="C30" s="38"/>
      <c r="D30" s="40"/>
      <c r="E30" s="85"/>
      <c r="F30" s="38"/>
      <c r="G30" s="43"/>
      <c r="H30" s="44"/>
      <c r="I30" s="13"/>
      <c r="J30" s="13"/>
      <c r="K30" s="13"/>
      <c r="L30" s="13"/>
      <c r="M30" s="13"/>
      <c r="N30" s="13"/>
      <c r="O30" s="13"/>
      <c r="P30" s="13"/>
    </row>
    <row r="31" spans="1:16" s="7" customFormat="1" x14ac:dyDescent="0.2">
      <c r="A31" s="6"/>
      <c r="B31" s="38"/>
      <c r="C31" s="38"/>
      <c r="D31" s="40"/>
      <c r="E31" s="86"/>
      <c r="F31" s="38"/>
      <c r="G31" s="43"/>
      <c r="H31" s="44"/>
      <c r="I31" s="13"/>
      <c r="J31" s="13"/>
      <c r="K31" s="13"/>
      <c r="L31" s="13"/>
      <c r="M31" s="13"/>
      <c r="N31" s="13"/>
      <c r="O31" s="13"/>
      <c r="P31" s="13"/>
    </row>
    <row r="32" spans="1:16" s="7" customFormat="1" x14ac:dyDescent="0.2">
      <c r="A32" s="5"/>
      <c r="B32" s="38"/>
      <c r="C32" s="38"/>
      <c r="D32" s="40"/>
      <c r="E32" s="54"/>
      <c r="F32" s="38"/>
      <c r="G32" s="43"/>
      <c r="H32" s="44"/>
      <c r="I32" s="13"/>
      <c r="J32" s="13"/>
      <c r="K32" s="13"/>
      <c r="L32" s="13"/>
      <c r="M32" s="13"/>
      <c r="N32" s="13"/>
      <c r="O32" s="13"/>
      <c r="P32" s="13"/>
    </row>
    <row r="33" spans="1:17" ht="18" x14ac:dyDescent="0.25">
      <c r="A33" s="9"/>
      <c r="B33" s="38"/>
      <c r="C33" s="38"/>
      <c r="D33" s="40"/>
      <c r="E33" s="40"/>
      <c r="F33" s="40"/>
      <c r="G33" s="37"/>
      <c r="H33" s="39"/>
      <c r="I33" s="11"/>
      <c r="J33" s="11"/>
      <c r="K33" s="11"/>
      <c r="L33" s="11"/>
      <c r="M33" s="11"/>
      <c r="N33" s="11"/>
      <c r="O33" s="11"/>
    </row>
    <row r="34" spans="1:17" x14ac:dyDescent="0.2">
      <c r="A34" s="7"/>
      <c r="B34" s="38"/>
      <c r="C34" s="38"/>
      <c r="D34" s="40"/>
      <c r="E34" s="40"/>
      <c r="F34" s="40"/>
      <c r="G34" s="40"/>
      <c r="H34" s="39"/>
      <c r="I34" s="11"/>
      <c r="J34" s="11"/>
      <c r="K34" s="11"/>
      <c r="L34" s="11"/>
      <c r="M34" s="11"/>
      <c r="N34" s="11"/>
      <c r="O34" s="11"/>
    </row>
    <row r="35" spans="1:17" ht="12.75" customHeight="1" x14ac:dyDescent="0.2">
      <c r="A35" s="6"/>
      <c r="B35" s="38"/>
      <c r="C35" s="38"/>
      <c r="D35" s="40"/>
      <c r="E35" s="40"/>
      <c r="F35" s="40"/>
      <c r="G35" s="40"/>
      <c r="H35" s="39"/>
      <c r="I35" s="11"/>
      <c r="J35" s="11"/>
      <c r="K35" s="11"/>
      <c r="L35" s="11"/>
      <c r="M35" s="11"/>
      <c r="N35" s="11"/>
      <c r="O35" s="11"/>
    </row>
    <row r="36" spans="1:17" ht="12.75" customHeight="1" x14ac:dyDescent="0.2">
      <c r="A36" s="6"/>
      <c r="B36" s="38"/>
      <c r="C36" s="38"/>
      <c r="D36" s="40"/>
      <c r="E36" s="52"/>
      <c r="F36" s="40"/>
      <c r="G36" s="40"/>
      <c r="H36" s="39"/>
      <c r="I36" s="11"/>
      <c r="J36" s="11"/>
      <c r="K36" s="11"/>
      <c r="L36" s="11"/>
      <c r="M36" s="11"/>
      <c r="N36" s="11"/>
      <c r="O36" s="11"/>
    </row>
    <row r="37" spans="1:17" ht="12.75" customHeight="1" x14ac:dyDescent="0.2">
      <c r="A37" s="6"/>
      <c r="B37" s="38"/>
      <c r="C37" s="38"/>
      <c r="D37" s="40"/>
      <c r="E37" s="87"/>
      <c r="F37" s="116"/>
      <c r="G37" s="40"/>
      <c r="H37" s="39"/>
      <c r="I37" s="11"/>
      <c r="J37" s="11"/>
      <c r="K37" s="11"/>
      <c r="L37" s="11"/>
      <c r="M37" s="11"/>
      <c r="N37" s="11"/>
      <c r="O37" s="11"/>
    </row>
    <row r="38" spans="1:17" ht="12.75" customHeight="1" x14ac:dyDescent="0.2">
      <c r="A38" s="7"/>
      <c r="B38" s="38"/>
      <c r="C38" s="38"/>
      <c r="D38" s="40"/>
      <c r="E38" s="47"/>
      <c r="F38" s="40"/>
      <c r="G38" s="40"/>
      <c r="H38" s="39"/>
      <c r="I38" s="11"/>
      <c r="J38" s="11"/>
      <c r="K38" s="11"/>
      <c r="L38" s="11"/>
      <c r="M38" s="11"/>
      <c r="N38" s="11"/>
      <c r="O38" s="11"/>
    </row>
    <row r="39" spans="1:17" ht="12.75" customHeight="1" x14ac:dyDescent="0.25">
      <c r="A39" s="9"/>
      <c r="B39" s="38"/>
      <c r="C39" s="38"/>
      <c r="D39" s="40"/>
      <c r="E39" s="47"/>
      <c r="F39" s="40"/>
      <c r="G39" s="40"/>
      <c r="H39" s="43"/>
      <c r="I39" s="12"/>
      <c r="J39" s="12"/>
      <c r="K39" s="12"/>
      <c r="L39" s="12"/>
      <c r="M39" s="12"/>
      <c r="N39" s="12"/>
      <c r="O39" s="12"/>
    </row>
    <row r="40" spans="1:17" ht="12.75" customHeight="1" x14ac:dyDescent="0.2">
      <c r="A40" s="7"/>
      <c r="B40" s="38"/>
      <c r="C40" s="38"/>
      <c r="D40" s="40"/>
      <c r="E40" s="40"/>
      <c r="F40" s="40"/>
      <c r="G40" s="40"/>
      <c r="H40" s="39"/>
      <c r="I40" s="11"/>
      <c r="J40" s="11"/>
      <c r="K40" s="11"/>
      <c r="L40" s="11"/>
      <c r="M40" s="11"/>
      <c r="N40" s="11"/>
      <c r="O40" s="11"/>
    </row>
    <row r="41" spans="1:17" x14ac:dyDescent="0.2">
      <c r="A41" s="6"/>
      <c r="B41" s="38"/>
      <c r="C41" s="38"/>
      <c r="D41" s="40"/>
      <c r="E41" s="40"/>
      <c r="F41" s="40"/>
      <c r="G41" s="40"/>
      <c r="H41" s="39"/>
      <c r="I41" s="11"/>
      <c r="J41" s="11"/>
      <c r="K41" s="11"/>
      <c r="L41" s="11"/>
      <c r="M41" s="11"/>
      <c r="N41" s="11"/>
      <c r="O41" s="11"/>
    </row>
    <row r="42" spans="1:17" ht="12.75" customHeight="1" x14ac:dyDescent="0.2">
      <c r="A42" s="6"/>
      <c r="B42" s="38"/>
      <c r="C42" s="38"/>
      <c r="D42" s="40"/>
      <c r="E42" s="37"/>
      <c r="F42" s="40"/>
      <c r="G42" s="40"/>
      <c r="H42" s="39"/>
      <c r="I42" s="11"/>
      <c r="J42" s="11"/>
      <c r="K42" s="11"/>
      <c r="L42" s="11"/>
      <c r="M42" s="11"/>
      <c r="N42" s="11"/>
      <c r="O42" s="11"/>
    </row>
    <row r="43" spans="1:17" ht="12.75" customHeight="1" x14ac:dyDescent="0.2">
      <c r="A43" s="6"/>
      <c r="B43" s="38"/>
      <c r="C43" s="38"/>
      <c r="D43" s="40"/>
      <c r="E43" s="87"/>
      <c r="F43" s="40"/>
      <c r="G43" s="40"/>
      <c r="H43" s="39"/>
      <c r="I43" s="11"/>
      <c r="J43" s="11"/>
      <c r="K43" s="11"/>
      <c r="L43" s="11"/>
      <c r="M43" s="11"/>
      <c r="N43" s="11"/>
      <c r="O43" s="11"/>
    </row>
    <row r="44" spans="1:17" ht="12.75" customHeight="1" x14ac:dyDescent="0.2">
      <c r="A44" s="6"/>
      <c r="B44" s="38"/>
      <c r="C44" s="38"/>
      <c r="D44" s="40"/>
      <c r="E44" s="48"/>
      <c r="F44" s="40"/>
      <c r="G44" s="40"/>
      <c r="H44" s="39"/>
      <c r="I44" s="11"/>
      <c r="J44" s="11"/>
      <c r="K44" s="11"/>
      <c r="L44" s="11"/>
      <c r="M44" s="11"/>
      <c r="N44" s="11"/>
      <c r="O44" s="11"/>
    </row>
    <row r="45" spans="1:17" ht="12.75" customHeight="1" x14ac:dyDescent="0.2">
      <c r="A45" s="6"/>
      <c r="B45" s="38"/>
      <c r="C45" s="38"/>
      <c r="D45" s="40"/>
      <c r="E45" s="47"/>
      <c r="F45" s="40"/>
      <c r="G45" s="40"/>
      <c r="H45" s="39"/>
      <c r="I45" s="11"/>
      <c r="J45" s="11"/>
      <c r="K45" s="11"/>
      <c r="L45" s="11"/>
      <c r="M45" s="11"/>
      <c r="N45" s="11"/>
      <c r="O45" s="11"/>
    </row>
    <row r="46" spans="1:17" ht="12.75" customHeight="1" x14ac:dyDescent="0.2">
      <c r="A46" s="38"/>
      <c r="B46" s="38"/>
      <c r="C46" s="38"/>
      <c r="D46" s="40"/>
      <c r="E46" s="47"/>
      <c r="F46" s="40"/>
      <c r="G46" s="40"/>
      <c r="H46" s="48"/>
      <c r="I46" s="16"/>
      <c r="J46" s="16"/>
      <c r="K46" s="16"/>
      <c r="L46" s="16"/>
      <c r="M46" s="16"/>
      <c r="N46" s="16"/>
      <c r="O46" s="16"/>
    </row>
    <row r="47" spans="1:17" ht="12.75" customHeight="1" x14ac:dyDescent="0.2">
      <c r="A47" s="38"/>
      <c r="B47" s="38"/>
      <c r="C47" s="38"/>
      <c r="D47" s="40"/>
      <c r="E47" s="47"/>
      <c r="F47" s="40"/>
      <c r="G47" s="40"/>
      <c r="H47" s="43"/>
      <c r="I47" s="43"/>
      <c r="J47" s="43"/>
      <c r="K47" s="43"/>
      <c r="L47" s="43"/>
      <c r="M47" s="43"/>
      <c r="N47" s="43"/>
      <c r="O47" s="43"/>
      <c r="P47" s="40"/>
      <c r="Q47" s="40"/>
    </row>
    <row r="48" spans="1:17" ht="12.75" customHeight="1" x14ac:dyDescent="0.2">
      <c r="A48" s="38"/>
      <c r="B48" s="38"/>
      <c r="C48" s="38"/>
      <c r="D48" s="40"/>
      <c r="E48" s="47"/>
      <c r="F48" s="40"/>
      <c r="G48" s="40"/>
      <c r="H48" s="43"/>
      <c r="I48" s="40"/>
      <c r="J48" s="43"/>
      <c r="K48" s="43"/>
      <c r="L48" s="43"/>
      <c r="M48" s="43"/>
      <c r="N48" s="43"/>
      <c r="O48" s="43"/>
      <c r="P48" s="40"/>
      <c r="Q48" s="40"/>
    </row>
    <row r="49" spans="1:17" x14ac:dyDescent="0.2">
      <c r="A49" s="40"/>
      <c r="B49" s="50"/>
      <c r="C49" s="38"/>
      <c r="D49" s="40"/>
      <c r="E49" s="40"/>
      <c r="F49" s="40"/>
      <c r="G49" s="40"/>
      <c r="H49" s="39"/>
      <c r="I49" s="39"/>
      <c r="J49" s="39"/>
      <c r="K49" s="39"/>
      <c r="L49" s="39"/>
      <c r="M49" s="39"/>
      <c r="N49" s="39"/>
      <c r="O49" s="39"/>
      <c r="P49" s="40"/>
      <c r="Q49" s="40"/>
    </row>
    <row r="50" spans="1:17" x14ac:dyDescent="0.2">
      <c r="A50" s="40"/>
      <c r="B50" s="116"/>
      <c r="C50" s="50"/>
      <c r="D50" s="50"/>
      <c r="E50" s="50"/>
      <c r="F50" s="40"/>
      <c r="G50" s="39"/>
      <c r="H50" s="37"/>
      <c r="I50" s="37"/>
      <c r="J50" s="37"/>
      <c r="K50" s="37"/>
      <c r="L50" s="37"/>
      <c r="M50" s="37"/>
      <c r="N50" s="37"/>
      <c r="O50" s="37"/>
      <c r="P50" s="40"/>
      <c r="Q50" s="40"/>
    </row>
    <row r="51" spans="1:17" x14ac:dyDescent="0.2">
      <c r="A51" s="38"/>
      <c r="B51" s="38"/>
      <c r="C51" s="116"/>
      <c r="D51" s="116"/>
      <c r="E51" s="116"/>
      <c r="F51" s="40"/>
      <c r="G51" s="39"/>
      <c r="H51" s="37"/>
      <c r="I51" s="37"/>
      <c r="J51" s="37"/>
      <c r="K51" s="37"/>
      <c r="L51" s="37"/>
      <c r="M51" s="37"/>
      <c r="N51" s="37"/>
      <c r="O51" s="37"/>
      <c r="P51" s="40"/>
      <c r="Q51" s="40"/>
    </row>
    <row r="52" spans="1:17" x14ac:dyDescent="0.2">
      <c r="A52" s="40"/>
      <c r="B52" s="38"/>
      <c r="C52" s="38"/>
      <c r="D52" s="40"/>
      <c r="E52" s="40"/>
      <c r="F52" s="40"/>
      <c r="G52" s="39"/>
      <c r="H52" s="43"/>
      <c r="I52" s="43"/>
      <c r="J52" s="43"/>
      <c r="K52" s="43"/>
      <c r="L52" s="43"/>
      <c r="M52" s="43"/>
      <c r="N52" s="43"/>
      <c r="O52" s="43"/>
      <c r="P52" s="40"/>
      <c r="Q52" s="40"/>
    </row>
    <row r="53" spans="1:17" x14ac:dyDescent="0.2">
      <c r="A53" s="45"/>
      <c r="B53" s="38"/>
      <c r="C53" s="38"/>
      <c r="D53" s="40"/>
      <c r="E53" s="40"/>
      <c r="F53" s="40"/>
      <c r="G53" s="39"/>
      <c r="H53" s="37"/>
      <c r="I53" s="37"/>
      <c r="J53" s="37"/>
      <c r="K53" s="37"/>
      <c r="L53" s="37"/>
      <c r="M53" s="37"/>
      <c r="N53" s="37"/>
      <c r="O53" s="37"/>
      <c r="P53" s="40"/>
      <c r="Q53" s="40"/>
    </row>
    <row r="54" spans="1:17" s="7" customFormat="1" x14ac:dyDescent="0.2">
      <c r="A54" s="40"/>
      <c r="B54" s="38"/>
      <c r="C54" s="38"/>
      <c r="D54" s="38"/>
      <c r="E54" s="38"/>
      <c r="F54" s="38"/>
      <c r="G54" s="44"/>
      <c r="H54" s="43"/>
      <c r="I54" s="43"/>
      <c r="J54" s="43"/>
      <c r="K54" s="43"/>
      <c r="L54" s="43"/>
      <c r="M54" s="43"/>
      <c r="N54" s="43"/>
      <c r="O54" s="43"/>
      <c r="P54" s="38"/>
      <c r="Q54" s="38"/>
    </row>
    <row r="55" spans="1:17" ht="18" x14ac:dyDescent="0.25">
      <c r="A55" s="41"/>
      <c r="B55" s="38"/>
      <c r="C55" s="38"/>
      <c r="D55" s="40"/>
      <c r="E55" s="40"/>
      <c r="F55" s="40"/>
      <c r="G55" s="40"/>
      <c r="H55" s="37"/>
      <c r="I55" s="37"/>
      <c r="J55" s="37"/>
      <c r="K55" s="37"/>
      <c r="L55" s="37"/>
      <c r="M55" s="37"/>
      <c r="N55" s="37"/>
      <c r="O55" s="37"/>
      <c r="P55" s="40"/>
      <c r="Q55" s="40"/>
    </row>
    <row r="56" spans="1:17" x14ac:dyDescent="0.2">
      <c r="A56" s="116"/>
      <c r="B56" s="38"/>
      <c r="C56" s="38"/>
      <c r="D56" s="40"/>
      <c r="E56" s="40"/>
      <c r="F56" s="40"/>
      <c r="G56" s="40"/>
      <c r="H56" s="39"/>
      <c r="I56" s="39"/>
      <c r="J56" s="39"/>
      <c r="K56" s="39"/>
      <c r="L56" s="39"/>
      <c r="M56" s="39"/>
      <c r="N56" s="39"/>
      <c r="O56" s="39"/>
      <c r="P56" s="40"/>
      <c r="Q56" s="40"/>
    </row>
    <row r="57" spans="1:17" x14ac:dyDescent="0.2">
      <c r="A57" s="40"/>
      <c r="B57" s="50"/>
      <c r="C57" s="38"/>
      <c r="D57" s="40"/>
      <c r="E57" s="40"/>
      <c r="F57" s="40"/>
      <c r="G57" s="40"/>
      <c r="H57" s="39"/>
      <c r="I57" s="39"/>
      <c r="J57" s="39"/>
      <c r="K57" s="39"/>
      <c r="L57" s="39"/>
      <c r="M57" s="39"/>
      <c r="N57" s="39"/>
      <c r="O57" s="43"/>
      <c r="P57" s="40"/>
      <c r="Q57" s="40"/>
    </row>
    <row r="58" spans="1:17" x14ac:dyDescent="0.2">
      <c r="A58" s="40"/>
      <c r="B58" s="39"/>
      <c r="C58" s="50"/>
      <c r="D58" s="50"/>
      <c r="E58" s="50"/>
      <c r="F58" s="40"/>
      <c r="G58" s="37"/>
      <c r="H58" s="37"/>
      <c r="I58" s="37"/>
      <c r="J58" s="37"/>
      <c r="K58" s="37"/>
      <c r="L58" s="37"/>
      <c r="M58" s="37"/>
      <c r="N58" s="37"/>
      <c r="O58" s="37"/>
      <c r="P58" s="40"/>
      <c r="Q58" s="40"/>
    </row>
    <row r="59" spans="1:17" x14ac:dyDescent="0.2">
      <c r="A59" s="40"/>
      <c r="B59" s="39"/>
      <c r="C59" s="39"/>
      <c r="D59" s="39"/>
      <c r="E59" s="39"/>
      <c r="F59" s="40"/>
      <c r="G59" s="37"/>
      <c r="H59" s="37"/>
      <c r="I59" s="37"/>
      <c r="J59" s="37"/>
      <c r="K59" s="37"/>
      <c r="L59" s="37"/>
      <c r="M59" s="37"/>
      <c r="N59" s="37"/>
      <c r="O59" s="37"/>
      <c r="P59" s="40"/>
      <c r="Q59" s="40"/>
    </row>
    <row r="60" spans="1:17" x14ac:dyDescent="0.2">
      <c r="A60" s="40"/>
      <c r="B60" s="39"/>
      <c r="C60" s="39"/>
      <c r="D60" s="39"/>
      <c r="E60" s="39"/>
      <c r="F60" s="40"/>
      <c r="G60" s="37"/>
      <c r="H60" s="37"/>
      <c r="I60" s="37"/>
      <c r="J60" s="37"/>
      <c r="K60" s="37"/>
      <c r="L60" s="37"/>
      <c r="M60" s="37"/>
      <c r="N60" s="37"/>
      <c r="O60" s="37"/>
      <c r="P60" s="40"/>
      <c r="Q60" s="40"/>
    </row>
    <row r="61" spans="1:17" x14ac:dyDescent="0.2">
      <c r="A61" s="40"/>
      <c r="B61" s="50"/>
      <c r="C61" s="39"/>
      <c r="D61" s="39"/>
      <c r="E61" s="39"/>
      <c r="F61" s="40"/>
      <c r="G61" s="37"/>
      <c r="H61" s="37"/>
      <c r="I61" s="37"/>
      <c r="J61" s="37"/>
      <c r="K61" s="37"/>
      <c r="L61" s="37"/>
      <c r="M61" s="37"/>
      <c r="N61" s="37"/>
      <c r="O61" s="37"/>
      <c r="P61" s="40"/>
      <c r="Q61" s="40"/>
    </row>
    <row r="62" spans="1:17" x14ac:dyDescent="0.2">
      <c r="A62" s="40"/>
      <c r="B62" s="39"/>
      <c r="C62" s="50"/>
      <c r="D62" s="50"/>
      <c r="E62" s="50"/>
      <c r="F62" s="40"/>
      <c r="G62" s="37"/>
      <c r="H62" s="37"/>
      <c r="I62" s="37"/>
      <c r="J62" s="37"/>
      <c r="K62" s="37"/>
      <c r="L62" s="37"/>
      <c r="M62" s="37"/>
      <c r="N62" s="37"/>
      <c r="O62" s="37"/>
      <c r="P62" s="40"/>
      <c r="Q62" s="40"/>
    </row>
    <row r="63" spans="1:17" x14ac:dyDescent="0.2">
      <c r="A63" s="40"/>
      <c r="B63" s="39"/>
      <c r="C63" s="39"/>
      <c r="D63" s="39"/>
      <c r="E63" s="39"/>
      <c r="F63" s="40"/>
      <c r="G63" s="37"/>
      <c r="H63" s="37"/>
      <c r="I63" s="37"/>
      <c r="J63" s="37"/>
      <c r="K63" s="37"/>
      <c r="L63" s="37"/>
      <c r="M63" s="37"/>
      <c r="N63" s="37"/>
      <c r="O63" s="37"/>
      <c r="P63" s="40"/>
      <c r="Q63" s="40"/>
    </row>
    <row r="64" spans="1:17" x14ac:dyDescent="0.2">
      <c r="A64" s="40"/>
      <c r="B64" s="39"/>
      <c r="C64" s="39"/>
      <c r="D64" s="39"/>
      <c r="E64" s="39"/>
      <c r="F64" s="40"/>
      <c r="G64" s="37"/>
      <c r="H64" s="37"/>
      <c r="I64" s="37"/>
      <c r="J64" s="37"/>
      <c r="K64" s="37"/>
      <c r="L64" s="37"/>
      <c r="M64" s="37"/>
      <c r="N64" s="37"/>
      <c r="O64" s="37"/>
      <c r="P64" s="40"/>
      <c r="Q64" s="40"/>
    </row>
    <row r="65" spans="1:17" x14ac:dyDescent="0.2">
      <c r="A65" s="40"/>
      <c r="B65" s="39"/>
      <c r="C65" s="39"/>
      <c r="D65" s="39"/>
      <c r="E65" s="39"/>
      <c r="F65" s="40"/>
      <c r="G65" s="37"/>
      <c r="H65" s="37"/>
      <c r="I65" s="37"/>
      <c r="J65" s="37"/>
      <c r="K65" s="37"/>
      <c r="L65" s="37"/>
      <c r="M65" s="37"/>
      <c r="N65" s="37"/>
      <c r="O65" s="37"/>
      <c r="P65" s="40"/>
      <c r="Q65" s="40"/>
    </row>
    <row r="66" spans="1:17" x14ac:dyDescent="0.2">
      <c r="A66" s="40"/>
      <c r="B66" s="50"/>
      <c r="C66" s="39"/>
      <c r="D66" s="39"/>
      <c r="E66" s="39"/>
      <c r="F66" s="40"/>
      <c r="G66" s="37"/>
      <c r="H66" s="37"/>
      <c r="I66" s="37"/>
      <c r="J66" s="37"/>
      <c r="K66" s="37"/>
      <c r="L66" s="37"/>
      <c r="M66" s="37"/>
      <c r="N66" s="37"/>
      <c r="O66" s="37"/>
      <c r="P66" s="40"/>
      <c r="Q66" s="40"/>
    </row>
    <row r="67" spans="1:17" x14ac:dyDescent="0.2">
      <c r="A67" s="40"/>
      <c r="B67" s="39"/>
      <c r="C67" s="50"/>
      <c r="D67" s="50"/>
      <c r="E67" s="50"/>
      <c r="F67" s="40"/>
      <c r="G67" s="37"/>
      <c r="H67" s="37"/>
      <c r="I67" s="37"/>
      <c r="J67" s="37"/>
      <c r="K67" s="37"/>
      <c r="L67" s="37"/>
      <c r="M67" s="37"/>
      <c r="N67" s="37"/>
      <c r="O67" s="37"/>
      <c r="P67" s="40"/>
      <c r="Q67" s="40"/>
    </row>
    <row r="68" spans="1:17" x14ac:dyDescent="0.2">
      <c r="A68" s="40"/>
      <c r="B68" s="39"/>
      <c r="C68" s="39"/>
      <c r="D68" s="39"/>
      <c r="E68" s="39"/>
      <c r="F68" s="40"/>
      <c r="G68" s="37"/>
      <c r="H68" s="37"/>
      <c r="I68" s="37"/>
      <c r="J68" s="37"/>
      <c r="K68" s="37"/>
      <c r="L68" s="37"/>
      <c r="M68" s="37"/>
      <c r="N68" s="37"/>
      <c r="O68" s="37"/>
      <c r="P68" s="40"/>
      <c r="Q68" s="40"/>
    </row>
    <row r="69" spans="1:17" x14ac:dyDescent="0.2">
      <c r="A69" s="38"/>
      <c r="B69" s="44"/>
      <c r="C69" s="39"/>
      <c r="D69" s="39"/>
      <c r="E69" s="39"/>
      <c r="F69" s="49"/>
      <c r="G69" s="52"/>
      <c r="H69" s="52"/>
      <c r="I69" s="52"/>
      <c r="J69" s="52"/>
      <c r="K69" s="52"/>
      <c r="L69" s="52"/>
      <c r="M69" s="52"/>
      <c r="N69" s="52"/>
      <c r="O69" s="52"/>
      <c r="P69" s="40"/>
      <c r="Q69" s="40"/>
    </row>
    <row r="70" spans="1:17" s="7" customFormat="1" x14ac:dyDescent="0.2">
      <c r="A70" s="38"/>
      <c r="B70" s="44"/>
      <c r="C70" s="44"/>
      <c r="D70" s="44"/>
      <c r="E70" s="44"/>
      <c r="F70" s="38"/>
      <c r="G70" s="43"/>
      <c r="H70" s="43"/>
      <c r="I70" s="43"/>
      <c r="J70" s="43"/>
      <c r="K70" s="43"/>
      <c r="L70" s="43"/>
      <c r="M70" s="43"/>
      <c r="N70" s="43"/>
      <c r="O70" s="43"/>
      <c r="P70" s="38"/>
      <c r="Q70" s="38"/>
    </row>
    <row r="71" spans="1:17" s="7" customFormat="1" x14ac:dyDescent="0.2">
      <c r="A71" s="38"/>
      <c r="B71" s="44"/>
      <c r="C71" s="44"/>
      <c r="D71" s="44"/>
      <c r="E71" s="44"/>
      <c r="F71" s="38"/>
      <c r="G71" s="43"/>
      <c r="H71" s="43"/>
      <c r="I71" s="43"/>
      <c r="J71" s="43"/>
      <c r="K71" s="43"/>
      <c r="L71" s="43"/>
      <c r="M71" s="43"/>
      <c r="N71" s="43"/>
      <c r="O71" s="43"/>
      <c r="P71" s="38"/>
      <c r="Q71" s="38"/>
    </row>
    <row r="72" spans="1:17" s="7" customFormat="1" x14ac:dyDescent="0.2">
      <c r="A72" s="116"/>
      <c r="B72" s="50"/>
      <c r="C72" s="44"/>
      <c r="D72" s="44"/>
      <c r="E72" s="44"/>
      <c r="F72" s="38"/>
      <c r="G72" s="44"/>
      <c r="H72" s="44"/>
      <c r="I72" s="44"/>
      <c r="J72" s="44"/>
      <c r="K72" s="44"/>
      <c r="L72" s="44"/>
      <c r="M72" s="44"/>
      <c r="N72" s="44"/>
      <c r="O72" s="44"/>
      <c r="P72" s="38"/>
      <c r="Q72" s="38"/>
    </row>
    <row r="73" spans="1:17" s="7" customFormat="1" x14ac:dyDescent="0.2">
      <c r="A73" s="38"/>
      <c r="B73" s="82"/>
      <c r="C73" s="44"/>
      <c r="D73" s="116"/>
      <c r="E73" s="116"/>
      <c r="F73" s="38"/>
      <c r="G73" s="38"/>
      <c r="H73" s="38"/>
      <c r="I73" s="38"/>
      <c r="J73" s="38"/>
      <c r="K73" s="38"/>
      <c r="L73" s="38"/>
      <c r="M73" s="38"/>
      <c r="N73" s="38"/>
      <c r="O73" s="38"/>
      <c r="P73" s="38"/>
      <c r="Q73" s="38"/>
    </row>
    <row r="74" spans="1:17" s="7" customFormat="1" x14ac:dyDescent="0.2">
      <c r="A74" s="38"/>
      <c r="B74" s="82"/>
      <c r="C74" s="82"/>
      <c r="D74" s="52"/>
      <c r="E74" s="88"/>
      <c r="F74" s="51"/>
      <c r="G74" s="43"/>
      <c r="H74" s="52"/>
      <c r="I74" s="52"/>
      <c r="J74" s="52"/>
      <c r="K74" s="52"/>
      <c r="L74" s="52"/>
      <c r="M74" s="52"/>
      <c r="N74" s="52"/>
      <c r="O74" s="52"/>
      <c r="P74" s="38"/>
      <c r="Q74" s="38"/>
    </row>
    <row r="75" spans="1:17" s="7" customFormat="1" x14ac:dyDescent="0.2">
      <c r="A75" s="38"/>
      <c r="B75" s="82"/>
      <c r="C75" s="82"/>
      <c r="D75" s="52"/>
      <c r="E75" s="88"/>
      <c r="F75" s="51"/>
      <c r="G75" s="43"/>
      <c r="H75" s="37"/>
      <c r="I75" s="52"/>
      <c r="J75" s="52"/>
      <c r="K75" s="52"/>
      <c r="L75" s="52"/>
      <c r="M75" s="52"/>
      <c r="N75" s="52"/>
      <c r="O75" s="52"/>
      <c r="P75" s="38"/>
      <c r="Q75" s="38"/>
    </row>
    <row r="76" spans="1:17" s="7" customFormat="1" x14ac:dyDescent="0.2">
      <c r="A76" s="38"/>
      <c r="B76" s="82"/>
      <c r="C76" s="82"/>
      <c r="D76" s="52"/>
      <c r="E76" s="88"/>
      <c r="F76" s="51"/>
      <c r="G76" s="43"/>
      <c r="H76" s="37"/>
      <c r="I76" s="52"/>
      <c r="J76" s="52"/>
      <c r="K76" s="52"/>
      <c r="L76" s="52"/>
      <c r="M76" s="52"/>
      <c r="N76" s="52"/>
      <c r="O76" s="52"/>
      <c r="P76" s="38"/>
      <c r="Q76" s="38"/>
    </row>
    <row r="77" spans="1:17" s="7" customFormat="1" x14ac:dyDescent="0.2">
      <c r="A77" s="38"/>
      <c r="B77" s="82"/>
      <c r="C77" s="82"/>
      <c r="D77" s="52"/>
      <c r="E77" s="88"/>
      <c r="F77" s="51"/>
      <c r="G77" s="43"/>
      <c r="H77" s="37"/>
      <c r="I77" s="52"/>
      <c r="J77" s="52"/>
      <c r="K77" s="52"/>
      <c r="L77" s="52"/>
      <c r="M77" s="52"/>
      <c r="N77" s="52"/>
      <c r="O77" s="52"/>
      <c r="P77" s="38"/>
      <c r="Q77" s="38"/>
    </row>
    <row r="78" spans="1:17" s="7" customFormat="1" x14ac:dyDescent="0.2">
      <c r="A78" s="38"/>
      <c r="B78" s="82"/>
      <c r="C78" s="82"/>
      <c r="D78" s="52"/>
      <c r="E78" s="88"/>
      <c r="F78" s="51"/>
      <c r="G78" s="43"/>
      <c r="H78" s="37"/>
      <c r="I78" s="52"/>
      <c r="J78" s="52"/>
      <c r="K78" s="52"/>
      <c r="L78" s="52"/>
      <c r="M78" s="52"/>
      <c r="N78" s="52"/>
      <c r="O78" s="52"/>
      <c r="P78" s="38"/>
      <c r="Q78" s="38"/>
    </row>
    <row r="79" spans="1:17" s="7" customFormat="1" x14ac:dyDescent="0.2">
      <c r="A79" s="38"/>
      <c r="B79" s="82"/>
      <c r="C79" s="82"/>
      <c r="D79" s="52"/>
      <c r="E79" s="88"/>
      <c r="F79" s="38"/>
      <c r="G79" s="43"/>
      <c r="H79" s="37"/>
      <c r="I79" s="52"/>
      <c r="J79" s="52"/>
      <c r="K79" s="52"/>
      <c r="L79" s="52"/>
      <c r="M79" s="52"/>
      <c r="N79" s="52"/>
      <c r="O79" s="52"/>
      <c r="P79" s="38"/>
      <c r="Q79" s="38"/>
    </row>
    <row r="80" spans="1:17" s="7" customFormat="1" x14ac:dyDescent="0.2">
      <c r="A80" s="38"/>
      <c r="B80" s="82"/>
      <c r="C80" s="82"/>
      <c r="D80" s="52"/>
      <c r="E80" s="88"/>
      <c r="F80" s="38"/>
      <c r="G80" s="43"/>
      <c r="H80" s="37"/>
      <c r="I80" s="52"/>
      <c r="J80" s="52"/>
      <c r="K80" s="52"/>
      <c r="L80" s="52"/>
      <c r="M80" s="52"/>
      <c r="N80" s="52"/>
      <c r="O80" s="52"/>
      <c r="P80" s="38"/>
      <c r="Q80" s="38"/>
    </row>
    <row r="81" spans="1:17" s="7" customFormat="1" x14ac:dyDescent="0.2">
      <c r="A81" s="38"/>
      <c r="B81" s="44"/>
      <c r="C81" s="82"/>
      <c r="D81" s="52"/>
      <c r="E81" s="88"/>
      <c r="F81" s="38"/>
      <c r="G81" s="43"/>
      <c r="H81" s="37"/>
      <c r="I81" s="52"/>
      <c r="J81" s="52"/>
      <c r="K81" s="52"/>
      <c r="L81" s="52"/>
      <c r="M81" s="52"/>
      <c r="N81" s="52"/>
      <c r="O81" s="52"/>
      <c r="P81" s="38"/>
      <c r="Q81" s="38"/>
    </row>
    <row r="82" spans="1:17" s="7" customFormat="1" x14ac:dyDescent="0.2">
      <c r="A82" s="116"/>
      <c r="B82" s="44"/>
      <c r="C82" s="44"/>
      <c r="D82" s="38"/>
      <c r="E82" s="44"/>
      <c r="F82" s="38"/>
      <c r="G82" s="43"/>
      <c r="H82" s="53"/>
      <c r="I82" s="43"/>
      <c r="J82" s="43"/>
      <c r="K82" s="43"/>
      <c r="L82" s="43"/>
      <c r="M82" s="43"/>
      <c r="N82" s="43"/>
      <c r="O82" s="43"/>
      <c r="P82" s="38"/>
      <c r="Q82" s="38"/>
    </row>
    <row r="83" spans="1:17" s="7" customFormat="1" x14ac:dyDescent="0.2">
      <c r="A83" s="38"/>
      <c r="B83" s="44"/>
      <c r="C83" s="44"/>
      <c r="D83" s="44"/>
      <c r="E83" s="44"/>
      <c r="F83" s="38"/>
      <c r="G83" s="43"/>
      <c r="H83" s="43"/>
      <c r="I83" s="43"/>
      <c r="J83" s="43"/>
      <c r="K83" s="43"/>
      <c r="L83" s="43"/>
      <c r="M83" s="43"/>
      <c r="N83" s="43"/>
      <c r="O83" s="43"/>
      <c r="P83" s="38"/>
      <c r="Q83" s="38"/>
    </row>
    <row r="84" spans="1:17" s="7" customFormat="1" x14ac:dyDescent="0.2">
      <c r="A84" s="38"/>
      <c r="B84" s="44"/>
      <c r="C84" s="44"/>
      <c r="D84" s="44"/>
      <c r="E84" s="44"/>
      <c r="F84" s="38"/>
      <c r="G84" s="43"/>
      <c r="H84" s="43"/>
      <c r="I84" s="43"/>
      <c r="J84" s="43"/>
      <c r="K84" s="43"/>
      <c r="L84" s="43"/>
      <c r="M84" s="43"/>
      <c r="N84" s="43"/>
      <c r="O84" s="43"/>
      <c r="P84" s="38"/>
      <c r="Q84" s="38"/>
    </row>
    <row r="85" spans="1:17" s="7" customFormat="1" x14ac:dyDescent="0.2">
      <c r="A85" s="116"/>
      <c r="B85" s="38"/>
      <c r="C85" s="44"/>
      <c r="D85" s="44"/>
      <c r="E85" s="44"/>
      <c r="F85" s="38"/>
      <c r="G85" s="44"/>
      <c r="H85" s="44"/>
      <c r="I85" s="44"/>
      <c r="J85" s="44"/>
      <c r="K85" s="44"/>
      <c r="L85" s="44"/>
      <c r="M85" s="44"/>
      <c r="N85" s="44"/>
      <c r="O85" s="44"/>
      <c r="P85" s="38"/>
      <c r="Q85" s="38"/>
    </row>
    <row r="86" spans="1:17" x14ac:dyDescent="0.2">
      <c r="A86" s="116"/>
      <c r="B86" s="38"/>
      <c r="C86" s="38"/>
      <c r="D86" s="40"/>
      <c r="E86" s="40"/>
      <c r="F86" s="39"/>
      <c r="G86" s="37"/>
      <c r="H86" s="37"/>
      <c r="I86" s="37"/>
      <c r="J86" s="37"/>
      <c r="K86" s="37"/>
      <c r="L86" s="37"/>
      <c r="M86" s="37"/>
      <c r="N86" s="37"/>
      <c r="O86" s="37"/>
      <c r="P86" s="39"/>
      <c r="Q86" s="40"/>
    </row>
    <row r="87" spans="1:17" hidden="1" x14ac:dyDescent="0.2">
      <c r="A87" s="116"/>
      <c r="B87" s="38"/>
      <c r="C87" s="38"/>
      <c r="D87" s="40"/>
      <c r="E87" s="116"/>
      <c r="F87" s="40"/>
      <c r="G87" s="37"/>
      <c r="H87" s="37"/>
      <c r="I87" s="37"/>
      <c r="J87" s="37"/>
      <c r="K87" s="37"/>
      <c r="L87" s="37"/>
      <c r="M87" s="37"/>
      <c r="N87" s="37"/>
      <c r="O87" s="37"/>
      <c r="P87" s="40"/>
      <c r="Q87" s="40"/>
    </row>
    <row r="88" spans="1:17" hidden="1" x14ac:dyDescent="0.2">
      <c r="A88" s="116"/>
      <c r="B88" s="38"/>
      <c r="C88" s="38"/>
      <c r="D88" s="40"/>
      <c r="E88" s="40"/>
      <c r="F88" s="40"/>
      <c r="G88" s="37"/>
      <c r="H88" s="37"/>
      <c r="I88" s="37"/>
      <c r="J88" s="37"/>
      <c r="K88" s="37"/>
      <c r="L88" s="37"/>
      <c r="M88" s="37"/>
      <c r="N88" s="37"/>
      <c r="O88" s="37"/>
      <c r="P88" s="37"/>
      <c r="Q88" s="40"/>
    </row>
    <row r="89" spans="1:17" hidden="1" x14ac:dyDescent="0.2">
      <c r="A89" s="116"/>
      <c r="B89" s="38"/>
      <c r="C89" s="38"/>
      <c r="D89" s="40"/>
      <c r="E89" s="40"/>
      <c r="F89" s="40"/>
      <c r="G89" s="37"/>
      <c r="H89" s="37"/>
      <c r="I89" s="37"/>
      <c r="J89" s="37"/>
      <c r="K89" s="37"/>
      <c r="L89" s="37"/>
      <c r="M89" s="37"/>
      <c r="N89" s="37"/>
      <c r="O89" s="37"/>
      <c r="P89" s="37"/>
      <c r="Q89" s="40"/>
    </row>
    <row r="90" spans="1:17" hidden="1" x14ac:dyDescent="0.2">
      <c r="A90" s="116"/>
      <c r="B90" s="38"/>
      <c r="C90" s="38"/>
      <c r="D90" s="40"/>
      <c r="E90" s="40"/>
      <c r="F90" s="40"/>
      <c r="G90" s="37"/>
      <c r="H90" s="37"/>
      <c r="I90" s="37"/>
      <c r="J90" s="37"/>
      <c r="K90" s="37"/>
      <c r="L90" s="37"/>
      <c r="M90" s="37"/>
      <c r="N90" s="37"/>
      <c r="O90" s="37"/>
      <c r="P90" s="37"/>
      <c r="Q90" s="40"/>
    </row>
    <row r="91" spans="1:17" hidden="1" x14ac:dyDescent="0.2">
      <c r="A91" s="116"/>
      <c r="B91" s="54"/>
      <c r="C91" s="38"/>
      <c r="D91" s="40"/>
      <c r="E91" s="40"/>
      <c r="F91" s="40"/>
      <c r="G91" s="37"/>
      <c r="H91" s="37"/>
      <c r="I91" s="37"/>
      <c r="J91" s="37"/>
      <c r="K91" s="37"/>
      <c r="L91" s="37"/>
      <c r="M91" s="37"/>
      <c r="N91" s="37"/>
      <c r="O91" s="37"/>
      <c r="P91" s="37"/>
      <c r="Q91" s="40"/>
    </row>
    <row r="92" spans="1:17" x14ac:dyDescent="0.2">
      <c r="A92" s="116"/>
      <c r="B92" s="57"/>
      <c r="C92" s="55"/>
      <c r="D92" s="56"/>
      <c r="E92" s="40"/>
      <c r="F92" s="40"/>
      <c r="G92" s="37"/>
      <c r="H92" s="37"/>
      <c r="I92" s="37"/>
      <c r="J92" s="37"/>
      <c r="K92" s="37"/>
      <c r="L92" s="37"/>
      <c r="M92" s="37"/>
      <c r="N92" s="37"/>
      <c r="O92" s="37"/>
      <c r="P92" s="37"/>
      <c r="Q92" s="40"/>
    </row>
    <row r="93" spans="1:17" x14ac:dyDescent="0.2">
      <c r="A93" s="116"/>
      <c r="B93" s="38"/>
      <c r="C93" s="55"/>
      <c r="D93" s="56"/>
      <c r="E93" s="40"/>
      <c r="F93" s="40"/>
      <c r="G93" s="37"/>
      <c r="H93" s="37"/>
      <c r="I93" s="37"/>
      <c r="J93" s="37"/>
      <c r="K93" s="37"/>
      <c r="L93" s="37"/>
      <c r="M93" s="37"/>
      <c r="N93" s="37"/>
      <c r="O93" s="37"/>
      <c r="P93" s="37"/>
      <c r="Q93" s="40"/>
    </row>
    <row r="94" spans="1:17" x14ac:dyDescent="0.2">
      <c r="A94" s="45"/>
      <c r="B94" s="38"/>
      <c r="C94" s="38"/>
      <c r="D94" s="40"/>
      <c r="E94" s="40"/>
      <c r="F94" s="40"/>
      <c r="G94" s="37"/>
      <c r="H94" s="37"/>
      <c r="I94" s="37"/>
      <c r="J94" s="37"/>
      <c r="K94" s="37"/>
      <c r="L94" s="37"/>
      <c r="M94" s="37"/>
      <c r="N94" s="37"/>
      <c r="O94" s="37"/>
      <c r="P94" s="37"/>
      <c r="Q94" s="40"/>
    </row>
    <row r="95" spans="1:17" s="7" customFormat="1" x14ac:dyDescent="0.2">
      <c r="A95" s="38"/>
      <c r="B95" s="38"/>
      <c r="C95" s="38"/>
      <c r="D95" s="38"/>
      <c r="E95" s="38"/>
      <c r="F95" s="38"/>
      <c r="G95" s="43"/>
      <c r="H95" s="43"/>
      <c r="I95" s="43"/>
      <c r="J95" s="43"/>
      <c r="K95" s="43"/>
      <c r="L95" s="43"/>
      <c r="M95" s="43"/>
      <c r="N95" s="43"/>
      <c r="O95" s="43"/>
      <c r="P95" s="38"/>
      <c r="Q95" s="38"/>
    </row>
    <row r="96" spans="1:17" s="7" customFormat="1" x14ac:dyDescent="0.2">
      <c r="A96" s="38"/>
      <c r="B96" s="38"/>
      <c r="C96" s="38"/>
      <c r="D96" s="38"/>
      <c r="E96" s="38"/>
      <c r="F96" s="38"/>
      <c r="G96" s="43"/>
      <c r="H96" s="43"/>
      <c r="I96" s="43"/>
      <c r="J96" s="43"/>
      <c r="K96" s="43"/>
      <c r="L96" s="43"/>
      <c r="M96" s="43"/>
      <c r="N96" s="43"/>
      <c r="O96" s="43"/>
      <c r="P96" s="38"/>
      <c r="Q96" s="38"/>
    </row>
    <row r="97" spans="1:19" s="7" customFormat="1" x14ac:dyDescent="0.2">
      <c r="A97" s="38"/>
      <c r="B97" s="38"/>
      <c r="C97" s="38"/>
      <c r="D97" s="38"/>
      <c r="E97" s="38"/>
      <c r="F97" s="38"/>
      <c r="G97" s="43"/>
      <c r="H97" s="43"/>
      <c r="I97" s="43"/>
      <c r="J97" s="43"/>
      <c r="K97" s="43"/>
      <c r="L97" s="43"/>
      <c r="M97" s="43"/>
      <c r="N97" s="43"/>
      <c r="O97" s="43"/>
      <c r="P97" s="38"/>
      <c r="Q97" s="38"/>
    </row>
    <row r="98" spans="1:19" s="7" customFormat="1" x14ac:dyDescent="0.2">
      <c r="A98" s="116"/>
      <c r="B98" s="38"/>
      <c r="C98" s="38"/>
      <c r="D98" s="38"/>
      <c r="E98" s="38"/>
      <c r="F98" s="38"/>
      <c r="G98" s="43"/>
      <c r="H98" s="43"/>
      <c r="I98" s="43"/>
      <c r="J98" s="43"/>
      <c r="K98" s="43"/>
      <c r="L98" s="43"/>
      <c r="M98" s="43"/>
      <c r="N98" s="43"/>
      <c r="O98" s="43"/>
      <c r="P98" s="38"/>
      <c r="Q98" s="38"/>
    </row>
    <row r="99" spans="1:19" x14ac:dyDescent="0.2">
      <c r="A99" s="116"/>
      <c r="B99" s="38"/>
      <c r="C99" s="38"/>
      <c r="D99" s="40"/>
      <c r="E99" s="37"/>
      <c r="F99" s="39"/>
      <c r="G99" s="37"/>
      <c r="H99" s="37"/>
      <c r="I99" s="37"/>
      <c r="J99" s="37"/>
      <c r="K99" s="37"/>
      <c r="L99" s="37"/>
      <c r="M99" s="37"/>
      <c r="N99" s="37"/>
      <c r="O99" s="37"/>
      <c r="P99" s="40"/>
      <c r="Q99" s="40"/>
    </row>
    <row r="100" spans="1:19" x14ac:dyDescent="0.2">
      <c r="A100" s="116"/>
      <c r="B100" s="38"/>
      <c r="C100" s="38"/>
      <c r="D100" s="40"/>
      <c r="E100" s="40"/>
      <c r="F100" s="39"/>
      <c r="G100" s="37"/>
      <c r="H100" s="37"/>
      <c r="I100" s="37"/>
      <c r="J100" s="37"/>
      <c r="K100" s="37"/>
      <c r="L100" s="37"/>
      <c r="M100" s="37"/>
      <c r="N100" s="37"/>
      <c r="O100" s="37"/>
      <c r="P100" s="40"/>
      <c r="Q100" s="40"/>
    </row>
    <row r="101" spans="1:19" x14ac:dyDescent="0.2">
      <c r="A101" s="38"/>
      <c r="B101" s="38"/>
      <c r="C101" s="38"/>
      <c r="D101" s="40"/>
      <c r="E101" s="40"/>
      <c r="F101" s="37"/>
      <c r="G101" s="37"/>
      <c r="H101" s="37"/>
      <c r="I101" s="37"/>
      <c r="J101" s="37"/>
      <c r="K101" s="37"/>
      <c r="L101" s="37"/>
      <c r="M101" s="37"/>
      <c r="N101" s="37"/>
      <c r="O101" s="37"/>
      <c r="P101" s="40"/>
      <c r="Q101" s="40"/>
    </row>
    <row r="102" spans="1:19" s="7" customFormat="1" x14ac:dyDescent="0.2">
      <c r="A102" s="40"/>
      <c r="B102" s="38"/>
      <c r="C102" s="38"/>
      <c r="D102" s="38"/>
      <c r="E102" s="38"/>
      <c r="F102" s="38"/>
      <c r="G102" s="43"/>
      <c r="H102" s="43"/>
      <c r="I102" s="43"/>
      <c r="J102" s="43"/>
      <c r="K102" s="43"/>
      <c r="L102" s="43"/>
      <c r="M102" s="43"/>
      <c r="N102" s="43"/>
      <c r="O102" s="43"/>
      <c r="P102" s="38"/>
      <c r="Q102" s="38"/>
    </row>
    <row r="103" spans="1:19" x14ac:dyDescent="0.2">
      <c r="A103" s="116"/>
      <c r="B103" s="38"/>
      <c r="C103" s="38"/>
      <c r="D103" s="40"/>
      <c r="E103" s="40"/>
      <c r="F103" s="40"/>
      <c r="G103" s="37"/>
      <c r="H103" s="37"/>
      <c r="I103" s="37"/>
      <c r="J103" s="37"/>
      <c r="K103" s="37"/>
      <c r="L103" s="37"/>
      <c r="M103" s="37"/>
      <c r="N103" s="37"/>
      <c r="O103" s="37"/>
      <c r="P103" s="40"/>
      <c r="Q103" s="40"/>
    </row>
    <row r="104" spans="1:19" x14ac:dyDescent="0.2">
      <c r="A104" s="40"/>
      <c r="B104" s="38"/>
      <c r="C104" s="38"/>
      <c r="D104" s="40"/>
      <c r="E104" s="40"/>
      <c r="F104" s="40"/>
      <c r="G104" s="37"/>
      <c r="H104" s="37"/>
      <c r="I104" s="37"/>
      <c r="J104" s="37"/>
      <c r="K104" s="37"/>
      <c r="L104" s="37"/>
      <c r="M104" s="37"/>
      <c r="N104" s="37"/>
      <c r="O104" s="37"/>
      <c r="P104" s="40"/>
      <c r="Q104" s="40"/>
    </row>
    <row r="105" spans="1:19" x14ac:dyDescent="0.2">
      <c r="A105" s="40"/>
      <c r="B105" s="38"/>
      <c r="C105" s="38"/>
      <c r="D105" s="40"/>
      <c r="E105" s="85"/>
      <c r="F105" s="40"/>
      <c r="G105" s="37"/>
      <c r="H105" s="37"/>
      <c r="I105" s="37"/>
      <c r="J105" s="37"/>
      <c r="K105" s="37"/>
      <c r="L105" s="37"/>
      <c r="M105" s="37"/>
      <c r="N105" s="37"/>
      <c r="O105" s="37"/>
      <c r="P105" s="40"/>
      <c r="Q105" s="40"/>
    </row>
    <row r="106" spans="1:19" x14ac:dyDescent="0.2">
      <c r="A106" s="38"/>
      <c r="B106" s="38"/>
      <c r="C106" s="49"/>
      <c r="D106" s="58"/>
      <c r="E106" s="40"/>
      <c r="F106" s="40"/>
      <c r="G106" s="37"/>
      <c r="H106" s="37"/>
      <c r="I106" s="37"/>
      <c r="J106" s="37"/>
      <c r="K106" s="37"/>
      <c r="L106" s="37"/>
      <c r="M106" s="37"/>
      <c r="N106" s="37"/>
      <c r="O106" s="37"/>
      <c r="P106" s="40"/>
      <c r="Q106" s="40"/>
    </row>
    <row r="107" spans="1:19" s="7" customFormat="1" x14ac:dyDescent="0.2">
      <c r="A107" s="38"/>
      <c r="B107" s="38"/>
      <c r="C107" s="38"/>
      <c r="D107" s="38"/>
      <c r="E107" s="38"/>
      <c r="F107" s="38"/>
      <c r="G107" s="43"/>
      <c r="H107" s="43"/>
      <c r="I107" s="43"/>
      <c r="J107" s="43"/>
      <c r="K107" s="43"/>
      <c r="L107" s="43"/>
      <c r="M107" s="43"/>
      <c r="N107" s="43"/>
      <c r="O107" s="43"/>
      <c r="P107" s="38"/>
      <c r="Q107" s="38"/>
    </row>
    <row r="108" spans="1:19" s="7" customFormat="1" x14ac:dyDescent="0.2">
      <c r="A108" s="38"/>
      <c r="B108" s="38"/>
      <c r="C108" s="38"/>
      <c r="D108" s="38"/>
      <c r="E108" s="38"/>
      <c r="F108" s="38"/>
      <c r="G108" s="43"/>
      <c r="H108" s="43"/>
      <c r="I108" s="43"/>
      <c r="J108" s="43"/>
      <c r="K108" s="43"/>
      <c r="L108" s="43"/>
      <c r="M108" s="43"/>
      <c r="N108" s="43"/>
      <c r="O108" s="43"/>
      <c r="P108" s="38"/>
      <c r="Q108" s="38"/>
    </row>
    <row r="109" spans="1:19" s="7" customFormat="1" x14ac:dyDescent="0.2">
      <c r="A109" s="40"/>
      <c r="B109" s="38"/>
      <c r="C109" s="38"/>
      <c r="D109" s="38"/>
      <c r="E109" s="38"/>
      <c r="F109" s="38"/>
      <c r="G109" s="43"/>
      <c r="H109" s="43"/>
      <c r="I109" s="43"/>
      <c r="J109" s="43"/>
      <c r="K109" s="43"/>
      <c r="L109" s="43"/>
      <c r="M109" s="43"/>
      <c r="N109" s="43"/>
      <c r="O109" s="43"/>
      <c r="P109" s="44"/>
      <c r="Q109" s="44"/>
      <c r="R109" s="13"/>
      <c r="S109" s="13"/>
    </row>
    <row r="110" spans="1:19" ht="15.75" x14ac:dyDescent="0.2">
      <c r="A110" s="59"/>
      <c r="B110" s="60"/>
      <c r="C110" s="38"/>
      <c r="D110" s="40"/>
      <c r="E110" s="40"/>
      <c r="F110" s="40"/>
      <c r="G110" s="37"/>
      <c r="H110" s="37"/>
      <c r="I110" s="37"/>
      <c r="J110" s="37"/>
      <c r="K110" s="37"/>
      <c r="L110" s="37"/>
      <c r="M110" s="37"/>
      <c r="N110" s="37"/>
      <c r="O110" s="37"/>
      <c r="P110" s="40"/>
      <c r="Q110" s="40"/>
    </row>
    <row r="111" spans="1:19" ht="24.95" customHeight="1" x14ac:dyDescent="0.2">
      <c r="A111" s="40"/>
      <c r="B111" s="38"/>
      <c r="C111" s="60"/>
      <c r="D111" s="61"/>
      <c r="E111" s="62"/>
      <c r="F111" s="63"/>
      <c r="G111" s="64"/>
      <c r="H111" s="65"/>
      <c r="I111" s="65"/>
      <c r="J111" s="65"/>
      <c r="K111" s="65"/>
      <c r="L111" s="65"/>
      <c r="M111" s="65"/>
      <c r="N111" s="65"/>
      <c r="O111" s="65"/>
      <c r="P111" s="40"/>
      <c r="Q111" s="40"/>
    </row>
    <row r="112" spans="1:19" x14ac:dyDescent="0.2">
      <c r="A112" s="40"/>
      <c r="B112" s="38"/>
      <c r="C112" s="38"/>
      <c r="D112" s="40"/>
      <c r="E112" s="40"/>
      <c r="F112" s="40"/>
      <c r="G112" s="40"/>
      <c r="H112" s="40"/>
      <c r="I112" s="40"/>
      <c r="J112" s="40"/>
      <c r="K112" s="40"/>
      <c r="L112" s="40"/>
      <c r="M112" s="40"/>
      <c r="N112" s="40"/>
      <c r="O112" s="40"/>
      <c r="P112" s="40"/>
      <c r="Q112" s="40"/>
    </row>
    <row r="113" spans="1:17" x14ac:dyDescent="0.2">
      <c r="A113" s="38"/>
      <c r="B113" s="38"/>
      <c r="C113" s="38"/>
      <c r="D113" s="40"/>
      <c r="E113" s="40"/>
      <c r="F113" s="40"/>
      <c r="G113" s="40"/>
      <c r="H113" s="40"/>
      <c r="I113" s="40"/>
      <c r="J113" s="40"/>
      <c r="K113" s="40"/>
      <c r="L113" s="40"/>
      <c r="M113" s="40"/>
      <c r="N113" s="40"/>
      <c r="O113" s="40"/>
      <c r="P113" s="40"/>
      <c r="Q113" s="40"/>
    </row>
    <row r="114" spans="1:17" x14ac:dyDescent="0.2">
      <c r="A114" s="40"/>
      <c r="B114" s="38"/>
      <c r="C114" s="38"/>
      <c r="D114" s="40"/>
      <c r="E114" s="40"/>
      <c r="F114" s="40"/>
      <c r="G114" s="43"/>
      <c r="H114" s="43"/>
      <c r="I114" s="43"/>
      <c r="J114" s="43"/>
      <c r="K114" s="43"/>
      <c r="L114" s="43"/>
      <c r="M114" s="43"/>
      <c r="N114" s="43"/>
      <c r="O114" s="43"/>
      <c r="P114" s="40"/>
      <c r="Q114" s="40"/>
    </row>
    <row r="115" spans="1:17" ht="15.75" x14ac:dyDescent="0.2">
      <c r="A115" s="59"/>
      <c r="B115" s="59"/>
      <c r="C115" s="38"/>
      <c r="D115" s="40"/>
      <c r="E115" s="40"/>
      <c r="F115" s="40"/>
      <c r="G115" s="40"/>
      <c r="H115" s="40"/>
      <c r="I115" s="40"/>
      <c r="J115" s="40"/>
      <c r="K115" s="40"/>
      <c r="L115" s="40"/>
      <c r="M115" s="40"/>
      <c r="N115" s="40"/>
      <c r="O115" s="40"/>
      <c r="P115" s="40"/>
      <c r="Q115" s="40"/>
    </row>
    <row r="116" spans="1:17" ht="24.75" customHeight="1" x14ac:dyDescent="0.2">
      <c r="A116" s="40"/>
      <c r="B116" s="38"/>
      <c r="C116" s="59"/>
      <c r="D116" s="59"/>
      <c r="E116" s="66"/>
      <c r="F116" s="40"/>
      <c r="G116" s="40"/>
      <c r="H116" s="67"/>
      <c r="I116" s="40"/>
      <c r="J116" s="40"/>
      <c r="K116" s="40"/>
      <c r="L116" s="40"/>
      <c r="M116" s="40"/>
      <c r="N116" s="40"/>
      <c r="O116" s="40"/>
      <c r="P116" s="40"/>
      <c r="Q116" s="40"/>
    </row>
    <row r="117" spans="1:17" x14ac:dyDescent="0.2">
      <c r="A117" s="40"/>
      <c r="B117" s="38"/>
      <c r="C117" s="38"/>
      <c r="D117" s="40"/>
      <c r="E117" s="40"/>
      <c r="F117" s="40"/>
      <c r="G117" s="40"/>
      <c r="H117" s="40"/>
      <c r="I117" s="40"/>
      <c r="J117" s="40"/>
      <c r="K117" s="40"/>
      <c r="L117" s="40"/>
      <c r="M117" s="40"/>
      <c r="N117" s="40"/>
      <c r="O117" s="40"/>
      <c r="P117" s="40"/>
      <c r="Q117" s="40"/>
    </row>
    <row r="118" spans="1:17" x14ac:dyDescent="0.2">
      <c r="A118" s="38"/>
      <c r="B118" s="38"/>
      <c r="C118" s="38"/>
      <c r="D118" s="40"/>
      <c r="E118" s="40"/>
      <c r="F118" s="40"/>
      <c r="G118" s="40"/>
      <c r="H118" s="40"/>
      <c r="I118" s="40"/>
      <c r="J118" s="40"/>
      <c r="K118" s="40"/>
      <c r="L118" s="40"/>
      <c r="M118" s="40"/>
      <c r="N118" s="40"/>
      <c r="O118" s="40"/>
      <c r="P118" s="40"/>
      <c r="Q118" s="40"/>
    </row>
    <row r="119" spans="1:17" x14ac:dyDescent="0.2">
      <c r="A119" s="40"/>
      <c r="B119" s="38"/>
      <c r="C119" s="38"/>
      <c r="D119" s="40"/>
      <c r="E119" s="40"/>
      <c r="F119" s="40"/>
      <c r="G119" s="40"/>
      <c r="H119" s="68"/>
      <c r="I119" s="68"/>
      <c r="J119" s="68"/>
      <c r="K119" s="68"/>
      <c r="L119" s="68"/>
      <c r="M119" s="68"/>
      <c r="N119" s="68"/>
      <c r="O119" s="68"/>
      <c r="P119" s="40"/>
      <c r="Q119" s="40"/>
    </row>
    <row r="120" spans="1:17" ht="15.75" x14ac:dyDescent="0.2">
      <c r="A120" s="59"/>
      <c r="B120" s="38"/>
      <c r="C120" s="38"/>
      <c r="D120" s="40"/>
      <c r="E120" s="40"/>
      <c r="F120" s="40"/>
      <c r="G120" s="40"/>
      <c r="H120" s="40"/>
      <c r="I120" s="40"/>
      <c r="J120" s="40"/>
      <c r="K120" s="40"/>
      <c r="L120" s="40"/>
      <c r="M120" s="40"/>
      <c r="N120" s="40"/>
      <c r="O120" s="40"/>
      <c r="P120" s="40"/>
      <c r="Q120" s="40"/>
    </row>
    <row r="121" spans="1:17" ht="24.75" customHeight="1" x14ac:dyDescent="0.2">
      <c r="A121" s="40"/>
      <c r="B121" s="38"/>
      <c r="C121" s="38"/>
      <c r="D121" s="40"/>
      <c r="E121" s="69"/>
      <c r="F121" s="40"/>
      <c r="G121" s="40"/>
      <c r="H121" s="40"/>
      <c r="I121" s="40"/>
      <c r="J121" s="40"/>
      <c r="K121" s="40"/>
      <c r="L121" s="40"/>
      <c r="M121" s="40"/>
      <c r="N121" s="40"/>
      <c r="O121" s="40"/>
      <c r="P121" s="40"/>
      <c r="Q121" s="40"/>
    </row>
    <row r="122" spans="1:17" x14ac:dyDescent="0.2">
      <c r="A122" s="40"/>
      <c r="B122" s="38"/>
      <c r="C122" s="38"/>
      <c r="D122" s="40"/>
      <c r="E122" s="40"/>
      <c r="F122" s="40"/>
      <c r="G122" s="40"/>
      <c r="H122" s="40"/>
      <c r="I122" s="40"/>
      <c r="J122" s="40"/>
      <c r="K122" s="40"/>
      <c r="L122" s="40"/>
      <c r="M122" s="40"/>
      <c r="N122" s="40"/>
      <c r="O122" s="40"/>
      <c r="P122" s="40"/>
      <c r="Q122" s="40"/>
    </row>
    <row r="123" spans="1:17" x14ac:dyDescent="0.2">
      <c r="A123" s="38"/>
      <c r="B123" s="38"/>
      <c r="C123" s="38"/>
      <c r="D123" s="40"/>
      <c r="E123" s="40"/>
      <c r="F123" s="40"/>
      <c r="G123" s="40"/>
      <c r="H123" s="40"/>
      <c r="I123" s="40"/>
      <c r="J123" s="40"/>
      <c r="K123" s="40"/>
      <c r="L123" s="40"/>
      <c r="M123" s="40"/>
      <c r="N123" s="40"/>
      <c r="O123" s="40"/>
      <c r="P123" s="40"/>
      <c r="Q123" s="40"/>
    </row>
    <row r="124" spans="1:17" x14ac:dyDescent="0.2">
      <c r="A124" s="116"/>
      <c r="B124" s="116"/>
      <c r="C124" s="38"/>
      <c r="D124" s="40"/>
      <c r="E124" s="40"/>
      <c r="F124" s="40"/>
      <c r="G124" s="40"/>
      <c r="H124" s="40"/>
      <c r="I124" s="40"/>
      <c r="J124" s="40"/>
      <c r="K124" s="40"/>
      <c r="L124" s="40"/>
      <c r="M124" s="40"/>
      <c r="N124" s="40"/>
      <c r="O124" s="40"/>
      <c r="P124" s="40"/>
      <c r="Q124" s="40"/>
    </row>
    <row r="125" spans="1:17" x14ac:dyDescent="0.2">
      <c r="A125" s="40"/>
      <c r="B125" s="40"/>
      <c r="C125" s="116"/>
      <c r="D125" s="116"/>
      <c r="E125" s="116"/>
      <c r="F125" s="40"/>
      <c r="G125" s="40"/>
      <c r="H125" s="40"/>
      <c r="I125" s="40"/>
      <c r="J125" s="40"/>
      <c r="K125" s="40"/>
      <c r="L125" s="40"/>
      <c r="M125" s="40"/>
      <c r="N125" s="40"/>
      <c r="O125" s="40"/>
      <c r="P125" s="40"/>
      <c r="Q125" s="40"/>
    </row>
    <row r="126" spans="1:17" x14ac:dyDescent="0.2">
      <c r="A126" s="40"/>
      <c r="B126" s="40"/>
      <c r="C126" s="40"/>
      <c r="D126" s="40"/>
      <c r="E126" s="40"/>
      <c r="F126" s="40"/>
      <c r="G126" s="40"/>
      <c r="H126" s="40"/>
      <c r="I126" s="40"/>
      <c r="J126" s="40"/>
      <c r="K126" s="40"/>
      <c r="L126" s="40"/>
      <c r="M126" s="40"/>
      <c r="N126" s="40"/>
      <c r="O126" s="40"/>
      <c r="P126" s="40"/>
      <c r="Q126" s="40"/>
    </row>
    <row r="127" spans="1:17" x14ac:dyDescent="0.2">
      <c r="A127" s="40"/>
      <c r="B127" s="40"/>
      <c r="C127" s="40"/>
      <c r="D127" s="40"/>
      <c r="E127" s="40"/>
      <c r="F127" s="40"/>
      <c r="G127" s="40"/>
      <c r="H127" s="40"/>
      <c r="I127" s="40"/>
      <c r="J127" s="40"/>
      <c r="K127" s="40"/>
      <c r="L127" s="40"/>
      <c r="M127" s="40"/>
      <c r="N127" s="40"/>
      <c r="O127" s="40"/>
      <c r="P127" s="40"/>
      <c r="Q127" s="40"/>
    </row>
    <row r="128" spans="1:17" x14ac:dyDescent="0.2">
      <c r="A128" s="40"/>
      <c r="B128" s="40"/>
      <c r="C128" s="40"/>
      <c r="D128" s="40"/>
      <c r="E128" s="40"/>
      <c r="F128" s="40"/>
      <c r="G128" s="40"/>
      <c r="H128" s="40"/>
      <c r="I128" s="40"/>
      <c r="J128" s="40"/>
      <c r="K128" s="40"/>
      <c r="L128" s="40"/>
      <c r="M128" s="40"/>
      <c r="N128" s="40"/>
      <c r="O128" s="40"/>
      <c r="P128" s="40"/>
      <c r="Q128" s="40"/>
    </row>
    <row r="129" spans="1:17" x14ac:dyDescent="0.2">
      <c r="A129" s="40"/>
      <c r="B129" s="40"/>
      <c r="C129" s="40"/>
      <c r="D129" s="40"/>
      <c r="E129" s="40"/>
      <c r="F129" s="40"/>
      <c r="G129" s="40"/>
      <c r="H129" s="40"/>
      <c r="I129" s="40"/>
      <c r="J129" s="40"/>
      <c r="K129" s="40"/>
      <c r="L129" s="40"/>
      <c r="M129" s="40"/>
      <c r="N129" s="40"/>
      <c r="O129" s="40"/>
      <c r="P129" s="40"/>
      <c r="Q129" s="40"/>
    </row>
    <row r="130" spans="1:17" x14ac:dyDescent="0.2">
      <c r="A130" s="40"/>
      <c r="B130" s="40"/>
      <c r="C130" s="40"/>
      <c r="D130" s="40"/>
      <c r="E130" s="40"/>
      <c r="F130" s="40"/>
      <c r="G130" s="40"/>
      <c r="H130" s="40"/>
      <c r="I130" s="40"/>
      <c r="J130" s="40"/>
      <c r="K130" s="40"/>
      <c r="L130" s="40"/>
      <c r="M130" s="40"/>
      <c r="N130" s="40"/>
      <c r="O130" s="40"/>
      <c r="P130" s="40"/>
      <c r="Q130" s="40"/>
    </row>
    <row r="131" spans="1:17" x14ac:dyDescent="0.2">
      <c r="A131" s="40"/>
      <c r="B131" s="38"/>
      <c r="C131" s="40"/>
      <c r="D131" s="40"/>
      <c r="E131" s="40"/>
      <c r="F131" s="40"/>
      <c r="G131" s="40"/>
      <c r="H131" s="40"/>
      <c r="I131" s="40"/>
      <c r="J131" s="40"/>
      <c r="K131" s="40"/>
      <c r="L131" s="40"/>
      <c r="M131" s="40"/>
      <c r="N131" s="40"/>
      <c r="O131" s="40"/>
      <c r="P131" s="40"/>
      <c r="Q131" s="40"/>
    </row>
    <row r="132" spans="1:17" x14ac:dyDescent="0.2">
      <c r="A132" s="40"/>
      <c r="B132" s="38"/>
      <c r="C132" s="38"/>
      <c r="D132" s="40"/>
      <c r="E132" s="40"/>
      <c r="F132" s="40"/>
      <c r="G132" s="40"/>
      <c r="H132" s="40"/>
      <c r="I132" s="40"/>
      <c r="J132" s="40"/>
      <c r="K132" s="40"/>
      <c r="L132" s="40"/>
      <c r="M132" s="40"/>
      <c r="N132" s="40"/>
      <c r="O132" s="40"/>
      <c r="P132" s="40"/>
      <c r="Q132" s="40"/>
    </row>
    <row r="133" spans="1:17" x14ac:dyDescent="0.2">
      <c r="A133" s="40"/>
      <c r="B133" s="38"/>
      <c r="C133" s="38"/>
      <c r="D133" s="40"/>
      <c r="E133" s="40"/>
      <c r="F133" s="40"/>
      <c r="G133" s="40"/>
      <c r="H133" s="40"/>
      <c r="I133" s="40"/>
      <c r="J133" s="40"/>
      <c r="K133" s="40"/>
      <c r="L133" s="40"/>
      <c r="M133" s="40"/>
      <c r="N133" s="40"/>
      <c r="O133" s="40"/>
      <c r="P133" s="40"/>
      <c r="Q133" s="40"/>
    </row>
    <row r="134" spans="1:17" x14ac:dyDescent="0.2">
      <c r="A134" s="40"/>
      <c r="B134" s="38"/>
      <c r="C134" s="38"/>
      <c r="D134" s="40"/>
      <c r="E134" s="40"/>
      <c r="F134" s="40"/>
      <c r="G134" s="40"/>
      <c r="H134" s="40"/>
      <c r="I134" s="40"/>
      <c r="J134" s="40"/>
      <c r="K134" s="40"/>
      <c r="L134" s="40"/>
      <c r="M134" s="40"/>
      <c r="N134" s="40"/>
      <c r="O134" s="40"/>
      <c r="P134" s="40"/>
      <c r="Q134" s="40"/>
    </row>
    <row r="135" spans="1:17" x14ac:dyDescent="0.2">
      <c r="A135" s="40"/>
      <c r="B135" s="38"/>
      <c r="C135" s="38"/>
      <c r="D135" s="40"/>
      <c r="E135" s="40"/>
      <c r="F135" s="40"/>
      <c r="G135" s="40"/>
      <c r="H135" s="40"/>
      <c r="I135" s="40"/>
      <c r="J135" s="40"/>
      <c r="K135" s="40"/>
      <c r="L135" s="40"/>
      <c r="M135" s="40"/>
      <c r="N135" s="40"/>
      <c r="O135" s="40"/>
      <c r="P135" s="40"/>
      <c r="Q135" s="40"/>
    </row>
    <row r="136" spans="1:17" x14ac:dyDescent="0.2">
      <c r="A136" s="40"/>
      <c r="B136" s="38"/>
      <c r="C136" s="38"/>
      <c r="D136" s="40"/>
      <c r="E136" s="40"/>
      <c r="F136" s="40"/>
      <c r="G136" s="40"/>
      <c r="H136" s="40"/>
      <c r="I136" s="40"/>
      <c r="J136" s="40"/>
      <c r="K136" s="40"/>
      <c r="L136" s="40"/>
      <c r="M136" s="40"/>
      <c r="N136" s="40"/>
      <c r="O136" s="40"/>
      <c r="P136" s="40"/>
      <c r="Q136" s="40"/>
    </row>
    <row r="137" spans="1:17" x14ac:dyDescent="0.2">
      <c r="A137" s="40"/>
      <c r="B137" s="38"/>
      <c r="C137" s="38"/>
      <c r="D137" s="40"/>
      <c r="E137" s="40"/>
      <c r="F137" s="40"/>
      <c r="G137" s="40"/>
      <c r="H137" s="40"/>
      <c r="I137" s="40"/>
      <c r="J137" s="40"/>
      <c r="K137" s="40"/>
      <c r="L137" s="40"/>
      <c r="M137" s="40"/>
      <c r="N137" s="40"/>
      <c r="O137" s="40"/>
      <c r="P137" s="40"/>
      <c r="Q137" s="40"/>
    </row>
    <row r="138" spans="1:17" x14ac:dyDescent="0.2">
      <c r="C138" s="38"/>
      <c r="D138" s="40"/>
      <c r="E138" s="40"/>
      <c r="F138" s="40"/>
      <c r="G138" s="40"/>
      <c r="H138" s="40"/>
      <c r="I138" s="40"/>
      <c r="J138" s="40"/>
      <c r="K138" s="40"/>
      <c r="L138" s="40"/>
      <c r="M138" s="40"/>
      <c r="N138" s="40"/>
      <c r="O138" s="40"/>
      <c r="P138" s="40"/>
      <c r="Q138" s="40"/>
    </row>
  </sheetData>
  <sheetProtection algorithmName="SHA-512" hashValue="Ah9nCpLeouq9RGnAdpI0WhfckP+6qem/Dats45tFoEithenX9hLf3+p2hJwVerVBwUC97HbNmxErUbkRWCzUOQ==" saltValue="RTCrNsaizGa9gxeL+W2mFg==" spinCount="100000" sheet="1" objects="1" scenarios="1"/>
  <mergeCells count="11">
    <mergeCell ref="B14:C14"/>
    <mergeCell ref="B15:C15"/>
    <mergeCell ref="B13:C13"/>
    <mergeCell ref="A23:E23"/>
    <mergeCell ref="B4:E4"/>
    <mergeCell ref="B6:E6"/>
    <mergeCell ref="B9:E9"/>
    <mergeCell ref="B8:E8"/>
    <mergeCell ref="A20:E20"/>
    <mergeCell ref="B17:C17"/>
    <mergeCell ref="B10:E10"/>
  </mergeCells>
  <conditionalFormatting sqref="B14:C14">
    <cfRule type="expression" dxfId="19" priority="5" stopIfTrue="1">
      <formula>$E$14="Productie elektriciteit is niet van toepassing!"</formula>
    </cfRule>
  </conditionalFormatting>
  <dataValidations disablePrompts="1" count="3">
    <dataValidation type="decimal" allowBlank="1" showInputMessage="1" showErrorMessage="1" error="U kunt maximaal een percentage van 3,0% invullen. Klik op &quot;Annuleren&quot; en vul een ander percentage in. " sqref="E45 E38" xr:uid="{6D000020-D319-4646-9A48-2183F4E59D3E}">
      <formula1>0</formula1>
      <formula2>0.03</formula2>
    </dataValidation>
    <dataValidation type="whole" allowBlank="1" showInputMessage="1" showErrorMessage="1" error="U moet hier een geheel aantal jaren met een maximum van 8 jaar invullen." sqref="E31" xr:uid="{A3F2FC6D-A118-40D7-AD46-EAC4E8F6B237}">
      <formula1>0</formula1>
      <formula2>8</formula2>
    </dataValidation>
    <dataValidation type="whole" allowBlank="1" showInputMessage="1" showErrorMessage="1" error="U moet hier 1 of 2 invullen!" sqref="E32" xr:uid="{6881A08C-261D-409B-B9E5-CE9624062C8C}">
      <formula1>1</formula1>
      <formula2>2</formula2>
    </dataValidation>
  </dataValidations>
  <pageMargins left="0.7" right="0.7" top="0.75" bottom="0.75" header="0.3" footer="0.3"/>
  <pageSetup paperSize="9" scale="4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7" r:id="rId4" name="List Box 9">
              <controlPr defaultSize="0" autoLine="0" autoPict="0">
                <anchor moveWithCells="1" sizeWithCells="1">
                  <from>
                    <xdr:col>1</xdr:col>
                    <xdr:colOff>28575</xdr:colOff>
                    <xdr:row>7</xdr:row>
                    <xdr:rowOff>19050</xdr:rowOff>
                  </from>
                  <to>
                    <xdr:col>5</xdr:col>
                    <xdr:colOff>28575</xdr:colOff>
                    <xdr:row>7</xdr:row>
                    <xdr:rowOff>952500</xdr:rowOff>
                  </to>
                </anchor>
              </controlPr>
            </control>
          </mc:Choice>
        </mc:AlternateContent>
        <mc:AlternateContent xmlns:mc="http://schemas.openxmlformats.org/markup-compatibility/2006">
          <mc:Choice Requires="x14">
            <control shapeId="7179" r:id="rId5" name="List Box 11">
              <controlPr defaultSize="0" autoLine="0" autoPict="0">
                <anchor moveWithCells="1" sizeWithCells="1">
                  <from>
                    <xdr:col>1</xdr:col>
                    <xdr:colOff>9525</xdr:colOff>
                    <xdr:row>8</xdr:row>
                    <xdr:rowOff>19050</xdr:rowOff>
                  </from>
                  <to>
                    <xdr:col>5</xdr:col>
                    <xdr:colOff>9525</xdr:colOff>
                    <xdr:row>8</xdr:row>
                    <xdr:rowOff>1657350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1258F-1E7B-4EBC-8616-520519AD4B02}">
  <sheetPr>
    <pageSetUpPr fitToPage="1"/>
  </sheetPr>
  <dimension ref="A1:AI103"/>
  <sheetViews>
    <sheetView showGridLines="0" zoomScaleNormal="100" workbookViewId="0">
      <selection activeCell="AA54" sqref="AA54"/>
    </sheetView>
  </sheetViews>
  <sheetFormatPr defaultColWidth="8.7109375" defaultRowHeight="12.75" x14ac:dyDescent="0.2"/>
  <cols>
    <col min="1" max="1" width="34.5703125" style="5" customWidth="1"/>
    <col min="2" max="3" width="10.7109375" style="7" customWidth="1"/>
    <col min="4" max="4" width="3" style="5" customWidth="1"/>
    <col min="5" max="5" width="20.7109375" style="5" customWidth="1"/>
    <col min="6" max="6" width="0.5703125" style="5" hidden="1" customWidth="1"/>
    <col min="7" max="7" width="3" style="5" customWidth="1"/>
    <col min="8" max="8" width="11.7109375" style="5" customWidth="1"/>
    <col min="9" max="9" width="2.7109375" style="5" customWidth="1"/>
    <col min="10" max="10" width="7.7109375" style="5" customWidth="1"/>
    <col min="11" max="11" width="3" style="5" customWidth="1"/>
    <col min="12" max="12" width="20.7109375" style="5" customWidth="1"/>
    <col min="13" max="13" width="10.5703125" style="5" customWidth="1"/>
    <col min="14" max="14" width="14" style="5" bestFit="1" customWidth="1"/>
    <col min="15" max="34" width="11.7109375" style="5" customWidth="1"/>
    <col min="35" max="16384" width="8.7109375" style="5"/>
  </cols>
  <sheetData>
    <row r="1" spans="1:26" ht="45" x14ac:dyDescent="0.6">
      <c r="A1" s="4" t="str">
        <f>Invulinstructie_en_disclaimer!A2</f>
        <v>Model haalbaarheidsstudie SCE 2026</v>
      </c>
      <c r="L1" s="117"/>
      <c r="N1" s="117"/>
      <c r="P1" s="8"/>
    </row>
    <row r="2" spans="1:26" ht="18" customHeight="1" x14ac:dyDescent="0.6">
      <c r="A2" s="4"/>
      <c r="P2" s="8"/>
    </row>
    <row r="3" spans="1:26" ht="20.100000000000001" customHeight="1" x14ac:dyDescent="0.4">
      <c r="A3" s="9" t="str">
        <f>"Exploitatieberekening "&amp;B10&amp;" jaar voor de productie-installatie van deze aanvraag"</f>
        <v>Exploitatieberekening 15 jaar voor de productie-installatie van deze aanvraag</v>
      </c>
      <c r="N3" s="117"/>
      <c r="O3" s="9"/>
      <c r="P3" s="10"/>
    </row>
    <row r="4" spans="1:26" ht="20.100000000000001" customHeight="1" x14ac:dyDescent="0.3">
      <c r="A4" s="10"/>
      <c r="P4" s="10"/>
    </row>
    <row r="5" spans="1:26" ht="18" x14ac:dyDescent="0.25">
      <c r="A5" s="9" t="s">
        <v>2</v>
      </c>
      <c r="M5" s="32"/>
    </row>
    <row r="6" spans="1:26" x14ac:dyDescent="0.2">
      <c r="A6" s="104" t="s">
        <v>42</v>
      </c>
      <c r="B6" s="383" t="str">
        <f>IF(Financiering_en_projectplan!B7="","",Financiering_en_projectplan!B7)</f>
        <v/>
      </c>
      <c r="C6" s="384"/>
      <c r="D6" s="384"/>
      <c r="E6" s="384"/>
      <c r="F6" s="384"/>
      <c r="G6" s="384"/>
      <c r="H6" s="384"/>
      <c r="I6" s="384"/>
      <c r="J6" s="384"/>
      <c r="K6" s="384"/>
      <c r="L6" s="385"/>
    </row>
    <row r="7" spans="1:26" ht="12.75" customHeight="1" x14ac:dyDescent="0.2">
      <c r="A7" s="104" t="s">
        <v>9</v>
      </c>
      <c r="B7" s="386" t="str">
        <f>IF(Energieproductie!B6="","",Energieproductie!B6)</f>
        <v/>
      </c>
      <c r="C7" s="387"/>
      <c r="D7" s="387"/>
      <c r="E7" s="387"/>
      <c r="F7" s="387"/>
      <c r="G7" s="387"/>
      <c r="H7" s="387"/>
      <c r="I7" s="387"/>
      <c r="J7" s="387"/>
      <c r="K7" s="387"/>
      <c r="L7" s="388"/>
    </row>
    <row r="8" spans="1:26" ht="26.1" customHeight="1" x14ac:dyDescent="0.2">
      <c r="A8" s="104" t="s">
        <v>116</v>
      </c>
      <c r="B8" s="389" t="str">
        <f>Energieproductie!B10</f>
        <v xml:space="preserve">Zon-PV ≥ 15 kWp en ≤ 100 kWp, kleinverbruikersaansluiting </v>
      </c>
      <c r="C8" s="390"/>
      <c r="D8" s="390"/>
      <c r="E8" s="390"/>
      <c r="F8" s="390"/>
      <c r="G8" s="390"/>
      <c r="H8" s="390"/>
      <c r="I8" s="390"/>
      <c r="J8" s="390"/>
      <c r="K8" s="390"/>
      <c r="L8" s="391"/>
      <c r="O8" s="104"/>
      <c r="Q8" s="104"/>
    </row>
    <row r="9" spans="1:26" ht="12.75" customHeight="1" x14ac:dyDescent="0.2">
      <c r="A9" s="104" t="s">
        <v>117</v>
      </c>
      <c r="B9" s="392">
        <f>Energieproductie!B13</f>
        <v>0</v>
      </c>
      <c r="C9" s="393"/>
      <c r="D9" s="393"/>
      <c r="E9" s="111"/>
      <c r="F9" s="111"/>
      <c r="G9" s="111"/>
      <c r="H9" s="111"/>
      <c r="I9" s="111"/>
      <c r="J9" s="111"/>
      <c r="K9" s="111"/>
      <c r="L9" s="233"/>
      <c r="O9" s="104"/>
      <c r="Q9" s="104"/>
    </row>
    <row r="10" spans="1:26" x14ac:dyDescent="0.2">
      <c r="A10" s="104" t="s">
        <v>71</v>
      </c>
      <c r="B10" s="237">
        <f>VLOOKUP(B8,Hulpblad_categorieën_parameters!A31:I56,9,FALSE)</f>
        <v>15</v>
      </c>
      <c r="C10" s="5"/>
      <c r="E10" s="90"/>
      <c r="F10" s="90"/>
      <c r="G10" s="90"/>
      <c r="H10" s="106"/>
      <c r="I10" s="394"/>
      <c r="J10" s="394"/>
      <c r="K10" s="394"/>
      <c r="L10" s="238"/>
    </row>
    <row r="11" spans="1:26" x14ac:dyDescent="0.2">
      <c r="A11" s="104" t="s">
        <v>213</v>
      </c>
      <c r="B11" s="130">
        <f>VLOOKUP(B8,Hulpblad_categorieën_parameters!A31:AC56,24,0)</f>
        <v>15</v>
      </c>
      <c r="C11" s="129"/>
      <c r="D11" s="129"/>
      <c r="E11" s="118"/>
      <c r="F11" s="118"/>
      <c r="G11" s="118"/>
      <c r="H11" s="119"/>
      <c r="I11" s="234"/>
      <c r="J11" s="234"/>
      <c r="K11" s="234"/>
      <c r="L11" s="120"/>
    </row>
    <row r="12" spans="1:26" ht="18.75" customHeight="1" x14ac:dyDescent="0.2">
      <c r="A12" s="7"/>
      <c r="C12" s="33"/>
      <c r="D12" s="30"/>
      <c r="E12" s="30"/>
      <c r="F12" s="30"/>
      <c r="G12" s="30"/>
      <c r="H12" s="30"/>
      <c r="I12" s="30"/>
      <c r="J12" s="30"/>
      <c r="K12" s="11"/>
      <c r="L12" s="11"/>
    </row>
    <row r="13" spans="1:26" ht="18" x14ac:dyDescent="0.25">
      <c r="A13" s="9" t="s">
        <v>0</v>
      </c>
      <c r="P13" s="40"/>
    </row>
    <row r="14" spans="1:26" x14ac:dyDescent="0.2">
      <c r="A14" s="104" t="s">
        <v>25</v>
      </c>
    </row>
    <row r="15" spans="1:26" x14ac:dyDescent="0.2">
      <c r="B15" s="395"/>
      <c r="C15" s="396"/>
      <c r="D15" s="396"/>
      <c r="E15" s="396"/>
      <c r="F15" s="396"/>
      <c r="G15" s="396"/>
      <c r="H15" s="396"/>
      <c r="I15" s="396"/>
      <c r="J15" s="396"/>
      <c r="K15" s="396"/>
      <c r="L15" s="397"/>
      <c r="M15" s="40"/>
      <c r="N15" s="121">
        <v>0</v>
      </c>
      <c r="O15" s="131" t="str">
        <f>IF(N15&gt;0,"Voeg eventueel een offerte(s) toe voor "&amp;B15&amp;", of de offerte waarin meerdere hoofdcomponenten zijn opgenomen.","")</f>
        <v/>
      </c>
      <c r="P15" s="11"/>
      <c r="Q15" s="11"/>
      <c r="R15" s="11"/>
      <c r="S15" s="11"/>
      <c r="T15" s="11"/>
      <c r="U15" s="11"/>
      <c r="V15" s="11"/>
      <c r="W15" s="11"/>
      <c r="X15" s="11"/>
      <c r="Y15" s="11"/>
      <c r="Z15" s="11"/>
    </row>
    <row r="16" spans="1:26" x14ac:dyDescent="0.2">
      <c r="B16" s="355"/>
      <c r="C16" s="356"/>
      <c r="D16" s="356"/>
      <c r="E16" s="356"/>
      <c r="F16" s="356"/>
      <c r="G16" s="356"/>
      <c r="H16" s="356"/>
      <c r="I16" s="356"/>
      <c r="J16" s="356"/>
      <c r="K16" s="356"/>
      <c r="L16" s="357"/>
      <c r="M16" s="40"/>
      <c r="N16" s="122">
        <v>0</v>
      </c>
      <c r="O16" s="131" t="str">
        <f>IF(N16&gt;0,"Voeg eventueel een offerte(s) toe voor "&amp;B16&amp;", of de offerte waarin meerdere hoofdcomponenten zijn opgenomen.","")</f>
        <v/>
      </c>
      <c r="P16" s="11"/>
      <c r="Q16" s="11"/>
      <c r="R16" s="11"/>
      <c r="S16" s="11"/>
      <c r="T16" s="11"/>
      <c r="U16" s="11"/>
      <c r="V16" s="11"/>
      <c r="W16" s="11"/>
      <c r="X16" s="11"/>
      <c r="Y16" s="11"/>
      <c r="Z16" s="11"/>
    </row>
    <row r="17" spans="1:34" x14ac:dyDescent="0.2">
      <c r="B17" s="355"/>
      <c r="C17" s="356"/>
      <c r="D17" s="356"/>
      <c r="E17" s="356"/>
      <c r="F17" s="356"/>
      <c r="G17" s="356"/>
      <c r="H17" s="356"/>
      <c r="I17" s="356"/>
      <c r="J17" s="356"/>
      <c r="K17" s="356"/>
      <c r="L17" s="357"/>
      <c r="M17" s="40"/>
      <c r="N17" s="122">
        <v>0</v>
      </c>
      <c r="O17" s="131" t="str">
        <f>IF(N17&gt;0,"Voeg eventueel een offerte(s) toe voor "&amp;B17&amp;", of de offerte waarin meerdere hoofdcomponenten zijn opgenomen.","")</f>
        <v/>
      </c>
      <c r="P17" s="11"/>
      <c r="Q17" s="11"/>
      <c r="R17" s="11"/>
      <c r="S17" s="11"/>
      <c r="T17" s="11"/>
      <c r="U17" s="11"/>
      <c r="V17" s="11"/>
      <c r="W17" s="11"/>
      <c r="X17" s="11"/>
      <c r="Y17" s="11"/>
      <c r="Z17" s="11"/>
    </row>
    <row r="18" spans="1:34" x14ac:dyDescent="0.2">
      <c r="B18" s="355"/>
      <c r="C18" s="356"/>
      <c r="D18" s="356"/>
      <c r="E18" s="356"/>
      <c r="F18" s="356"/>
      <c r="G18" s="356"/>
      <c r="H18" s="356"/>
      <c r="I18" s="356"/>
      <c r="J18" s="356"/>
      <c r="K18" s="356"/>
      <c r="L18" s="357"/>
      <c r="M18" s="40"/>
      <c r="N18" s="122">
        <v>0</v>
      </c>
      <c r="O18" s="131" t="str">
        <f>IF(N18&gt;0,"Voeg eventueel een offerte(s) toe voor "&amp;B18&amp;", of de offerte waarin meerdere hoofdcomponenten zijn opgenomen.","")</f>
        <v/>
      </c>
      <c r="P18" s="11"/>
      <c r="Q18" s="11"/>
      <c r="R18" s="11"/>
      <c r="S18" s="11"/>
      <c r="T18" s="11"/>
      <c r="U18" s="11"/>
      <c r="V18" s="11"/>
      <c r="W18" s="11"/>
      <c r="X18" s="11"/>
      <c r="Y18" s="11"/>
      <c r="Z18" s="11"/>
    </row>
    <row r="19" spans="1:34" x14ac:dyDescent="0.2">
      <c r="A19" s="104"/>
      <c r="B19" s="398"/>
      <c r="C19" s="399"/>
      <c r="D19" s="399"/>
      <c r="E19" s="399"/>
      <c r="F19" s="399"/>
      <c r="G19" s="399"/>
      <c r="H19" s="399"/>
      <c r="I19" s="399"/>
      <c r="J19" s="399"/>
      <c r="K19" s="399"/>
      <c r="L19" s="400"/>
      <c r="M19" s="40"/>
      <c r="N19" s="123">
        <v>0</v>
      </c>
      <c r="O19" s="131" t="str">
        <f>IF(N19&gt;0,"Voeg eventueel een offerte(s) toe voor "&amp;B19&amp;", of de offerte waarin meerdere hoofdcomponenten zijn opgenomen.","")</f>
        <v/>
      </c>
      <c r="P19" s="11"/>
      <c r="Q19" s="11"/>
      <c r="R19" s="11"/>
      <c r="S19" s="39"/>
      <c r="T19" s="11"/>
      <c r="U19" s="11"/>
      <c r="V19" s="11"/>
      <c r="W19" s="11"/>
      <c r="X19" s="11"/>
      <c r="Y19" s="11"/>
      <c r="Z19" s="11"/>
    </row>
    <row r="20" spans="1:34" s="7" customFormat="1" x14ac:dyDescent="0.2">
      <c r="A20" s="7" t="s">
        <v>111</v>
      </c>
      <c r="N20" s="12">
        <f>SUM(N15:N19)</f>
        <v>0</v>
      </c>
      <c r="O20" s="13"/>
      <c r="P20" s="13"/>
      <c r="Q20" s="13"/>
      <c r="R20" s="13"/>
      <c r="S20" s="13"/>
      <c r="T20" s="13"/>
      <c r="U20" s="13"/>
      <c r="V20" s="13"/>
      <c r="W20" s="13"/>
      <c r="X20" s="13"/>
      <c r="Y20" s="13"/>
      <c r="Z20" s="13"/>
      <c r="AA20" s="13"/>
    </row>
    <row r="21" spans="1:34" s="7" customFormat="1" x14ac:dyDescent="0.2">
      <c r="N21" s="12"/>
      <c r="O21" s="13"/>
      <c r="P21" s="13"/>
      <c r="Q21" s="13"/>
      <c r="R21" s="13"/>
      <c r="S21" s="44"/>
      <c r="T21" s="13"/>
      <c r="U21" s="13"/>
      <c r="V21" s="13"/>
      <c r="W21" s="13"/>
      <c r="X21" s="13"/>
      <c r="Y21" s="13"/>
      <c r="Z21" s="13"/>
      <c r="AA21" s="13"/>
    </row>
    <row r="22" spans="1:34" s="7" customFormat="1" ht="18" x14ac:dyDescent="0.25">
      <c r="A22" s="9" t="s">
        <v>17</v>
      </c>
      <c r="D22" s="5"/>
      <c r="E22" s="5"/>
      <c r="F22" s="5"/>
      <c r="G22" s="5"/>
      <c r="H22" s="5"/>
      <c r="I22" s="5"/>
      <c r="J22" s="5"/>
      <c r="K22" s="5"/>
      <c r="L22" s="5"/>
      <c r="N22" s="12"/>
      <c r="O22" s="13"/>
      <c r="P22" s="13"/>
      <c r="Q22" s="13"/>
      <c r="R22" s="13"/>
      <c r="S22" s="13"/>
      <c r="T22" s="13"/>
      <c r="U22" s="13"/>
      <c r="V22" s="13"/>
      <c r="W22" s="13"/>
      <c r="X22" s="13"/>
      <c r="Y22" s="13"/>
      <c r="Z22" s="13"/>
      <c r="AA22" s="13"/>
    </row>
    <row r="23" spans="1:34" s="7" customFormat="1" x14ac:dyDescent="0.2">
      <c r="B23" s="368" t="s">
        <v>27</v>
      </c>
      <c r="C23" s="369"/>
      <c r="D23" s="5"/>
      <c r="E23" s="104" t="s">
        <v>109</v>
      </c>
      <c r="F23" s="5"/>
      <c r="G23" s="5"/>
      <c r="H23" s="368" t="s">
        <v>26</v>
      </c>
      <c r="I23" s="401"/>
      <c r="J23" s="401"/>
      <c r="K23" s="5"/>
      <c r="L23" s="104" t="s">
        <v>79</v>
      </c>
      <c r="N23" s="12"/>
      <c r="O23" s="13"/>
      <c r="P23" s="13"/>
      <c r="Q23" s="13"/>
      <c r="R23" s="13"/>
      <c r="S23" s="13"/>
      <c r="T23" s="13"/>
      <c r="U23" s="13"/>
      <c r="V23" s="13"/>
      <c r="W23" s="13"/>
      <c r="X23" s="13"/>
      <c r="Y23" s="13"/>
      <c r="Z23" s="13"/>
      <c r="AA23" s="13"/>
    </row>
    <row r="24" spans="1:34" s="7" customFormat="1" x14ac:dyDescent="0.2">
      <c r="A24" s="104" t="s">
        <v>78</v>
      </c>
      <c r="B24" s="423">
        <f>IFERROR(Financiering_en_projectplan!M63,0)</f>
        <v>0</v>
      </c>
      <c r="C24" s="293"/>
      <c r="E24" s="137">
        <f>N20*B24</f>
        <v>0</v>
      </c>
      <c r="F24" s="5"/>
      <c r="G24" s="5"/>
      <c r="H24" s="422">
        <f>100%-B24</f>
        <v>1</v>
      </c>
      <c r="I24" s="292"/>
      <c r="J24" s="293"/>
      <c r="L24" s="137">
        <f>N20*H24</f>
        <v>0</v>
      </c>
      <c r="N24" s="12"/>
      <c r="O24" s="13"/>
      <c r="P24" s="13"/>
      <c r="Q24" s="13"/>
      <c r="R24" s="13"/>
      <c r="S24" s="13"/>
      <c r="T24" s="13"/>
      <c r="U24" s="13"/>
      <c r="V24" s="13"/>
      <c r="W24" s="13"/>
      <c r="X24" s="13"/>
      <c r="Y24" s="13"/>
      <c r="Z24" s="13"/>
      <c r="AA24" s="13"/>
      <c r="AG24" s="38"/>
    </row>
    <row r="25" spans="1:34" s="7" customFormat="1" x14ac:dyDescent="0.2">
      <c r="A25" s="104"/>
      <c r="D25" s="5"/>
      <c r="F25" s="5"/>
      <c r="G25" s="5"/>
      <c r="H25" s="5"/>
      <c r="I25" s="5"/>
      <c r="J25" s="5"/>
      <c r="K25" s="5"/>
      <c r="N25" s="43"/>
      <c r="O25" s="13"/>
      <c r="P25" s="13"/>
      <c r="Q25" s="13"/>
      <c r="R25" s="13"/>
      <c r="S25" s="13"/>
      <c r="T25" s="13"/>
      <c r="U25" s="13"/>
      <c r="V25" s="13"/>
      <c r="W25" s="13"/>
      <c r="X25" s="13"/>
      <c r="Y25" s="13"/>
      <c r="Z25" s="13"/>
      <c r="AA25" s="13"/>
    </row>
    <row r="26" spans="1:34" s="7" customFormat="1" x14ac:dyDescent="0.2">
      <c r="A26" s="7" t="str">
        <f>IF(OR(AND('Hulpblad_overig '!B10=1,'Hulpblad_overig '!B30=1),AND('Hulpblad_overig '!B10=1,'Hulpblad_overig '!B30=2)),"Lening extern","")</f>
        <v/>
      </c>
      <c r="B26" s="366" t="s">
        <v>110</v>
      </c>
      <c r="C26" s="367"/>
      <c r="D26" s="5"/>
      <c r="E26" s="104" t="s">
        <v>81</v>
      </c>
      <c r="F26" s="5"/>
      <c r="G26" s="5"/>
      <c r="H26" s="427" t="s">
        <v>77</v>
      </c>
      <c r="I26" s="295"/>
      <c r="J26" s="295"/>
      <c r="K26" s="5"/>
      <c r="L26" s="104" t="s">
        <v>80</v>
      </c>
      <c r="N26" s="12"/>
      <c r="O26" s="13"/>
      <c r="P26" s="44"/>
      <c r="Q26" s="13"/>
      <c r="R26" s="13"/>
      <c r="S26" s="13"/>
      <c r="T26" s="13"/>
      <c r="U26" s="13"/>
      <c r="V26" s="13"/>
      <c r="W26" s="13"/>
      <c r="X26" s="13"/>
      <c r="Y26" s="13"/>
      <c r="Z26" s="13"/>
      <c r="AA26" s="13"/>
    </row>
    <row r="27" spans="1:34" s="7" customFormat="1" x14ac:dyDescent="0.2">
      <c r="A27" s="104" t="str">
        <f>"Gegevens lening "</f>
        <v xml:space="preserve">Gegevens lening </v>
      </c>
      <c r="B27" s="428">
        <f>L24</f>
        <v>0</v>
      </c>
      <c r="C27" s="293"/>
      <c r="D27" s="5"/>
      <c r="E27" s="225">
        <v>15</v>
      </c>
      <c r="F27" s="5"/>
      <c r="G27" s="5"/>
      <c r="H27" s="364"/>
      <c r="I27" s="365"/>
      <c r="J27" s="365"/>
      <c r="K27" s="5"/>
      <c r="L27" s="28">
        <v>0.05</v>
      </c>
      <c r="M27" s="222" t="str">
        <f>IF(AND(B27&gt;0,L27=0),"Vul hier het rentepercentage van de lening in!","")</f>
        <v/>
      </c>
      <c r="O27" s="13"/>
      <c r="P27" s="13"/>
      <c r="Q27" s="13"/>
      <c r="R27" s="13"/>
      <c r="S27" s="13"/>
      <c r="T27" s="13"/>
      <c r="U27" s="13"/>
      <c r="V27" s="13"/>
      <c r="W27" s="13"/>
      <c r="X27" s="13"/>
      <c r="Y27" s="13"/>
      <c r="Z27" s="13"/>
      <c r="AA27" s="13"/>
    </row>
    <row r="28" spans="1:34" s="7" customFormat="1" x14ac:dyDescent="0.2">
      <c r="A28" s="20"/>
      <c r="D28" s="5"/>
      <c r="E28" s="5"/>
      <c r="F28" s="5"/>
      <c r="G28" s="5"/>
      <c r="H28" s="20"/>
      <c r="I28" s="5"/>
      <c r="J28" s="5"/>
      <c r="K28" s="5"/>
      <c r="N28" s="12"/>
      <c r="O28" s="13"/>
      <c r="P28" s="13"/>
      <c r="Q28" s="13"/>
      <c r="R28" s="13"/>
      <c r="S28" s="13"/>
      <c r="T28" s="13"/>
      <c r="U28" s="13"/>
      <c r="V28" s="13"/>
      <c r="W28" s="13"/>
      <c r="X28" s="13"/>
      <c r="Y28" s="13"/>
      <c r="Z28" s="13"/>
      <c r="AA28" s="13"/>
    </row>
    <row r="29" spans="1:34" x14ac:dyDescent="0.2">
      <c r="A29" s="7" t="s">
        <v>15</v>
      </c>
      <c r="D29" s="7"/>
      <c r="E29" s="7"/>
      <c r="F29" s="7"/>
      <c r="G29" s="7"/>
      <c r="H29" s="7"/>
      <c r="I29" s="7"/>
      <c r="J29" s="7"/>
      <c r="K29" s="7"/>
      <c r="L29" s="7"/>
      <c r="M29" s="7"/>
      <c r="N29" s="7">
        <v>0</v>
      </c>
      <c r="O29" s="7">
        <v>1</v>
      </c>
      <c r="P29" s="7">
        <v>2</v>
      </c>
      <c r="Q29" s="7">
        <v>3</v>
      </c>
      <c r="R29" s="7">
        <v>4</v>
      </c>
      <c r="S29" s="7">
        <v>5</v>
      </c>
      <c r="T29" s="7">
        <v>6</v>
      </c>
      <c r="U29" s="7">
        <v>7</v>
      </c>
      <c r="V29" s="7">
        <v>8</v>
      </c>
      <c r="W29" s="7">
        <f>IF($B$10&gt;8,9,"")</f>
        <v>9</v>
      </c>
      <c r="X29" s="7">
        <f>IF($B$10&gt;8,10,"")</f>
        <v>10</v>
      </c>
      <c r="Y29" s="7">
        <f>IF($B$10&gt;8,11,"")</f>
        <v>11</v>
      </c>
      <c r="Z29" s="7">
        <f>IF($B$10&gt;8,12,"")</f>
        <v>12</v>
      </c>
      <c r="AA29" s="7">
        <f>IF($B$10&gt;12,13,"")</f>
        <v>13</v>
      </c>
      <c r="AB29" s="7">
        <f>IF($B$10&gt;12,14,"")</f>
        <v>14</v>
      </c>
      <c r="AC29" s="7">
        <f>IF($B$10&gt;12,15,"")</f>
        <v>15</v>
      </c>
      <c r="AD29" s="7" t="str">
        <f>IF($B$11=20,16,"")</f>
        <v/>
      </c>
      <c r="AE29" s="7" t="str">
        <f>IF($B$11=20,17,"")</f>
        <v/>
      </c>
      <c r="AF29" s="7" t="str">
        <f>IF($B$11=20,18,"")</f>
        <v/>
      </c>
      <c r="AG29" s="7" t="str">
        <f>IF($B$11=20,19,"")</f>
        <v/>
      </c>
      <c r="AH29" s="7" t="str">
        <f>IF($B$11=20,20,"")</f>
        <v/>
      </c>
    </row>
    <row r="30" spans="1:34" x14ac:dyDescent="0.2">
      <c r="N30" s="15"/>
      <c r="O30" s="11"/>
      <c r="P30" s="11"/>
      <c r="Q30" s="11"/>
      <c r="R30" s="11"/>
      <c r="S30" s="11"/>
      <c r="T30" s="11"/>
      <c r="U30" s="11"/>
      <c r="V30" s="11"/>
      <c r="W30" s="131"/>
      <c r="X30" s="131"/>
      <c r="Y30" s="131"/>
      <c r="Z30" s="131"/>
      <c r="AD30" s="351" t="str">
        <f>IF(AND(B11=20,Hulpblad_categorieën_parameters!C6="Zon-PV grootverbruikersaansluiting"),"Voor jaar 16-20 wordt conform PBL advies gerekend met een degradatiecorrectie van 690/740 vollasturen voor zon-PV.","")</f>
        <v/>
      </c>
      <c r="AE30" s="352"/>
      <c r="AF30" s="352"/>
      <c r="AG30" s="352"/>
      <c r="AH30" s="352"/>
    </row>
    <row r="31" spans="1:34" ht="18" customHeight="1" x14ac:dyDescent="0.25">
      <c r="A31" s="41" t="s">
        <v>228</v>
      </c>
      <c r="L31" s="353" t="s">
        <v>232</v>
      </c>
      <c r="N31" s="40"/>
      <c r="O31" s="11"/>
      <c r="P31" s="11"/>
      <c r="Q31" s="11"/>
      <c r="R31" s="11"/>
      <c r="S31" s="11"/>
      <c r="T31" s="11"/>
      <c r="U31" s="11"/>
      <c r="V31" s="11"/>
      <c r="W31" s="131"/>
      <c r="X31" s="131"/>
      <c r="Y31" s="131"/>
      <c r="Z31" s="131"/>
      <c r="AB31" s="203"/>
      <c r="AD31" s="352"/>
      <c r="AE31" s="352"/>
      <c r="AF31" s="352"/>
      <c r="AG31" s="352"/>
      <c r="AH31" s="352"/>
    </row>
    <row r="32" spans="1:34" ht="12.75" customHeight="1" x14ac:dyDescent="0.2">
      <c r="A32" s="38" t="s">
        <v>217</v>
      </c>
      <c r="C32" s="38"/>
      <c r="E32" s="104" t="s">
        <v>218</v>
      </c>
      <c r="H32" s="368" t="s">
        <v>225</v>
      </c>
      <c r="I32" s="401"/>
      <c r="J32" s="401"/>
      <c r="L32" s="354"/>
      <c r="O32" s="11"/>
      <c r="P32" s="11"/>
      <c r="Q32" s="11"/>
      <c r="R32" s="11"/>
      <c r="S32" s="11"/>
      <c r="T32" s="11"/>
      <c r="U32" s="11"/>
      <c r="V32" s="11"/>
      <c r="W32" s="131"/>
      <c r="X32" s="131"/>
      <c r="Y32" s="131"/>
      <c r="Z32" s="242"/>
      <c r="AD32" s="239"/>
      <c r="AE32" s="251"/>
      <c r="AF32" s="251"/>
      <c r="AG32" s="251"/>
      <c r="AH32" s="251"/>
    </row>
    <row r="33" spans="1:34" ht="12.75" customHeight="1" x14ac:dyDescent="0.2">
      <c r="A33" s="111" t="s">
        <v>219</v>
      </c>
      <c r="E33" s="243">
        <v>0</v>
      </c>
      <c r="H33" s="429">
        <v>0.13200000000000001</v>
      </c>
      <c r="I33" s="323"/>
      <c r="J33" s="324"/>
      <c r="L33" s="244">
        <v>0.02</v>
      </c>
      <c r="M33" s="104"/>
      <c r="O33" s="255">
        <f>E33*H33</f>
        <v>0</v>
      </c>
      <c r="P33" s="256">
        <f>O33*(1+$L$33)</f>
        <v>0</v>
      </c>
      <c r="Q33" s="256">
        <f t="shared" ref="Q33:AC33" si="0">P33*(1+$L$33)</f>
        <v>0</v>
      </c>
      <c r="R33" s="256">
        <f t="shared" si="0"/>
        <v>0</v>
      </c>
      <c r="S33" s="256">
        <f t="shared" si="0"/>
        <v>0</v>
      </c>
      <c r="T33" s="256">
        <f t="shared" si="0"/>
        <v>0</v>
      </c>
      <c r="U33" s="256">
        <f t="shared" si="0"/>
        <v>0</v>
      </c>
      <c r="V33" s="256">
        <f t="shared" si="0"/>
        <v>0</v>
      </c>
      <c r="W33" s="256">
        <f t="shared" si="0"/>
        <v>0</v>
      </c>
      <c r="X33" s="256">
        <f t="shared" si="0"/>
        <v>0</v>
      </c>
      <c r="Y33" s="256">
        <f t="shared" si="0"/>
        <v>0</v>
      </c>
      <c r="Z33" s="256">
        <f t="shared" si="0"/>
        <v>0</v>
      </c>
      <c r="AA33" s="256">
        <f t="shared" si="0"/>
        <v>0</v>
      </c>
      <c r="AB33" s="256">
        <f t="shared" si="0"/>
        <v>0</v>
      </c>
      <c r="AC33" s="256">
        <f t="shared" si="0"/>
        <v>0</v>
      </c>
      <c r="AD33" s="259" t="str">
        <f>IF($B$11=20,AC33*(1+$L$33)*VLOOKUP($B$8,Hulpblad_categorieën_parameters!$A$31:$AG$56,33,FALSE),"")</f>
        <v/>
      </c>
      <c r="AE33" s="259" t="str">
        <f>IF($B$11=20,AD33*(1+$L$33),"")</f>
        <v/>
      </c>
      <c r="AF33" s="259" t="str">
        <f t="shared" ref="AF33:AH34" si="1">IF($B$11=20,AE33*(1+$L$33),"")</f>
        <v/>
      </c>
      <c r="AG33" s="259" t="str">
        <f t="shared" si="1"/>
        <v/>
      </c>
      <c r="AH33" s="259" t="str">
        <f t="shared" si="1"/>
        <v/>
      </c>
    </row>
    <row r="34" spans="1:34" ht="12.75" customHeight="1" x14ac:dyDescent="0.2">
      <c r="A34" s="111" t="s">
        <v>220</v>
      </c>
      <c r="E34" s="176">
        <f>Energieproductie!B14-E33</f>
        <v>0</v>
      </c>
      <c r="H34" s="370">
        <v>7.4999999999999997E-2</v>
      </c>
      <c r="I34" s="371"/>
      <c r="J34" s="372"/>
      <c r="L34" s="245">
        <v>0.02</v>
      </c>
      <c r="M34" s="104"/>
      <c r="O34" s="257">
        <f>E34*H34</f>
        <v>0</v>
      </c>
      <c r="P34" s="258">
        <f>O34*(1+$L$34)</f>
        <v>0</v>
      </c>
      <c r="Q34" s="258">
        <f t="shared" ref="Q34:AC34" si="2">P34*(1+$L$34)</f>
        <v>0</v>
      </c>
      <c r="R34" s="258">
        <f t="shared" si="2"/>
        <v>0</v>
      </c>
      <c r="S34" s="258">
        <f t="shared" si="2"/>
        <v>0</v>
      </c>
      <c r="T34" s="258">
        <f t="shared" si="2"/>
        <v>0</v>
      </c>
      <c r="U34" s="258">
        <f t="shared" si="2"/>
        <v>0</v>
      </c>
      <c r="V34" s="258">
        <f t="shared" si="2"/>
        <v>0</v>
      </c>
      <c r="W34" s="258">
        <f t="shared" si="2"/>
        <v>0</v>
      </c>
      <c r="X34" s="258">
        <f t="shared" si="2"/>
        <v>0</v>
      </c>
      <c r="Y34" s="258">
        <f t="shared" si="2"/>
        <v>0</v>
      </c>
      <c r="Z34" s="258">
        <f t="shared" si="2"/>
        <v>0</v>
      </c>
      <c r="AA34" s="258">
        <f t="shared" si="2"/>
        <v>0</v>
      </c>
      <c r="AB34" s="258">
        <f t="shared" si="2"/>
        <v>0</v>
      </c>
      <c r="AC34" s="258">
        <f t="shared" si="2"/>
        <v>0</v>
      </c>
      <c r="AD34" s="259" t="str">
        <f>IF($B$11=20,AC34*(1+$L$33)*VLOOKUP($B$8,Hulpblad_categorieën_parameters!$A$31:$AG$56,33,FALSE),"")</f>
        <v/>
      </c>
      <c r="AE34" s="259" t="str">
        <f>IF($B$11=20,AD34*(1+$L$33),"")</f>
        <v/>
      </c>
      <c r="AF34" s="259" t="str">
        <f t="shared" si="1"/>
        <v/>
      </c>
      <c r="AG34" s="259" t="str">
        <f t="shared" si="1"/>
        <v/>
      </c>
      <c r="AH34" s="259" t="str">
        <f t="shared" si="1"/>
        <v/>
      </c>
    </row>
    <row r="35" spans="1:34" ht="12.75" customHeight="1" x14ac:dyDescent="0.2">
      <c r="A35" s="38" t="s">
        <v>226</v>
      </c>
      <c r="L35" s="246"/>
      <c r="O35" s="12">
        <f t="shared" ref="O35:AC35" si="3">SUM(O33:O34)</f>
        <v>0</v>
      </c>
      <c r="P35" s="12">
        <f t="shared" si="3"/>
        <v>0</v>
      </c>
      <c r="Q35" s="12">
        <f t="shared" si="3"/>
        <v>0</v>
      </c>
      <c r="R35" s="12">
        <f t="shared" si="3"/>
        <v>0</v>
      </c>
      <c r="S35" s="12">
        <f t="shared" si="3"/>
        <v>0</v>
      </c>
      <c r="T35" s="12">
        <f t="shared" si="3"/>
        <v>0</v>
      </c>
      <c r="U35" s="12">
        <f t="shared" si="3"/>
        <v>0</v>
      </c>
      <c r="V35" s="12">
        <f t="shared" si="3"/>
        <v>0</v>
      </c>
      <c r="W35" s="12">
        <f t="shared" si="3"/>
        <v>0</v>
      </c>
      <c r="X35" s="12">
        <f t="shared" si="3"/>
        <v>0</v>
      </c>
      <c r="Y35" s="12">
        <f t="shared" si="3"/>
        <v>0</v>
      </c>
      <c r="Z35" s="12">
        <f t="shared" si="3"/>
        <v>0</v>
      </c>
      <c r="AA35" s="12">
        <f t="shared" si="3"/>
        <v>0</v>
      </c>
      <c r="AB35" s="12">
        <f t="shared" si="3"/>
        <v>0</v>
      </c>
      <c r="AC35" s="12">
        <f t="shared" si="3"/>
        <v>0</v>
      </c>
      <c r="AD35" s="12" t="str">
        <f>IF($B$11=20,SUM(AD33:AD34),"")</f>
        <v/>
      </c>
      <c r="AE35" s="12" t="str">
        <f>IF($B$11=20,SUM(AE33:AE34),"")</f>
        <v/>
      </c>
      <c r="AF35" s="12" t="str">
        <f>IF($B$11=20,SUM(AF33:AF34),"")</f>
        <v/>
      </c>
      <c r="AG35" s="12" t="str">
        <f>IF($B$11=20,SUM(AG33:AG34),"")</f>
        <v/>
      </c>
      <c r="AH35" s="12" t="str">
        <f>IF($B$11=20,SUM(AH33:AH34),"")</f>
        <v/>
      </c>
    </row>
    <row r="36" spans="1:34" ht="30" customHeight="1" x14ac:dyDescent="0.2">
      <c r="A36" s="40"/>
      <c r="B36" s="353" t="s">
        <v>74</v>
      </c>
      <c r="C36" s="363"/>
      <c r="E36" s="373" t="s">
        <v>124</v>
      </c>
      <c r="H36" s="353" t="s">
        <v>221</v>
      </c>
      <c r="I36" s="363"/>
      <c r="J36" s="363"/>
      <c r="L36" s="353" t="s">
        <v>222</v>
      </c>
      <c r="O36" s="11"/>
      <c r="P36" s="39"/>
      <c r="Q36" s="11"/>
      <c r="R36" s="11"/>
      <c r="S36" s="11"/>
      <c r="T36" s="11"/>
      <c r="U36" s="11"/>
      <c r="V36" s="11"/>
      <c r="W36" s="131"/>
      <c r="X36" s="131"/>
      <c r="Y36" s="131"/>
      <c r="Z36" s="131"/>
      <c r="AD36" s="251"/>
      <c r="AE36" s="251"/>
      <c r="AF36" s="251"/>
      <c r="AG36" s="251"/>
      <c r="AH36" s="251"/>
    </row>
    <row r="37" spans="1:34" ht="12.75" customHeight="1" x14ac:dyDescent="0.2">
      <c r="A37" s="38" t="s">
        <v>223</v>
      </c>
      <c r="B37" s="363"/>
      <c r="C37" s="363"/>
      <c r="E37" s="374"/>
      <c r="H37" s="363"/>
      <c r="I37" s="363"/>
      <c r="J37" s="363"/>
      <c r="L37" s="375"/>
      <c r="O37" s="11"/>
      <c r="P37" s="11"/>
      <c r="Q37" s="11"/>
      <c r="R37" s="11"/>
      <c r="S37" s="11"/>
      <c r="T37" s="11"/>
      <c r="U37" s="11"/>
      <c r="V37" s="11"/>
      <c r="W37" s="131"/>
      <c r="X37" s="131"/>
      <c r="Y37" s="131"/>
      <c r="Z37" s="131"/>
      <c r="AD37" s="251"/>
      <c r="AE37" s="251"/>
      <c r="AF37" s="251"/>
      <c r="AG37" s="251"/>
      <c r="AH37" s="251"/>
    </row>
    <row r="38" spans="1:34" ht="12.75" customHeight="1" x14ac:dyDescent="0.2">
      <c r="A38" s="111" t="str">
        <f>IF(Hulpblad_categorieën_parameters!C6="Windenergie grootverbruikersaansluiting","Elektriciteit netlevering + niet-netlevering","Elektriciteit netlevering")</f>
        <v>Elektriciteit netlevering</v>
      </c>
      <c r="B38" s="376">
        <f>IFERROR(IF(OR(Hulpblad_categorieën_parameters!C6="Zon-PV kleinverbruikersaansluiting",Hulpblad_categorieën_parameters!C6="Windenergie kleinverbruikersaansluiting"),MIN(Energieproductie!B17,E34),IF(OR(Hulpblad_categorieën_parameters!C6="Windenergie grootverbruikersaansluiting"),Energieproductie!B17,IF(Hulpblad_categorieën_parameters!C6="Zon-PV grootverbruikersaansluiting",Energieproductie!B17-B39,))),0)</f>
        <v>0</v>
      </c>
      <c r="C38" s="377"/>
      <c r="D38" s="247"/>
      <c r="E38" s="248">
        <f>VLOOKUP(B8,Hulpblad_categorieën_parameters!A31:B56,2,FALSE)</f>
        <v>0.14899999999999999</v>
      </c>
      <c r="F38" s="249"/>
      <c r="G38" s="40"/>
      <c r="H38" s="378">
        <f>VLOOKUP(B8,Hulpblad_categorieën_parameters!A31:E56,5,FALSE)</f>
        <v>7.0000000000000007E-2</v>
      </c>
      <c r="I38" s="317"/>
      <c r="J38" s="318"/>
      <c r="L38" s="250">
        <v>0.02</v>
      </c>
      <c r="M38" s="361"/>
      <c r="N38" s="335"/>
      <c r="O38" s="15">
        <f>IF($B$38*($E$38-$H38)&gt;0,$B$38*($E$38-$H$38),0)</f>
        <v>0</v>
      </c>
      <c r="P38" s="37">
        <f>IF($B$38*($E$38-($H$38*POWER(1+$L$38,O29)))&gt;0,$B$38*($E$38-($H$38*POWER(1+$L$38,O29))),0)</f>
        <v>0</v>
      </c>
      <c r="Q38" s="37">
        <f t="shared" ref="Q38:AC38" si="4">IF($B$38*($E$38-($H$38*POWER(1+$L$38,P29)))&gt;0,$B$38*($E$38-($H$38*POWER(1+$L$38,P29))),0)</f>
        <v>0</v>
      </c>
      <c r="R38" s="37">
        <f t="shared" si="4"/>
        <v>0</v>
      </c>
      <c r="S38" s="37">
        <f t="shared" si="4"/>
        <v>0</v>
      </c>
      <c r="T38" s="37">
        <f t="shared" si="4"/>
        <v>0</v>
      </c>
      <c r="U38" s="37">
        <f t="shared" si="4"/>
        <v>0</v>
      </c>
      <c r="V38" s="37">
        <f t="shared" si="4"/>
        <v>0</v>
      </c>
      <c r="W38" s="37">
        <f t="shared" si="4"/>
        <v>0</v>
      </c>
      <c r="X38" s="37">
        <f t="shared" si="4"/>
        <v>0</v>
      </c>
      <c r="Y38" s="37">
        <f t="shared" si="4"/>
        <v>0</v>
      </c>
      <c r="Z38" s="37">
        <f t="shared" si="4"/>
        <v>0</v>
      </c>
      <c r="AA38" s="37">
        <f t="shared" si="4"/>
        <v>0</v>
      </c>
      <c r="AB38" s="37">
        <f t="shared" si="4"/>
        <v>0</v>
      </c>
      <c r="AC38" s="37">
        <f t="shared" si="4"/>
        <v>0</v>
      </c>
      <c r="AD38" s="253" t="str">
        <f>IF($B$11=20,0,"")</f>
        <v/>
      </c>
      <c r="AE38" s="253" t="str">
        <f t="shared" ref="AE38:AH40" si="5">IF($B$11=20,0,"")</f>
        <v/>
      </c>
      <c r="AF38" s="253" t="str">
        <f t="shared" si="5"/>
        <v/>
      </c>
      <c r="AG38" s="253" t="str">
        <f t="shared" si="5"/>
        <v/>
      </c>
      <c r="AH38" s="253" t="str">
        <f t="shared" si="5"/>
        <v/>
      </c>
    </row>
    <row r="39" spans="1:34" ht="12.75" customHeight="1" x14ac:dyDescent="0.2">
      <c r="A39" s="111" t="str">
        <f>IF(Hulpblad_categorieën_parameters!C6="Zon-PV grootverbruikersaansluiting","Elektriciteit niet-netlevering","")</f>
        <v/>
      </c>
      <c r="B39" s="379" t="str">
        <f>IFERROR(IF(Hulpblad_categorieën_parameters!C6="Zon-PV grootverbruikersaansluiting",MIN(Energieproductie!B17/Energieproductie!B14*E33,E33),""),0)</f>
        <v/>
      </c>
      <c r="C39" s="380"/>
      <c r="D39" s="247"/>
      <c r="E39" s="48"/>
      <c r="F39" s="40"/>
      <c r="G39" s="40"/>
      <c r="H39" s="381" t="str">
        <f>IF(Hulpblad_categorieën_parameters!C6="Zon-PV grootverbruikersaansluiting",VLOOKUP(B8,Hulpblad_categorieën_parameters!A31:F56,6,FALSE),"")</f>
        <v/>
      </c>
      <c r="I39" s="382"/>
      <c r="J39" s="382"/>
      <c r="K39" s="40"/>
      <c r="L39" s="47"/>
      <c r="M39" s="362"/>
      <c r="N39" s="363"/>
      <c r="O39" s="128" t="str">
        <f>IF(AND(Hulpblad_categorieën_parameters!C6="Zon-PV grootverbruikersaansluiting",H39&gt;0),IF($B$39*($E$38-$H$39)&gt;0,$B$39*($E$38-$H$39),0),"")</f>
        <v/>
      </c>
      <c r="P39" s="128" t="str">
        <f>IF(AND(Hulpblad_categorieën_parameters!$C$6="Zon-PV grootverbruikersaansluiting",$H$39&gt;0),IF($B$39*($E$38-($H$39*POWER(1+$L$38,O29)))&gt;0,$B$39*($E$38-($H$39*POWER(1+$L$38,O29))),0),"")</f>
        <v/>
      </c>
      <c r="Q39" s="128" t="str">
        <f>IF(AND(Hulpblad_categorieën_parameters!$C$6="Zon-PV grootverbruikersaansluiting",$H$39&gt;0),IF($B$39*($E$38-($H$39*POWER(1+$L$38,P29)))&gt;0,$B$39*($E$38-($H$39*POWER(1+$L$38,P29))),0),"")</f>
        <v/>
      </c>
      <c r="R39" s="128" t="str">
        <f>IF(AND(Hulpblad_categorieën_parameters!$C$6="Zon-PV grootverbruikersaansluiting",$H$39&gt;0),IF($B$39*($E$38-($H$39*POWER(1+$L$38,Q29)))&gt;0,$B$39*($E$38-($H$39*POWER(1+$L$38,Q29))),0),"")</f>
        <v/>
      </c>
      <c r="S39" s="128" t="str">
        <f>IF(AND(Hulpblad_categorieën_parameters!$C$6="Zon-PV grootverbruikersaansluiting",$H$39&gt;0),IF($B$39*($E$38-($H$39*POWER(1+$L$38,R29)))&gt;0,$B$39*($E$38-($H$39*POWER(1+$L$38,R29))),0),"")</f>
        <v/>
      </c>
      <c r="T39" s="128" t="str">
        <f>IF(AND(Hulpblad_categorieën_parameters!$C$6="Zon-PV grootverbruikersaansluiting",$H$39&gt;0),IF($B$39*($E$38-($H$39*POWER(1+$L$38,S29)))&gt;0,$B$39*($E$38-($H$39*POWER(1+$L$38,S29))),0),"")</f>
        <v/>
      </c>
      <c r="U39" s="128" t="str">
        <f>IF(AND(Hulpblad_categorieën_parameters!$C$6="Zon-PV grootverbruikersaansluiting",$H$39&gt;0),IF($B$39*($E$38-($H$39*POWER(1+$L$38,T29)))&gt;0,$B$39*($E$38-($H$39*POWER(1+$L$38,T29))),0),"")</f>
        <v/>
      </c>
      <c r="V39" s="128" t="str">
        <f>IF(AND(Hulpblad_categorieën_parameters!$C$6="Zon-PV grootverbruikersaansluiting",$H$39&gt;0),IF($B$39*($E$38-($H$39*POWER(1+$L$38,U29)))&gt;0,$B$39*($E$38-($H$39*POWER(1+$L$38,U29))),0),"")</f>
        <v/>
      </c>
      <c r="W39" s="128" t="str">
        <f>IF(AND(Hulpblad_categorieën_parameters!$C$6="Zon-PV grootverbruikersaansluiting",$H$39&gt;0),IF($B$39*($E$38-($H$39*POWER(1+$L$38,V29)))&gt;0,$B$39*($E$38-($H$39*POWER(1+$L$38,V29))),0),"")</f>
        <v/>
      </c>
      <c r="X39" s="128" t="str">
        <f>IF(AND(Hulpblad_categorieën_parameters!$C$6="Zon-PV grootverbruikersaansluiting",$H$39&gt;0),IF($B$39*($E$38-($H$39*POWER(1+$L$38,W29)))&gt;0,$B$39*($E$38-($H$39*POWER(1+$L$38,W29))),0),"")</f>
        <v/>
      </c>
      <c r="Y39" s="128" t="str">
        <f>IF(AND(Hulpblad_categorieën_parameters!$C$6="Zon-PV grootverbruikersaansluiting",$H$39&gt;0),IF($B$39*($E$38-($H$39*POWER(1+$L$38,X29)))&gt;0,$B$39*($E$38-($H$39*POWER(1+$L$38,X29))),0),"")</f>
        <v/>
      </c>
      <c r="Z39" s="128" t="str">
        <f>IF(AND(Hulpblad_categorieën_parameters!$C$6="Zon-PV grootverbruikersaansluiting",$H$39&gt;0),IF($B$39*($E$38-($H$39*POWER(1+$L$38,Y29)))&gt;0,$B$39*($E$38-($H$39*POWER(1+$L$38,Y29))),0),"")</f>
        <v/>
      </c>
      <c r="AA39" s="128" t="str">
        <f>IF(AND(Hulpblad_categorieën_parameters!$C$6="Zon-PV grootverbruikersaansluiting",$H$39&gt;0),IF($B$39*($E$38-($H$39*POWER(1+$L$38,Z29)))&gt;0,$B$39*($E$38-($H$39*POWER(1+$L$38,Z29))),0),"")</f>
        <v/>
      </c>
      <c r="AB39" s="128" t="str">
        <f>IF(AND(Hulpblad_categorieën_parameters!$C$6="Zon-PV grootverbruikersaansluiting",$H$39&gt;0),IF($B$39*($E$38-($H$39*POWER(1+$L$38,AA29)))&gt;0,$B$39*($E$38-($H$39*POWER(1+$L$38,AA29))),0),"")</f>
        <v/>
      </c>
      <c r="AC39" s="128" t="str">
        <f>IF(AND(Hulpblad_categorieën_parameters!$C$6="Zon-PV grootverbruikersaansluiting",$H$39&gt;0),IF($B$39*($E$38-($H$39*POWER(1+$L$38,AB29)))&gt;0,$B$39*($E$38-($H$39*POWER(1+$L$38,AB29))),0),"")</f>
        <v/>
      </c>
      <c r="AD39" s="253" t="str">
        <f>IF($B$11=20,0,"")</f>
        <v/>
      </c>
      <c r="AE39" s="253" t="str">
        <f t="shared" si="5"/>
        <v/>
      </c>
      <c r="AF39" s="253" t="str">
        <f t="shared" si="5"/>
        <v/>
      </c>
      <c r="AG39" s="253" t="str">
        <f t="shared" si="5"/>
        <v/>
      </c>
      <c r="AH39" s="253" t="str">
        <f t="shared" si="5"/>
        <v/>
      </c>
    </row>
    <row r="40" spans="1:34" ht="12.75" customHeight="1" x14ac:dyDescent="0.2">
      <c r="A40" s="38" t="s">
        <v>227</v>
      </c>
      <c r="I40" s="40"/>
      <c r="J40" s="40"/>
      <c r="K40" s="40"/>
      <c r="L40" s="47"/>
      <c r="M40" s="363"/>
      <c r="N40" s="363"/>
      <c r="O40" s="43">
        <f>IF(AND(Hulpblad_categorieën_parameters!C6="Zon-PV grootverbruikersaansluiting",H39&gt;0),O38+O39,O38)</f>
        <v>0</v>
      </c>
      <c r="P40" s="43">
        <f>IF(AND(Hulpblad_categorieën_parameters!$C$6="Zon-PV grootverbruikersaansluiting",$H$39&gt;0),P38+P39,P38)</f>
        <v>0</v>
      </c>
      <c r="Q40" s="43">
        <f>IF(AND(Hulpblad_categorieën_parameters!$C$6="Zon-PV grootverbruikersaansluiting",$H$39&gt;0),Q38+Q39,Q38)</f>
        <v>0</v>
      </c>
      <c r="R40" s="43">
        <f>IF(AND(Hulpblad_categorieën_parameters!$C$6="Zon-PV grootverbruikersaansluiting",$H$39&gt;0),R38+R39,R38)</f>
        <v>0</v>
      </c>
      <c r="S40" s="43">
        <f>IF(AND(Hulpblad_categorieën_parameters!$C$6="Zon-PV grootverbruikersaansluiting",$H$39&gt;0),S38+S39,S38)</f>
        <v>0</v>
      </c>
      <c r="T40" s="43">
        <f>IF(AND(Hulpblad_categorieën_parameters!$C$6="Zon-PV grootverbruikersaansluiting",$H$39&gt;0),T38+T39,T38)</f>
        <v>0</v>
      </c>
      <c r="U40" s="43">
        <f>IF(AND(Hulpblad_categorieën_parameters!$C$6="Zon-PV grootverbruikersaansluiting",$H$39&gt;0),U38+U39,U38)</f>
        <v>0</v>
      </c>
      <c r="V40" s="43">
        <f>IF(AND(Hulpblad_categorieën_parameters!$C$6="Zon-PV grootverbruikersaansluiting",$H$39&gt;0),V38+V39,V38)</f>
        <v>0</v>
      </c>
      <c r="W40" s="43">
        <f>IF(AND(Hulpblad_categorieën_parameters!$C$6="Zon-PV grootverbruikersaansluiting",$H$39&gt;0),W38+W39,W38)</f>
        <v>0</v>
      </c>
      <c r="X40" s="43">
        <f>IF(AND(Hulpblad_categorieën_parameters!$C$6="Zon-PV grootverbruikersaansluiting",$H$39&gt;0),X38+X39,X38)</f>
        <v>0</v>
      </c>
      <c r="Y40" s="43">
        <f>IF(AND(Hulpblad_categorieën_parameters!$C$6="Zon-PV grootverbruikersaansluiting",$H$39&gt;0),Y38+Y39,Y38)</f>
        <v>0</v>
      </c>
      <c r="Z40" s="43">
        <f>IF(AND(Hulpblad_categorieën_parameters!$C$6="Zon-PV grootverbruikersaansluiting",$H$39&gt;0),Z38+Z39,Z38)</f>
        <v>0</v>
      </c>
      <c r="AA40" s="43">
        <f>IF(AND(Hulpblad_categorieën_parameters!$C$6="Zon-PV grootverbruikersaansluiting",$H$39&gt;0),AA38+AA39,AA38)</f>
        <v>0</v>
      </c>
      <c r="AB40" s="43">
        <f>IF(AND(Hulpblad_categorieën_parameters!$C$6="Zon-PV grootverbruikersaansluiting",$H$39&gt;0),AB38+AB39,AB38)</f>
        <v>0</v>
      </c>
      <c r="AC40" s="43">
        <f>IF(AND(Hulpblad_categorieën_parameters!$C$6="Zon-PV grootverbruikersaansluiting",$H$39&gt;0),AC38+AC39,AC38)</f>
        <v>0</v>
      </c>
      <c r="AD40" s="252" t="str">
        <f>IF($B$11=20,0,"")</f>
        <v/>
      </c>
      <c r="AE40" s="252" t="str">
        <f t="shared" si="5"/>
        <v/>
      </c>
      <c r="AF40" s="252" t="str">
        <f t="shared" si="5"/>
        <v/>
      </c>
      <c r="AG40" s="252" t="str">
        <f t="shared" si="5"/>
        <v/>
      </c>
      <c r="AH40" s="252" t="str">
        <f t="shared" si="5"/>
        <v/>
      </c>
    </row>
    <row r="41" spans="1:34" ht="12.75" customHeight="1" x14ac:dyDescent="0.2">
      <c r="A41" s="38"/>
      <c r="L41" s="246"/>
      <c r="M41" s="363"/>
      <c r="N41" s="363"/>
      <c r="O41" s="12"/>
      <c r="P41" s="12"/>
      <c r="Q41" s="12"/>
      <c r="R41" s="12"/>
      <c r="S41" s="12"/>
      <c r="T41" s="12"/>
      <c r="U41" s="12"/>
      <c r="V41" s="12"/>
      <c r="W41" s="222"/>
      <c r="X41" s="222"/>
      <c r="Y41" s="222"/>
      <c r="Z41" s="222"/>
      <c r="AD41" s="251"/>
      <c r="AE41" s="251"/>
      <c r="AF41" s="251"/>
      <c r="AG41" s="251"/>
      <c r="AH41" s="251"/>
    </row>
    <row r="42" spans="1:34" s="7" customFormat="1" x14ac:dyDescent="0.2">
      <c r="A42" s="45" t="s">
        <v>224</v>
      </c>
      <c r="N42" s="13"/>
      <c r="O42" s="12">
        <f t="shared" ref="O42:AC42" si="6">O40+O35</f>
        <v>0</v>
      </c>
      <c r="P42" s="12">
        <f t="shared" si="6"/>
        <v>0</v>
      </c>
      <c r="Q42" s="12">
        <f t="shared" si="6"/>
        <v>0</v>
      </c>
      <c r="R42" s="12">
        <f t="shared" si="6"/>
        <v>0</v>
      </c>
      <c r="S42" s="12">
        <f t="shared" si="6"/>
        <v>0</v>
      </c>
      <c r="T42" s="12">
        <f t="shared" si="6"/>
        <v>0</v>
      </c>
      <c r="U42" s="12">
        <f t="shared" si="6"/>
        <v>0</v>
      </c>
      <c r="V42" s="12">
        <f t="shared" si="6"/>
        <v>0</v>
      </c>
      <c r="W42" s="12">
        <f t="shared" si="6"/>
        <v>0</v>
      </c>
      <c r="X42" s="12">
        <f t="shared" si="6"/>
        <v>0</v>
      </c>
      <c r="Y42" s="12">
        <f t="shared" si="6"/>
        <v>0</v>
      </c>
      <c r="Z42" s="12">
        <f t="shared" si="6"/>
        <v>0</v>
      </c>
      <c r="AA42" s="12">
        <f t="shared" si="6"/>
        <v>0</v>
      </c>
      <c r="AB42" s="12">
        <f t="shared" si="6"/>
        <v>0</v>
      </c>
      <c r="AC42" s="12">
        <f t="shared" si="6"/>
        <v>0</v>
      </c>
      <c r="AD42" s="12" t="str">
        <f>IF($B$11=20,AD40+AD35,"")</f>
        <v/>
      </c>
      <c r="AE42" s="12" t="str">
        <f>IF($B$11=20,AE40+AE35,"")</f>
        <v/>
      </c>
      <c r="AF42" s="12" t="str">
        <f>IF($B$11=20,AF40+AF35,"")</f>
        <v/>
      </c>
      <c r="AG42" s="12" t="str">
        <f>IF($B$11=20,AG40+AG35,"")</f>
        <v/>
      </c>
      <c r="AH42" s="12" t="str">
        <f>IF($B$11=20,AH40+AH35,"")</f>
        <v/>
      </c>
    </row>
    <row r="43" spans="1:34" x14ac:dyDescent="0.2">
      <c r="O43" s="15"/>
      <c r="P43" s="15"/>
      <c r="Q43" s="15"/>
      <c r="R43" s="15"/>
      <c r="S43" s="15"/>
      <c r="T43" s="15"/>
      <c r="U43" s="15"/>
      <c r="V43" s="15"/>
      <c r="W43" s="132"/>
      <c r="X43" s="132"/>
      <c r="Y43" s="132"/>
      <c r="Z43" s="132"/>
      <c r="AD43" s="351"/>
      <c r="AE43" s="352"/>
      <c r="AF43" s="352"/>
      <c r="AG43" s="352"/>
      <c r="AH43" s="352"/>
    </row>
    <row r="44" spans="1:34" ht="18" x14ac:dyDescent="0.25">
      <c r="A44" s="9" t="s">
        <v>10</v>
      </c>
      <c r="O44" s="11"/>
      <c r="P44" s="11"/>
      <c r="Q44" s="11"/>
      <c r="R44" s="11"/>
      <c r="S44" s="11"/>
      <c r="T44" s="11"/>
      <c r="U44" s="11"/>
      <c r="V44" s="11"/>
      <c r="W44" s="131"/>
      <c r="X44" s="131"/>
      <c r="Y44" s="131"/>
      <c r="Z44" s="131"/>
      <c r="AD44" s="352"/>
      <c r="AE44" s="352"/>
      <c r="AF44" s="352"/>
      <c r="AG44" s="352"/>
      <c r="AH44" s="352"/>
    </row>
    <row r="45" spans="1:34" x14ac:dyDescent="0.2">
      <c r="A45" s="7" t="s">
        <v>125</v>
      </c>
      <c r="O45" s="11"/>
      <c r="P45" s="11"/>
      <c r="Q45" s="11"/>
      <c r="R45" s="11"/>
      <c r="S45" s="11"/>
      <c r="T45" s="11"/>
      <c r="U45" s="11"/>
      <c r="V45" s="11"/>
      <c r="W45" s="131"/>
      <c r="X45" s="131"/>
      <c r="Y45" s="131"/>
      <c r="Z45" s="131"/>
    </row>
    <row r="46" spans="1:34" x14ac:dyDescent="0.2">
      <c r="B46" s="424" t="s">
        <v>28</v>
      </c>
      <c r="C46" s="425"/>
      <c r="D46" s="425"/>
      <c r="E46" s="425"/>
      <c r="F46" s="425"/>
      <c r="G46" s="425"/>
      <c r="H46" s="425"/>
      <c r="I46" s="425"/>
      <c r="J46" s="425"/>
      <c r="K46" s="425"/>
      <c r="L46" s="426"/>
      <c r="N46" s="196">
        <v>0</v>
      </c>
      <c r="O46" s="204">
        <v>0</v>
      </c>
      <c r="P46" s="197">
        <v>0</v>
      </c>
      <c r="Q46" s="197">
        <v>0</v>
      </c>
      <c r="R46" s="197">
        <v>0</v>
      </c>
      <c r="S46" s="197">
        <v>0</v>
      </c>
      <c r="T46" s="197">
        <v>0</v>
      </c>
      <c r="U46" s="197">
        <v>0</v>
      </c>
      <c r="V46" s="197">
        <v>0</v>
      </c>
      <c r="W46" s="197">
        <v>0</v>
      </c>
      <c r="X46" s="197">
        <v>0</v>
      </c>
      <c r="Y46" s="197">
        <v>0</v>
      </c>
      <c r="Z46" s="197">
        <v>0</v>
      </c>
      <c r="AA46" s="197">
        <v>0</v>
      </c>
      <c r="AB46" s="197">
        <v>0</v>
      </c>
      <c r="AC46" s="197">
        <v>0</v>
      </c>
      <c r="AD46" s="204">
        <v>0</v>
      </c>
      <c r="AE46" s="204">
        <v>0</v>
      </c>
      <c r="AF46" s="204">
        <v>0</v>
      </c>
      <c r="AG46" s="204">
        <v>0</v>
      </c>
      <c r="AH46" s="205">
        <v>0</v>
      </c>
    </row>
    <row r="47" spans="1:34" x14ac:dyDescent="0.2">
      <c r="B47" s="358" t="s">
        <v>3</v>
      </c>
      <c r="C47" s="359"/>
      <c r="D47" s="359"/>
      <c r="E47" s="359"/>
      <c r="F47" s="359"/>
      <c r="G47" s="359"/>
      <c r="H47" s="359"/>
      <c r="I47" s="359"/>
      <c r="J47" s="359"/>
      <c r="K47" s="359"/>
      <c r="L47" s="360"/>
      <c r="N47" s="198">
        <v>0</v>
      </c>
      <c r="O47" s="199">
        <v>0</v>
      </c>
      <c r="P47" s="199">
        <v>0</v>
      </c>
      <c r="Q47" s="199">
        <v>0</v>
      </c>
      <c r="R47" s="199">
        <v>0</v>
      </c>
      <c r="S47" s="199">
        <v>0</v>
      </c>
      <c r="T47" s="199">
        <v>0</v>
      </c>
      <c r="U47" s="199">
        <v>0</v>
      </c>
      <c r="V47" s="199">
        <v>0</v>
      </c>
      <c r="W47" s="162">
        <v>0</v>
      </c>
      <c r="X47" s="162">
        <v>0</v>
      </c>
      <c r="Y47" s="162">
        <v>0</v>
      </c>
      <c r="Z47" s="162">
        <v>0</v>
      </c>
      <c r="AA47" s="162">
        <v>0</v>
      </c>
      <c r="AB47" s="162">
        <v>0</v>
      </c>
      <c r="AC47" s="162">
        <v>0</v>
      </c>
      <c r="AD47" s="162">
        <v>0</v>
      </c>
      <c r="AE47" s="162">
        <v>0</v>
      </c>
      <c r="AF47" s="162">
        <v>0</v>
      </c>
      <c r="AG47" s="162">
        <v>0</v>
      </c>
      <c r="AH47" s="200">
        <v>0</v>
      </c>
    </row>
    <row r="48" spans="1:34" x14ac:dyDescent="0.2">
      <c r="B48" s="416" t="s">
        <v>68</v>
      </c>
      <c r="C48" s="417"/>
      <c r="D48" s="417"/>
      <c r="E48" s="417"/>
      <c r="F48" s="417"/>
      <c r="G48" s="417"/>
      <c r="H48" s="417"/>
      <c r="I48" s="417"/>
      <c r="J48" s="417"/>
      <c r="K48" s="417"/>
      <c r="L48" s="418"/>
      <c r="N48" s="198">
        <v>0</v>
      </c>
      <c r="O48" s="199">
        <v>0</v>
      </c>
      <c r="P48" s="199">
        <v>0</v>
      </c>
      <c r="Q48" s="199">
        <v>0</v>
      </c>
      <c r="R48" s="199">
        <v>0</v>
      </c>
      <c r="S48" s="199">
        <v>0</v>
      </c>
      <c r="T48" s="199">
        <v>0</v>
      </c>
      <c r="U48" s="199">
        <v>0</v>
      </c>
      <c r="V48" s="199">
        <v>0</v>
      </c>
      <c r="W48" s="162">
        <v>0</v>
      </c>
      <c r="X48" s="162">
        <v>0</v>
      </c>
      <c r="Y48" s="162">
        <v>0</v>
      </c>
      <c r="Z48" s="162">
        <v>0</v>
      </c>
      <c r="AA48" s="162">
        <v>0</v>
      </c>
      <c r="AB48" s="162">
        <v>0</v>
      </c>
      <c r="AC48" s="162">
        <v>0</v>
      </c>
      <c r="AD48" s="162">
        <v>0</v>
      </c>
      <c r="AE48" s="162">
        <v>0</v>
      </c>
      <c r="AF48" s="162">
        <v>0</v>
      </c>
      <c r="AG48" s="162">
        <v>0</v>
      </c>
      <c r="AH48" s="200">
        <v>0</v>
      </c>
    </row>
    <row r="49" spans="1:34" x14ac:dyDescent="0.2">
      <c r="B49" s="416" t="s">
        <v>18</v>
      </c>
      <c r="C49" s="417"/>
      <c r="D49" s="417"/>
      <c r="E49" s="417"/>
      <c r="F49" s="417"/>
      <c r="G49" s="417"/>
      <c r="H49" s="417"/>
      <c r="I49" s="417"/>
      <c r="J49" s="417"/>
      <c r="K49" s="417"/>
      <c r="L49" s="418"/>
      <c r="N49" s="198">
        <v>0</v>
      </c>
      <c r="O49" s="199">
        <v>0</v>
      </c>
      <c r="P49" s="199">
        <v>0</v>
      </c>
      <c r="Q49" s="199">
        <v>0</v>
      </c>
      <c r="R49" s="199">
        <v>0</v>
      </c>
      <c r="S49" s="199">
        <v>0</v>
      </c>
      <c r="T49" s="199">
        <v>0</v>
      </c>
      <c r="U49" s="199">
        <v>0</v>
      </c>
      <c r="V49" s="199">
        <v>0</v>
      </c>
      <c r="W49" s="162">
        <v>0</v>
      </c>
      <c r="X49" s="162">
        <v>0</v>
      </c>
      <c r="Y49" s="162">
        <v>0</v>
      </c>
      <c r="Z49" s="162">
        <v>0</v>
      </c>
      <c r="AA49" s="162">
        <v>0</v>
      </c>
      <c r="AB49" s="162">
        <v>0</v>
      </c>
      <c r="AC49" s="162">
        <v>0</v>
      </c>
      <c r="AD49" s="162">
        <v>0</v>
      </c>
      <c r="AE49" s="162">
        <v>0</v>
      </c>
      <c r="AF49" s="162">
        <v>0</v>
      </c>
      <c r="AG49" s="162">
        <v>0</v>
      </c>
      <c r="AH49" s="200">
        <v>0</v>
      </c>
    </row>
    <row r="50" spans="1:34" x14ac:dyDescent="0.2">
      <c r="B50" s="358" t="s">
        <v>4</v>
      </c>
      <c r="C50" s="359"/>
      <c r="D50" s="359"/>
      <c r="E50" s="359"/>
      <c r="F50" s="359"/>
      <c r="G50" s="359"/>
      <c r="H50" s="359"/>
      <c r="I50" s="359"/>
      <c r="J50" s="359"/>
      <c r="K50" s="359"/>
      <c r="L50" s="360"/>
      <c r="N50" s="198">
        <v>0</v>
      </c>
      <c r="O50" s="199">
        <v>0</v>
      </c>
      <c r="P50" s="199">
        <v>0</v>
      </c>
      <c r="Q50" s="199">
        <v>0</v>
      </c>
      <c r="R50" s="199">
        <v>0</v>
      </c>
      <c r="S50" s="199">
        <v>0</v>
      </c>
      <c r="T50" s="199">
        <v>0</v>
      </c>
      <c r="U50" s="199">
        <v>0</v>
      </c>
      <c r="V50" s="199">
        <v>0</v>
      </c>
      <c r="W50" s="162">
        <v>0</v>
      </c>
      <c r="X50" s="162">
        <v>0</v>
      </c>
      <c r="Y50" s="162">
        <v>0</v>
      </c>
      <c r="Z50" s="162">
        <v>0</v>
      </c>
      <c r="AA50" s="162">
        <v>0</v>
      </c>
      <c r="AB50" s="162">
        <v>0</v>
      </c>
      <c r="AC50" s="162">
        <v>0</v>
      </c>
      <c r="AD50" s="162">
        <v>0</v>
      </c>
      <c r="AE50" s="162">
        <v>0</v>
      </c>
      <c r="AF50" s="162">
        <v>0</v>
      </c>
      <c r="AG50" s="162">
        <v>0</v>
      </c>
      <c r="AH50" s="200">
        <v>0</v>
      </c>
    </row>
    <row r="51" spans="1:34" x14ac:dyDescent="0.2">
      <c r="B51" s="168" t="s">
        <v>5</v>
      </c>
      <c r="C51" s="169"/>
      <c r="D51" s="169"/>
      <c r="E51" s="169"/>
      <c r="F51" s="169"/>
      <c r="G51" s="169"/>
      <c r="H51" s="169"/>
      <c r="I51" s="169"/>
      <c r="J51" s="169"/>
      <c r="K51" s="169"/>
      <c r="L51" s="170"/>
      <c r="N51" s="198">
        <v>0</v>
      </c>
      <c r="O51" s="199">
        <v>0</v>
      </c>
      <c r="P51" s="199">
        <v>0</v>
      </c>
      <c r="Q51" s="199">
        <v>0</v>
      </c>
      <c r="R51" s="199">
        <v>0</v>
      </c>
      <c r="S51" s="199">
        <v>0</v>
      </c>
      <c r="T51" s="199">
        <v>0</v>
      </c>
      <c r="U51" s="199">
        <v>0</v>
      </c>
      <c r="V51" s="199">
        <v>0</v>
      </c>
      <c r="W51" s="162">
        <v>0</v>
      </c>
      <c r="X51" s="162">
        <v>0</v>
      </c>
      <c r="Y51" s="162">
        <v>0</v>
      </c>
      <c r="Z51" s="162">
        <v>0</v>
      </c>
      <c r="AA51" s="162">
        <v>0</v>
      </c>
      <c r="AB51" s="162">
        <v>0</v>
      </c>
      <c r="AC51" s="162">
        <v>0</v>
      </c>
      <c r="AD51" s="162">
        <v>0</v>
      </c>
      <c r="AE51" s="162">
        <v>0</v>
      </c>
      <c r="AF51" s="162">
        <v>0</v>
      </c>
      <c r="AG51" s="162">
        <v>0</v>
      </c>
      <c r="AH51" s="200">
        <v>0</v>
      </c>
    </row>
    <row r="52" spans="1:34" x14ac:dyDescent="0.2">
      <c r="B52" s="358" t="s">
        <v>6</v>
      </c>
      <c r="C52" s="359"/>
      <c r="D52" s="359"/>
      <c r="E52" s="359"/>
      <c r="F52" s="359"/>
      <c r="G52" s="359"/>
      <c r="H52" s="359"/>
      <c r="I52" s="359"/>
      <c r="J52" s="359"/>
      <c r="K52" s="359"/>
      <c r="L52" s="360"/>
      <c r="N52" s="198">
        <v>0</v>
      </c>
      <c r="O52" s="199">
        <v>0</v>
      </c>
      <c r="P52" s="199">
        <v>0</v>
      </c>
      <c r="Q52" s="199">
        <v>0</v>
      </c>
      <c r="R52" s="199">
        <v>0</v>
      </c>
      <c r="S52" s="199">
        <v>0</v>
      </c>
      <c r="T52" s="199">
        <v>0</v>
      </c>
      <c r="U52" s="199">
        <v>0</v>
      </c>
      <c r="V52" s="199">
        <v>0</v>
      </c>
      <c r="W52" s="162">
        <v>0</v>
      </c>
      <c r="X52" s="162">
        <v>0</v>
      </c>
      <c r="Y52" s="162">
        <v>0</v>
      </c>
      <c r="Z52" s="162">
        <v>0</v>
      </c>
      <c r="AA52" s="162">
        <v>0</v>
      </c>
      <c r="AB52" s="162">
        <v>0</v>
      </c>
      <c r="AC52" s="199">
        <f>AB52*1.015</f>
        <v>0</v>
      </c>
      <c r="AD52" s="162">
        <v>0</v>
      </c>
      <c r="AE52" s="162">
        <v>0</v>
      </c>
      <c r="AF52" s="162">
        <v>0</v>
      </c>
      <c r="AG52" s="162">
        <v>0</v>
      </c>
      <c r="AH52" s="200">
        <v>0</v>
      </c>
    </row>
    <row r="53" spans="1:34" x14ac:dyDescent="0.2">
      <c r="B53" s="358" t="s">
        <v>8</v>
      </c>
      <c r="C53" s="359"/>
      <c r="D53" s="359"/>
      <c r="E53" s="359"/>
      <c r="F53" s="359"/>
      <c r="G53" s="359"/>
      <c r="H53" s="359"/>
      <c r="I53" s="359"/>
      <c r="J53" s="359"/>
      <c r="K53" s="359"/>
      <c r="L53" s="360"/>
      <c r="N53" s="198">
        <v>0</v>
      </c>
      <c r="O53" s="199">
        <v>0</v>
      </c>
      <c r="P53" s="199">
        <v>0</v>
      </c>
      <c r="Q53" s="199">
        <v>0</v>
      </c>
      <c r="R53" s="199">
        <v>0</v>
      </c>
      <c r="S53" s="199">
        <v>0</v>
      </c>
      <c r="T53" s="199">
        <v>0</v>
      </c>
      <c r="U53" s="199">
        <v>0</v>
      </c>
      <c r="V53" s="199">
        <v>0</v>
      </c>
      <c r="W53" s="199">
        <v>0</v>
      </c>
      <c r="X53" s="162">
        <v>0</v>
      </c>
      <c r="Y53" s="162">
        <v>0</v>
      </c>
      <c r="Z53" s="162">
        <v>0</v>
      </c>
      <c r="AA53" s="162">
        <v>0</v>
      </c>
      <c r="AB53" s="162">
        <v>0</v>
      </c>
      <c r="AC53" s="162">
        <v>0</v>
      </c>
      <c r="AD53" s="162">
        <v>0</v>
      </c>
      <c r="AE53" s="162">
        <v>0</v>
      </c>
      <c r="AF53" s="162">
        <v>0</v>
      </c>
      <c r="AG53" s="162">
        <v>0</v>
      </c>
      <c r="AH53" s="200">
        <v>0</v>
      </c>
    </row>
    <row r="54" spans="1:34" x14ac:dyDescent="0.2">
      <c r="B54" s="419" t="s">
        <v>7</v>
      </c>
      <c r="C54" s="420"/>
      <c r="D54" s="420"/>
      <c r="E54" s="420"/>
      <c r="F54" s="420"/>
      <c r="G54" s="420"/>
      <c r="H54" s="420"/>
      <c r="I54" s="420"/>
      <c r="J54" s="420"/>
      <c r="K54" s="420"/>
      <c r="L54" s="421"/>
      <c r="M54" s="17"/>
      <c r="N54" s="201">
        <v>0</v>
      </c>
      <c r="O54" s="202">
        <v>0</v>
      </c>
      <c r="P54" s="202">
        <v>0</v>
      </c>
      <c r="Q54" s="202">
        <v>0</v>
      </c>
      <c r="R54" s="202">
        <v>0</v>
      </c>
      <c r="S54" s="202">
        <v>0</v>
      </c>
      <c r="T54" s="202">
        <v>0</v>
      </c>
      <c r="U54" s="202">
        <v>0</v>
      </c>
      <c r="V54" s="202">
        <v>0</v>
      </c>
      <c r="W54" s="202">
        <v>0</v>
      </c>
      <c r="X54" s="202">
        <v>0</v>
      </c>
      <c r="Y54" s="202">
        <v>0</v>
      </c>
      <c r="Z54" s="202">
        <v>0</v>
      </c>
      <c r="AA54" s="202">
        <v>0</v>
      </c>
      <c r="AB54" s="202">
        <v>0</v>
      </c>
      <c r="AC54" s="202">
        <v>0</v>
      </c>
      <c r="AD54" s="202">
        <v>0</v>
      </c>
      <c r="AE54" s="202">
        <v>0</v>
      </c>
      <c r="AF54" s="202">
        <v>0</v>
      </c>
      <c r="AG54" s="202">
        <v>0</v>
      </c>
      <c r="AH54" s="206">
        <v>0</v>
      </c>
    </row>
    <row r="55" spans="1:34" s="7" customFormat="1" x14ac:dyDescent="0.2">
      <c r="A55" s="7" t="s">
        <v>133</v>
      </c>
      <c r="B55" s="13"/>
      <c r="C55" s="13"/>
      <c r="D55" s="13"/>
      <c r="E55" s="13"/>
      <c r="F55" s="13"/>
      <c r="G55" s="13"/>
      <c r="H55" s="13"/>
      <c r="I55" s="13"/>
      <c r="J55" s="13"/>
      <c r="K55" s="13"/>
      <c r="L55" s="160"/>
      <c r="N55" s="12">
        <f>SUM(N46:N54)</f>
        <v>0</v>
      </c>
      <c r="O55" s="12">
        <f t="shared" ref="O55:AC55" si="7">SUM(O46:O54)</f>
        <v>0</v>
      </c>
      <c r="P55" s="12">
        <f t="shared" si="7"/>
        <v>0</v>
      </c>
      <c r="Q55" s="12">
        <f t="shared" si="7"/>
        <v>0</v>
      </c>
      <c r="R55" s="12">
        <f t="shared" si="7"/>
        <v>0</v>
      </c>
      <c r="S55" s="12">
        <f t="shared" si="7"/>
        <v>0</v>
      </c>
      <c r="T55" s="12">
        <f t="shared" si="7"/>
        <v>0</v>
      </c>
      <c r="U55" s="12">
        <f t="shared" si="7"/>
        <v>0</v>
      </c>
      <c r="V55" s="12">
        <f t="shared" si="7"/>
        <v>0</v>
      </c>
      <c r="W55" s="12">
        <f t="shared" si="7"/>
        <v>0</v>
      </c>
      <c r="X55" s="12">
        <f t="shared" si="7"/>
        <v>0</v>
      </c>
      <c r="Y55" s="12">
        <f t="shared" si="7"/>
        <v>0</v>
      </c>
      <c r="Z55" s="12">
        <f t="shared" si="7"/>
        <v>0</v>
      </c>
      <c r="AA55" s="12">
        <f t="shared" si="7"/>
        <v>0</v>
      </c>
      <c r="AB55" s="12">
        <f t="shared" si="7"/>
        <v>0</v>
      </c>
      <c r="AC55" s="12">
        <f t="shared" si="7"/>
        <v>0</v>
      </c>
      <c r="AD55" s="12" t="str">
        <f>IF($B$11=20,SUM(AD46:AD54),"")</f>
        <v/>
      </c>
      <c r="AE55" s="12" t="str">
        <f>IF($B$11=20,SUM(AE46:AE54),"")</f>
        <v/>
      </c>
      <c r="AF55" s="12" t="str">
        <f>IF($B$11=20,SUM(AF46:AF54),"")</f>
        <v/>
      </c>
      <c r="AG55" s="12" t="str">
        <f>IF($B$11=20,SUM(AG46:AG54),"")</f>
        <v/>
      </c>
      <c r="AH55" s="12" t="str">
        <f>IF($B$11=20,SUM(AH46:AH54),"")</f>
        <v/>
      </c>
    </row>
    <row r="56" spans="1:34" s="7" customFormat="1" ht="18" x14ac:dyDescent="0.25">
      <c r="B56" s="109" t="s">
        <v>76</v>
      </c>
      <c r="C56" s="13"/>
      <c r="D56" s="13"/>
      <c r="E56" s="109"/>
      <c r="F56" s="13"/>
      <c r="G56" s="13"/>
      <c r="H56" s="44"/>
      <c r="I56" s="13"/>
      <c r="J56" s="136"/>
      <c r="K56" s="13"/>
      <c r="L56" s="13"/>
      <c r="N56" s="13"/>
      <c r="O56" s="13"/>
      <c r="P56" s="13"/>
      <c r="Q56" s="13"/>
      <c r="R56" s="13"/>
      <c r="S56" s="13"/>
      <c r="T56" s="13"/>
      <c r="U56" s="13"/>
      <c r="V56" s="13"/>
      <c r="W56" s="34"/>
      <c r="X56" s="34"/>
      <c r="Y56" s="34"/>
      <c r="Z56" s="34"/>
      <c r="AA56" s="12"/>
      <c r="AB56" s="12"/>
      <c r="AC56" s="12"/>
    </row>
    <row r="57" spans="1:34" x14ac:dyDescent="0.2">
      <c r="A57" s="104" t="s">
        <v>75</v>
      </c>
      <c r="B57" s="290">
        <f>+B10</f>
        <v>15</v>
      </c>
      <c r="C57" s="415"/>
      <c r="E57" s="40"/>
      <c r="M57" s="11"/>
      <c r="N57" s="15"/>
      <c r="O57" s="124">
        <f t="shared" ref="O57:AC57" si="8">$N$20/$B$10</f>
        <v>0</v>
      </c>
      <c r="P57" s="124">
        <f t="shared" si="8"/>
        <v>0</v>
      </c>
      <c r="Q57" s="124">
        <f t="shared" si="8"/>
        <v>0</v>
      </c>
      <c r="R57" s="124">
        <f t="shared" si="8"/>
        <v>0</v>
      </c>
      <c r="S57" s="124">
        <f t="shared" si="8"/>
        <v>0</v>
      </c>
      <c r="T57" s="124">
        <f t="shared" si="8"/>
        <v>0</v>
      </c>
      <c r="U57" s="124">
        <f t="shared" si="8"/>
        <v>0</v>
      </c>
      <c r="V57" s="124">
        <f t="shared" si="8"/>
        <v>0</v>
      </c>
      <c r="W57" s="124">
        <f t="shared" si="8"/>
        <v>0</v>
      </c>
      <c r="X57" s="124">
        <f t="shared" si="8"/>
        <v>0</v>
      </c>
      <c r="Y57" s="124">
        <f t="shared" si="8"/>
        <v>0</v>
      </c>
      <c r="Z57" s="124">
        <f t="shared" si="8"/>
        <v>0</v>
      </c>
      <c r="AA57" s="124">
        <f t="shared" si="8"/>
        <v>0</v>
      </c>
      <c r="AB57" s="124">
        <f t="shared" si="8"/>
        <v>0</v>
      </c>
      <c r="AC57" s="124">
        <f t="shared" si="8"/>
        <v>0</v>
      </c>
      <c r="AD57" s="104" t="str">
        <f>IF($B$11=20,0,"")</f>
        <v/>
      </c>
      <c r="AE57" s="104" t="str">
        <f>IF($B$11=20,0,"")</f>
        <v/>
      </c>
      <c r="AF57" s="104" t="str">
        <f>IF($B$11=20,0,"")</f>
        <v/>
      </c>
      <c r="AG57" s="104" t="str">
        <f>IF($B$11=20,0,"")</f>
        <v/>
      </c>
      <c r="AH57" s="104" t="str">
        <f>IF($B$11=20,0,"")</f>
        <v/>
      </c>
    </row>
    <row r="58" spans="1:34" ht="12.75" hidden="1" customHeight="1" x14ac:dyDescent="0.2">
      <c r="A58" s="178" t="str">
        <f>IF(OR(AND('Hulpblad_overig '!B10=1,'Hulpblad_overig '!B30=1),AND('Hulpblad_overig '!B10=1,'Hulpblad_overig '!B30=2)),"Rentelasten annuïteitenlening extern","Rentelasten annuïteitenlening")</f>
        <v>Rentelasten annuïteitenlening</v>
      </c>
      <c r="B58" s="179"/>
      <c r="C58" s="179"/>
      <c r="D58" s="178"/>
      <c r="E58" s="178"/>
      <c r="F58" s="178"/>
      <c r="G58" s="178"/>
      <c r="H58" s="178"/>
      <c r="I58" s="178"/>
      <c r="J58" s="178"/>
      <c r="K58" s="178"/>
      <c r="L58" s="178"/>
      <c r="M58" s="178"/>
      <c r="N58" s="180"/>
      <c r="O58" s="180">
        <f t="shared" ref="O58:V58" si="9">IF(O29&gt;$E$27,0,IPMT($L$27,O29,$E$27,$L$24))*-1</f>
        <v>0</v>
      </c>
      <c r="P58" s="180">
        <f t="shared" si="9"/>
        <v>0</v>
      </c>
      <c r="Q58" s="180">
        <f t="shared" si="9"/>
        <v>0</v>
      </c>
      <c r="R58" s="180">
        <f t="shared" si="9"/>
        <v>0</v>
      </c>
      <c r="S58" s="180">
        <f t="shared" si="9"/>
        <v>0</v>
      </c>
      <c r="T58" s="180">
        <f t="shared" si="9"/>
        <v>0</v>
      </c>
      <c r="U58" s="180">
        <f t="shared" si="9"/>
        <v>0</v>
      </c>
      <c r="V58" s="180">
        <f t="shared" si="9"/>
        <v>0</v>
      </c>
      <c r="W58" s="180">
        <f>IF($B$10&gt;8,IF(W29&gt;$E$27,0,IPMT($L$27,W29,$E$27,$L$24))*-1,"")</f>
        <v>0</v>
      </c>
      <c r="X58" s="180">
        <f>IF($B$10&gt;8,IF(X29&gt;$E$27,0,IPMT($L$27,X29,$E$27,$L$24))*-1,"")</f>
        <v>0</v>
      </c>
      <c r="Y58" s="180">
        <f>IF($B$10&gt;8,IF(Y29&gt;$E$27,0,IPMT($L$27,Y29,$E$27,$L$24))*-1,"")</f>
        <v>0</v>
      </c>
      <c r="Z58" s="180">
        <f>IF($B$10&gt;8,IF(Z29&gt;$E$27,0,IPMT($L$27,Z29,$E$27,$L$24))*-1,"")</f>
        <v>0</v>
      </c>
      <c r="AA58" s="180">
        <f>IF($B$10&gt;12,IF(AA29&gt;$E$27,0,IPMT($L$27,AA29,$E$27,$L$24))*-1,"")</f>
        <v>0</v>
      </c>
      <c r="AB58" s="180">
        <f>IF($B$10&gt;12,IF(AB29&gt;$E$27,0,IPMT($L$27,AB29,$E$27,$L$24))*-1,"")</f>
        <v>0</v>
      </c>
      <c r="AC58" s="124">
        <f>IF($B$10&gt;12,IF(AC29&gt;$E$27,0,IPMT($L$27,AC29,$E$27,$L$24))*-1,"")</f>
        <v>0</v>
      </c>
      <c r="AD58" s="104" t="str">
        <f t="shared" ref="AD58:AD64" si="10">IF($B$11=20,0,"")</f>
        <v/>
      </c>
      <c r="AE58" s="104"/>
      <c r="AF58" s="104"/>
      <c r="AG58" s="104"/>
      <c r="AH58" s="104"/>
    </row>
    <row r="59" spans="1:34" ht="12.75" hidden="1" customHeight="1" x14ac:dyDescent="0.2">
      <c r="A59" s="178" t="str">
        <f>IF(OR(AND('Hulpblad_overig '!B10=1,'Hulpblad_overig '!B30=1),AND('Hulpblad_overig '!B10=1,'Hulpblad_overig '!B30=2)),"Aflossing annuïteitenlening extern","Aflossing annuïteitenlening")</f>
        <v>Aflossing annuïteitenlening</v>
      </c>
      <c r="B59" s="179"/>
      <c r="C59" s="179"/>
      <c r="D59" s="178"/>
      <c r="E59" s="178"/>
      <c r="F59" s="178"/>
      <c r="G59" s="178"/>
      <c r="H59" s="178"/>
      <c r="I59" s="178"/>
      <c r="J59" s="178"/>
      <c r="K59" s="178"/>
      <c r="L59" s="178"/>
      <c r="M59" s="178"/>
      <c r="N59" s="180"/>
      <c r="O59" s="180">
        <f t="shared" ref="O59:V59" si="11">IF(O29&gt;$E$27,0,PPMT($L$27,O29,$E$27,$L$24))*-1</f>
        <v>0</v>
      </c>
      <c r="P59" s="180">
        <f t="shared" si="11"/>
        <v>0</v>
      </c>
      <c r="Q59" s="180">
        <f t="shared" si="11"/>
        <v>0</v>
      </c>
      <c r="R59" s="180">
        <f t="shared" si="11"/>
        <v>0</v>
      </c>
      <c r="S59" s="180">
        <f t="shared" si="11"/>
        <v>0</v>
      </c>
      <c r="T59" s="180">
        <f t="shared" si="11"/>
        <v>0</v>
      </c>
      <c r="U59" s="180">
        <f t="shared" si="11"/>
        <v>0</v>
      </c>
      <c r="V59" s="180">
        <f t="shared" si="11"/>
        <v>0</v>
      </c>
      <c r="W59" s="180">
        <f>IF($B$10&gt;8,IF(W29&gt;$E$27,0,PPMT($L$27,W29,$E$27,$L$24))*-1,"")</f>
        <v>0</v>
      </c>
      <c r="X59" s="180">
        <f>IF($B$10&gt;8,IF(X29&gt;$E$27,0,PPMT($L$27,X29,$E$27,$L$24))*-1,"")</f>
        <v>0</v>
      </c>
      <c r="Y59" s="180">
        <f>IF($B$10&gt;8,IF(Y29&gt;$E$27,0,PPMT($L$27,Y29,$E$27,$L$24))*-1,"")</f>
        <v>0</v>
      </c>
      <c r="Z59" s="180">
        <f>IF($B$10&gt;8,IF(Z29&gt;$E$27,0,PPMT($L$27,Z29,$E$27,$L$24))*-1,"")</f>
        <v>0</v>
      </c>
      <c r="AA59" s="180">
        <f>IF($B$10&gt;12,IF(AA29&gt;$E$27,0,PPMT($L$27,AA29,$E$27,$L$24))*-1,"")</f>
        <v>0</v>
      </c>
      <c r="AB59" s="180">
        <f>IF($B$10&gt;12,IF(AB29&gt;$E$27,0,PPMT($L$27,AB29,$E$27,$L$24))*-1,"")</f>
        <v>0</v>
      </c>
      <c r="AC59" s="124">
        <f>IF($B$10&gt;12,IF(AC29&gt;$E$27,0,PPMT($L$27,AC29,$E$27,$L$24))*-1,"")</f>
        <v>0</v>
      </c>
      <c r="AD59" s="104" t="str">
        <f t="shared" si="10"/>
        <v/>
      </c>
      <c r="AE59" s="104"/>
      <c r="AF59" s="104"/>
      <c r="AG59" s="104"/>
      <c r="AH59" s="104"/>
    </row>
    <row r="60" spans="1:34" ht="12.75" hidden="1" customHeight="1" x14ac:dyDescent="0.2">
      <c r="A60" s="178" t="str">
        <f>IF(OR(AND('Hulpblad_overig '!B10=1,'Hulpblad_overig '!B30=1),AND('Hulpblad_overig '!B10=1,'Hulpblad_overig '!B30=2)),"Rentelasten lineaire lening extern","Rentelasten lineaire lening")</f>
        <v>Rentelasten lineaire lening</v>
      </c>
      <c r="B60" s="179"/>
      <c r="C60" s="179"/>
      <c r="D60" s="178"/>
      <c r="E60" s="178"/>
      <c r="F60" s="178"/>
      <c r="G60" s="178"/>
      <c r="H60" s="178"/>
      <c r="I60" s="178"/>
      <c r="J60" s="178"/>
      <c r="K60" s="178"/>
      <c r="L60" s="178"/>
      <c r="M60" s="178"/>
      <c r="N60" s="180"/>
      <c r="O60" s="180">
        <f>$L$24*$L$27</f>
        <v>0</v>
      </c>
      <c r="P60" s="180">
        <f t="shared" ref="P60:V60" si="12">O62*$L$27</f>
        <v>0</v>
      </c>
      <c r="Q60" s="180">
        <f t="shared" si="12"/>
        <v>0</v>
      </c>
      <c r="R60" s="180">
        <f t="shared" si="12"/>
        <v>0</v>
      </c>
      <c r="S60" s="180">
        <f t="shared" si="12"/>
        <v>0</v>
      </c>
      <c r="T60" s="180">
        <f t="shared" si="12"/>
        <v>0</v>
      </c>
      <c r="U60" s="180">
        <f t="shared" si="12"/>
        <v>0</v>
      </c>
      <c r="V60" s="180">
        <f t="shared" si="12"/>
        <v>0</v>
      </c>
      <c r="W60" s="180">
        <f>IF($B$10&gt;8,V62*$L$27,"")</f>
        <v>0</v>
      </c>
      <c r="X60" s="180">
        <f>IF($B$10&gt;8,W62*$L$27,"")</f>
        <v>0</v>
      </c>
      <c r="Y60" s="180">
        <f>IF($B$10&gt;8,X62*$L$27,"")</f>
        <v>0</v>
      </c>
      <c r="Z60" s="180">
        <f>IF($B$10&gt;8,Y62*$L$27,"")</f>
        <v>0</v>
      </c>
      <c r="AA60" s="180">
        <f>IF($B$10&gt;12,Z62*$L$27,"")</f>
        <v>0</v>
      </c>
      <c r="AB60" s="180">
        <f>IF($B$10&gt;12,AA62*$L$27,"")</f>
        <v>0</v>
      </c>
      <c r="AC60" s="124">
        <f>IF($B$10&gt;12,AB62*$L$27,"")</f>
        <v>0</v>
      </c>
      <c r="AD60" s="104" t="str">
        <f t="shared" si="10"/>
        <v/>
      </c>
      <c r="AE60" s="104"/>
      <c r="AF60" s="104"/>
      <c r="AG60" s="104"/>
      <c r="AH60" s="104"/>
    </row>
    <row r="61" spans="1:34" ht="12.75" hidden="1" customHeight="1" x14ac:dyDescent="0.2">
      <c r="A61" s="178" t="str">
        <f>IF(OR(AND('Hulpblad_overig '!B10=1,'Hulpblad_overig '!B30=1),AND('Hulpblad_overig '!B10=1,'Hulpblad_overig '!B30=2)),"Aflossing lineaire lening extern","Aflossing lineaire lening")</f>
        <v>Aflossing lineaire lening</v>
      </c>
      <c r="B61" s="179"/>
      <c r="C61" s="179"/>
      <c r="D61" s="178"/>
      <c r="E61" s="178"/>
      <c r="F61" s="178"/>
      <c r="G61" s="178"/>
      <c r="H61" s="178"/>
      <c r="I61" s="178"/>
      <c r="J61" s="178"/>
      <c r="K61" s="178"/>
      <c r="L61" s="178"/>
      <c r="M61" s="178"/>
      <c r="N61" s="180"/>
      <c r="O61" s="180">
        <f t="shared" ref="O61:V61" si="13">IF(O29&gt;$E$27,0,$L$24/$E27)</f>
        <v>0</v>
      </c>
      <c r="P61" s="180">
        <f t="shared" si="13"/>
        <v>0</v>
      </c>
      <c r="Q61" s="180">
        <f t="shared" si="13"/>
        <v>0</v>
      </c>
      <c r="R61" s="180">
        <f t="shared" si="13"/>
        <v>0</v>
      </c>
      <c r="S61" s="180">
        <f t="shared" si="13"/>
        <v>0</v>
      </c>
      <c r="T61" s="180">
        <f t="shared" si="13"/>
        <v>0</v>
      </c>
      <c r="U61" s="180">
        <f t="shared" si="13"/>
        <v>0</v>
      </c>
      <c r="V61" s="180">
        <f t="shared" si="13"/>
        <v>0</v>
      </c>
      <c r="W61" s="180">
        <f>IF($B$10&gt;8,IF(W29&gt;$E$27,0,$L$24/$E27),"")</f>
        <v>0</v>
      </c>
      <c r="X61" s="180">
        <f>IF($B$10&gt;8,IF(X29&gt;$E$27,0,$L$24/$E27),"")</f>
        <v>0</v>
      </c>
      <c r="Y61" s="180">
        <f>IF($B$10&gt;8,IF(Y29&gt;$E$27,0,$L$24/$E27),"")</f>
        <v>0</v>
      </c>
      <c r="Z61" s="180">
        <f>IF($B$10&gt;8,IF(Z29&gt;$E$27,0,$L$24/$E27),"")</f>
        <v>0</v>
      </c>
      <c r="AA61" s="180">
        <f>IF($B$10&gt;12,IF(AA29&gt;$E$27,0,$L$24/$E27),"")</f>
        <v>0</v>
      </c>
      <c r="AB61" s="180">
        <f>IF($B$10&gt;12,IF(AB29&gt;$E$27,0,$L$24/$E27),"")</f>
        <v>0</v>
      </c>
      <c r="AC61" s="124">
        <f>IF($B$10&gt;12,IF(AC29&gt;$E$27,0,$L$24/$E27),"")</f>
        <v>0</v>
      </c>
      <c r="AD61" s="104" t="str">
        <f t="shared" si="10"/>
        <v/>
      </c>
      <c r="AE61" s="104"/>
      <c r="AF61" s="104"/>
      <c r="AG61" s="104"/>
      <c r="AH61" s="104"/>
    </row>
    <row r="62" spans="1:34" ht="12.75" hidden="1" customHeight="1" x14ac:dyDescent="0.2">
      <c r="A62" s="178" t="s">
        <v>31</v>
      </c>
      <c r="B62" s="179"/>
      <c r="C62" s="179"/>
      <c r="D62" s="178"/>
      <c r="E62" s="178"/>
      <c r="F62" s="178"/>
      <c r="G62" s="178"/>
      <c r="H62" s="178"/>
      <c r="I62" s="178"/>
      <c r="J62" s="178"/>
      <c r="K62" s="178"/>
      <c r="L62" s="178"/>
      <c r="M62" s="178"/>
      <c r="N62" s="180"/>
      <c r="O62" s="180">
        <f>$L$24-O61</f>
        <v>0</v>
      </c>
      <c r="P62" s="180">
        <f>O62-P61</f>
        <v>0</v>
      </c>
      <c r="Q62" s="180">
        <f t="shared" ref="Q62:V62" si="14">P62-Q61</f>
        <v>0</v>
      </c>
      <c r="R62" s="180">
        <f t="shared" si="14"/>
        <v>0</v>
      </c>
      <c r="S62" s="180">
        <f t="shared" si="14"/>
        <v>0</v>
      </c>
      <c r="T62" s="180">
        <f t="shared" si="14"/>
        <v>0</v>
      </c>
      <c r="U62" s="180">
        <f t="shared" si="14"/>
        <v>0</v>
      </c>
      <c r="V62" s="180">
        <f t="shared" si="14"/>
        <v>0</v>
      </c>
      <c r="W62" s="180">
        <f>IF($B$10&gt;8,V62-W61,"")</f>
        <v>0</v>
      </c>
      <c r="X62" s="180">
        <f>IF($B$10&gt;8,W62-X61,"")</f>
        <v>0</v>
      </c>
      <c r="Y62" s="180">
        <f>IF($B$10&gt;8,X62-Y61,"")</f>
        <v>0</v>
      </c>
      <c r="Z62" s="180">
        <f>IF($B$10&gt;8,Y62-Z61,"")</f>
        <v>0</v>
      </c>
      <c r="AA62" s="180">
        <f>IF($B$10&gt;12,Z62-AA61,"")</f>
        <v>0</v>
      </c>
      <c r="AB62" s="180">
        <f>IF($B$10&gt;12,AA62-AB61,"")</f>
        <v>0</v>
      </c>
      <c r="AC62" s="124">
        <f>IF($B$10&gt;12,AB62-AC61,"")</f>
        <v>0</v>
      </c>
      <c r="AD62" s="104" t="str">
        <f t="shared" si="10"/>
        <v/>
      </c>
      <c r="AE62" s="104"/>
      <c r="AF62" s="104"/>
      <c r="AG62" s="104"/>
      <c r="AH62" s="104"/>
    </row>
    <row r="63" spans="1:34" x14ac:dyDescent="0.2">
      <c r="A63" s="104" t="str">
        <f>IF('Hulpblad_overig '!$A$39=1,A58,IF('Hulpblad_overig '!$A$39=2,A60,0))</f>
        <v>Rentelasten annuïteitenlening</v>
      </c>
      <c r="D63" s="126"/>
      <c r="E63" s="125"/>
      <c r="F63" s="126"/>
      <c r="G63" s="126"/>
      <c r="I63" s="18"/>
      <c r="K63" s="19"/>
      <c r="N63" s="15"/>
      <c r="O63" s="124">
        <f>IF('Hulpblad_overig '!$A$39=1,O58,IF('Hulpblad_overig '!$A$39=2,O60,0))</f>
        <v>0</v>
      </c>
      <c r="P63" s="124">
        <f>IF('Hulpblad_overig '!$A$39=1,P58,IF('Hulpblad_overig '!$A$39=2,P60,0))</f>
        <v>0</v>
      </c>
      <c r="Q63" s="124">
        <f>IF('Hulpblad_overig '!$A$39=1,Q58,IF('Hulpblad_overig '!$A$39=2,Q60,0))</f>
        <v>0</v>
      </c>
      <c r="R63" s="124">
        <f>IF('Hulpblad_overig '!$A$39=1,R58,IF('Hulpblad_overig '!$A$39=2,R60,0))</f>
        <v>0</v>
      </c>
      <c r="S63" s="124">
        <f>IF('Hulpblad_overig '!$A$39=1,S58,IF('Hulpblad_overig '!$A$39=2,S60,0))</f>
        <v>0</v>
      </c>
      <c r="T63" s="124">
        <f>IF('Hulpblad_overig '!$A$39=1,T58,IF('Hulpblad_overig '!$A$39=2,T60,0))</f>
        <v>0</v>
      </c>
      <c r="U63" s="124">
        <f>IF('Hulpblad_overig '!$A$39=1,U58,IF('Hulpblad_overig '!$A$39=2,U60,0))</f>
        <v>0</v>
      </c>
      <c r="V63" s="124">
        <f>IF('Hulpblad_overig '!$A$39=1,V58,IF('Hulpblad_overig '!$A$39=2,V60,0))</f>
        <v>0</v>
      </c>
      <c r="W63" s="124">
        <f>IF('Hulpblad_overig '!$A$39=1,W58,IF('Hulpblad_overig '!$A$39=2,W60,0))</f>
        <v>0</v>
      </c>
      <c r="X63" s="124">
        <f>IF('Hulpblad_overig '!$A$39=1,X58,IF('Hulpblad_overig '!$A$39=2,X60,0))</f>
        <v>0</v>
      </c>
      <c r="Y63" s="124">
        <f>IF('Hulpblad_overig '!$A$39=1,Y58,IF('Hulpblad_overig '!$A$39=2,Y60,0))</f>
        <v>0</v>
      </c>
      <c r="Z63" s="124">
        <f>IF('Hulpblad_overig '!$A$39=1,Z58,IF('Hulpblad_overig '!$A$39=2,Z60,0))</f>
        <v>0</v>
      </c>
      <c r="AA63" s="124">
        <f>IF('Hulpblad_overig '!$A$39=1,AA58,IF('Hulpblad_overig '!$A$39=2,AA60,0))</f>
        <v>0</v>
      </c>
      <c r="AB63" s="124">
        <f>IF('Hulpblad_overig '!$A$39=1,AB58,IF('Hulpblad_overig '!$A$39=2,AB60,0))</f>
        <v>0</v>
      </c>
      <c r="AC63" s="124">
        <f>IF('Hulpblad_overig '!$A$39=1,AC58,IF('Hulpblad_overig '!$A$39=2,AC60,0))</f>
        <v>0</v>
      </c>
      <c r="AD63" s="104" t="str">
        <f t="shared" si="10"/>
        <v/>
      </c>
      <c r="AE63" s="104" t="str">
        <f t="shared" ref="AE63:AH64" si="15">IF($B$11=20,0,"")</f>
        <v/>
      </c>
      <c r="AF63" s="104" t="str">
        <f t="shared" si="15"/>
        <v/>
      </c>
      <c r="AG63" s="104" t="str">
        <f t="shared" si="15"/>
        <v/>
      </c>
      <c r="AH63" s="104" t="str">
        <f t="shared" si="15"/>
        <v/>
      </c>
    </row>
    <row r="64" spans="1:34" x14ac:dyDescent="0.2">
      <c r="A64" s="104" t="str">
        <f>IF('Hulpblad_overig '!$A$39=1,A59,IF('Hulpblad_overig '!$A$39=2,A61,0))</f>
        <v>Aflossing annuïteitenlening</v>
      </c>
      <c r="D64" s="126"/>
      <c r="E64" s="125"/>
      <c r="F64" s="126"/>
      <c r="G64" s="126"/>
      <c r="I64" s="18"/>
      <c r="K64" s="19"/>
      <c r="N64" s="15"/>
      <c r="O64" s="124">
        <f>IF('Hulpblad_overig '!$A$39=1,O59,IF('Hulpblad_overig '!$A$39=2,O61,0))</f>
        <v>0</v>
      </c>
      <c r="P64" s="124">
        <f>IF('Hulpblad_overig '!$A$39=1,P59,IF('Hulpblad_overig '!$A$39=2,P61,0))</f>
        <v>0</v>
      </c>
      <c r="Q64" s="124">
        <f>IF('Hulpblad_overig '!$A$39=1,Q59,IF('Hulpblad_overig '!$A$39=2,Q61,0))</f>
        <v>0</v>
      </c>
      <c r="R64" s="124">
        <f>IF('Hulpblad_overig '!$A$39=1,R59,IF('Hulpblad_overig '!$A$39=2,R61,0))</f>
        <v>0</v>
      </c>
      <c r="S64" s="124">
        <f>IF('Hulpblad_overig '!$A$39=1,S59,IF('Hulpblad_overig '!$A$39=2,S61,0))</f>
        <v>0</v>
      </c>
      <c r="T64" s="124">
        <f>IF('Hulpblad_overig '!$A$39=1,T59,IF('Hulpblad_overig '!$A$39=2,T61,0))</f>
        <v>0</v>
      </c>
      <c r="U64" s="124">
        <f>IF('Hulpblad_overig '!$A$39=1,U59,IF('Hulpblad_overig '!$A$39=2,U61,0))</f>
        <v>0</v>
      </c>
      <c r="V64" s="124">
        <f>IF('Hulpblad_overig '!$A$39=1,V59,IF('Hulpblad_overig '!$A$39=2,V61,0))</f>
        <v>0</v>
      </c>
      <c r="W64" s="124">
        <f>IF('Hulpblad_overig '!$A$39=1,W59,IF('Hulpblad_overig '!$A$39=2,W61,0))</f>
        <v>0</v>
      </c>
      <c r="X64" s="124">
        <f>IF('Hulpblad_overig '!$A$39=1,X59,IF('Hulpblad_overig '!$A$39=2,X61,0))</f>
        <v>0</v>
      </c>
      <c r="Y64" s="124">
        <f>IF('Hulpblad_overig '!$A$39=1,Y59,IF('Hulpblad_overig '!$A$39=2,Y61,0))</f>
        <v>0</v>
      </c>
      <c r="Z64" s="124">
        <f>IF('Hulpblad_overig '!$A$39=1,Z59,IF('Hulpblad_overig '!$A$39=2,Z61,0))</f>
        <v>0</v>
      </c>
      <c r="AA64" s="124">
        <f>IF('Hulpblad_overig '!$A$39=1,AA59,IF('Hulpblad_overig '!$A$39=2,AA61,0))</f>
        <v>0</v>
      </c>
      <c r="AB64" s="124">
        <f>IF('Hulpblad_overig '!$A$39=1,AB59,IF('Hulpblad_overig '!$A$39=2,AB61,0))</f>
        <v>0</v>
      </c>
      <c r="AC64" s="124">
        <f>IF('Hulpblad_overig '!$A$39=1,AC59,IF('Hulpblad_overig '!$A$39=2,AC61,0))</f>
        <v>0</v>
      </c>
      <c r="AD64" s="104" t="str">
        <f t="shared" si="10"/>
        <v/>
      </c>
      <c r="AE64" s="104" t="str">
        <f t="shared" si="15"/>
        <v/>
      </c>
      <c r="AF64" s="104" t="str">
        <f t="shared" si="15"/>
        <v/>
      </c>
      <c r="AG64" s="104" t="str">
        <f t="shared" si="15"/>
        <v/>
      </c>
      <c r="AH64" s="104" t="str">
        <f t="shared" si="15"/>
        <v/>
      </c>
    </row>
    <row r="65" spans="1:34" x14ac:dyDescent="0.2">
      <c r="A65" s="104"/>
      <c r="B65" s="127"/>
      <c r="C65" s="126"/>
      <c r="D65" s="126"/>
      <c r="E65" s="126"/>
      <c r="F65" s="126"/>
      <c r="G65" s="126"/>
      <c r="I65" s="18"/>
      <c r="J65" s="126"/>
      <c r="K65" s="19"/>
      <c r="N65" s="15"/>
      <c r="O65" s="124"/>
      <c r="P65" s="124"/>
      <c r="Q65" s="124"/>
      <c r="R65" s="124"/>
      <c r="S65" s="124"/>
      <c r="T65" s="124"/>
      <c r="U65" s="124"/>
      <c r="V65" s="124"/>
      <c r="W65" s="124"/>
      <c r="X65" s="124"/>
      <c r="Y65" s="124"/>
      <c r="Z65" s="124"/>
      <c r="AA65" s="124"/>
      <c r="AB65" s="124"/>
      <c r="AC65" s="124"/>
      <c r="AD65" s="104"/>
      <c r="AE65" s="104"/>
      <c r="AF65" s="104"/>
      <c r="AG65" s="104"/>
      <c r="AH65" s="104"/>
    </row>
    <row r="66" spans="1:34" ht="12.75" hidden="1" customHeight="1" x14ac:dyDescent="0.2">
      <c r="A66" s="178" t="s">
        <v>159</v>
      </c>
      <c r="N66" s="15"/>
      <c r="O66" s="180">
        <f>IF(OR(AND('Hulpblad_overig '!B10&lt;3,'Hulpblad_overig '!B30=1),AND('Hulpblad_overig '!B10&lt;3,'Hulpblad_overig '!B30=2),AND('Hulpblad_overig '!B10&lt;3,'Hulpblad_overig '!B30=3)),Financiering_en_projectplan!$M$57*Financiering_en_projectplan!$I$53,0)</f>
        <v>0</v>
      </c>
      <c r="P66" s="180">
        <f>IF(OR(AND('Hulpblad_overig '!$B$10&lt;3,'Hulpblad_overig '!$B$30=1),AND('Hulpblad_overig '!$B$10&lt;3,'Hulpblad_overig '!$B$30=2),AND('Hulpblad_overig '!$B$10&lt;3,'Hulpblad_overig '!$B$30=3)),O68*Financiering_en_projectplan!$I$53,0)</f>
        <v>0</v>
      </c>
      <c r="Q66" s="180">
        <f>IF(OR(AND('Hulpblad_overig '!$B$10&lt;3,'Hulpblad_overig '!$B$30=1),AND('Hulpblad_overig '!$B$10&lt;3,'Hulpblad_overig '!$B$30=2),AND('Hulpblad_overig '!$B$10&lt;3,'Hulpblad_overig '!$B$30=3)),P68*Financiering_en_projectplan!$I$53,0)</f>
        <v>0</v>
      </c>
      <c r="R66" s="180">
        <f>IF(OR(AND('Hulpblad_overig '!$B$10&lt;3,'Hulpblad_overig '!$B$30=1),AND('Hulpblad_overig '!$B$10&lt;3,'Hulpblad_overig '!$B$30=2),AND('Hulpblad_overig '!$B$10&lt;3,'Hulpblad_overig '!$B$30=3)),Q68*Financiering_en_projectplan!$I$53,0)</f>
        <v>0</v>
      </c>
      <c r="S66" s="180">
        <f>IF(OR(AND('Hulpblad_overig '!$B$10&lt;3,'Hulpblad_overig '!$B$30=1),AND('Hulpblad_overig '!$B$10&lt;3,'Hulpblad_overig '!$B$30=2),AND('Hulpblad_overig '!$B$10&lt;3,'Hulpblad_overig '!$B$30=3)),R68*Financiering_en_projectplan!$I$53,0)</f>
        <v>0</v>
      </c>
      <c r="T66" s="180">
        <f>IF(OR(AND('Hulpblad_overig '!$B$10&lt;3,'Hulpblad_overig '!$B$30=1),AND('Hulpblad_overig '!$B$10&lt;3,'Hulpblad_overig '!$B$30=2),AND('Hulpblad_overig '!$B$10&lt;3,'Hulpblad_overig '!$B$30=3)),S68*Financiering_en_projectplan!$I$53,0)</f>
        <v>0</v>
      </c>
      <c r="U66" s="180">
        <f>IF(OR(AND('Hulpblad_overig '!$B$10&lt;3,'Hulpblad_overig '!$B$30=1),AND('Hulpblad_overig '!$B$10&lt;3,'Hulpblad_overig '!$B$30=2),AND('Hulpblad_overig '!$B$10&lt;3,'Hulpblad_overig '!$B$30=3)),T68*Financiering_en_projectplan!$I$53,0)</f>
        <v>0</v>
      </c>
      <c r="V66" s="180">
        <f>IF(OR(AND('Hulpblad_overig '!$B$10&lt;3,'Hulpblad_overig '!$B$30=1),AND('Hulpblad_overig '!$B$10&lt;3,'Hulpblad_overig '!$B$30=2),AND('Hulpblad_overig '!$B$10&lt;3,'Hulpblad_overig '!$B$30=3)),U68*Financiering_en_projectplan!$I$53,0)</f>
        <v>0</v>
      </c>
      <c r="W66" s="180">
        <f>IF(OR(AND('Hulpblad_overig '!$B$10&lt;3,'Hulpblad_overig '!$B$30=1),AND('Hulpblad_overig '!$B$10&lt;3,'Hulpblad_overig '!$B$30=2),AND('Hulpblad_overig '!$B$10&lt;3,'Hulpblad_overig '!$B$30=3)),V68*Financiering_en_projectplan!$I$53,0)</f>
        <v>0</v>
      </c>
      <c r="X66" s="180">
        <f>IF(OR(AND('Hulpblad_overig '!$B$10&lt;3,'Hulpblad_overig '!$B$30=1),AND('Hulpblad_overig '!$B$10&lt;3,'Hulpblad_overig '!$B$30=2),AND('Hulpblad_overig '!$B$10&lt;3,'Hulpblad_overig '!$B$30=3)),W68*Financiering_en_projectplan!$I$53,0)</f>
        <v>0</v>
      </c>
      <c r="Y66" s="180">
        <f>IF(OR(AND('Hulpblad_overig '!$B$10&lt;3,'Hulpblad_overig '!$B$30=1),AND('Hulpblad_overig '!$B$10&lt;3,'Hulpblad_overig '!$B$30=2),AND('Hulpblad_overig '!$B$10&lt;3,'Hulpblad_overig '!$B$30=3)),X68*Financiering_en_projectplan!$I$53,0)</f>
        <v>0</v>
      </c>
      <c r="Z66" s="180">
        <f>IF(OR(AND('Hulpblad_overig '!$B$10&lt;3,'Hulpblad_overig '!$B$30=1),AND('Hulpblad_overig '!$B$10&lt;3,'Hulpblad_overig '!$B$30=2),AND('Hulpblad_overig '!$B$10&lt;3,'Hulpblad_overig '!$B$30=3)),Y68*Financiering_en_projectplan!$I$53,0)</f>
        <v>0</v>
      </c>
      <c r="AA66" s="180">
        <f>IF(OR(AND('Hulpblad_overig '!$B$10&lt;3,'Hulpblad_overig '!$B$30=1),AND('Hulpblad_overig '!$B$10&lt;3,'Hulpblad_overig '!$B$30=2),AND('Hulpblad_overig '!$B$10&lt;3,'Hulpblad_overig '!$B$30=3)),Z68*Financiering_en_projectplan!$I$53,0)</f>
        <v>0</v>
      </c>
      <c r="AB66" s="180">
        <f>IF(OR(AND('Hulpblad_overig '!$B$10&lt;3,'Hulpblad_overig '!$B$30=1),AND('Hulpblad_overig '!$B$10&lt;3,'Hulpblad_overig '!$B$30=2),AND('Hulpblad_overig '!$B$10&lt;3,'Hulpblad_overig '!$B$30=3)),AA68*Financiering_en_projectplan!$I$53,0)</f>
        <v>0</v>
      </c>
      <c r="AC66" s="180">
        <f>IF(OR(AND('Hulpblad_overig '!$B$10&lt;3,'Hulpblad_overig '!$B$30=1),AND('Hulpblad_overig '!$B$10&lt;3,'Hulpblad_overig '!$B$30=2),AND('Hulpblad_overig '!$B$10&lt;3,'Hulpblad_overig '!$B$30=3)),AB68*Financiering_en_projectplan!$I$53,0)</f>
        <v>0</v>
      </c>
      <c r="AD66" s="180">
        <f>IF(OR(AND('Hulpblad_overig '!$B$10&lt;3,'Hulpblad_overig '!$B$30=1),AND('Hulpblad_overig '!$B$10&lt;3,'Hulpblad_overig '!$B$30=2),AND('Hulpblad_overig '!$B$10&lt;3,'Hulpblad_overig '!$B$30=3)),AC68*Financiering_en_projectplan!$I$53,0)</f>
        <v>0</v>
      </c>
      <c r="AE66" s="180">
        <f>IF(OR(AND('Hulpblad_overig '!$B$10&lt;3,'Hulpblad_overig '!$B$30=1),AND('Hulpblad_overig '!$B$10&lt;3,'Hulpblad_overig '!$B$30=2),AND('Hulpblad_overig '!$B$10&lt;3,'Hulpblad_overig '!$B$30=3)),AD68*Financiering_en_projectplan!$I$53,0)</f>
        <v>0</v>
      </c>
      <c r="AF66" s="180">
        <f>IF(OR(AND('Hulpblad_overig '!$B$10&lt;3,'Hulpblad_overig '!$B$30=1),AND('Hulpblad_overig '!$B$10&lt;3,'Hulpblad_overig '!$B$30=2),AND('Hulpblad_overig '!$B$10&lt;3,'Hulpblad_overig '!$B$30=3)),AE68*Financiering_en_projectplan!$I$53,0)</f>
        <v>0</v>
      </c>
      <c r="AG66" s="180">
        <f>IF(OR(AND('Hulpblad_overig '!$B$10&lt;3,'Hulpblad_overig '!$B$30=1),AND('Hulpblad_overig '!$B$10&lt;3,'Hulpblad_overig '!$B$30=2),AND('Hulpblad_overig '!$B$10&lt;3,'Hulpblad_overig '!$B$30=3)),AF68*Financiering_en_projectplan!$I$53,0)</f>
        <v>0</v>
      </c>
      <c r="AH66" s="180">
        <f>IF(OR(AND('Hulpblad_overig '!$B$10&lt;3,'Hulpblad_overig '!$B$30=1),AND('Hulpblad_overig '!$B$10&lt;3,'Hulpblad_overig '!$B$30=2),AND('Hulpblad_overig '!$B$10&lt;3,'Hulpblad_overig '!$B$30=3)),AG68*Financiering_en_projectplan!$I$53,0)</f>
        <v>0</v>
      </c>
    </row>
    <row r="67" spans="1:34" hidden="1" x14ac:dyDescent="0.2">
      <c r="A67" s="178" t="s">
        <v>160</v>
      </c>
      <c r="N67" s="15"/>
      <c r="O67" s="180">
        <f>IF(AND('Hulpblad_overig '!$B$10&lt;3,'Hulpblad_overig '!$B$30=1),Financiering_en_projectplan!$M$57/15,0)</f>
        <v>0</v>
      </c>
      <c r="P67" s="180">
        <f>IF(AND('Hulpblad_overig '!$B$10&lt;3,'Hulpblad_overig '!$B$30=1),Financiering_en_projectplan!$M$57/15,0)</f>
        <v>0</v>
      </c>
      <c r="Q67" s="180">
        <f>IF(AND('Hulpblad_overig '!$B$10&lt;3,'Hulpblad_overig '!$B$30=1),Financiering_en_projectplan!$M$57/15,0)</f>
        <v>0</v>
      </c>
      <c r="R67" s="180">
        <f>IF(AND('Hulpblad_overig '!$B$10&lt;3,'Hulpblad_overig '!$B$30=1),Financiering_en_projectplan!$M$57/15,0)</f>
        <v>0</v>
      </c>
      <c r="S67" s="180">
        <f>IF(AND('Hulpblad_overig '!$B$10&lt;3,'Hulpblad_overig '!$B$30=1),Financiering_en_projectplan!$M$57/15,0)</f>
        <v>0</v>
      </c>
      <c r="T67" s="180">
        <f>IF(AND('Hulpblad_overig '!$B$10&lt;3,'Hulpblad_overig '!$B$30=1),Financiering_en_projectplan!$M$57/15,0)</f>
        <v>0</v>
      </c>
      <c r="U67" s="180">
        <f>IF(AND('Hulpblad_overig '!$B$10&lt;3,'Hulpblad_overig '!$B$30=1),Financiering_en_projectplan!$M$57/15,0)</f>
        <v>0</v>
      </c>
      <c r="V67" s="180">
        <f>IF(AND('Hulpblad_overig '!$B$10&lt;3,'Hulpblad_overig '!$B$30=1),Financiering_en_projectplan!$M$57/15,0)</f>
        <v>0</v>
      </c>
      <c r="W67" s="180">
        <f>IF(AND('Hulpblad_overig '!$B$10&lt;3,'Hulpblad_overig '!$B$30=1),Financiering_en_projectplan!$M$57/15,0)</f>
        <v>0</v>
      </c>
      <c r="X67" s="180">
        <f>IF(AND('Hulpblad_overig '!$B$10&lt;3,'Hulpblad_overig '!$B$30=1),Financiering_en_projectplan!$M$57/15,0)</f>
        <v>0</v>
      </c>
      <c r="Y67" s="180">
        <f>IF(AND('Hulpblad_overig '!$B$10&lt;3,'Hulpblad_overig '!$B$30=1),Financiering_en_projectplan!$M$57/15,0)</f>
        <v>0</v>
      </c>
      <c r="Z67" s="180">
        <f>IF(AND('Hulpblad_overig '!$B$10&lt;3,'Hulpblad_overig '!$B$30=1),Financiering_en_projectplan!$M$57/15,0)</f>
        <v>0</v>
      </c>
      <c r="AA67" s="180">
        <f>IF(AND('Hulpblad_overig '!$B$10&lt;3,'Hulpblad_overig '!$B$30=1),Financiering_en_projectplan!$M$57/15,0)</f>
        <v>0</v>
      </c>
      <c r="AB67" s="180">
        <f>IF(AND('Hulpblad_overig '!$B$10&lt;3,'Hulpblad_overig '!$B$30=1),Financiering_en_projectplan!$M$57/15,0)</f>
        <v>0</v>
      </c>
      <c r="AC67" s="180">
        <f>IF(AND('Hulpblad_overig '!$B$10&lt;3,'Hulpblad_overig '!$B$30=1),Financiering_en_projectplan!$M$57/15,0)</f>
        <v>0</v>
      </c>
      <c r="AD67" s="180">
        <f>IF(AND('Hulpblad_overig '!$B$10&lt;3,'Hulpblad_overig '!$B$30=2),Financiering_en_projectplan!$M$57/5,0)</f>
        <v>0</v>
      </c>
      <c r="AE67" s="180">
        <f>IF(AND('Hulpblad_overig '!$B$10&lt;3,'Hulpblad_overig '!$B$30=2),Financiering_en_projectplan!$M$57/5,0)</f>
        <v>0</v>
      </c>
      <c r="AF67" s="180">
        <f>IF(AND('Hulpblad_overig '!$B$10&lt;3,'Hulpblad_overig '!$B$30=2),Financiering_en_projectplan!$M$57/5,0)</f>
        <v>0</v>
      </c>
      <c r="AG67" s="180">
        <f>IF(AND('Hulpblad_overig '!$B$10&lt;3,'Hulpblad_overig '!$B$30=2),Financiering_en_projectplan!$M$57/5,0)</f>
        <v>0</v>
      </c>
      <c r="AH67" s="180">
        <f>IF(AND('Hulpblad_overig '!$B$10&lt;3,'Hulpblad_overig '!$B$30=2),Financiering_en_projectplan!$M$57/5,0)</f>
        <v>0</v>
      </c>
    </row>
    <row r="68" spans="1:34" hidden="1" x14ac:dyDescent="0.2">
      <c r="A68" s="178" t="s">
        <v>161</v>
      </c>
      <c r="N68" s="15"/>
      <c r="O68" s="180">
        <f>IF(OR(AND('Hulpblad_overig '!B10&lt;3,'Hulpblad_overig '!B30=1),AND('Hulpblad_overig '!B10&lt;3,'Hulpblad_overig '!B30=2),AND('Hulpblad_overig '!B10&lt;3,'Hulpblad_overig '!B30=3)),Financiering_en_projectplan!$M$57-O67,0)</f>
        <v>0</v>
      </c>
      <c r="P68" s="180">
        <f t="shared" ref="P68:AH68" si="16">O68-P67</f>
        <v>0</v>
      </c>
      <c r="Q68" s="180">
        <f t="shared" si="16"/>
        <v>0</v>
      </c>
      <c r="R68" s="180">
        <f t="shared" si="16"/>
        <v>0</v>
      </c>
      <c r="S68" s="180">
        <f t="shared" si="16"/>
        <v>0</v>
      </c>
      <c r="T68" s="180">
        <f t="shared" si="16"/>
        <v>0</v>
      </c>
      <c r="U68" s="180">
        <f t="shared" si="16"/>
        <v>0</v>
      </c>
      <c r="V68" s="180">
        <f t="shared" si="16"/>
        <v>0</v>
      </c>
      <c r="W68" s="180">
        <f t="shared" si="16"/>
        <v>0</v>
      </c>
      <c r="X68" s="180">
        <f t="shared" si="16"/>
        <v>0</v>
      </c>
      <c r="Y68" s="180">
        <f t="shared" si="16"/>
        <v>0</v>
      </c>
      <c r="Z68" s="180">
        <f t="shared" si="16"/>
        <v>0</v>
      </c>
      <c r="AA68" s="180">
        <f t="shared" si="16"/>
        <v>0</v>
      </c>
      <c r="AB68" s="180">
        <f t="shared" si="16"/>
        <v>0</v>
      </c>
      <c r="AC68" s="180">
        <f t="shared" si="16"/>
        <v>0</v>
      </c>
      <c r="AD68" s="180">
        <f t="shared" si="16"/>
        <v>0</v>
      </c>
      <c r="AE68" s="180">
        <f t="shared" si="16"/>
        <v>0</v>
      </c>
      <c r="AF68" s="180">
        <f t="shared" si="16"/>
        <v>0</v>
      </c>
      <c r="AG68" s="180">
        <f t="shared" si="16"/>
        <v>0</v>
      </c>
      <c r="AH68" s="180">
        <f t="shared" si="16"/>
        <v>0</v>
      </c>
    </row>
    <row r="69" spans="1:34" x14ac:dyDescent="0.2">
      <c r="A69" s="104" t="str">
        <f>A66</f>
        <v>Rentelasten lineaire lening deelnemers energiecoöperatie</v>
      </c>
      <c r="D69" s="126"/>
      <c r="E69" s="125" t="str">
        <f>IF(OR(AND('Hulpblad_overig '!B10&lt;3,'Hulpblad_overig '!B30=1),AND('Hulpblad_overig '!B10&lt;3,'Hulpblad_overig '!B30=2),AND('Hulpblad_overig '!B10&lt;3,'Hulpblad_overig '!B30=3)),"("&amp;Financiering_en_projectplan!E53&amp;"","")</f>
        <v/>
      </c>
      <c r="F69" s="126"/>
      <c r="G69" s="126" t="str">
        <f>IF(OR(AND('Hulpblad_overig '!B10&lt;3,'Hulpblad_overig '!B30=1),AND('Hulpblad_overig '!B10&lt;3,'Hulpblad_overig '!B30=2),AND('Hulpblad_overig '!B10&lt;3,'Hulpblad_overig '!B30=3)),"worden leningen deelnemers afgelost)","")</f>
        <v/>
      </c>
      <c r="I69" s="126"/>
      <c r="J69" s="104"/>
      <c r="K69" s="127"/>
      <c r="L69" s="104"/>
      <c r="M69" s="104"/>
      <c r="N69" s="124"/>
      <c r="O69" s="124">
        <f>O66</f>
        <v>0</v>
      </c>
      <c r="P69" s="124">
        <f t="shared" ref="P69:AH69" si="17">P66</f>
        <v>0</v>
      </c>
      <c r="Q69" s="124">
        <f t="shared" si="17"/>
        <v>0</v>
      </c>
      <c r="R69" s="124">
        <f t="shared" si="17"/>
        <v>0</v>
      </c>
      <c r="S69" s="124">
        <f t="shared" si="17"/>
        <v>0</v>
      </c>
      <c r="T69" s="124">
        <f t="shared" si="17"/>
        <v>0</v>
      </c>
      <c r="U69" s="124">
        <f t="shared" si="17"/>
        <v>0</v>
      </c>
      <c r="V69" s="124">
        <f t="shared" si="17"/>
        <v>0</v>
      </c>
      <c r="W69" s="124">
        <f t="shared" si="17"/>
        <v>0</v>
      </c>
      <c r="X69" s="124">
        <f t="shared" si="17"/>
        <v>0</v>
      </c>
      <c r="Y69" s="124">
        <f t="shared" si="17"/>
        <v>0</v>
      </c>
      <c r="Z69" s="124">
        <f t="shared" si="17"/>
        <v>0</v>
      </c>
      <c r="AA69" s="124">
        <f t="shared" si="17"/>
        <v>0</v>
      </c>
      <c r="AB69" s="124">
        <f t="shared" si="17"/>
        <v>0</v>
      </c>
      <c r="AC69" s="124">
        <f t="shared" si="17"/>
        <v>0</v>
      </c>
      <c r="AD69" s="124">
        <f t="shared" si="17"/>
        <v>0</v>
      </c>
      <c r="AE69" s="124">
        <f t="shared" si="17"/>
        <v>0</v>
      </c>
      <c r="AF69" s="124">
        <f t="shared" si="17"/>
        <v>0</v>
      </c>
      <c r="AG69" s="124">
        <f t="shared" si="17"/>
        <v>0</v>
      </c>
      <c r="AH69" s="124">
        <f t="shared" si="17"/>
        <v>0</v>
      </c>
    </row>
    <row r="70" spans="1:34" x14ac:dyDescent="0.2">
      <c r="A70" s="104" t="str">
        <f>A67</f>
        <v>Aflossingen lineaire lening deelnemers energiecoöperatie</v>
      </c>
      <c r="D70" s="126"/>
      <c r="E70" s="125" t="str">
        <f>IF(OR(AND('Hulpblad_overig '!B10&lt;3,'Hulpblad_overig '!B30=1),AND('Hulpblad_overig '!B10&lt;3,'Hulpblad_overig '!B30=2),AND('Hulpblad_overig '!B10&lt;3,'Hulpblad_overig '!B30=3)),"("&amp;Financiering_en_projectplan!E53&amp;"","")</f>
        <v/>
      </c>
      <c r="F70" s="126"/>
      <c r="G70" s="126" t="str">
        <f>IF(OR(AND('Hulpblad_overig '!B10&lt;3,'Hulpblad_overig '!B30=1),AND('Hulpblad_overig '!B10&lt;3,'Hulpblad_overig '!B30=2),AND('Hulpblad_overig '!B10&lt;3,'Hulpblad_overig '!B30=3)),"worden leningen deelnemers afgelost)","")</f>
        <v/>
      </c>
      <c r="I70" s="126"/>
      <c r="J70" s="104"/>
      <c r="K70" s="127"/>
      <c r="L70" s="104"/>
      <c r="M70" s="104"/>
      <c r="N70" s="124"/>
      <c r="O70" s="124">
        <f>O67</f>
        <v>0</v>
      </c>
      <c r="P70" s="124">
        <f t="shared" ref="P70:AH70" si="18">P67</f>
        <v>0</v>
      </c>
      <c r="Q70" s="124">
        <f t="shared" si="18"/>
        <v>0</v>
      </c>
      <c r="R70" s="124">
        <f t="shared" si="18"/>
        <v>0</v>
      </c>
      <c r="S70" s="124">
        <f t="shared" si="18"/>
        <v>0</v>
      </c>
      <c r="T70" s="124">
        <f t="shared" si="18"/>
        <v>0</v>
      </c>
      <c r="U70" s="124">
        <f t="shared" si="18"/>
        <v>0</v>
      </c>
      <c r="V70" s="124">
        <f t="shared" si="18"/>
        <v>0</v>
      </c>
      <c r="W70" s="124">
        <f t="shared" si="18"/>
        <v>0</v>
      </c>
      <c r="X70" s="124">
        <f t="shared" si="18"/>
        <v>0</v>
      </c>
      <c r="Y70" s="124">
        <f t="shared" si="18"/>
        <v>0</v>
      </c>
      <c r="Z70" s="124">
        <f t="shared" si="18"/>
        <v>0</v>
      </c>
      <c r="AA70" s="124">
        <f t="shared" si="18"/>
        <v>0</v>
      </c>
      <c r="AB70" s="124">
        <f t="shared" si="18"/>
        <v>0</v>
      </c>
      <c r="AC70" s="124">
        <f t="shared" si="18"/>
        <v>0</v>
      </c>
      <c r="AD70" s="124">
        <f t="shared" si="18"/>
        <v>0</v>
      </c>
      <c r="AE70" s="124">
        <f t="shared" si="18"/>
        <v>0</v>
      </c>
      <c r="AF70" s="124">
        <f t="shared" si="18"/>
        <v>0</v>
      </c>
      <c r="AG70" s="124">
        <f t="shared" si="18"/>
        <v>0</v>
      </c>
      <c r="AH70" s="124">
        <f t="shared" si="18"/>
        <v>0</v>
      </c>
    </row>
    <row r="71" spans="1:34" s="7" customFormat="1" x14ac:dyDescent="0.2"/>
    <row r="72" spans="1:34" s="7" customFormat="1" x14ac:dyDescent="0.2">
      <c r="A72" s="14" t="s">
        <v>19</v>
      </c>
      <c r="N72" s="12">
        <f>N55</f>
        <v>0</v>
      </c>
      <c r="O72" s="12">
        <f t="shared" ref="O72:AC72" si="19">O55+O57+O63+O69</f>
        <v>0</v>
      </c>
      <c r="P72" s="12">
        <f t="shared" si="19"/>
        <v>0</v>
      </c>
      <c r="Q72" s="12">
        <f t="shared" si="19"/>
        <v>0</v>
      </c>
      <c r="R72" s="12">
        <f t="shared" si="19"/>
        <v>0</v>
      </c>
      <c r="S72" s="12">
        <f t="shared" si="19"/>
        <v>0</v>
      </c>
      <c r="T72" s="12">
        <f t="shared" si="19"/>
        <v>0</v>
      </c>
      <c r="U72" s="12">
        <f t="shared" si="19"/>
        <v>0</v>
      </c>
      <c r="V72" s="12">
        <f t="shared" si="19"/>
        <v>0</v>
      </c>
      <c r="W72" s="12">
        <f t="shared" si="19"/>
        <v>0</v>
      </c>
      <c r="X72" s="12">
        <f t="shared" si="19"/>
        <v>0</v>
      </c>
      <c r="Y72" s="12">
        <f t="shared" si="19"/>
        <v>0</v>
      </c>
      <c r="Z72" s="12">
        <f t="shared" si="19"/>
        <v>0</v>
      </c>
      <c r="AA72" s="12">
        <f t="shared" si="19"/>
        <v>0</v>
      </c>
      <c r="AB72" s="12">
        <f t="shared" si="19"/>
        <v>0</v>
      </c>
      <c r="AC72" s="12">
        <f t="shared" si="19"/>
        <v>0</v>
      </c>
      <c r="AD72" s="12" t="str">
        <f>IF($B$11=20,AD55+AD57+AD63+AD69,"")</f>
        <v/>
      </c>
      <c r="AE72" s="12" t="str">
        <f>IF($B$11=20,AE55+AE57+AE63+AE69,"")</f>
        <v/>
      </c>
      <c r="AF72" s="12" t="str">
        <f>IF($B$11=20,AF55+AF57+AF63+AF69,"")</f>
        <v/>
      </c>
      <c r="AG72" s="12" t="str">
        <f>IF($B$11=20,AG55+AG57+AG63+AG69,"")</f>
        <v/>
      </c>
      <c r="AH72" s="12" t="str">
        <f>IF($B$11=20,AH55+AH57+AH63+AH69,"")</f>
        <v/>
      </c>
    </row>
    <row r="73" spans="1:34" s="7" customFormat="1" x14ac:dyDescent="0.2">
      <c r="A73" s="7" t="s">
        <v>20</v>
      </c>
      <c r="N73" s="12">
        <f>-N72</f>
        <v>0</v>
      </c>
      <c r="O73" s="12">
        <f t="shared" ref="O73:AC73" si="20">O42-O72</f>
        <v>0</v>
      </c>
      <c r="P73" s="12">
        <f t="shared" si="20"/>
        <v>0</v>
      </c>
      <c r="Q73" s="12">
        <f t="shared" si="20"/>
        <v>0</v>
      </c>
      <c r="R73" s="12">
        <f t="shared" si="20"/>
        <v>0</v>
      </c>
      <c r="S73" s="12">
        <f t="shared" si="20"/>
        <v>0</v>
      </c>
      <c r="T73" s="12">
        <f t="shared" si="20"/>
        <v>0</v>
      </c>
      <c r="U73" s="12">
        <f t="shared" si="20"/>
        <v>0</v>
      </c>
      <c r="V73" s="12">
        <f t="shared" si="20"/>
        <v>0</v>
      </c>
      <c r="W73" s="12">
        <f t="shared" si="20"/>
        <v>0</v>
      </c>
      <c r="X73" s="12">
        <f t="shared" si="20"/>
        <v>0</v>
      </c>
      <c r="Y73" s="12">
        <f t="shared" si="20"/>
        <v>0</v>
      </c>
      <c r="Z73" s="12">
        <f t="shared" si="20"/>
        <v>0</v>
      </c>
      <c r="AA73" s="12">
        <f t="shared" si="20"/>
        <v>0</v>
      </c>
      <c r="AB73" s="12">
        <f t="shared" si="20"/>
        <v>0</v>
      </c>
      <c r="AC73" s="12">
        <f t="shared" si="20"/>
        <v>0</v>
      </c>
      <c r="AD73" s="12" t="str">
        <f>IF($B$11=20,AD42-AD72,"")</f>
        <v/>
      </c>
      <c r="AE73" s="12" t="str">
        <f>IF($B$11=20,AE42-AE72,"")</f>
        <v/>
      </c>
      <c r="AF73" s="12" t="str">
        <f>IF($B$11=20,AF42-AF72,"")</f>
        <v/>
      </c>
      <c r="AG73" s="12" t="str">
        <f>IF($B$11=20,AG42-AG72,"")</f>
        <v/>
      </c>
      <c r="AH73" s="12" t="str">
        <f>IF($B$11=20,AH42-AH72,"")</f>
        <v/>
      </c>
    </row>
    <row r="74" spans="1:34" s="7" customFormat="1" x14ac:dyDescent="0.2">
      <c r="A74" s="111" t="s">
        <v>69</v>
      </c>
      <c r="B74" s="111"/>
      <c r="C74" s="111"/>
      <c r="D74" s="111"/>
      <c r="E74" s="111"/>
      <c r="F74" s="111"/>
      <c r="G74" s="111"/>
      <c r="H74" s="111"/>
      <c r="I74" s="111"/>
      <c r="J74" s="111"/>
      <c r="K74" s="111"/>
      <c r="L74" s="111"/>
      <c r="M74" s="111"/>
      <c r="N74" s="128"/>
      <c r="O74" s="128">
        <f>IF(N73&lt;0,-N73,0)</f>
        <v>0</v>
      </c>
      <c r="P74" s="128">
        <f t="shared" ref="P74:V74" si="21">IF(O75&lt;0,-O75,0)</f>
        <v>0</v>
      </c>
      <c r="Q74" s="128">
        <f t="shared" si="21"/>
        <v>0</v>
      </c>
      <c r="R74" s="128">
        <f t="shared" si="21"/>
        <v>0</v>
      </c>
      <c r="S74" s="128">
        <f t="shared" si="21"/>
        <v>0</v>
      </c>
      <c r="T74" s="128">
        <f t="shared" si="21"/>
        <v>0</v>
      </c>
      <c r="U74" s="128">
        <f t="shared" si="21"/>
        <v>0</v>
      </c>
      <c r="V74" s="128">
        <f t="shared" si="21"/>
        <v>0</v>
      </c>
      <c r="W74" s="128">
        <f t="shared" ref="W74:AC74" si="22">IF(V75&lt;0,-V75,0)</f>
        <v>0</v>
      </c>
      <c r="X74" s="128">
        <f t="shared" si="22"/>
        <v>0</v>
      </c>
      <c r="Y74" s="128">
        <f t="shared" si="22"/>
        <v>0</v>
      </c>
      <c r="Z74" s="128">
        <f t="shared" si="22"/>
        <v>0</v>
      </c>
      <c r="AA74" s="128">
        <f t="shared" si="22"/>
        <v>0</v>
      </c>
      <c r="AB74" s="128">
        <f t="shared" si="22"/>
        <v>0</v>
      </c>
      <c r="AC74" s="128">
        <f t="shared" si="22"/>
        <v>0</v>
      </c>
      <c r="AD74" s="128" t="str">
        <f>IF($B$11=20,IF(AC75&lt;0,-AC75,0),"")</f>
        <v/>
      </c>
      <c r="AE74" s="128" t="str">
        <f>IF($B$11=20,IF(AD75&lt;0,-AD75,0),"")</f>
        <v/>
      </c>
      <c r="AF74" s="128" t="str">
        <f>IF($B$11=20,IF(AE75&lt;0,-AE75,0),"")</f>
        <v/>
      </c>
      <c r="AG74" s="128" t="str">
        <f>IF($B$11=20,IF(AF75&lt;0,-AF75,0),"")</f>
        <v/>
      </c>
      <c r="AH74" s="128" t="str">
        <f>IF($B$11=20,IF(AG75&lt;0,-AG75,0),"")</f>
        <v/>
      </c>
    </row>
    <row r="75" spans="1:34" s="7" customFormat="1" x14ac:dyDescent="0.2">
      <c r="A75" s="7" t="s">
        <v>21</v>
      </c>
      <c r="N75" s="12">
        <f>N73</f>
        <v>0</v>
      </c>
      <c r="O75" s="12">
        <f>O73</f>
        <v>0</v>
      </c>
      <c r="P75" s="12">
        <f t="shared" ref="P75:AC75" si="23">P73-P74</f>
        <v>0</v>
      </c>
      <c r="Q75" s="12">
        <f t="shared" si="23"/>
        <v>0</v>
      </c>
      <c r="R75" s="12">
        <f t="shared" si="23"/>
        <v>0</v>
      </c>
      <c r="S75" s="12">
        <f t="shared" si="23"/>
        <v>0</v>
      </c>
      <c r="T75" s="12">
        <f t="shared" si="23"/>
        <v>0</v>
      </c>
      <c r="U75" s="12">
        <f t="shared" si="23"/>
        <v>0</v>
      </c>
      <c r="V75" s="12">
        <f t="shared" si="23"/>
        <v>0</v>
      </c>
      <c r="W75" s="12">
        <f t="shared" si="23"/>
        <v>0</v>
      </c>
      <c r="X75" s="12">
        <f t="shared" si="23"/>
        <v>0</v>
      </c>
      <c r="Y75" s="12">
        <f t="shared" si="23"/>
        <v>0</v>
      </c>
      <c r="Z75" s="12">
        <f t="shared" si="23"/>
        <v>0</v>
      </c>
      <c r="AA75" s="12">
        <f t="shared" si="23"/>
        <v>0</v>
      </c>
      <c r="AB75" s="12">
        <f t="shared" si="23"/>
        <v>0</v>
      </c>
      <c r="AC75" s="12">
        <f t="shared" si="23"/>
        <v>0</v>
      </c>
      <c r="AD75" s="12" t="str">
        <f>IF($B$11=20,AD73-AD74,"")</f>
        <v/>
      </c>
      <c r="AE75" s="12" t="str">
        <f>IF($B$11=20,AE73-AE74,"")</f>
        <v/>
      </c>
      <c r="AF75" s="12" t="str">
        <f>IF($B$11=20,AF73-AF74,"")</f>
        <v/>
      </c>
      <c r="AG75" s="12" t="str">
        <f>IF($B$11=20,AG73-AG74,"")</f>
        <v/>
      </c>
      <c r="AH75" s="12" t="str">
        <f>IF($B$11=20,AH73-AH74,"")</f>
        <v/>
      </c>
    </row>
    <row r="76" spans="1:34" x14ac:dyDescent="0.2">
      <c r="N76" s="15"/>
      <c r="O76" s="15"/>
      <c r="P76" s="15"/>
      <c r="Q76" s="15"/>
      <c r="R76" s="15"/>
      <c r="S76" s="15"/>
      <c r="T76" s="15"/>
      <c r="U76" s="15"/>
      <c r="V76" s="15"/>
      <c r="W76" s="132"/>
      <c r="X76" s="132"/>
      <c r="Y76" s="132"/>
      <c r="Z76" s="132"/>
      <c r="AA76" s="15"/>
      <c r="AB76" s="15"/>
      <c r="AC76" s="15"/>
      <c r="AD76" s="104"/>
      <c r="AE76" s="104"/>
      <c r="AF76" s="104"/>
      <c r="AG76" s="104"/>
      <c r="AH76" s="104"/>
    </row>
    <row r="77" spans="1:34" x14ac:dyDescent="0.2">
      <c r="A77" s="104" t="s">
        <v>14</v>
      </c>
      <c r="L77" s="28">
        <v>0.19</v>
      </c>
      <c r="N77" s="15"/>
      <c r="O77" s="15"/>
      <c r="P77" s="15"/>
      <c r="Q77" s="15"/>
      <c r="R77" s="15"/>
      <c r="S77" s="15"/>
      <c r="T77" s="15"/>
      <c r="U77" s="15"/>
      <c r="V77" s="15"/>
      <c r="W77" s="132"/>
      <c r="X77" s="132"/>
      <c r="Y77" s="132"/>
      <c r="Z77" s="132"/>
      <c r="AA77" s="15"/>
      <c r="AB77" s="15"/>
      <c r="AC77" s="15"/>
      <c r="AD77" s="104"/>
      <c r="AE77" s="104"/>
      <c r="AF77" s="104"/>
      <c r="AG77" s="104"/>
      <c r="AH77" s="104"/>
    </row>
    <row r="78" spans="1:34" x14ac:dyDescent="0.2">
      <c r="A78" s="5" t="s">
        <v>1</v>
      </c>
      <c r="C78" s="17"/>
      <c r="D78" s="20"/>
      <c r="E78" s="20"/>
      <c r="F78" s="20"/>
      <c r="G78" s="20"/>
      <c r="H78" s="20"/>
      <c r="I78" s="20"/>
      <c r="J78" s="20"/>
      <c r="N78" s="15">
        <f>N75*$L$77</f>
        <v>0</v>
      </c>
      <c r="O78" s="15">
        <f t="shared" ref="O78:AC78" si="24">IF(O75&gt;0,O75*$L$77,0)</f>
        <v>0</v>
      </c>
      <c r="P78" s="15">
        <f t="shared" si="24"/>
        <v>0</v>
      </c>
      <c r="Q78" s="15">
        <f t="shared" si="24"/>
        <v>0</v>
      </c>
      <c r="R78" s="15">
        <f t="shared" si="24"/>
        <v>0</v>
      </c>
      <c r="S78" s="15">
        <f t="shared" si="24"/>
        <v>0</v>
      </c>
      <c r="T78" s="15">
        <f t="shared" si="24"/>
        <v>0</v>
      </c>
      <c r="U78" s="15">
        <f t="shared" si="24"/>
        <v>0</v>
      </c>
      <c r="V78" s="15">
        <f t="shared" si="24"/>
        <v>0</v>
      </c>
      <c r="W78" s="15">
        <f t="shared" si="24"/>
        <v>0</v>
      </c>
      <c r="X78" s="15">
        <f t="shared" si="24"/>
        <v>0</v>
      </c>
      <c r="Y78" s="15">
        <f t="shared" si="24"/>
        <v>0</v>
      </c>
      <c r="Z78" s="15">
        <f t="shared" si="24"/>
        <v>0</v>
      </c>
      <c r="AA78" s="15">
        <f t="shared" si="24"/>
        <v>0</v>
      </c>
      <c r="AB78" s="15">
        <f t="shared" si="24"/>
        <v>0</v>
      </c>
      <c r="AC78" s="15">
        <f t="shared" si="24"/>
        <v>0</v>
      </c>
      <c r="AD78" s="124" t="str">
        <f>IF($B$11=20,IF(AD75&gt;0,AD75*$L$77,0),"")</f>
        <v/>
      </c>
      <c r="AE78" s="124" t="str">
        <f>IF($B$11=20,IF(AE75&gt;0,AE75*$L$77,0),"")</f>
        <v/>
      </c>
      <c r="AF78" s="124" t="str">
        <f>IF($B$11=20,IF(AF75&gt;0,AF75*$L$77,0),"")</f>
        <v/>
      </c>
      <c r="AG78" s="124" t="str">
        <f>IF($B$11=20,IF(AG75&gt;0,AG75*$L$77,0),"")</f>
        <v/>
      </c>
      <c r="AH78" s="124" t="str">
        <f>IF($B$11=20,IF(AH75&gt;0,AH75*$L$77,0),"")</f>
        <v/>
      </c>
    </row>
    <row r="79" spans="1:34" s="7" customFormat="1" x14ac:dyDescent="0.2">
      <c r="A79" s="7" t="s">
        <v>22</v>
      </c>
      <c r="N79" s="12">
        <f t="shared" ref="N79:AC79" si="25">N73-N78</f>
        <v>0</v>
      </c>
      <c r="O79" s="12">
        <f t="shared" si="25"/>
        <v>0</v>
      </c>
      <c r="P79" s="12">
        <f t="shared" si="25"/>
        <v>0</v>
      </c>
      <c r="Q79" s="12">
        <f t="shared" si="25"/>
        <v>0</v>
      </c>
      <c r="R79" s="12">
        <f t="shared" si="25"/>
        <v>0</v>
      </c>
      <c r="S79" s="12">
        <f t="shared" si="25"/>
        <v>0</v>
      </c>
      <c r="T79" s="12">
        <f t="shared" si="25"/>
        <v>0</v>
      </c>
      <c r="U79" s="12">
        <f t="shared" si="25"/>
        <v>0</v>
      </c>
      <c r="V79" s="12">
        <f t="shared" si="25"/>
        <v>0</v>
      </c>
      <c r="W79" s="12">
        <f t="shared" si="25"/>
        <v>0</v>
      </c>
      <c r="X79" s="12">
        <f t="shared" si="25"/>
        <v>0</v>
      </c>
      <c r="Y79" s="12">
        <f t="shared" si="25"/>
        <v>0</v>
      </c>
      <c r="Z79" s="12">
        <f t="shared" si="25"/>
        <v>0</v>
      </c>
      <c r="AA79" s="12">
        <f t="shared" si="25"/>
        <v>0</v>
      </c>
      <c r="AB79" s="12">
        <f t="shared" si="25"/>
        <v>0</v>
      </c>
      <c r="AC79" s="12">
        <f t="shared" si="25"/>
        <v>0</v>
      </c>
      <c r="AD79" s="12" t="str">
        <f>IF($B$11=20,AD73-AD78,"")</f>
        <v/>
      </c>
      <c r="AE79" s="12" t="str">
        <f>IF($B$11=20,AE73-AE78,"")</f>
        <v/>
      </c>
      <c r="AF79" s="12" t="str">
        <f>IF($B$11=20,AF73-AF78,"")</f>
        <v/>
      </c>
      <c r="AG79" s="12" t="str">
        <f>IF($B$11=20,AG73-AG78,"")</f>
        <v/>
      </c>
      <c r="AH79" s="12" t="str">
        <f>IF($B$11=20,AH73-AH78,"")</f>
        <v/>
      </c>
    </row>
    <row r="80" spans="1:34" s="7" customFormat="1" x14ac:dyDescent="0.2">
      <c r="N80" s="12"/>
      <c r="O80" s="12"/>
      <c r="P80" s="12"/>
      <c r="Q80" s="12"/>
      <c r="R80" s="12"/>
      <c r="S80" s="12"/>
      <c r="T80" s="12"/>
      <c r="U80" s="12"/>
      <c r="V80" s="12"/>
      <c r="W80" s="12"/>
      <c r="X80" s="12"/>
      <c r="Y80" s="12"/>
      <c r="Z80" s="12"/>
      <c r="AA80" s="12"/>
      <c r="AB80" s="12"/>
      <c r="AC80" s="12"/>
      <c r="AD80" s="222"/>
      <c r="AE80" s="222"/>
      <c r="AF80" s="222"/>
      <c r="AG80" s="222"/>
      <c r="AH80" s="222"/>
    </row>
    <row r="81" spans="1:35" s="7" customFormat="1" x14ac:dyDescent="0.2">
      <c r="A81" s="7" t="s">
        <v>23</v>
      </c>
      <c r="N81" s="12">
        <f>N79-N20</f>
        <v>0</v>
      </c>
      <c r="O81" s="12">
        <f t="shared" ref="O81:AC81" si="26">+O79+O57+O63+O69</f>
        <v>0</v>
      </c>
      <c r="P81" s="12">
        <f t="shared" si="26"/>
        <v>0</v>
      </c>
      <c r="Q81" s="12">
        <f t="shared" si="26"/>
        <v>0</v>
      </c>
      <c r="R81" s="12">
        <f t="shared" si="26"/>
        <v>0</v>
      </c>
      <c r="S81" s="12">
        <f t="shared" si="26"/>
        <v>0</v>
      </c>
      <c r="T81" s="12">
        <f t="shared" si="26"/>
        <v>0</v>
      </c>
      <c r="U81" s="12">
        <f t="shared" si="26"/>
        <v>0</v>
      </c>
      <c r="V81" s="12">
        <f t="shared" si="26"/>
        <v>0</v>
      </c>
      <c r="W81" s="12">
        <f t="shared" si="26"/>
        <v>0</v>
      </c>
      <c r="X81" s="12">
        <f t="shared" si="26"/>
        <v>0</v>
      </c>
      <c r="Y81" s="12">
        <f t="shared" si="26"/>
        <v>0</v>
      </c>
      <c r="Z81" s="12">
        <f t="shared" si="26"/>
        <v>0</v>
      </c>
      <c r="AA81" s="12">
        <f t="shared" si="26"/>
        <v>0</v>
      </c>
      <c r="AB81" s="12">
        <f t="shared" si="26"/>
        <v>0</v>
      </c>
      <c r="AC81" s="12">
        <f t="shared" si="26"/>
        <v>0</v>
      </c>
      <c r="AD81" s="12" t="str">
        <f>IF($B$11=20,AD79+AD57+AD63+AD69,"")</f>
        <v/>
      </c>
      <c r="AE81" s="12" t="str">
        <f>IF($B$11=20,AE79+AE57+AE63+AE69,"")</f>
        <v/>
      </c>
      <c r="AF81" s="12" t="str">
        <f>IF($B$11=20,AF79+AF57+AF63+AF69,"")</f>
        <v/>
      </c>
      <c r="AG81" s="12" t="str">
        <f>IF($B$11=20,AG79+AG57+AG63+AG69,"")</f>
        <v/>
      </c>
      <c r="AH81" s="12" t="str">
        <f>IF($B$11=20,AH79+AH57+AH63+AH69,"")</f>
        <v/>
      </c>
    </row>
    <row r="82" spans="1:35" ht="13.5" thickBot="1" x14ac:dyDescent="0.25">
      <c r="N82" s="15"/>
      <c r="O82" s="15"/>
      <c r="P82" s="15"/>
      <c r="Q82" s="15"/>
      <c r="R82" s="15"/>
      <c r="S82" s="15"/>
      <c r="T82" s="15"/>
      <c r="U82" s="15"/>
      <c r="V82" s="15"/>
      <c r="W82" s="132"/>
      <c r="X82" s="132"/>
      <c r="Y82" s="132"/>
      <c r="Z82" s="132"/>
      <c r="AA82" s="15"/>
      <c r="AB82" s="15"/>
      <c r="AC82" s="15"/>
      <c r="AD82" s="20"/>
      <c r="AE82" s="20"/>
      <c r="AF82" s="20"/>
      <c r="AG82" s="20"/>
      <c r="AH82" s="20"/>
    </row>
    <row r="83" spans="1:35" ht="24.95" customHeight="1" thickBot="1" x14ac:dyDescent="0.25">
      <c r="A83" s="1" t="s">
        <v>16</v>
      </c>
      <c r="B83" s="29"/>
      <c r="C83" s="29"/>
      <c r="D83" s="26"/>
      <c r="E83" s="26"/>
      <c r="F83" s="26"/>
      <c r="G83" s="26"/>
      <c r="H83" s="26"/>
      <c r="I83" s="26"/>
      <c r="J83" s="26"/>
      <c r="K83" s="26"/>
      <c r="L83" s="227" t="str">
        <f>IF(N81=0,"N.v.t.",IFERROR(IRR(N81:AH81,5%),"Projectrentabiliteit meer dan 10% negatief!"))</f>
        <v>N.v.t.</v>
      </c>
      <c r="M83" s="135"/>
      <c r="N83" s="21"/>
      <c r="O83" s="22"/>
      <c r="P83" s="22"/>
      <c r="Q83" s="22"/>
      <c r="R83" s="22"/>
      <c r="S83" s="22"/>
      <c r="T83" s="22"/>
      <c r="U83" s="22"/>
      <c r="V83" s="22"/>
      <c r="W83" s="133"/>
      <c r="X83" s="133"/>
      <c r="Y83" s="133"/>
      <c r="Z83" s="133"/>
      <c r="AA83" s="15"/>
      <c r="AB83" s="15"/>
      <c r="AC83" s="15"/>
      <c r="AD83" s="20"/>
      <c r="AE83" s="20"/>
      <c r="AF83" s="20"/>
      <c r="AG83" s="20"/>
      <c r="AH83" s="20"/>
    </row>
    <row r="84" spans="1:35" x14ac:dyDescent="0.2">
      <c r="W84" s="20"/>
      <c r="X84" s="20"/>
      <c r="Y84" s="20"/>
      <c r="Z84" s="20"/>
      <c r="AA84" s="15"/>
      <c r="AB84" s="15"/>
      <c r="AC84" s="15"/>
      <c r="AD84" s="20"/>
      <c r="AE84" s="20"/>
      <c r="AF84" s="20"/>
      <c r="AG84" s="20"/>
      <c r="AH84" s="20"/>
    </row>
    <row r="85" spans="1:35" x14ac:dyDescent="0.2">
      <c r="W85" s="20"/>
      <c r="X85" s="20"/>
      <c r="Y85" s="20"/>
      <c r="Z85" s="20"/>
      <c r="AA85" s="15"/>
      <c r="AB85" s="15"/>
      <c r="AC85" s="15"/>
      <c r="AD85" s="20"/>
      <c r="AE85" s="20"/>
      <c r="AF85" s="20"/>
      <c r="AG85" s="20"/>
      <c r="AH85" s="20"/>
    </row>
    <row r="86" spans="1:35" x14ac:dyDescent="0.2">
      <c r="A86" s="7" t="s">
        <v>24</v>
      </c>
      <c r="N86" s="12">
        <f>-$E$24-N55</f>
        <v>0</v>
      </c>
      <c r="O86" s="12">
        <f>+O79+O57-O64-O70</f>
        <v>0</v>
      </c>
      <c r="P86" s="12">
        <f t="shared" ref="P86:AC86" si="27">+P79+P57-P64-P70</f>
        <v>0</v>
      </c>
      <c r="Q86" s="12">
        <f t="shared" si="27"/>
        <v>0</v>
      </c>
      <c r="R86" s="12">
        <f t="shared" si="27"/>
        <v>0</v>
      </c>
      <c r="S86" s="12">
        <f t="shared" si="27"/>
        <v>0</v>
      </c>
      <c r="T86" s="12">
        <f t="shared" si="27"/>
        <v>0</v>
      </c>
      <c r="U86" s="12">
        <f t="shared" si="27"/>
        <v>0</v>
      </c>
      <c r="V86" s="12">
        <f t="shared" si="27"/>
        <v>0</v>
      </c>
      <c r="W86" s="12">
        <f t="shared" si="27"/>
        <v>0</v>
      </c>
      <c r="X86" s="12">
        <f t="shared" si="27"/>
        <v>0</v>
      </c>
      <c r="Y86" s="12">
        <f t="shared" si="27"/>
        <v>0</v>
      </c>
      <c r="Z86" s="12">
        <f t="shared" si="27"/>
        <v>0</v>
      </c>
      <c r="AA86" s="12">
        <f t="shared" si="27"/>
        <v>0</v>
      </c>
      <c r="AB86" s="12">
        <f t="shared" si="27"/>
        <v>0</v>
      </c>
      <c r="AC86" s="12">
        <f t="shared" si="27"/>
        <v>0</v>
      </c>
      <c r="AD86" s="12" t="str">
        <f>IF($B$11=20,AD79+AD57-AD64-AD70,"")</f>
        <v/>
      </c>
      <c r="AE86" s="12" t="str">
        <f>IF($B$11=20,AE79+AE57-AE64-AE70,"")</f>
        <v/>
      </c>
      <c r="AF86" s="12" t="str">
        <f>IF($B$11=20,AF79+AF57-AF64-AF70,"")</f>
        <v/>
      </c>
      <c r="AG86" s="12" t="str">
        <f>IF($B$11=20,AG79+AG57-AG64-AG70,"")</f>
        <v/>
      </c>
      <c r="AH86" s="12" t="str">
        <f>IF($B$11=20,AH79+AH57-AH64-AH70,"")</f>
        <v/>
      </c>
      <c r="AI86" s="104"/>
    </row>
    <row r="87" spans="1:35" ht="13.5" thickBot="1" x14ac:dyDescent="0.25">
      <c r="O87" s="104"/>
      <c r="P87" s="104"/>
      <c r="Q87" s="104"/>
      <c r="R87" s="104"/>
      <c r="S87" s="104"/>
      <c r="T87" s="104"/>
      <c r="U87" s="104"/>
      <c r="V87" s="104"/>
      <c r="W87" s="104"/>
      <c r="X87" s="104"/>
      <c r="Y87" s="104"/>
      <c r="Z87" s="104"/>
      <c r="AA87" s="104"/>
      <c r="AB87" s="104"/>
      <c r="AC87" s="104"/>
      <c r="AD87" s="104"/>
      <c r="AE87" s="104"/>
      <c r="AF87" s="104"/>
      <c r="AG87" s="104"/>
      <c r="AH87" s="104"/>
      <c r="AI87" s="104"/>
    </row>
    <row r="88" spans="1:35" ht="24.75" customHeight="1" thickBot="1" x14ac:dyDescent="0.25">
      <c r="A88" s="1" t="s">
        <v>11</v>
      </c>
      <c r="B88" s="27"/>
      <c r="C88" s="27"/>
      <c r="D88" s="27"/>
      <c r="E88" s="27"/>
      <c r="F88" s="27"/>
      <c r="G88" s="27"/>
      <c r="H88" s="27"/>
      <c r="I88" s="27"/>
      <c r="J88" s="27"/>
      <c r="K88" s="27"/>
      <c r="L88" s="227" t="str">
        <f>IF(B24=0%,"n.v.t., geen eigen vermogen",IFERROR(IRR(N86:AH86,5%),"Rendement op eigen vermogen meer dan 10% negatief!"))</f>
        <v>n.v.t., geen eigen vermogen</v>
      </c>
      <c r="O88" s="229"/>
      <c r="P88" s="104"/>
      <c r="Q88" s="104"/>
      <c r="R88" s="104"/>
      <c r="S88" s="104"/>
      <c r="T88" s="104"/>
      <c r="U88" s="104"/>
      <c r="V88" s="104"/>
      <c r="W88" s="104"/>
      <c r="X88" s="104"/>
      <c r="Y88" s="104"/>
      <c r="Z88" s="104"/>
      <c r="AA88" s="104"/>
      <c r="AB88" s="104"/>
      <c r="AC88" s="104"/>
      <c r="AD88" s="104"/>
      <c r="AE88" s="104"/>
      <c r="AF88" s="104"/>
      <c r="AG88" s="104"/>
      <c r="AH88" s="104"/>
      <c r="AI88" s="104"/>
    </row>
    <row r="89" spans="1:35" x14ac:dyDescent="0.2">
      <c r="O89" s="104"/>
      <c r="P89" s="104"/>
      <c r="Q89" s="104"/>
      <c r="R89" s="104"/>
      <c r="S89" s="104"/>
      <c r="T89" s="104"/>
      <c r="U89" s="104"/>
      <c r="V89" s="104"/>
      <c r="W89" s="104"/>
      <c r="X89" s="104"/>
      <c r="Y89" s="104"/>
      <c r="Z89" s="104"/>
      <c r="AA89" s="104"/>
      <c r="AB89" s="104"/>
      <c r="AC89" s="104"/>
      <c r="AD89" s="104"/>
      <c r="AE89" s="104"/>
      <c r="AF89" s="104"/>
      <c r="AG89" s="104"/>
      <c r="AH89" s="104"/>
      <c r="AI89" s="104"/>
    </row>
    <row r="90" spans="1:35" x14ac:dyDescent="0.2">
      <c r="O90" s="104"/>
      <c r="P90" s="104"/>
      <c r="Q90" s="104"/>
      <c r="R90" s="104"/>
      <c r="S90" s="104"/>
      <c r="T90" s="104"/>
      <c r="U90" s="104"/>
      <c r="V90" s="104"/>
      <c r="W90" s="104"/>
      <c r="X90" s="104"/>
      <c r="Y90" s="104"/>
      <c r="Z90" s="104"/>
      <c r="AA90" s="104"/>
      <c r="AB90" s="104"/>
      <c r="AC90" s="104"/>
      <c r="AD90" s="104"/>
      <c r="AE90" s="104"/>
      <c r="AF90" s="104"/>
      <c r="AG90" s="104"/>
      <c r="AH90" s="104"/>
      <c r="AI90" s="104"/>
    </row>
    <row r="91" spans="1:35" x14ac:dyDescent="0.2">
      <c r="A91" s="7" t="s">
        <v>32</v>
      </c>
      <c r="O91" s="230" t="str">
        <f>IF(OR($L$24&gt;0,Financiering_en_projectplan!$M$57&gt;0),IF((O63+O64+O69+O70)=0,"n.v.t.",O81/(O63+O64+O69+O70)),"n.v.t.")</f>
        <v>n.v.t.</v>
      </c>
      <c r="P91" s="230" t="str">
        <f>IF(OR($L$24&gt;0,Financiering_en_projectplan!$M$57&gt;0),IF((P63+P64+P69+P70)=0,"n.v.t.",P81/(P63+P64+P69+P70)),"n.v.t.")</f>
        <v>n.v.t.</v>
      </c>
      <c r="Q91" s="230" t="str">
        <f>IF(OR($L$24&gt;0,Financiering_en_projectplan!$M$57&gt;0),IF((Q63+Q64+Q69+Q70)=0,"n.v.t.",Q81/(Q63+Q64+Q69+Q70)),"n.v.t.")</f>
        <v>n.v.t.</v>
      </c>
      <c r="R91" s="230" t="str">
        <f>IF(OR($L$24&gt;0,Financiering_en_projectplan!$M$57&gt;0),IF((R63+R64+R69+R70)=0,"n.v.t.",R81/(R63+R64+R69+R70)),"n.v.t.")</f>
        <v>n.v.t.</v>
      </c>
      <c r="S91" s="230" t="str">
        <f>IF(OR($L$24&gt;0,Financiering_en_projectplan!$M$57&gt;0),IF((S63+S64+S69+S70)=0,"n.v.t.",S81/(S63+S64+S69+S70)),"n.v.t.")</f>
        <v>n.v.t.</v>
      </c>
      <c r="T91" s="230" t="str">
        <f>IF(OR($L$24&gt;0,Financiering_en_projectplan!$M$57&gt;0),IF((T63+T64+T69+T70)=0,"n.v.t.",T81/(T63+T64+T69+T70)),"n.v.t.")</f>
        <v>n.v.t.</v>
      </c>
      <c r="U91" s="230" t="str">
        <f>IF(OR($L$24&gt;0,Financiering_en_projectplan!$M$57&gt;0),IF((U63+U64+U69+U70)=0,"n.v.t.",U81/(U63+U64+U69+U70)),"n.v.t.")</f>
        <v>n.v.t.</v>
      </c>
      <c r="V91" s="230" t="str">
        <f>IF(OR($L$24&gt;0,Financiering_en_projectplan!$M$57&gt;0),IF((V63+V64+V69+V70)=0,"n.v.t.",V81/(V63+V64+V69+V70)),"n.v.t.")</f>
        <v>n.v.t.</v>
      </c>
      <c r="W91" s="230" t="str">
        <f>IF(OR($L$24&gt;0,Financiering_en_projectplan!$M$57&gt;0),IF((W63+W64+W69+W70)=0,"n.v.t.",W81/(W63+W64+W69+W70)),"n.v.t.")</f>
        <v>n.v.t.</v>
      </c>
      <c r="X91" s="230" t="str">
        <f>IF(OR($L$24&gt;0,Financiering_en_projectplan!$M$57&gt;0),IF((X63+X64+X69+X70)=0,"n.v.t.",X81/(X63+X64+X69+X70)),"n.v.t.")</f>
        <v>n.v.t.</v>
      </c>
      <c r="Y91" s="230" t="str">
        <f>IF(OR($L$24&gt;0,Financiering_en_projectplan!$M$57&gt;0),IF((Y63+Y64+Y69+Y70)=0,"n.v.t.",Y81/(Y63+Y64+Y69+Y70)),"n.v.t.")</f>
        <v>n.v.t.</v>
      </c>
      <c r="Z91" s="230" t="str">
        <f>IF(OR($L$24&gt;0,Financiering_en_projectplan!$M$57&gt;0),IF((Z63+Z64+Z69+Z70)=0,"n.v.t.",Z81/(Z63+Z64+Z69+Z70)),"n.v.t.")</f>
        <v>n.v.t.</v>
      </c>
      <c r="AA91" s="230" t="str">
        <f>IF(OR($L$24&gt;0,Financiering_en_projectplan!$M$57&gt;0),IF((AA63+AA64+AA69+AA70)=0,"n.v.t.",AA81/(AA63+AA64+AA69+AA70)),"n.v.t.")</f>
        <v>n.v.t.</v>
      </c>
      <c r="AB91" s="230" t="str">
        <f>IF(OR($L$24&gt;0,Financiering_en_projectplan!$M$57&gt;0),IF((AB63+AB64+AB69+AB70)=0,"n.v.t.",AB81/(AB63+AB64+AB69+AB70)),"n.v.t.")</f>
        <v>n.v.t.</v>
      </c>
      <c r="AC91" s="230" t="str">
        <f>IF(OR($L$24&gt;0,Financiering_en_projectplan!$M$57&gt;0),IF((AC63+AC64+AC69+AC70)=0,"n.v.t.",AC81/(AC63+AC64+AC69+AC70)),"n.v.t.")</f>
        <v>n.v.t.</v>
      </c>
      <c r="AD91" s="230" t="str">
        <f>IF($B$11=20,IF(OR($L$24&gt;0,Financiering_en_projectplan!$M$57&gt;0),IF((AD63+AD64+AD69+AD70)=0,"n.v.t.",AD81/(AD63+AD64+AD69+AD70)),"n.v.t."),"")</f>
        <v/>
      </c>
      <c r="AE91" s="230" t="str">
        <f>IF($B$11=20,IF(OR($L$24&gt;0,Financiering_en_projectplan!$M$57&gt;0),IF((AE63+AE64+AE69+AE70)=0,"n.v.t.",AE81/(AE63+AE64+AE69+AE70)),"n.v.t."),"")</f>
        <v/>
      </c>
      <c r="AF91" s="230" t="str">
        <f>IF($B$11=20,IF(OR($L$24&gt;0,Financiering_en_projectplan!$M$57&gt;0),IF((AF63+AF64+AF69+AF70)=0,"n.v.t.",AF81/(AF63+AF64+AF69+AF70)),"n.v.t."),"")</f>
        <v/>
      </c>
      <c r="AG91" s="230" t="str">
        <f>IF($B$11=20,IF(OR($L$24&gt;0,Financiering_en_projectplan!$M$57&gt;0),IF((AG63+AG64+AG69+AG70)=0,"n.v.t.",AG81/(AG63+AG64+AG69+AG70)),"n.v.t."),"")</f>
        <v/>
      </c>
      <c r="AH91" s="230" t="str">
        <f>IF($B$11=20,IF(OR($L$24&gt;0,Financiering_en_projectplan!$M$57&gt;0),IF((AH63+AH64+AH69+AH70)=0,"n.v.t.",AH81/(AH63+AH64+AH69+AH70)),"n.v.t."),"")</f>
        <v/>
      </c>
      <c r="AI91" s="104"/>
    </row>
    <row r="92" spans="1:35" ht="13.5" thickBot="1" x14ac:dyDescent="0.25"/>
    <row r="93" spans="1:35" ht="24.75" customHeight="1" thickBot="1" x14ac:dyDescent="0.25">
      <c r="A93" s="1" t="str">
        <f>IF(L24&gt;0,"Debt service coverage ratio (DSCR) over looptijd externe lening",IF(AND(Financiering_en_projectplan!M57&gt;0,'Hulpblad_overig '!B30=1),"Debt service coverage ratio (DSCR) over looptijd 15 jaar van achtergestelde lening van deelnemers","N.v.t., geen vreemd vermogen en geen achtergestelde leningen"))</f>
        <v>N.v.t., geen vreemd vermogen en geen achtergestelde leningen</v>
      </c>
      <c r="B93" s="2"/>
      <c r="C93" s="2"/>
      <c r="D93" s="3"/>
      <c r="E93" s="3"/>
      <c r="F93" s="3"/>
      <c r="G93" s="3"/>
      <c r="H93" s="3"/>
      <c r="I93" s="3"/>
      <c r="J93" s="3"/>
      <c r="K93" s="3"/>
      <c r="L93" s="228" t="str">
        <f>IF(L24&gt;0,VLOOKUP(E27,'Hulpblad_overig '!A52:B71,2,FALSE),
IF(AND(Financiering_en_projectplan!M57&gt;0,'Hulpblad_overig '!B30=1),'Hulpblad_overig '!B62,"N.v.t."))</f>
        <v>N.v.t.</v>
      </c>
    </row>
    <row r="96" spans="1:35" x14ac:dyDescent="0.2">
      <c r="A96" s="7" t="s">
        <v>84</v>
      </c>
    </row>
    <row r="97" spans="1:12" x14ac:dyDescent="0.2">
      <c r="A97" s="402"/>
      <c r="B97" s="403"/>
      <c r="C97" s="403"/>
      <c r="D97" s="403"/>
      <c r="E97" s="403"/>
      <c r="F97" s="403"/>
      <c r="G97" s="403"/>
      <c r="H97" s="403"/>
      <c r="I97" s="403"/>
      <c r="J97" s="403"/>
      <c r="K97" s="403"/>
      <c r="L97" s="404"/>
    </row>
    <row r="98" spans="1:12" x14ac:dyDescent="0.2">
      <c r="A98" s="405"/>
      <c r="B98" s="406"/>
      <c r="C98" s="406"/>
      <c r="D98" s="406"/>
      <c r="E98" s="406"/>
      <c r="F98" s="406"/>
      <c r="G98" s="406"/>
      <c r="H98" s="406"/>
      <c r="I98" s="406"/>
      <c r="J98" s="406"/>
      <c r="K98" s="406"/>
      <c r="L98" s="407"/>
    </row>
    <row r="99" spans="1:12" x14ac:dyDescent="0.2">
      <c r="A99" s="405"/>
      <c r="B99" s="406"/>
      <c r="C99" s="406"/>
      <c r="D99" s="406"/>
      <c r="E99" s="406"/>
      <c r="F99" s="406"/>
      <c r="G99" s="406"/>
      <c r="H99" s="406"/>
      <c r="I99" s="406"/>
      <c r="J99" s="406"/>
      <c r="K99" s="406"/>
      <c r="L99" s="407"/>
    </row>
    <row r="100" spans="1:12" x14ac:dyDescent="0.2">
      <c r="A100" s="408"/>
      <c r="B100" s="409"/>
      <c r="C100" s="409"/>
      <c r="D100" s="410"/>
      <c r="E100" s="410"/>
      <c r="F100" s="410"/>
      <c r="G100" s="410"/>
      <c r="H100" s="410"/>
      <c r="I100" s="410"/>
      <c r="J100" s="410"/>
      <c r="K100" s="410"/>
      <c r="L100" s="411"/>
    </row>
    <row r="101" spans="1:12" x14ac:dyDescent="0.2">
      <c r="A101" s="408"/>
      <c r="B101" s="409"/>
      <c r="C101" s="409"/>
      <c r="D101" s="410"/>
      <c r="E101" s="410"/>
      <c r="F101" s="410"/>
      <c r="G101" s="410"/>
      <c r="H101" s="410"/>
      <c r="I101" s="410"/>
      <c r="J101" s="410"/>
      <c r="K101" s="410"/>
      <c r="L101" s="411"/>
    </row>
    <row r="102" spans="1:12" x14ac:dyDescent="0.2">
      <c r="A102" s="405"/>
      <c r="B102" s="406"/>
      <c r="C102" s="406"/>
      <c r="D102" s="406"/>
      <c r="E102" s="406"/>
      <c r="F102" s="406"/>
      <c r="G102" s="406"/>
      <c r="H102" s="406"/>
      <c r="I102" s="406"/>
      <c r="J102" s="406"/>
      <c r="K102" s="406"/>
      <c r="L102" s="407"/>
    </row>
    <row r="103" spans="1:12" x14ac:dyDescent="0.2">
      <c r="A103" s="412"/>
      <c r="B103" s="413"/>
      <c r="C103" s="413"/>
      <c r="D103" s="413"/>
      <c r="E103" s="413"/>
      <c r="F103" s="413"/>
      <c r="G103" s="413"/>
      <c r="H103" s="413"/>
      <c r="I103" s="413"/>
      <c r="J103" s="413"/>
      <c r="K103" s="413"/>
      <c r="L103" s="414"/>
    </row>
  </sheetData>
  <sheetProtection algorithmName="SHA-512" hashValue="WsjLf0vH7jNDjLwmJGgtHUMCay4pLf7gHS53COvvKVgL5peVOFmc1ft9aVndDg11D2nXhLCc1uPpR86vy7YnCw==" saltValue="l2H/JQ2DlKFttVXjXlW5Ow==" spinCount="100000" sheet="1" objects="1" scenarios="1"/>
  <mergeCells count="44">
    <mergeCell ref="B15:L15"/>
    <mergeCell ref="B19:L19"/>
    <mergeCell ref="H23:J23"/>
    <mergeCell ref="A97:L103"/>
    <mergeCell ref="B57:C57"/>
    <mergeCell ref="B53:L53"/>
    <mergeCell ref="B49:L49"/>
    <mergeCell ref="B54:L54"/>
    <mergeCell ref="B48:L48"/>
    <mergeCell ref="H24:J24"/>
    <mergeCell ref="B24:C24"/>
    <mergeCell ref="B46:L46"/>
    <mergeCell ref="H26:J26"/>
    <mergeCell ref="B27:C27"/>
    <mergeCell ref="H32:J32"/>
    <mergeCell ref="H33:J33"/>
    <mergeCell ref="B6:L6"/>
    <mergeCell ref="B7:L7"/>
    <mergeCell ref="B8:L8"/>
    <mergeCell ref="B9:D9"/>
    <mergeCell ref="I10:K10"/>
    <mergeCell ref="B52:L52"/>
    <mergeCell ref="B47:L47"/>
    <mergeCell ref="B18:L18"/>
    <mergeCell ref="H27:J27"/>
    <mergeCell ref="B26:C26"/>
    <mergeCell ref="B23:C23"/>
    <mergeCell ref="H34:J34"/>
    <mergeCell ref="B36:C37"/>
    <mergeCell ref="E36:E37"/>
    <mergeCell ref="H36:J37"/>
    <mergeCell ref="L36:L37"/>
    <mergeCell ref="B38:C38"/>
    <mergeCell ref="H38:J38"/>
    <mergeCell ref="B39:C39"/>
    <mergeCell ref="H39:J39"/>
    <mergeCell ref="AD30:AH31"/>
    <mergeCell ref="L31:L32"/>
    <mergeCell ref="B16:L16"/>
    <mergeCell ref="B17:L17"/>
    <mergeCell ref="B50:L50"/>
    <mergeCell ref="AD43:AH44"/>
    <mergeCell ref="M38:N38"/>
    <mergeCell ref="M39:N41"/>
  </mergeCells>
  <phoneticPr fontId="24" type="noConversion"/>
  <conditionalFormatting sqref="A69:G70 I69:AH70">
    <cfRule type="expression" dxfId="18" priority="258" stopIfTrue="1">
      <formula>$G$69=""</formula>
    </cfRule>
  </conditionalFormatting>
  <conditionalFormatting sqref="B39:C39">
    <cfRule type="expression" dxfId="17" priority="13" stopIfTrue="1">
      <formula>A39="Elektriciteit niet-netlevering"</formula>
    </cfRule>
  </conditionalFormatting>
  <conditionalFormatting sqref="E33">
    <cfRule type="expression" dxfId="16" priority="14" stopIfTrue="1">
      <formula>$E$34&gt;0</formula>
    </cfRule>
  </conditionalFormatting>
  <conditionalFormatting sqref="H33:J33">
    <cfRule type="expression" dxfId="15" priority="9" stopIfTrue="1">
      <formula>$E$33=0</formula>
    </cfRule>
  </conditionalFormatting>
  <conditionalFormatting sqref="H34:J34">
    <cfRule type="expression" dxfId="14" priority="16" stopIfTrue="1">
      <formula>$E$34=0</formula>
    </cfRule>
  </conditionalFormatting>
  <conditionalFormatting sqref="H38:J38">
    <cfRule type="expression" dxfId="13" priority="11" stopIfTrue="1">
      <formula>A39="Elektriciteit netlevering"</formula>
    </cfRule>
  </conditionalFormatting>
  <conditionalFormatting sqref="H39:J39">
    <cfRule type="expression" dxfId="12" priority="12" stopIfTrue="1">
      <formula>A39="Elektriciteit niet-netlevering"</formula>
    </cfRule>
  </conditionalFormatting>
  <conditionalFormatting sqref="L33">
    <cfRule type="expression" dxfId="11" priority="10" stopIfTrue="1">
      <formula>$E$33=0</formula>
    </cfRule>
  </conditionalFormatting>
  <conditionalFormatting sqref="L34">
    <cfRule type="expression" dxfId="10" priority="15" stopIfTrue="1">
      <formula>$E$34=0</formula>
    </cfRule>
  </conditionalFormatting>
  <conditionalFormatting sqref="AC33:AC34">
    <cfRule type="expression" dxfId="9" priority="7" stopIfTrue="1">
      <formula>$B$11=15</formula>
    </cfRule>
  </conditionalFormatting>
  <conditionalFormatting sqref="AC46:AC54">
    <cfRule type="expression" dxfId="8" priority="17" stopIfTrue="1">
      <formula>$B$11=15</formula>
    </cfRule>
  </conditionalFormatting>
  <conditionalFormatting sqref="AD33:AG33">
    <cfRule type="expression" dxfId="7" priority="4" stopIfTrue="1">
      <formula>$B$11=20</formula>
    </cfRule>
  </conditionalFormatting>
  <conditionalFormatting sqref="AD34:AG34">
    <cfRule type="expression" dxfId="6" priority="3" stopIfTrue="1">
      <formula>$B$11=20</formula>
    </cfRule>
  </conditionalFormatting>
  <conditionalFormatting sqref="AD46:AH54">
    <cfRule type="expression" dxfId="5" priority="18">
      <formula>$B$11=15</formula>
    </cfRule>
    <cfRule type="expression" dxfId="4" priority="19">
      <formula>$B$11=15</formula>
    </cfRule>
    <cfRule type="expression" dxfId="3" priority="21">
      <formula>$B$11=15</formula>
    </cfRule>
  </conditionalFormatting>
  <conditionalFormatting sqref="AH33">
    <cfRule type="expression" dxfId="2" priority="2" stopIfTrue="1">
      <formula>$B$11=20</formula>
    </cfRule>
  </conditionalFormatting>
  <conditionalFormatting sqref="AH34">
    <cfRule type="expression" dxfId="1" priority="1" stopIfTrue="1">
      <formula>$B$11=20</formula>
    </cfRule>
  </conditionalFormatting>
  <conditionalFormatting sqref="AI33:AI34">
    <cfRule type="expression" dxfId="0" priority="6" stopIfTrue="1">
      <formula>$B$11=15</formula>
    </cfRule>
  </conditionalFormatting>
  <dataValidations disablePrompts="1" count="4">
    <dataValidation type="decimal" allowBlank="1" showInputMessage="1" showErrorMessage="1" error="U kunt maximaal een percentage van 3,0% invullen. Klik op &quot;Annuleren&quot; en vul een ander percentage in. " sqref="L38:L39" xr:uid="{503404B4-A560-4F1C-8200-F2055761707F}">
      <formula1>0</formula1>
      <formula2>0.03</formula2>
    </dataValidation>
    <dataValidation type="whole" allowBlank="1" showInputMessage="1" showErrorMessage="1" error="U moet hier een geheel aantal jaren met een maximum van de subsidielooptijd invullen." sqref="E27" xr:uid="{5494240C-4D65-4D4D-80EE-CE244BA21EF5}">
      <formula1>0</formula1>
      <formula2>15</formula2>
    </dataValidation>
    <dataValidation type="whole" allowBlank="1" showInputMessage="1" showErrorMessage="1" error="U moet hier een 1 of 2 invullen." sqref="H27" xr:uid="{A66BF63E-CC7B-4C9B-9DCC-0A24149DCF97}">
      <formula1>1</formula1>
      <formula2>2</formula2>
    </dataValidation>
    <dataValidation type="decimal" allowBlank="1" showErrorMessage="1" error="U kunt maximaal een percentage van 3,0% invullen. Klik op &quot;Annuleren&quot; en vul een ander percentage in. " prompt="U kunt maximaal een percentage van 3,0% invullen. Klik op &quot;Annuleren&quot; en vul een ander percentage in. " sqref="L33:L34" xr:uid="{3EABFABB-78B4-4CD5-B7F9-FC186DD32F4A}">
      <formula1>0</formula1>
      <formula2>0.03</formula2>
    </dataValidation>
  </dataValidations>
  <pageMargins left="0.7" right="0.7" top="0.75" bottom="0.75" header="0.3" footer="0.3"/>
  <pageSetup paperSize="9" scale="28" orientation="portrait" r:id="rId1"/>
  <ignoredErrors>
    <ignoredError sqref="X29 W58" formula="1"/>
    <ignoredError sqref="B27 E24 L24 H24" evalError="1"/>
    <ignoredError sqref="AC52" formula="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7940" r:id="rId4" name="List Box 532">
              <controlPr defaultSize="0" autoLine="0" autoPict="0">
                <anchor moveWithCells="1" sizeWithCells="1">
                  <from>
                    <xdr:col>7</xdr:col>
                    <xdr:colOff>19050</xdr:colOff>
                    <xdr:row>25</xdr:row>
                    <xdr:rowOff>152400</xdr:rowOff>
                  </from>
                  <to>
                    <xdr:col>10</xdr:col>
                    <xdr:colOff>9525</xdr:colOff>
                    <xdr:row>27</xdr:row>
                    <xdr:rowOff>142875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A4081-12A2-4AEE-8936-892201BD962E}">
  <sheetPr codeName="Blad7">
    <pageSetUpPr fitToPage="1"/>
  </sheetPr>
  <dimension ref="A1:P111"/>
  <sheetViews>
    <sheetView zoomScaleNormal="100" workbookViewId="0">
      <selection activeCell="B7" sqref="B7"/>
    </sheetView>
  </sheetViews>
  <sheetFormatPr defaultColWidth="8.7109375" defaultRowHeight="12.75" x14ac:dyDescent="0.2"/>
  <cols>
    <col min="1" max="1" width="150.85546875" style="5" customWidth="1"/>
    <col min="2" max="2" width="86.7109375" style="7" customWidth="1"/>
    <col min="3" max="3" width="3.42578125" style="7" customWidth="1"/>
    <col min="4" max="4" width="14" style="5" bestFit="1" customWidth="1"/>
    <col min="5" max="5" width="90.7109375" style="5" customWidth="1"/>
    <col min="6" max="11" width="12.7109375" style="5" customWidth="1"/>
    <col min="12" max="12" width="13.7109375" style="5" customWidth="1"/>
    <col min="13" max="13" width="12.42578125" style="5" customWidth="1"/>
    <col min="14" max="16384" width="8.7109375" style="5"/>
  </cols>
  <sheetData>
    <row r="1" spans="1:16" ht="45" x14ac:dyDescent="0.6">
      <c r="A1" s="4" t="str">
        <f>Invulinstructie_en_disclaimer!A2</f>
        <v>Model haalbaarheidsstudie SCE 2026</v>
      </c>
      <c r="B1" s="117"/>
      <c r="F1" s="8"/>
    </row>
    <row r="2" spans="1:16" ht="11.25" customHeight="1" x14ac:dyDescent="0.6">
      <c r="A2" s="4"/>
      <c r="F2" s="8"/>
    </row>
    <row r="3" spans="1:16" ht="20.100000000000001" customHeight="1" x14ac:dyDescent="0.3">
      <c r="A3" s="9" t="s">
        <v>67</v>
      </c>
      <c r="D3" s="9"/>
      <c r="F3" s="10"/>
    </row>
    <row r="4" spans="1:16" ht="28.5" customHeight="1" x14ac:dyDescent="0.3">
      <c r="A4" s="10"/>
      <c r="F4" s="10"/>
    </row>
    <row r="5" spans="1:16" x14ac:dyDescent="0.2">
      <c r="A5" s="165" t="str">
        <f>"Projectnaam:                  "&amp;Energieproductie!B6</f>
        <v xml:space="preserve">Projectnaam:                  </v>
      </c>
      <c r="B5" s="116"/>
      <c r="C5" s="116"/>
    </row>
    <row r="6" spans="1:16" x14ac:dyDescent="0.2">
      <c r="A6" s="166" t="str">
        <f>"Categorie SCE:               "&amp;Hulpblad_categorieën_parameters!D26</f>
        <v xml:space="preserve">Categorie SCE:               Zon-PV ≥ 15 kWp en ≤ 100 kWp, kleinverbruikersaansluiting </v>
      </c>
      <c r="B6" s="116"/>
      <c r="C6" s="116"/>
    </row>
    <row r="7" spans="1:16" ht="26.25" customHeight="1" x14ac:dyDescent="0.2">
      <c r="A7" s="38"/>
      <c r="B7" s="38"/>
      <c r="C7" s="38"/>
      <c r="D7" s="38"/>
      <c r="E7" s="38"/>
      <c r="F7" s="38"/>
      <c r="G7" s="38"/>
      <c r="H7" s="38"/>
      <c r="I7" s="38"/>
      <c r="J7" s="38"/>
      <c r="K7" s="38"/>
      <c r="L7" s="38"/>
      <c r="M7" s="40"/>
      <c r="N7" s="40"/>
      <c r="O7" s="40"/>
      <c r="P7" s="40"/>
    </row>
    <row r="8" spans="1:16" x14ac:dyDescent="0.2">
      <c r="A8" s="40"/>
      <c r="B8" s="38"/>
      <c r="C8" s="38"/>
      <c r="D8" s="37"/>
      <c r="E8" s="39"/>
      <c r="F8" s="39"/>
      <c r="G8" s="39"/>
      <c r="H8" s="39"/>
      <c r="I8" s="39"/>
      <c r="J8" s="39"/>
      <c r="K8" s="39"/>
      <c r="L8" s="39"/>
      <c r="M8" s="40"/>
      <c r="N8" s="40"/>
      <c r="O8" s="40"/>
      <c r="P8" s="40"/>
    </row>
    <row r="9" spans="1:16" ht="18" x14ac:dyDescent="0.25">
      <c r="A9" s="41" t="s">
        <v>197</v>
      </c>
      <c r="B9" s="38"/>
      <c r="C9" s="38"/>
      <c r="D9" s="40"/>
      <c r="E9" s="39"/>
      <c r="F9" s="39"/>
      <c r="G9" s="39"/>
      <c r="H9" s="39"/>
      <c r="I9" s="39"/>
      <c r="J9" s="39"/>
      <c r="K9" s="39"/>
      <c r="L9" s="39"/>
      <c r="M9" s="40"/>
      <c r="N9" s="40"/>
      <c r="O9" s="40"/>
      <c r="P9" s="40"/>
    </row>
    <row r="10" spans="1:16" ht="18" x14ac:dyDescent="0.25">
      <c r="A10" s="41"/>
      <c r="B10" s="38"/>
      <c r="C10" s="38"/>
      <c r="D10" s="40"/>
      <c r="E10" s="39"/>
      <c r="F10" s="39"/>
      <c r="G10" s="39"/>
      <c r="H10" s="39"/>
      <c r="I10" s="39"/>
      <c r="J10" s="39"/>
      <c r="K10" s="39"/>
      <c r="L10" s="39"/>
      <c r="M10" s="40"/>
      <c r="N10" s="40"/>
      <c r="O10" s="40"/>
      <c r="P10" s="40"/>
    </row>
    <row r="11" spans="1:16" x14ac:dyDescent="0.2">
      <c r="A11" s="38" t="s">
        <v>199</v>
      </c>
      <c r="B11" s="38"/>
      <c r="C11" s="38"/>
      <c r="D11" s="40"/>
      <c r="E11" s="39"/>
      <c r="F11" s="39"/>
      <c r="G11" s="39"/>
      <c r="H11" s="39"/>
      <c r="I11" s="39"/>
      <c r="J11" s="39"/>
      <c r="K11" s="39"/>
      <c r="L11" s="39"/>
      <c r="M11" s="40"/>
      <c r="N11" s="40"/>
      <c r="O11" s="40"/>
      <c r="P11" s="40"/>
    </row>
    <row r="12" spans="1:16" x14ac:dyDescent="0.2">
      <c r="A12" s="231" t="str">
        <f>Financiering_en_projectplan!O9</f>
        <v>Voeg de statuten van de coöperatie toe.</v>
      </c>
      <c r="B12" s="38"/>
      <c r="C12" s="38"/>
      <c r="D12" s="40"/>
      <c r="E12" s="39"/>
      <c r="F12" s="39"/>
      <c r="G12" s="39"/>
      <c r="H12" s="39"/>
      <c r="I12" s="39"/>
      <c r="J12" s="39"/>
      <c r="K12" s="39"/>
      <c r="L12" s="39"/>
      <c r="M12" s="40"/>
      <c r="N12" s="40"/>
      <c r="O12" s="40"/>
      <c r="P12" s="40"/>
    </row>
    <row r="13" spans="1:16" ht="18" x14ac:dyDescent="0.25">
      <c r="A13" s="41"/>
      <c r="B13" s="38"/>
      <c r="C13" s="38"/>
      <c r="D13" s="40"/>
      <c r="E13" s="39"/>
      <c r="F13" s="39"/>
      <c r="G13" s="39"/>
      <c r="H13" s="39"/>
      <c r="I13" s="39"/>
      <c r="J13" s="39"/>
      <c r="K13" s="39"/>
      <c r="L13" s="39"/>
      <c r="M13" s="40"/>
      <c r="N13" s="40"/>
      <c r="O13" s="40"/>
      <c r="P13" s="40"/>
    </row>
    <row r="14" spans="1:16" x14ac:dyDescent="0.2">
      <c r="A14" s="7" t="s">
        <v>198</v>
      </c>
      <c r="B14" s="38"/>
      <c r="C14" s="38"/>
      <c r="D14" s="40"/>
      <c r="E14" s="39"/>
      <c r="F14" s="39"/>
      <c r="G14" s="39"/>
      <c r="H14" s="39"/>
      <c r="I14" s="39"/>
      <c r="J14" s="39"/>
      <c r="K14" s="39"/>
      <c r="L14" s="39"/>
      <c r="M14" s="40"/>
      <c r="N14" s="40"/>
      <c r="O14" s="40"/>
      <c r="P14" s="40"/>
    </row>
    <row r="15" spans="1:16" ht="12.75" customHeight="1" x14ac:dyDescent="0.2">
      <c r="A15" s="430" t="str">
        <f>IF(VLOOKUP(Hulpblad_categorieën_parameters!D26,Hulpblad_categorieën_parameters!A31:N56,14,FALSE)=0,"",VLOOKUP(Hulpblad_categorieën_parameters!D26,Hulpblad_categorieën_parameters!A31:N56,14,FALSE))</f>
        <v xml:space="preserve">Voeg een plattegrond met intekening van de zonnepanelen toe. Indien de zonnepanelen op een dak of aan een gevel worden geïnstalleerd, voegt u een ingevulde "Verklaring geschiktheid dak of gevel" toe. </v>
      </c>
      <c r="B15" s="5"/>
      <c r="C15" s="58"/>
      <c r="D15" s="40"/>
      <c r="E15" s="39"/>
      <c r="F15" s="39"/>
      <c r="G15" s="39"/>
      <c r="H15" s="39"/>
      <c r="I15" s="39"/>
      <c r="J15" s="39"/>
      <c r="K15" s="39"/>
      <c r="L15" s="39"/>
      <c r="M15" s="40"/>
      <c r="N15" s="40"/>
      <c r="O15" s="40"/>
      <c r="P15" s="40"/>
    </row>
    <row r="16" spans="1:16" ht="12.75" customHeight="1" x14ac:dyDescent="0.2">
      <c r="A16" s="431"/>
      <c r="B16" s="38"/>
      <c r="C16" s="38"/>
      <c r="D16" s="40"/>
      <c r="E16" s="43"/>
      <c r="F16" s="43"/>
      <c r="G16" s="43"/>
      <c r="H16" s="43"/>
      <c r="I16" s="43"/>
      <c r="J16" s="43"/>
      <c r="K16" s="43"/>
      <c r="L16" s="43"/>
      <c r="M16" s="40"/>
      <c r="N16" s="40"/>
      <c r="O16" s="40"/>
      <c r="P16" s="40"/>
    </row>
    <row r="17" spans="1:16" ht="12.75" customHeight="1" x14ac:dyDescent="0.2">
      <c r="A17" s="38"/>
      <c r="B17" s="38"/>
      <c r="C17" s="38"/>
      <c r="D17" s="40"/>
      <c r="E17" s="43"/>
      <c r="F17" s="43"/>
      <c r="G17" s="43"/>
      <c r="H17" s="43"/>
      <c r="I17" s="43"/>
      <c r="J17" s="43"/>
      <c r="K17" s="43"/>
      <c r="L17" s="43"/>
      <c r="M17" s="40"/>
      <c r="N17" s="40"/>
      <c r="O17" s="40"/>
      <c r="P17" s="40"/>
    </row>
    <row r="18" spans="1:16" ht="12.75" customHeight="1" x14ac:dyDescent="0.25">
      <c r="A18" s="41"/>
      <c r="B18" s="38"/>
      <c r="C18" s="38"/>
      <c r="D18" s="40"/>
      <c r="E18" s="39"/>
      <c r="F18" s="39"/>
      <c r="G18" s="39"/>
      <c r="H18" s="39"/>
      <c r="I18" s="39"/>
      <c r="J18" s="39"/>
      <c r="K18" s="39"/>
      <c r="L18" s="39"/>
      <c r="M18" s="40"/>
      <c r="N18" s="40"/>
      <c r="O18" s="40"/>
      <c r="P18" s="40"/>
    </row>
    <row r="19" spans="1:16" ht="18" x14ac:dyDescent="0.25">
      <c r="A19" s="41" t="s">
        <v>132</v>
      </c>
      <c r="B19" s="38"/>
      <c r="C19" s="38"/>
      <c r="D19" s="40"/>
      <c r="E19" s="39"/>
      <c r="F19" s="39"/>
      <c r="G19" s="39"/>
      <c r="H19" s="39"/>
      <c r="I19" s="39"/>
      <c r="J19" s="39"/>
      <c r="K19" s="39"/>
      <c r="L19" s="39"/>
      <c r="M19" s="40"/>
      <c r="N19" s="40"/>
      <c r="O19" s="40"/>
      <c r="P19" s="40"/>
    </row>
    <row r="20" spans="1:16" x14ac:dyDescent="0.2">
      <c r="B20" s="38"/>
      <c r="C20" s="38"/>
      <c r="E20" s="116"/>
      <c r="F20" s="39"/>
      <c r="G20" s="39"/>
      <c r="H20" s="39"/>
      <c r="I20" s="39"/>
      <c r="J20" s="39"/>
      <c r="K20" s="39"/>
      <c r="L20" s="39"/>
      <c r="M20" s="40"/>
      <c r="N20" s="40"/>
      <c r="O20" s="40"/>
      <c r="P20" s="40"/>
    </row>
    <row r="21" spans="1:16" ht="12.75" customHeight="1" x14ac:dyDescent="0.2">
      <c r="A21" s="38" t="s">
        <v>44</v>
      </c>
      <c r="B21" s="5"/>
      <c r="C21" s="38"/>
      <c r="F21" s="39"/>
      <c r="G21" s="39"/>
      <c r="H21" s="39"/>
      <c r="I21" s="39"/>
      <c r="J21" s="39"/>
      <c r="K21" s="39"/>
      <c r="L21" s="39"/>
      <c r="M21" s="40"/>
      <c r="N21" s="40"/>
      <c r="O21" s="40"/>
      <c r="P21" s="40"/>
    </row>
    <row r="22" spans="1:16" ht="12.75" customHeight="1" x14ac:dyDescent="0.2">
      <c r="A22" s="76" t="str">
        <f>Exploitatieberekening!O15</f>
        <v/>
      </c>
      <c r="B22" s="5"/>
      <c r="C22" s="38"/>
      <c r="D22" s="40"/>
      <c r="F22" s="39"/>
      <c r="G22" s="39"/>
      <c r="H22" s="39"/>
      <c r="I22" s="39"/>
      <c r="J22" s="39"/>
      <c r="K22" s="39"/>
      <c r="L22" s="39"/>
      <c r="M22" s="40"/>
      <c r="N22" s="40"/>
      <c r="O22" s="40"/>
      <c r="P22" s="40"/>
    </row>
    <row r="23" spans="1:16" ht="12.75" customHeight="1" x14ac:dyDescent="0.2">
      <c r="A23" s="77" t="str">
        <f>Exploitatieberekening!O16</f>
        <v/>
      </c>
      <c r="B23" s="5"/>
      <c r="C23" s="38"/>
      <c r="D23" s="40"/>
      <c r="F23" s="39"/>
      <c r="G23" s="39"/>
      <c r="H23" s="39"/>
      <c r="I23" s="39"/>
      <c r="J23" s="39"/>
      <c r="K23" s="39"/>
      <c r="L23" s="39"/>
      <c r="M23" s="40"/>
      <c r="N23" s="40"/>
      <c r="O23" s="40"/>
      <c r="P23" s="40"/>
    </row>
    <row r="24" spans="1:16" ht="12.75" customHeight="1" x14ac:dyDescent="0.2">
      <c r="A24" s="77" t="str">
        <f>Exploitatieberekening!O17</f>
        <v/>
      </c>
      <c r="B24" s="5"/>
      <c r="C24" s="38"/>
      <c r="D24" s="40"/>
      <c r="F24" s="39"/>
      <c r="G24" s="39"/>
      <c r="H24" s="39"/>
      <c r="I24" s="39"/>
      <c r="J24" s="39"/>
      <c r="K24" s="39"/>
      <c r="L24" s="39"/>
      <c r="M24" s="40"/>
      <c r="N24" s="40"/>
      <c r="O24" s="40"/>
      <c r="P24" s="40"/>
    </row>
    <row r="25" spans="1:16" ht="12.75" customHeight="1" x14ac:dyDescent="0.2">
      <c r="A25" s="77" t="str">
        <f>Exploitatieberekening!O18</f>
        <v/>
      </c>
      <c r="B25" s="5"/>
      <c r="C25" s="38"/>
      <c r="D25" s="40"/>
      <c r="F25" s="48"/>
      <c r="G25" s="48"/>
      <c r="H25" s="48"/>
      <c r="I25" s="48"/>
      <c r="J25" s="48"/>
      <c r="K25" s="48"/>
      <c r="L25" s="48"/>
      <c r="M25" s="40"/>
      <c r="N25" s="40"/>
      <c r="O25" s="40"/>
      <c r="P25" s="40"/>
    </row>
    <row r="26" spans="1:16" x14ac:dyDescent="0.2">
      <c r="A26" s="78" t="str">
        <f>Exploitatieberekening!O19</f>
        <v/>
      </c>
      <c r="B26" s="58"/>
      <c r="C26" s="116"/>
      <c r="D26" s="39"/>
      <c r="E26" s="37"/>
      <c r="F26" s="37"/>
      <c r="G26" s="37"/>
      <c r="H26" s="37"/>
      <c r="I26" s="37"/>
      <c r="J26" s="37"/>
      <c r="K26" s="37"/>
      <c r="L26" s="37"/>
      <c r="M26" s="40"/>
      <c r="N26" s="40"/>
      <c r="O26" s="40"/>
      <c r="P26" s="40"/>
    </row>
    <row r="27" spans="1:16" x14ac:dyDescent="0.2">
      <c r="B27" s="58"/>
      <c r="C27" s="38"/>
      <c r="F27" s="43"/>
      <c r="G27" s="43"/>
      <c r="H27" s="43"/>
      <c r="I27" s="43"/>
      <c r="J27" s="43"/>
      <c r="K27" s="43"/>
      <c r="L27" s="43"/>
      <c r="M27" s="40"/>
      <c r="N27" s="40"/>
      <c r="O27" s="40"/>
      <c r="P27" s="40"/>
    </row>
    <row r="28" spans="1:16" x14ac:dyDescent="0.2">
      <c r="A28" s="38" t="s">
        <v>43</v>
      </c>
      <c r="B28" s="38"/>
      <c r="C28" s="38"/>
      <c r="F28" s="40"/>
      <c r="G28" s="40"/>
      <c r="H28" s="40"/>
      <c r="I28" s="40"/>
      <c r="J28" s="40"/>
      <c r="K28" s="40"/>
      <c r="L28" s="40"/>
      <c r="M28" s="40"/>
      <c r="N28" s="40"/>
      <c r="O28" s="40"/>
      <c r="P28" s="40"/>
    </row>
    <row r="29" spans="1:16" ht="12.75" customHeight="1" x14ac:dyDescent="0.2">
      <c r="A29" s="81" t="str">
        <f>Financiering_en_projectplan!O60</f>
        <v/>
      </c>
      <c r="B29" s="5"/>
      <c r="C29" s="58"/>
      <c r="D29" s="40"/>
      <c r="F29" s="40"/>
      <c r="G29" s="40"/>
      <c r="H29" s="40"/>
      <c r="I29" s="40"/>
      <c r="J29" s="40"/>
      <c r="K29" s="40"/>
      <c r="L29" s="40"/>
      <c r="M29" s="40"/>
      <c r="N29" s="40"/>
      <c r="O29" s="40"/>
      <c r="P29" s="40"/>
    </row>
    <row r="30" spans="1:16" x14ac:dyDescent="0.2">
      <c r="A30" s="40"/>
      <c r="B30" s="38"/>
      <c r="C30" s="38"/>
      <c r="D30" s="40"/>
      <c r="E30" s="37"/>
      <c r="F30" s="37"/>
      <c r="G30" s="37"/>
      <c r="H30" s="37"/>
      <c r="I30" s="37"/>
      <c r="J30" s="37"/>
      <c r="K30" s="37"/>
      <c r="L30" s="37"/>
      <c r="M30" s="40"/>
      <c r="N30" s="40"/>
      <c r="O30" s="40"/>
      <c r="P30" s="40"/>
    </row>
    <row r="31" spans="1:16" x14ac:dyDescent="0.2">
      <c r="A31" s="38" t="s">
        <v>45</v>
      </c>
      <c r="B31" s="38"/>
      <c r="C31" s="38"/>
      <c r="D31" s="40"/>
      <c r="E31" s="39"/>
      <c r="F31" s="39"/>
      <c r="G31" s="39"/>
      <c r="H31" s="39"/>
      <c r="I31" s="39"/>
      <c r="J31" s="39"/>
      <c r="K31" s="39"/>
      <c r="L31" s="39"/>
      <c r="M31" s="40"/>
      <c r="N31" s="40"/>
      <c r="O31" s="40"/>
      <c r="P31" s="40"/>
    </row>
    <row r="32" spans="1:16" x14ac:dyDescent="0.2">
      <c r="A32" s="80" t="str">
        <f>IF(Financiering_en_projectplan!M69&gt;0,Financiering_en_projectplan!O69,"")</f>
        <v/>
      </c>
      <c r="B32" s="38"/>
      <c r="C32" s="38"/>
      <c r="D32" s="40"/>
      <c r="E32" s="39"/>
      <c r="F32" s="39"/>
      <c r="G32" s="39"/>
      <c r="H32" s="39"/>
      <c r="I32" s="39"/>
      <c r="J32" s="39"/>
      <c r="K32" s="39"/>
      <c r="L32" s="39"/>
      <c r="M32" s="40"/>
      <c r="N32" s="40"/>
      <c r="O32" s="40"/>
      <c r="P32" s="40"/>
    </row>
    <row r="33" spans="1:16" x14ac:dyDescent="0.2">
      <c r="A33" s="89" t="str">
        <f>IF(Financiering_en_projectplan!M70&gt;0,Financiering_en_projectplan!O70,"")</f>
        <v/>
      </c>
      <c r="B33" s="50"/>
      <c r="C33" s="50"/>
      <c r="D33" s="37"/>
      <c r="E33" s="37"/>
      <c r="F33" s="37"/>
      <c r="G33" s="37"/>
      <c r="H33" s="37"/>
      <c r="I33" s="37"/>
      <c r="J33" s="37"/>
      <c r="K33" s="37"/>
      <c r="L33" s="37"/>
      <c r="M33" s="40"/>
      <c r="N33" s="40"/>
      <c r="O33" s="40"/>
      <c r="P33" s="40"/>
    </row>
    <row r="34" spans="1:16" x14ac:dyDescent="0.2">
      <c r="A34" s="89" t="str">
        <f>IF(Financiering_en_projectplan!M71&gt;0,Financiering_en_projectplan!O71,"")</f>
        <v/>
      </c>
      <c r="B34" s="50"/>
      <c r="C34" s="50"/>
      <c r="D34" s="37"/>
      <c r="E34" s="37"/>
      <c r="F34" s="37"/>
      <c r="G34" s="37"/>
      <c r="H34" s="37"/>
      <c r="I34" s="37"/>
      <c r="J34" s="37"/>
      <c r="K34" s="37"/>
      <c r="L34" s="37"/>
      <c r="M34" s="40"/>
      <c r="N34" s="40"/>
      <c r="O34" s="40"/>
      <c r="P34" s="40"/>
    </row>
    <row r="35" spans="1:16" x14ac:dyDescent="0.2">
      <c r="A35" s="89" t="str">
        <f>IF(Financiering_en_projectplan!M72&gt;0,Financiering_en_projectplan!O72,"")</f>
        <v/>
      </c>
      <c r="B35" s="50"/>
      <c r="C35" s="50"/>
      <c r="D35" s="37"/>
      <c r="E35" s="37"/>
      <c r="F35" s="37"/>
      <c r="G35" s="37"/>
      <c r="H35" s="37"/>
      <c r="I35" s="37"/>
      <c r="J35" s="37"/>
      <c r="K35" s="37"/>
      <c r="L35" s="37"/>
      <c r="M35" s="40"/>
      <c r="N35" s="40"/>
      <c r="O35" s="40"/>
      <c r="P35" s="40"/>
    </row>
    <row r="36" spans="1:16" x14ac:dyDescent="0.2">
      <c r="A36" s="89" t="str">
        <f>IF(Financiering_en_projectplan!M73&gt;0,Financiering_en_projectplan!O73,"")</f>
        <v/>
      </c>
      <c r="B36" s="50"/>
      <c r="C36" s="50"/>
      <c r="D36" s="37"/>
      <c r="E36" s="37"/>
      <c r="F36" s="37"/>
      <c r="G36" s="37"/>
      <c r="H36" s="37"/>
      <c r="I36" s="37"/>
      <c r="J36" s="37"/>
      <c r="K36" s="37"/>
      <c r="L36" s="37"/>
      <c r="M36" s="40"/>
      <c r="N36" s="40"/>
      <c r="O36" s="40"/>
      <c r="P36" s="40"/>
    </row>
    <row r="37" spans="1:16" x14ac:dyDescent="0.2">
      <c r="A37" s="89" t="str">
        <f>IF(Financiering_en_projectplan!M74&gt;0,Financiering_en_projectplan!O74,"")</f>
        <v/>
      </c>
      <c r="B37" s="50"/>
      <c r="C37" s="50"/>
      <c r="D37" s="37"/>
      <c r="E37" s="37"/>
      <c r="F37" s="37"/>
      <c r="G37" s="37"/>
      <c r="H37" s="37"/>
      <c r="I37" s="37"/>
      <c r="J37" s="37"/>
      <c r="K37" s="37"/>
      <c r="L37" s="37"/>
      <c r="M37" s="40"/>
      <c r="N37" s="40"/>
      <c r="O37" s="40"/>
      <c r="P37" s="40"/>
    </row>
    <row r="38" spans="1:16" x14ac:dyDescent="0.2">
      <c r="A38" s="89" t="str">
        <f>IF(Financiering_en_projectplan!M75&gt;0,Financiering_en_projectplan!O75,"")</f>
        <v/>
      </c>
      <c r="B38" s="50"/>
      <c r="C38" s="50"/>
      <c r="D38" s="37"/>
      <c r="E38" s="37"/>
      <c r="F38" s="37"/>
      <c r="G38" s="37"/>
      <c r="H38" s="37"/>
      <c r="I38" s="37"/>
      <c r="J38" s="37"/>
      <c r="K38" s="37"/>
      <c r="L38" s="37"/>
      <c r="M38" s="40"/>
      <c r="N38" s="40"/>
      <c r="O38" s="40"/>
      <c r="P38" s="40"/>
    </row>
    <row r="39" spans="1:16" x14ac:dyDescent="0.2">
      <c r="A39" s="89" t="str">
        <f>IF(Financiering_en_projectplan!M76&gt;0,Financiering_en_projectplan!O76,"")</f>
        <v/>
      </c>
      <c r="B39" s="39"/>
      <c r="C39" s="39"/>
      <c r="D39" s="37"/>
      <c r="E39" s="37"/>
      <c r="F39" s="37"/>
      <c r="G39" s="37"/>
      <c r="H39" s="37"/>
      <c r="I39" s="37"/>
      <c r="J39" s="37"/>
      <c r="K39" s="37"/>
      <c r="L39" s="37"/>
      <c r="M39" s="40"/>
      <c r="N39" s="40"/>
      <c r="O39" s="40"/>
      <c r="P39" s="40"/>
    </row>
    <row r="40" spans="1:16" x14ac:dyDescent="0.2">
      <c r="A40" s="89" t="str">
        <f>IF(Financiering_en_projectplan!M77&gt;0,Financiering_en_projectplan!O77,"")</f>
        <v/>
      </c>
      <c r="B40" s="39"/>
      <c r="C40" s="39"/>
      <c r="D40" s="37"/>
      <c r="E40" s="37"/>
      <c r="F40" s="37"/>
      <c r="G40" s="37"/>
      <c r="H40" s="37"/>
      <c r="I40" s="37"/>
      <c r="J40" s="37"/>
      <c r="K40" s="37"/>
      <c r="L40" s="37"/>
      <c r="M40" s="40"/>
      <c r="N40" s="40"/>
      <c r="O40" s="40"/>
      <c r="P40" s="40"/>
    </row>
    <row r="41" spans="1:16" x14ac:dyDescent="0.2">
      <c r="A41" s="91" t="str">
        <f>IF(Financiering_en_projectplan!M78&gt;0,Financiering_en_projectplan!O78,"")</f>
        <v/>
      </c>
      <c r="B41" s="39"/>
      <c r="C41" s="39"/>
      <c r="D41" s="37"/>
      <c r="E41" s="37"/>
      <c r="F41" s="37"/>
      <c r="G41" s="37"/>
      <c r="H41" s="37"/>
      <c r="I41" s="37"/>
      <c r="J41" s="37"/>
      <c r="K41" s="37"/>
      <c r="L41" s="37"/>
      <c r="M41" s="40"/>
      <c r="N41" s="40"/>
      <c r="O41" s="40"/>
      <c r="P41" s="40"/>
    </row>
    <row r="42" spans="1:16" x14ac:dyDescent="0.2">
      <c r="A42" s="40"/>
      <c r="B42" s="39"/>
      <c r="C42" s="39"/>
      <c r="D42" s="37"/>
      <c r="E42" s="37"/>
      <c r="F42" s="37"/>
      <c r="G42" s="37"/>
      <c r="H42" s="37"/>
      <c r="I42" s="37"/>
      <c r="J42" s="37"/>
      <c r="K42" s="37"/>
      <c r="L42" s="37"/>
      <c r="M42" s="40"/>
      <c r="N42" s="40"/>
      <c r="O42" s="40"/>
      <c r="P42" s="40"/>
    </row>
    <row r="43" spans="1:16" s="7" customFormat="1" x14ac:dyDescent="0.2">
      <c r="A43" s="38"/>
      <c r="B43" s="44"/>
      <c r="C43" s="44"/>
      <c r="D43" s="43"/>
      <c r="E43" s="43"/>
      <c r="F43" s="43"/>
      <c r="G43" s="43"/>
      <c r="H43" s="43"/>
      <c r="I43" s="43"/>
      <c r="J43" s="43"/>
      <c r="K43" s="43"/>
      <c r="L43" s="43"/>
      <c r="M43" s="38"/>
      <c r="N43" s="38"/>
      <c r="O43" s="38"/>
      <c r="P43" s="38"/>
    </row>
    <row r="44" spans="1:16" s="7" customFormat="1" x14ac:dyDescent="0.2">
      <c r="A44" s="38"/>
      <c r="B44" s="44"/>
      <c r="C44" s="44"/>
      <c r="D44" s="44"/>
      <c r="E44" s="44"/>
      <c r="F44" s="44"/>
      <c r="G44" s="44"/>
      <c r="H44" s="44"/>
      <c r="I44" s="44"/>
      <c r="J44" s="44"/>
      <c r="K44" s="44"/>
      <c r="L44" s="44"/>
      <c r="M44" s="38"/>
      <c r="N44" s="38"/>
      <c r="O44" s="38"/>
      <c r="P44" s="38"/>
    </row>
    <row r="45" spans="1:16" s="7" customFormat="1" x14ac:dyDescent="0.2">
      <c r="A45" s="116"/>
      <c r="B45" s="50"/>
      <c r="C45" s="50"/>
      <c r="D45" s="38"/>
      <c r="E45" s="38"/>
      <c r="F45" s="38"/>
      <c r="G45" s="38"/>
      <c r="H45" s="38"/>
      <c r="I45" s="38"/>
      <c r="J45" s="38"/>
      <c r="K45" s="38"/>
      <c r="L45" s="38"/>
      <c r="M45" s="38"/>
      <c r="N45" s="38"/>
      <c r="O45" s="38"/>
      <c r="P45" s="38"/>
    </row>
    <row r="46" spans="1:16" s="7" customFormat="1" x14ac:dyDescent="0.2">
      <c r="A46" s="38"/>
      <c r="B46" s="82"/>
      <c r="C46" s="82"/>
      <c r="D46" s="43"/>
      <c r="E46" s="52"/>
      <c r="F46" s="52"/>
      <c r="G46" s="52"/>
      <c r="H46" s="52"/>
      <c r="I46" s="52"/>
      <c r="J46" s="52"/>
      <c r="K46" s="52"/>
      <c r="L46" s="52"/>
      <c r="M46" s="38"/>
      <c r="N46" s="38"/>
      <c r="O46" s="38"/>
      <c r="P46" s="38"/>
    </row>
    <row r="47" spans="1:16" s="7" customFormat="1" x14ac:dyDescent="0.2">
      <c r="A47" s="38"/>
      <c r="B47" s="82"/>
      <c r="C47" s="82"/>
      <c r="D47" s="43"/>
      <c r="E47" s="37"/>
      <c r="F47" s="52"/>
      <c r="G47" s="52"/>
      <c r="H47" s="52"/>
      <c r="I47" s="52"/>
      <c r="J47" s="52"/>
      <c r="K47" s="52"/>
      <c r="L47" s="52"/>
      <c r="M47" s="38"/>
      <c r="N47" s="38"/>
      <c r="O47" s="38"/>
      <c r="P47" s="38"/>
    </row>
    <row r="48" spans="1:16" s="7" customFormat="1" x14ac:dyDescent="0.2">
      <c r="A48" s="38"/>
      <c r="B48" s="82"/>
      <c r="C48" s="82"/>
      <c r="D48" s="43"/>
      <c r="E48" s="37"/>
      <c r="F48" s="52"/>
      <c r="G48" s="52"/>
      <c r="H48" s="52"/>
      <c r="I48" s="52"/>
      <c r="J48" s="52"/>
      <c r="K48" s="52"/>
      <c r="L48" s="52"/>
      <c r="M48" s="38"/>
      <c r="N48" s="38"/>
      <c r="O48" s="38"/>
      <c r="P48" s="38"/>
    </row>
    <row r="49" spans="1:16" s="7" customFormat="1" x14ac:dyDescent="0.2">
      <c r="A49" s="38"/>
      <c r="B49" s="82"/>
      <c r="C49" s="82"/>
      <c r="D49" s="43"/>
      <c r="E49" s="37"/>
      <c r="F49" s="52"/>
      <c r="G49" s="52"/>
      <c r="H49" s="52"/>
      <c r="I49" s="52"/>
      <c r="J49" s="52"/>
      <c r="K49" s="52"/>
      <c r="L49" s="52"/>
      <c r="M49" s="38"/>
      <c r="N49" s="38"/>
      <c r="O49" s="38"/>
      <c r="P49" s="38"/>
    </row>
    <row r="50" spans="1:16" s="7" customFormat="1" x14ac:dyDescent="0.2">
      <c r="A50" s="38"/>
      <c r="B50" s="82"/>
      <c r="C50" s="82"/>
      <c r="D50" s="43"/>
      <c r="E50" s="37"/>
      <c r="F50" s="52"/>
      <c r="G50" s="52"/>
      <c r="H50" s="52"/>
      <c r="I50" s="52"/>
      <c r="J50" s="52"/>
      <c r="K50" s="52"/>
      <c r="L50" s="52"/>
      <c r="M50" s="38"/>
      <c r="N50" s="38"/>
      <c r="O50" s="38"/>
      <c r="P50" s="38"/>
    </row>
    <row r="51" spans="1:16" s="7" customFormat="1" x14ac:dyDescent="0.2">
      <c r="A51" s="38"/>
      <c r="B51" s="82"/>
      <c r="C51" s="82"/>
      <c r="D51" s="43"/>
      <c r="E51" s="37"/>
      <c r="F51" s="52"/>
      <c r="G51" s="52"/>
      <c r="H51" s="52"/>
      <c r="I51" s="52"/>
      <c r="J51" s="52"/>
      <c r="K51" s="52"/>
      <c r="L51" s="52"/>
      <c r="M51" s="38"/>
      <c r="N51" s="38"/>
      <c r="O51" s="38"/>
      <c r="P51" s="38"/>
    </row>
    <row r="52" spans="1:16" s="7" customFormat="1" x14ac:dyDescent="0.2">
      <c r="A52" s="38"/>
      <c r="B52" s="82"/>
      <c r="C52" s="82"/>
      <c r="D52" s="43"/>
      <c r="E52" s="37"/>
      <c r="F52" s="52"/>
      <c r="G52" s="52"/>
      <c r="H52" s="52"/>
      <c r="I52" s="52"/>
      <c r="J52" s="52"/>
      <c r="K52" s="52"/>
      <c r="L52" s="52"/>
      <c r="M52" s="38"/>
      <c r="N52" s="38"/>
      <c r="O52" s="38"/>
      <c r="P52" s="38"/>
    </row>
    <row r="53" spans="1:16" s="7" customFormat="1" x14ac:dyDescent="0.2">
      <c r="A53" s="38"/>
      <c r="B53" s="82"/>
      <c r="C53" s="82"/>
      <c r="D53" s="43"/>
      <c r="E53" s="37"/>
      <c r="F53" s="52"/>
      <c r="G53" s="52"/>
      <c r="H53" s="52"/>
      <c r="I53" s="52"/>
      <c r="J53" s="52"/>
      <c r="K53" s="52"/>
      <c r="L53" s="52"/>
      <c r="M53" s="38"/>
      <c r="N53" s="38"/>
      <c r="O53" s="38"/>
      <c r="P53" s="38"/>
    </row>
    <row r="54" spans="1:16" s="7" customFormat="1" x14ac:dyDescent="0.2">
      <c r="A54" s="38"/>
      <c r="B54" s="44"/>
      <c r="C54" s="44"/>
      <c r="D54" s="43"/>
      <c r="E54" s="53"/>
      <c r="F54" s="43"/>
      <c r="G54" s="43"/>
      <c r="H54" s="43"/>
      <c r="I54" s="43"/>
      <c r="J54" s="43"/>
      <c r="K54" s="43"/>
      <c r="L54" s="43"/>
      <c r="M54" s="38"/>
      <c r="N54" s="38"/>
      <c r="O54" s="38"/>
      <c r="P54" s="38"/>
    </row>
    <row r="55" spans="1:16" s="7" customFormat="1" x14ac:dyDescent="0.2">
      <c r="A55" s="116"/>
      <c r="B55" s="44"/>
      <c r="C55" s="44"/>
      <c r="D55" s="43"/>
      <c r="E55" s="43"/>
      <c r="F55" s="43"/>
      <c r="G55" s="43"/>
      <c r="H55" s="43"/>
      <c r="I55" s="43"/>
      <c r="J55" s="43"/>
      <c r="K55" s="43"/>
      <c r="L55" s="43"/>
      <c r="M55" s="38"/>
      <c r="N55" s="38"/>
      <c r="O55" s="38"/>
      <c r="P55" s="38"/>
    </row>
    <row r="56" spans="1:16" s="7" customFormat="1" x14ac:dyDescent="0.2">
      <c r="A56" s="38"/>
      <c r="B56" s="44"/>
      <c r="C56" s="44"/>
      <c r="D56" s="43"/>
      <c r="E56" s="43"/>
      <c r="F56" s="43"/>
      <c r="G56" s="43"/>
      <c r="H56" s="43"/>
      <c r="I56" s="43"/>
      <c r="J56" s="43"/>
      <c r="K56" s="43"/>
      <c r="L56" s="43"/>
      <c r="M56" s="38"/>
      <c r="N56" s="38"/>
      <c r="O56" s="38"/>
      <c r="P56" s="38"/>
    </row>
    <row r="57" spans="1:16" s="7" customFormat="1" x14ac:dyDescent="0.2">
      <c r="A57" s="38"/>
      <c r="B57" s="44"/>
      <c r="C57" s="44"/>
      <c r="D57" s="44"/>
      <c r="E57" s="44"/>
      <c r="F57" s="44"/>
      <c r="G57" s="44"/>
      <c r="H57" s="44"/>
      <c r="I57" s="44"/>
      <c r="J57" s="44"/>
      <c r="K57" s="44"/>
      <c r="L57" s="44"/>
      <c r="M57" s="38"/>
      <c r="N57" s="38"/>
      <c r="O57" s="38"/>
      <c r="P57" s="38"/>
    </row>
    <row r="58" spans="1:16" x14ac:dyDescent="0.2">
      <c r="A58" s="116"/>
      <c r="B58" s="38"/>
      <c r="C58" s="38"/>
      <c r="D58" s="37"/>
      <c r="E58" s="37"/>
      <c r="F58" s="37"/>
      <c r="G58" s="37"/>
      <c r="H58" s="37"/>
      <c r="I58" s="37"/>
      <c r="J58" s="37"/>
      <c r="K58" s="37"/>
      <c r="L58" s="37"/>
      <c r="M58" s="39"/>
      <c r="N58" s="40"/>
      <c r="O58" s="40"/>
      <c r="P58" s="40"/>
    </row>
    <row r="59" spans="1:16" hidden="1" x14ac:dyDescent="0.2">
      <c r="A59" s="116"/>
      <c r="B59" s="38"/>
      <c r="C59" s="38"/>
      <c r="D59" s="37"/>
      <c r="E59" s="37"/>
      <c r="F59" s="37"/>
      <c r="G59" s="37"/>
      <c r="H59" s="37"/>
      <c r="I59" s="37"/>
      <c r="J59" s="37"/>
      <c r="K59" s="37"/>
      <c r="L59" s="37"/>
      <c r="M59" s="40"/>
      <c r="N59" s="40"/>
      <c r="O59" s="40"/>
      <c r="P59" s="40"/>
    </row>
    <row r="60" spans="1:16" hidden="1" x14ac:dyDescent="0.2">
      <c r="A60" s="116"/>
      <c r="B60" s="38"/>
      <c r="C60" s="38"/>
      <c r="D60" s="37"/>
      <c r="E60" s="37"/>
      <c r="F60" s="37"/>
      <c r="G60" s="37"/>
      <c r="H60" s="37"/>
      <c r="I60" s="37"/>
      <c r="J60" s="37"/>
      <c r="K60" s="37"/>
      <c r="L60" s="37"/>
      <c r="M60" s="37"/>
      <c r="N60" s="40"/>
      <c r="O60" s="40"/>
      <c r="P60" s="40"/>
    </row>
    <row r="61" spans="1:16" hidden="1" x14ac:dyDescent="0.2">
      <c r="A61" s="116"/>
      <c r="B61" s="38"/>
      <c r="C61" s="38"/>
      <c r="D61" s="37"/>
      <c r="E61" s="37"/>
      <c r="F61" s="37"/>
      <c r="G61" s="37"/>
      <c r="H61" s="37"/>
      <c r="I61" s="37"/>
      <c r="J61" s="37"/>
      <c r="K61" s="37"/>
      <c r="L61" s="37"/>
      <c r="M61" s="37"/>
      <c r="N61" s="40"/>
      <c r="O61" s="40"/>
      <c r="P61" s="40"/>
    </row>
    <row r="62" spans="1:16" hidden="1" x14ac:dyDescent="0.2">
      <c r="A62" s="116"/>
      <c r="B62" s="38"/>
      <c r="C62" s="38"/>
      <c r="D62" s="37"/>
      <c r="E62" s="37"/>
      <c r="F62" s="37"/>
      <c r="G62" s="37"/>
      <c r="H62" s="37"/>
      <c r="I62" s="37"/>
      <c r="J62" s="37"/>
      <c r="K62" s="37"/>
      <c r="L62" s="37"/>
      <c r="M62" s="37"/>
      <c r="N62" s="40"/>
      <c r="O62" s="40"/>
      <c r="P62" s="40"/>
    </row>
    <row r="63" spans="1:16" hidden="1" x14ac:dyDescent="0.2">
      <c r="A63" s="116"/>
      <c r="B63" s="38"/>
      <c r="C63" s="38"/>
      <c r="D63" s="37"/>
      <c r="E63" s="37"/>
      <c r="F63" s="37"/>
      <c r="G63" s="37"/>
      <c r="H63" s="37"/>
      <c r="I63" s="37"/>
      <c r="J63" s="37"/>
      <c r="K63" s="37"/>
      <c r="L63" s="37"/>
      <c r="M63" s="37"/>
      <c r="N63" s="40"/>
      <c r="O63" s="40"/>
      <c r="P63" s="40"/>
    </row>
    <row r="64" spans="1:16" x14ac:dyDescent="0.2">
      <c r="A64" s="116"/>
      <c r="B64" s="54"/>
      <c r="C64" s="54"/>
      <c r="D64" s="37"/>
      <c r="E64" s="37"/>
      <c r="F64" s="37"/>
      <c r="G64" s="37"/>
      <c r="H64" s="37"/>
      <c r="I64" s="37"/>
      <c r="J64" s="37"/>
      <c r="K64" s="37"/>
      <c r="L64" s="37"/>
      <c r="M64" s="37"/>
      <c r="N64" s="40"/>
      <c r="O64" s="40"/>
      <c r="P64" s="40"/>
    </row>
    <row r="65" spans="1:16" x14ac:dyDescent="0.2">
      <c r="A65" s="116"/>
      <c r="B65" s="57"/>
      <c r="C65" s="57"/>
      <c r="D65" s="37"/>
      <c r="E65" s="37"/>
      <c r="F65" s="37"/>
      <c r="G65" s="37"/>
      <c r="H65" s="37"/>
      <c r="I65" s="37"/>
      <c r="J65" s="37"/>
      <c r="K65" s="37"/>
      <c r="L65" s="37"/>
      <c r="M65" s="37"/>
      <c r="N65" s="40"/>
      <c r="O65" s="40"/>
      <c r="P65" s="40"/>
    </row>
    <row r="66" spans="1:16" x14ac:dyDescent="0.2">
      <c r="A66" s="116"/>
      <c r="B66" s="38"/>
      <c r="C66" s="38"/>
      <c r="D66" s="37"/>
      <c r="E66" s="37"/>
      <c r="F66" s="37"/>
      <c r="G66" s="37"/>
      <c r="H66" s="37"/>
      <c r="I66" s="37"/>
      <c r="J66" s="37"/>
      <c r="K66" s="37"/>
      <c r="L66" s="37"/>
      <c r="M66" s="37"/>
      <c r="N66" s="40"/>
      <c r="O66" s="40"/>
      <c r="P66" s="40"/>
    </row>
    <row r="67" spans="1:16" s="7" customFormat="1" x14ac:dyDescent="0.2">
      <c r="A67" s="45"/>
      <c r="B67" s="38"/>
      <c r="C67" s="38"/>
      <c r="D67" s="43"/>
      <c r="E67" s="43"/>
      <c r="F67" s="43"/>
      <c r="G67" s="43"/>
      <c r="H67" s="43"/>
      <c r="I67" s="43"/>
      <c r="J67" s="43"/>
      <c r="K67" s="43"/>
      <c r="L67" s="43"/>
      <c r="M67" s="38"/>
      <c r="N67" s="38"/>
      <c r="O67" s="38"/>
      <c r="P67" s="38"/>
    </row>
    <row r="68" spans="1:16" s="7" customFormat="1" x14ac:dyDescent="0.2">
      <c r="A68" s="38"/>
      <c r="B68" s="38"/>
      <c r="C68" s="38"/>
      <c r="D68" s="43"/>
      <c r="E68" s="43"/>
      <c r="F68" s="43"/>
      <c r="G68" s="43"/>
      <c r="H68" s="43"/>
      <c r="I68" s="43"/>
      <c r="J68" s="43"/>
      <c r="K68" s="43"/>
      <c r="L68" s="43"/>
      <c r="M68" s="38"/>
      <c r="N68" s="38"/>
      <c r="O68" s="38"/>
      <c r="P68" s="38"/>
    </row>
    <row r="69" spans="1:16" s="7" customFormat="1" x14ac:dyDescent="0.2">
      <c r="A69" s="38"/>
      <c r="B69" s="38"/>
      <c r="C69" s="38"/>
      <c r="D69" s="43"/>
      <c r="E69" s="43"/>
      <c r="F69" s="43"/>
      <c r="G69" s="43"/>
      <c r="H69" s="43"/>
      <c r="I69" s="43"/>
      <c r="J69" s="43"/>
      <c r="K69" s="43"/>
      <c r="L69" s="43"/>
      <c r="M69" s="38"/>
      <c r="N69" s="38"/>
      <c r="O69" s="38"/>
      <c r="P69" s="38"/>
    </row>
    <row r="70" spans="1:16" s="7" customFormat="1" x14ac:dyDescent="0.2">
      <c r="A70" s="38"/>
      <c r="B70" s="38"/>
      <c r="C70" s="38"/>
      <c r="D70" s="43"/>
      <c r="E70" s="43"/>
      <c r="F70" s="43"/>
      <c r="G70" s="43"/>
      <c r="H70" s="43"/>
      <c r="I70" s="43"/>
      <c r="J70" s="43"/>
      <c r="K70" s="43"/>
      <c r="L70" s="43"/>
      <c r="M70" s="38"/>
      <c r="N70" s="38"/>
      <c r="O70" s="38"/>
      <c r="P70" s="38"/>
    </row>
    <row r="71" spans="1:16" x14ac:dyDescent="0.2">
      <c r="A71" s="116"/>
      <c r="B71" s="38"/>
      <c r="C71" s="38"/>
      <c r="D71" s="37"/>
      <c r="E71" s="37"/>
      <c r="F71" s="37"/>
      <c r="G71" s="37"/>
      <c r="H71" s="37"/>
      <c r="I71" s="37"/>
      <c r="J71" s="37"/>
      <c r="K71" s="37"/>
      <c r="L71" s="37"/>
      <c r="M71" s="40"/>
      <c r="N71" s="40"/>
      <c r="O71" s="40"/>
      <c r="P71" s="40"/>
    </row>
    <row r="72" spans="1:16" x14ac:dyDescent="0.2">
      <c r="A72" s="116"/>
      <c r="B72" s="38"/>
      <c r="C72" s="38"/>
      <c r="D72" s="37"/>
      <c r="E72" s="37"/>
      <c r="F72" s="37"/>
      <c r="G72" s="37"/>
      <c r="H72" s="37"/>
      <c r="I72" s="37"/>
      <c r="J72" s="37"/>
      <c r="K72" s="37"/>
      <c r="L72" s="37"/>
      <c r="M72" s="40"/>
      <c r="N72" s="40"/>
      <c r="O72" s="40"/>
      <c r="P72" s="40"/>
    </row>
    <row r="73" spans="1:16" x14ac:dyDescent="0.2">
      <c r="A73" s="116"/>
      <c r="B73" s="38"/>
      <c r="C73" s="38"/>
      <c r="D73" s="37"/>
      <c r="E73" s="37"/>
      <c r="F73" s="37"/>
      <c r="G73" s="37"/>
      <c r="H73" s="37"/>
      <c r="I73" s="37"/>
      <c r="J73" s="37"/>
      <c r="K73" s="37"/>
      <c r="L73" s="37"/>
      <c r="M73" s="40"/>
      <c r="N73" s="40"/>
      <c r="O73" s="40"/>
      <c r="P73" s="40"/>
    </row>
    <row r="74" spans="1:16" s="7" customFormat="1" x14ac:dyDescent="0.2">
      <c r="A74" s="38"/>
      <c r="B74" s="38"/>
      <c r="C74" s="38"/>
      <c r="D74" s="43"/>
      <c r="E74" s="43"/>
      <c r="F74" s="43"/>
      <c r="G74" s="43"/>
      <c r="H74" s="43"/>
      <c r="I74" s="43"/>
      <c r="J74" s="43"/>
      <c r="K74" s="43"/>
      <c r="L74" s="43"/>
      <c r="M74" s="38"/>
      <c r="N74" s="38"/>
      <c r="O74" s="38"/>
      <c r="P74" s="38"/>
    </row>
    <row r="75" spans="1:16" x14ac:dyDescent="0.2">
      <c r="A75" s="40"/>
      <c r="B75" s="38"/>
      <c r="C75" s="38"/>
      <c r="D75" s="37"/>
      <c r="E75" s="37"/>
      <c r="F75" s="37"/>
      <c r="G75" s="37"/>
      <c r="H75" s="37"/>
      <c r="I75" s="37"/>
      <c r="J75" s="37"/>
      <c r="K75" s="37"/>
      <c r="L75" s="37"/>
      <c r="M75" s="40"/>
      <c r="N75" s="40"/>
      <c r="O75" s="40"/>
      <c r="P75" s="40"/>
    </row>
    <row r="76" spans="1:16" x14ac:dyDescent="0.2">
      <c r="A76" s="116"/>
      <c r="B76" s="38"/>
      <c r="C76" s="38"/>
      <c r="D76" s="37"/>
      <c r="E76" s="37"/>
      <c r="F76" s="37"/>
      <c r="G76" s="37"/>
      <c r="H76" s="37"/>
      <c r="I76" s="37"/>
      <c r="J76" s="37"/>
      <c r="K76" s="37"/>
      <c r="L76" s="37"/>
      <c r="M76" s="40"/>
      <c r="N76" s="40"/>
      <c r="O76" s="40"/>
      <c r="P76" s="40"/>
    </row>
    <row r="77" spans="1:16" x14ac:dyDescent="0.2">
      <c r="A77" s="40"/>
      <c r="B77" s="38"/>
      <c r="C77" s="38"/>
      <c r="D77" s="37"/>
      <c r="E77" s="37"/>
      <c r="F77" s="37"/>
      <c r="G77" s="37"/>
      <c r="H77" s="37"/>
      <c r="I77" s="37"/>
      <c r="J77" s="37"/>
      <c r="K77" s="37"/>
      <c r="L77" s="37"/>
      <c r="M77" s="40"/>
      <c r="N77" s="40"/>
      <c r="O77" s="40"/>
      <c r="P77" s="40"/>
    </row>
    <row r="78" spans="1:16" x14ac:dyDescent="0.2">
      <c r="A78" s="40"/>
      <c r="B78" s="38"/>
      <c r="C78" s="38"/>
      <c r="D78" s="37"/>
      <c r="E78" s="37"/>
      <c r="F78" s="37"/>
      <c r="G78" s="37"/>
      <c r="H78" s="37"/>
      <c r="I78" s="37"/>
      <c r="J78" s="37"/>
      <c r="K78" s="37"/>
      <c r="L78" s="37"/>
      <c r="M78" s="40"/>
      <c r="N78" s="40"/>
      <c r="O78" s="40"/>
      <c r="P78" s="40"/>
    </row>
    <row r="79" spans="1:16" s="7" customFormat="1" x14ac:dyDescent="0.2">
      <c r="A79" s="38"/>
      <c r="B79" s="38"/>
      <c r="C79" s="38"/>
      <c r="D79" s="43"/>
      <c r="E79" s="43"/>
      <c r="F79" s="43"/>
      <c r="G79" s="43"/>
      <c r="H79" s="43"/>
      <c r="I79" s="43"/>
      <c r="J79" s="43"/>
      <c r="K79" s="43"/>
      <c r="L79" s="43"/>
      <c r="M79" s="38"/>
      <c r="N79" s="38"/>
      <c r="O79" s="38"/>
      <c r="P79" s="38"/>
    </row>
    <row r="80" spans="1:16" s="7" customFormat="1" x14ac:dyDescent="0.2">
      <c r="A80" s="38"/>
      <c r="B80" s="38"/>
      <c r="C80" s="38"/>
      <c r="D80" s="43"/>
      <c r="E80" s="43"/>
      <c r="F80" s="43"/>
      <c r="G80" s="43"/>
      <c r="H80" s="43"/>
      <c r="I80" s="43"/>
      <c r="J80" s="43"/>
      <c r="K80" s="43"/>
      <c r="L80" s="43"/>
      <c r="M80" s="38"/>
      <c r="N80" s="38"/>
      <c r="O80" s="38"/>
      <c r="P80" s="38"/>
    </row>
    <row r="81" spans="1:16" s="7" customFormat="1" x14ac:dyDescent="0.2">
      <c r="A81" s="38"/>
      <c r="B81" s="38"/>
      <c r="C81" s="38"/>
      <c r="D81" s="43"/>
      <c r="E81" s="43"/>
      <c r="F81" s="43"/>
      <c r="G81" s="43"/>
      <c r="H81" s="43"/>
      <c r="I81" s="43"/>
      <c r="J81" s="43"/>
      <c r="K81" s="43"/>
      <c r="L81" s="43"/>
      <c r="M81" s="44"/>
      <c r="N81" s="44"/>
      <c r="O81" s="44"/>
      <c r="P81" s="44"/>
    </row>
    <row r="82" spans="1:16" x14ac:dyDescent="0.2">
      <c r="A82" s="40"/>
      <c r="B82" s="38"/>
      <c r="C82" s="38"/>
      <c r="D82" s="37"/>
      <c r="E82" s="37"/>
      <c r="F82" s="37"/>
      <c r="G82" s="37"/>
      <c r="H82" s="37"/>
      <c r="I82" s="37"/>
      <c r="J82" s="37"/>
      <c r="K82" s="37"/>
      <c r="L82" s="37"/>
      <c r="M82" s="40"/>
      <c r="N82" s="40"/>
      <c r="O82" s="40"/>
      <c r="P82" s="40"/>
    </row>
    <row r="83" spans="1:16" ht="24.95" customHeight="1" x14ac:dyDescent="0.2">
      <c r="A83" s="59"/>
      <c r="B83" s="60"/>
      <c r="C83" s="60"/>
      <c r="D83" s="64"/>
      <c r="E83" s="65"/>
      <c r="F83" s="65"/>
      <c r="G83" s="65"/>
      <c r="H83" s="65"/>
      <c r="I83" s="65"/>
      <c r="J83" s="65"/>
      <c r="K83" s="65"/>
      <c r="L83" s="65"/>
      <c r="M83" s="40"/>
      <c r="N83" s="40"/>
      <c r="O83" s="40"/>
      <c r="P83" s="40"/>
    </row>
    <row r="84" spans="1:16" x14ac:dyDescent="0.2">
      <c r="A84" s="40"/>
      <c r="B84" s="38"/>
      <c r="C84" s="38"/>
      <c r="D84" s="40"/>
      <c r="E84" s="40"/>
      <c r="F84" s="40"/>
      <c r="G84" s="40"/>
      <c r="H84" s="40"/>
      <c r="I84" s="40"/>
      <c r="J84" s="40"/>
      <c r="K84" s="40"/>
      <c r="L84" s="40"/>
      <c r="M84" s="40"/>
      <c r="N84" s="40"/>
      <c r="O84" s="40"/>
      <c r="P84" s="40"/>
    </row>
    <row r="85" spans="1:16" x14ac:dyDescent="0.2">
      <c r="A85" s="40"/>
      <c r="B85" s="38"/>
      <c r="C85" s="38"/>
      <c r="D85" s="40"/>
      <c r="E85" s="40"/>
      <c r="F85" s="40"/>
      <c r="G85" s="40"/>
      <c r="H85" s="40"/>
      <c r="I85" s="40"/>
      <c r="J85" s="40"/>
      <c r="K85" s="40"/>
      <c r="L85" s="40"/>
      <c r="M85" s="40"/>
      <c r="N85" s="40"/>
      <c r="O85" s="40"/>
      <c r="P85" s="40"/>
    </row>
    <row r="86" spans="1:16" x14ac:dyDescent="0.2">
      <c r="A86" s="38"/>
      <c r="B86" s="38"/>
      <c r="C86" s="38"/>
      <c r="D86" s="43"/>
      <c r="E86" s="43"/>
      <c r="F86" s="43"/>
      <c r="G86" s="43"/>
      <c r="H86" s="43"/>
      <c r="I86" s="43"/>
      <c r="J86" s="43"/>
      <c r="K86" s="43"/>
      <c r="L86" s="43"/>
      <c r="M86" s="40"/>
      <c r="N86" s="40"/>
      <c r="O86" s="40"/>
      <c r="P86" s="40"/>
    </row>
    <row r="87" spans="1:16" x14ac:dyDescent="0.2">
      <c r="A87" s="40"/>
      <c r="B87" s="38"/>
      <c r="C87" s="38"/>
      <c r="D87" s="40"/>
      <c r="E87" s="40"/>
      <c r="F87" s="40"/>
      <c r="G87" s="40"/>
      <c r="H87" s="40"/>
      <c r="I87" s="40"/>
      <c r="J87" s="40"/>
      <c r="K87" s="40"/>
      <c r="L87" s="40"/>
      <c r="M87" s="40"/>
      <c r="N87" s="40"/>
      <c r="O87" s="40"/>
      <c r="P87" s="40"/>
    </row>
    <row r="88" spans="1:16" ht="24.75" customHeight="1" x14ac:dyDescent="0.2">
      <c r="A88" s="59"/>
      <c r="B88" s="59"/>
      <c r="C88" s="59"/>
      <c r="D88" s="40"/>
      <c r="E88" s="67"/>
      <c r="F88" s="40"/>
      <c r="G88" s="40"/>
      <c r="H88" s="40"/>
      <c r="I88" s="40"/>
      <c r="J88" s="40"/>
      <c r="K88" s="40"/>
      <c r="L88" s="40"/>
      <c r="M88" s="40"/>
      <c r="N88" s="40"/>
      <c r="O88" s="40"/>
      <c r="P88" s="40"/>
    </row>
    <row r="89" spans="1:16" x14ac:dyDescent="0.2">
      <c r="A89" s="40"/>
      <c r="B89" s="38"/>
      <c r="C89" s="38"/>
      <c r="D89" s="40"/>
      <c r="E89" s="40"/>
      <c r="F89" s="40"/>
      <c r="G89" s="40"/>
      <c r="H89" s="40"/>
      <c r="I89" s="40"/>
      <c r="J89" s="40"/>
      <c r="K89" s="40"/>
      <c r="L89" s="40"/>
      <c r="M89" s="40"/>
      <c r="N89" s="40"/>
      <c r="O89" s="40"/>
      <c r="P89" s="40"/>
    </row>
    <row r="90" spans="1:16" x14ac:dyDescent="0.2">
      <c r="A90" s="40"/>
      <c r="B90" s="38"/>
      <c r="C90" s="38"/>
      <c r="D90" s="40"/>
      <c r="E90" s="40"/>
      <c r="F90" s="40"/>
      <c r="G90" s="40"/>
      <c r="H90" s="40"/>
      <c r="I90" s="40"/>
      <c r="J90" s="40"/>
      <c r="K90" s="40"/>
      <c r="L90" s="40"/>
      <c r="M90" s="40"/>
      <c r="N90" s="40"/>
      <c r="O90" s="40"/>
      <c r="P90" s="40"/>
    </row>
    <row r="91" spans="1:16" x14ac:dyDescent="0.2">
      <c r="A91" s="38"/>
      <c r="B91" s="38"/>
      <c r="C91" s="38"/>
      <c r="D91" s="40"/>
      <c r="E91" s="68"/>
      <c r="F91" s="68"/>
      <c r="G91" s="68"/>
      <c r="H91" s="68"/>
      <c r="I91" s="68"/>
      <c r="J91" s="68"/>
      <c r="K91" s="68"/>
      <c r="L91" s="68"/>
      <c r="M91" s="40"/>
      <c r="N91" s="40"/>
      <c r="O91" s="40"/>
      <c r="P91" s="40"/>
    </row>
    <row r="92" spans="1:16" x14ac:dyDescent="0.2">
      <c r="A92" s="40"/>
      <c r="B92" s="38"/>
      <c r="C92" s="38"/>
      <c r="D92" s="40"/>
      <c r="E92" s="40"/>
      <c r="F92" s="40"/>
      <c r="G92" s="40"/>
      <c r="H92" s="40"/>
      <c r="I92" s="40"/>
      <c r="J92" s="40"/>
      <c r="K92" s="40"/>
      <c r="L92" s="40"/>
      <c r="M92" s="40"/>
      <c r="N92" s="40"/>
      <c r="O92" s="40"/>
      <c r="P92" s="40"/>
    </row>
    <row r="93" spans="1:16" ht="24.75" customHeight="1" x14ac:dyDescent="0.2">
      <c r="A93" s="59"/>
      <c r="B93" s="38"/>
      <c r="C93" s="38"/>
      <c r="D93" s="40"/>
      <c r="E93" s="40"/>
      <c r="F93" s="40"/>
      <c r="G93" s="40"/>
      <c r="H93" s="40"/>
      <c r="I93" s="40"/>
      <c r="J93" s="40"/>
      <c r="K93" s="40"/>
      <c r="L93" s="40"/>
      <c r="M93" s="40"/>
      <c r="N93" s="40"/>
      <c r="O93" s="40"/>
      <c r="P93" s="40"/>
    </row>
    <row r="94" spans="1:16" x14ac:dyDescent="0.2">
      <c r="A94" s="40"/>
      <c r="B94" s="38"/>
      <c r="C94" s="38"/>
      <c r="D94" s="40"/>
      <c r="E94" s="40"/>
      <c r="F94" s="40"/>
      <c r="G94" s="40"/>
      <c r="H94" s="40"/>
      <c r="I94" s="40"/>
      <c r="J94" s="40"/>
      <c r="K94" s="40"/>
      <c r="L94" s="40"/>
      <c r="M94" s="40"/>
      <c r="N94" s="40"/>
      <c r="O94" s="40"/>
      <c r="P94" s="40"/>
    </row>
    <row r="95" spans="1:16" x14ac:dyDescent="0.2">
      <c r="A95" s="40"/>
      <c r="B95" s="38"/>
      <c r="C95" s="38"/>
      <c r="D95" s="40"/>
      <c r="E95" s="40"/>
      <c r="F95" s="40"/>
      <c r="G95" s="40"/>
      <c r="H95" s="40"/>
      <c r="I95" s="40"/>
      <c r="J95" s="40"/>
      <c r="K95" s="40"/>
      <c r="L95" s="40"/>
      <c r="M95" s="40"/>
      <c r="N95" s="40"/>
      <c r="O95" s="40"/>
      <c r="P95" s="40"/>
    </row>
    <row r="96" spans="1:16" x14ac:dyDescent="0.2">
      <c r="A96" s="38"/>
      <c r="B96" s="38"/>
      <c r="C96" s="38"/>
      <c r="D96" s="40"/>
      <c r="E96" s="40"/>
      <c r="F96" s="40"/>
      <c r="G96" s="40"/>
      <c r="H96" s="40"/>
      <c r="I96" s="40"/>
      <c r="J96" s="40"/>
      <c r="K96" s="40"/>
      <c r="L96" s="40"/>
      <c r="M96" s="40"/>
      <c r="N96" s="40"/>
      <c r="O96" s="40"/>
      <c r="P96" s="40"/>
    </row>
    <row r="97" spans="1:16" x14ac:dyDescent="0.2">
      <c r="A97" s="345"/>
      <c r="B97" s="345"/>
      <c r="C97" s="116"/>
      <c r="D97" s="40"/>
      <c r="E97" s="40"/>
      <c r="F97" s="40"/>
      <c r="G97" s="40"/>
      <c r="H97" s="40"/>
      <c r="I97" s="40"/>
      <c r="J97" s="40"/>
      <c r="K97" s="40"/>
      <c r="L97" s="40"/>
      <c r="M97" s="40"/>
      <c r="N97" s="40"/>
      <c r="O97" s="40"/>
      <c r="P97" s="40"/>
    </row>
    <row r="98" spans="1:16" x14ac:dyDescent="0.2">
      <c r="A98" s="365"/>
      <c r="B98" s="365"/>
      <c r="C98" s="40"/>
      <c r="D98" s="40"/>
      <c r="E98" s="40"/>
      <c r="F98" s="40"/>
      <c r="G98" s="40"/>
      <c r="H98" s="40"/>
      <c r="I98" s="40"/>
      <c r="J98" s="40"/>
      <c r="K98" s="40"/>
      <c r="L98" s="40"/>
      <c r="M98" s="40"/>
      <c r="N98" s="40"/>
      <c r="O98" s="40"/>
      <c r="P98" s="40"/>
    </row>
    <row r="99" spans="1:16" x14ac:dyDescent="0.2">
      <c r="A99" s="365"/>
      <c r="B99" s="365"/>
      <c r="C99" s="40"/>
      <c r="D99" s="40"/>
      <c r="E99" s="40"/>
      <c r="F99" s="40"/>
      <c r="G99" s="40"/>
      <c r="H99" s="40"/>
      <c r="I99" s="40"/>
      <c r="J99" s="40"/>
      <c r="K99" s="40"/>
      <c r="L99" s="40"/>
      <c r="M99" s="40"/>
      <c r="N99" s="40"/>
      <c r="O99" s="40"/>
      <c r="P99" s="40"/>
    </row>
    <row r="100" spans="1:16" x14ac:dyDescent="0.2">
      <c r="A100" s="365"/>
      <c r="B100" s="365"/>
      <c r="C100" s="40"/>
      <c r="D100" s="40"/>
      <c r="E100" s="40"/>
      <c r="F100" s="40"/>
      <c r="G100" s="40"/>
      <c r="H100" s="40"/>
      <c r="I100" s="40"/>
      <c r="J100" s="40"/>
      <c r="K100" s="40"/>
      <c r="L100" s="40"/>
      <c r="M100" s="40"/>
      <c r="N100" s="40"/>
      <c r="O100" s="40"/>
      <c r="P100" s="40"/>
    </row>
    <row r="101" spans="1:16" x14ac:dyDescent="0.2">
      <c r="A101" s="365"/>
      <c r="B101" s="365"/>
      <c r="C101" s="40"/>
      <c r="D101" s="40"/>
      <c r="E101" s="40"/>
      <c r="F101" s="40"/>
      <c r="G101" s="40"/>
      <c r="H101" s="40"/>
      <c r="I101" s="40"/>
      <c r="J101" s="40"/>
      <c r="K101" s="40"/>
      <c r="L101" s="40"/>
      <c r="M101" s="40"/>
      <c r="N101" s="40"/>
      <c r="O101" s="40"/>
      <c r="P101" s="40"/>
    </row>
    <row r="102" spans="1:16" x14ac:dyDescent="0.2">
      <c r="A102" s="365"/>
      <c r="B102" s="365"/>
      <c r="C102" s="40"/>
      <c r="D102" s="40"/>
      <c r="E102" s="40"/>
      <c r="F102" s="40"/>
      <c r="G102" s="40"/>
      <c r="H102" s="40"/>
      <c r="I102" s="40"/>
      <c r="J102" s="40"/>
      <c r="K102" s="40"/>
      <c r="L102" s="40"/>
      <c r="M102" s="40"/>
      <c r="N102" s="40"/>
      <c r="O102" s="40"/>
      <c r="P102" s="40"/>
    </row>
    <row r="103" spans="1:16" x14ac:dyDescent="0.2">
      <c r="A103" s="365"/>
      <c r="B103" s="365"/>
      <c r="C103" s="40"/>
      <c r="D103" s="40"/>
      <c r="E103" s="40"/>
      <c r="F103" s="40"/>
      <c r="G103" s="40"/>
      <c r="H103" s="40"/>
      <c r="I103" s="40"/>
      <c r="J103" s="40"/>
      <c r="K103" s="40"/>
      <c r="L103" s="40"/>
      <c r="M103" s="40"/>
      <c r="N103" s="40"/>
      <c r="O103" s="40"/>
      <c r="P103" s="40"/>
    </row>
    <row r="104" spans="1:16" x14ac:dyDescent="0.2">
      <c r="A104" s="40"/>
      <c r="B104" s="38"/>
      <c r="C104" s="38"/>
      <c r="D104" s="40"/>
      <c r="E104" s="40"/>
      <c r="F104" s="40"/>
      <c r="G104" s="40"/>
      <c r="H104" s="40"/>
      <c r="I104" s="40"/>
      <c r="J104" s="40"/>
      <c r="K104" s="40"/>
      <c r="L104" s="40"/>
      <c r="M104" s="40"/>
      <c r="N104" s="40"/>
      <c r="O104" s="40"/>
      <c r="P104" s="40"/>
    </row>
    <row r="105" spans="1:16" x14ac:dyDescent="0.2">
      <c r="A105" s="40"/>
      <c r="B105" s="38"/>
      <c r="C105" s="38"/>
      <c r="D105" s="40"/>
      <c r="E105" s="40"/>
      <c r="F105" s="40"/>
      <c r="G105" s="40"/>
      <c r="H105" s="40"/>
      <c r="I105" s="40"/>
      <c r="J105" s="40"/>
      <c r="K105" s="40"/>
      <c r="L105" s="40"/>
      <c r="M105" s="40"/>
      <c r="N105" s="40"/>
      <c r="O105" s="40"/>
      <c r="P105" s="40"/>
    </row>
    <row r="106" spans="1:16" x14ac:dyDescent="0.2">
      <c r="A106" s="40"/>
      <c r="B106" s="38"/>
      <c r="C106" s="38"/>
      <c r="D106" s="40"/>
      <c r="E106" s="40"/>
      <c r="F106" s="40"/>
      <c r="G106" s="40"/>
      <c r="H106" s="40"/>
      <c r="I106" s="40"/>
      <c r="J106" s="40"/>
      <c r="K106" s="40"/>
      <c r="L106" s="40"/>
      <c r="M106" s="40"/>
      <c r="N106" s="40"/>
      <c r="O106" s="40"/>
      <c r="P106" s="40"/>
    </row>
    <row r="107" spans="1:16" x14ac:dyDescent="0.2">
      <c r="A107" s="40"/>
      <c r="B107" s="38"/>
      <c r="C107" s="38"/>
      <c r="D107" s="40"/>
      <c r="E107" s="40"/>
      <c r="F107" s="40"/>
      <c r="G107" s="40"/>
      <c r="H107" s="40"/>
      <c r="I107" s="40"/>
      <c r="J107" s="40"/>
      <c r="K107" s="40"/>
      <c r="L107" s="40"/>
      <c r="M107" s="40"/>
      <c r="N107" s="40"/>
      <c r="O107" s="40"/>
      <c r="P107" s="40"/>
    </row>
    <row r="108" spans="1:16" x14ac:dyDescent="0.2">
      <c r="A108" s="40"/>
      <c r="B108" s="38"/>
      <c r="C108" s="38"/>
      <c r="D108" s="40"/>
      <c r="E108" s="40"/>
      <c r="F108" s="40"/>
      <c r="G108" s="40"/>
      <c r="H108" s="40"/>
      <c r="I108" s="40"/>
      <c r="J108" s="40"/>
      <c r="K108" s="40"/>
      <c r="L108" s="40"/>
      <c r="M108" s="40"/>
      <c r="N108" s="40"/>
      <c r="O108" s="40"/>
      <c r="P108" s="40"/>
    </row>
    <row r="109" spans="1:16" x14ac:dyDescent="0.2">
      <c r="A109" s="40"/>
      <c r="B109" s="38"/>
      <c r="C109" s="38"/>
      <c r="D109" s="40"/>
      <c r="E109" s="40"/>
      <c r="F109" s="40"/>
      <c r="G109" s="40"/>
      <c r="H109" s="40"/>
      <c r="I109" s="40"/>
      <c r="J109" s="40"/>
      <c r="K109" s="40"/>
      <c r="L109" s="40"/>
      <c r="M109" s="40"/>
      <c r="N109" s="40"/>
      <c r="O109" s="40"/>
      <c r="P109" s="40"/>
    </row>
    <row r="110" spans="1:16" x14ac:dyDescent="0.2">
      <c r="A110" s="40"/>
      <c r="B110" s="38"/>
      <c r="C110" s="38"/>
      <c r="D110" s="40"/>
      <c r="E110" s="40"/>
      <c r="F110" s="40"/>
      <c r="G110" s="40"/>
      <c r="H110" s="40"/>
      <c r="I110" s="40"/>
      <c r="J110" s="40"/>
      <c r="K110" s="40"/>
      <c r="L110" s="40"/>
      <c r="M110" s="40"/>
      <c r="N110" s="40"/>
      <c r="O110" s="40"/>
      <c r="P110" s="40"/>
    </row>
    <row r="111" spans="1:16" x14ac:dyDescent="0.2">
      <c r="A111" s="40"/>
      <c r="B111" s="38"/>
      <c r="C111" s="38"/>
      <c r="D111" s="40"/>
      <c r="E111" s="40"/>
      <c r="F111" s="40"/>
      <c r="G111" s="40"/>
      <c r="H111" s="40"/>
      <c r="I111" s="40"/>
      <c r="J111" s="40"/>
      <c r="K111" s="40"/>
      <c r="L111" s="40"/>
      <c r="M111" s="40"/>
      <c r="N111" s="40"/>
      <c r="O111" s="40"/>
      <c r="P111" s="40"/>
    </row>
  </sheetData>
  <sheetProtection algorithmName="SHA-512" hashValue="T1xd2wjOQJeWLOAtJswFKV6ZycAznrezgY/AEOExg58biTPI7ioZIErG1rnwd8oqq+WIMzsj+yFpqsk2CNRXLg==" saltValue="ABJFS9/A8g0OWKxZ1+Qvzg==" spinCount="100000" sheet="1" objects="1" scenarios="1"/>
  <mergeCells count="8">
    <mergeCell ref="A15:A16"/>
    <mergeCell ref="A103:B103"/>
    <mergeCell ref="A97:B97"/>
    <mergeCell ref="A98:B98"/>
    <mergeCell ref="A99:B99"/>
    <mergeCell ref="A100:B100"/>
    <mergeCell ref="A101:B101"/>
    <mergeCell ref="A102:B102"/>
  </mergeCells>
  <pageMargins left="0.70866141732283472" right="0.70866141732283472" top="0.74803149606299213" bottom="0.74803149606299213" header="0.31496062992125984" footer="0.31496062992125984"/>
  <pageSetup paperSize="9" scale="6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798C6-C5B8-40CB-8948-5728EC842CF9}">
  <dimension ref="A1:AG69"/>
  <sheetViews>
    <sheetView topLeftCell="A26" zoomScale="90" zoomScaleNormal="90" workbookViewId="0">
      <pane xSplit="1" topLeftCell="B1" activePane="topRight" state="frozen"/>
      <selection activeCell="A115" sqref="A115"/>
      <selection pane="topRight" activeCell="A66" sqref="A66"/>
    </sheetView>
  </sheetViews>
  <sheetFormatPr defaultRowHeight="12.75" x14ac:dyDescent="0.2"/>
  <cols>
    <col min="1" max="1" width="121" customWidth="1"/>
    <col min="2" max="3" width="34.140625" customWidth="1"/>
    <col min="4" max="4" width="33.85546875" customWidth="1"/>
    <col min="5" max="5" width="34.42578125" customWidth="1"/>
    <col min="6" max="6" width="34.7109375" customWidth="1"/>
    <col min="7" max="8" width="33.7109375" customWidth="1"/>
    <col min="9" max="9" width="25.7109375" customWidth="1"/>
    <col min="10" max="10" width="107.42578125" customWidth="1"/>
    <col min="11" max="13" width="25.7109375" customWidth="1"/>
    <col min="14" max="14" width="54.85546875" customWidth="1"/>
    <col min="15" max="15" width="54" customWidth="1"/>
    <col min="16" max="16" width="44.7109375" customWidth="1"/>
    <col min="17" max="17" width="46" customWidth="1"/>
    <col min="18" max="18" width="32.140625" customWidth="1"/>
    <col min="19" max="19" width="124.7109375" customWidth="1"/>
    <col min="20" max="20" width="61" customWidth="1"/>
    <col min="21" max="21" width="25.5703125" customWidth="1"/>
    <col min="22" max="22" width="38.85546875" customWidth="1"/>
    <col min="23" max="23" width="71.140625" customWidth="1"/>
    <col min="24" max="24" width="23.28515625" customWidth="1"/>
    <col min="25" max="29" width="12.7109375" customWidth="1"/>
    <col min="30" max="30" width="80" customWidth="1"/>
    <col min="31" max="31" width="15.85546875" customWidth="1"/>
    <col min="32" max="32" width="15.28515625" customWidth="1"/>
    <col min="33" max="33" width="21.5703125" customWidth="1"/>
  </cols>
  <sheetData>
    <row r="1" spans="1:16" x14ac:dyDescent="0.2">
      <c r="A1" s="70" t="s">
        <v>94</v>
      </c>
      <c r="D1" s="148"/>
    </row>
    <row r="2" spans="1:16" x14ac:dyDescent="0.2">
      <c r="A2" s="149">
        <v>1</v>
      </c>
      <c r="B2" s="103" t="s">
        <v>236</v>
      </c>
      <c r="G2" s="70"/>
      <c r="I2" s="70"/>
    </row>
    <row r="3" spans="1:16" x14ac:dyDescent="0.2">
      <c r="A3" s="149">
        <v>2</v>
      </c>
      <c r="B3" s="103" t="s">
        <v>237</v>
      </c>
      <c r="G3" s="70"/>
      <c r="I3" s="70"/>
    </row>
    <row r="4" spans="1:16" x14ac:dyDescent="0.2">
      <c r="A4" s="149">
        <v>3</v>
      </c>
      <c r="B4" s="103" t="s">
        <v>113</v>
      </c>
      <c r="G4" s="70"/>
      <c r="I4" s="70"/>
    </row>
    <row r="5" spans="1:16" x14ac:dyDescent="0.2">
      <c r="A5" s="149">
        <v>4</v>
      </c>
      <c r="B5" s="103" t="s">
        <v>112</v>
      </c>
      <c r="G5" s="70"/>
      <c r="I5" s="70"/>
    </row>
    <row r="6" spans="1:16" x14ac:dyDescent="0.2">
      <c r="A6" s="150"/>
      <c r="B6" s="144">
        <v>1</v>
      </c>
      <c r="C6" s="144" t="str">
        <f>VLOOKUP(B6,A2:B5,2,FALSE)</f>
        <v>Zon-PV kleinverbruikersaansluiting</v>
      </c>
      <c r="F6" s="143"/>
      <c r="G6" s="103"/>
      <c r="H6" s="143"/>
    </row>
    <row r="7" spans="1:16" x14ac:dyDescent="0.2">
      <c r="A7" s="150"/>
      <c r="B7" s="103"/>
      <c r="C7" s="103"/>
      <c r="F7" s="143"/>
      <c r="G7" s="103"/>
      <c r="H7" s="143"/>
    </row>
    <row r="8" spans="1:16" ht="12.75" customHeight="1" x14ac:dyDescent="0.2">
      <c r="A8" s="70" t="s">
        <v>114</v>
      </c>
      <c r="B8" s="70"/>
      <c r="G8" s="103"/>
      <c r="I8" s="103"/>
      <c r="J8" s="103"/>
    </row>
    <row r="9" spans="1:16" ht="41.25" customHeight="1" x14ac:dyDescent="0.2">
      <c r="A9" s="103" t="s">
        <v>236</v>
      </c>
      <c r="B9" s="147" t="str">
        <f>A32</f>
        <v xml:space="preserve">Zon-PV ≥ 15 kWp en ≤ 100 kWp, kleinverbruikersaansluiting </v>
      </c>
      <c r="C9" s="72" t="str">
        <f>A33</f>
        <v>Zon-PV gebouwgebonden met dakaanpassing of lichtgewicht panelen ≥ 15 kWp en ≤ 100 kWp, kleinverbruikersaansluiting</v>
      </c>
      <c r="G9" s="103"/>
      <c r="I9" s="103"/>
      <c r="J9" s="103"/>
    </row>
    <row r="10" spans="1:16" ht="52.5" customHeight="1" x14ac:dyDescent="0.2">
      <c r="A10" s="103" t="s">
        <v>237</v>
      </c>
      <c r="B10" s="147" t="str">
        <f>A36</f>
        <v xml:space="preserve">Zon-PV ≥ 15 kWp en &lt; 1 MWp, grootverbruikersaansluiting en max. 50% terugleververmogen </v>
      </c>
      <c r="C10" s="72" t="str">
        <f>A37</f>
        <v xml:space="preserve">Zon-PV gebouwgebonden met dakaanpassing of lichtgewicht panelen ≥ 15 kWp en &lt; 1 MWp, grootverbruikersaansluiting en max. 50% terugleververmogen </v>
      </c>
      <c r="D10" s="72" t="str">
        <f>A38</f>
        <v xml:space="preserve">Zon-PV gebouwgebonden ≥ 1 MWp en ≤ 6 MWp, grootverbruikersaansluiting en max. 50% terugleververmogen </v>
      </c>
      <c r="E10" s="72" t="str">
        <f>A39</f>
        <v xml:space="preserve">Zon-PV gebouwgebonden met dakaanpassing of lichtgewicht panelen ≥ 1 MWp en ≤ 6 MWp, grootverbruikersaansluiting en max. 50% terugleververmogen </v>
      </c>
      <c r="F10" s="232" t="str">
        <f>A40</f>
        <v xml:space="preserve">Zon-PV grondgebonden natuurinclusief ≥ 1 MWp en ≤ 6 MWp, grootverbruikersaansluiting en max. 50% terugleververmogen </v>
      </c>
      <c r="G10" s="72" t="str">
        <f>A41</f>
        <v xml:space="preserve">Zon-PV drijvend op water ≥ 1 MWp en ≤ 6 MWp, grootverbruikersaansluiting en max. 50% terugleververmogen </v>
      </c>
      <c r="H10" s="72"/>
      <c r="I10" s="147"/>
      <c r="J10" s="147"/>
      <c r="K10" s="72"/>
      <c r="L10" s="72"/>
      <c r="M10" s="72"/>
      <c r="N10" s="72"/>
      <c r="O10" s="72"/>
      <c r="P10" s="72"/>
    </row>
    <row r="11" spans="1:16" ht="42.75" customHeight="1" x14ac:dyDescent="0.2">
      <c r="A11" s="103" t="s">
        <v>113</v>
      </c>
      <c r="B11" s="72" t="str">
        <f>A44</f>
        <v>Windenergie kleinverbruikersaansluiting (≤ 3 x 80 A), ≥ 15 kW en ≤ 100 kW</v>
      </c>
      <c r="C11" s="72"/>
      <c r="D11" s="72"/>
      <c r="E11" s="72"/>
      <c r="F11" s="72"/>
      <c r="H11" s="147"/>
      <c r="I11" s="72"/>
      <c r="J11" s="147"/>
      <c r="K11" s="147"/>
      <c r="L11" s="72"/>
      <c r="M11" s="72"/>
      <c r="N11" s="72"/>
      <c r="O11" s="72"/>
      <c r="P11" s="72"/>
    </row>
    <row r="12" spans="1:16" ht="52.5" customHeight="1" x14ac:dyDescent="0.2">
      <c r="A12" s="103" t="s">
        <v>112</v>
      </c>
      <c r="B12" s="147" t="str">
        <f>A47</f>
        <v>Windenergie grootverbruikersaansluiting (&gt; 3 x 80 A), ≥ 15 kW en ≤ 1 MW, ≥ 8,0 m/s</v>
      </c>
      <c r="C12" s="72" t="str">
        <f>A48</f>
        <v>Windenergie grootverbruikersaansluiting (&gt; 3 x 80 A), ≥ 15 kW en ≤ 1 MW, ≥ 7,5 en &lt; 8,0 m/s</v>
      </c>
      <c r="D12" s="72" t="str">
        <f>A49</f>
        <v>Windenergie grootverbruikersaansluiting (&gt; 3 x 80 A), ≥ 15 kW en ≤ 1 MW, ≥ 7,0 en &lt; 7,5 m/s</v>
      </c>
      <c r="E12" s="72" t="str">
        <f>A50</f>
        <v>Windenergie grootverbruikersaansluiting (&gt; 3 x 80 A), ≥ 15 kW en ≤ 1 MW, ≥ 6,75 en &lt; 7,0 m/s</v>
      </c>
      <c r="F12" s="147" t="str">
        <f>A51</f>
        <v>Windenergie grootverbruikersaansluiting (&gt; 3 x 80 A), ≥ 15 kW en ≤ 1 MW, &lt; 6,75 m/s</v>
      </c>
      <c r="G12" s="147" t="str">
        <f>A52</f>
        <v>Windenergie grootverbruikersaansluiting (&gt; 3 x 80 A), &gt; 1 MW en ≤ 6 MW, ≥ 8,0 m/s</v>
      </c>
      <c r="H12" s="147" t="str">
        <f>A53</f>
        <v>Windenergie grootverbruikersaansluiting (&gt; 3 x 80 A), &gt; 1 MW en ≤ 6 MW, ≥ 7,5 en &lt; 8,0 m/s</v>
      </c>
      <c r="I12" s="72" t="str">
        <f>A54</f>
        <v>Windenergie grootverbruikersaansluiting (&gt; 3 x 80 A), &gt; 1 MW en ≤ 6 MW, ≥ 7,0 en &lt; 7,5 m/s</v>
      </c>
      <c r="J12" s="72" t="str">
        <f>A55</f>
        <v>Windenergie grootverbruikersaansluiting (&gt; 3 x 80 A), &gt; 1 MW en ≤ 6 MW, ≥ 6,75 en &lt; 7,0 m/s</v>
      </c>
      <c r="K12" s="72" t="str">
        <f>A56</f>
        <v>Windenergie grootverbruikersaansluiting (&gt; 3 x 80 A), &gt; 1 MW en ≤ 6 MW, &lt; 6,75 m/s</v>
      </c>
      <c r="N12" s="72"/>
      <c r="O12" s="72"/>
      <c r="P12" s="72"/>
    </row>
    <row r="13" spans="1:16" ht="24.95" customHeight="1" x14ac:dyDescent="0.2">
      <c r="A13" s="103"/>
      <c r="B13" s="147"/>
      <c r="C13" s="72"/>
      <c r="D13" s="72"/>
      <c r="E13" s="72"/>
      <c r="F13" s="72"/>
      <c r="G13" s="147"/>
      <c r="H13" s="72"/>
      <c r="I13" s="147"/>
      <c r="J13" s="147"/>
      <c r="K13" s="72"/>
      <c r="L13" s="72"/>
      <c r="M13" s="72"/>
      <c r="N13" s="72"/>
      <c r="O13" s="72"/>
      <c r="P13" s="72"/>
    </row>
    <row r="14" spans="1:16" ht="39.950000000000003" customHeight="1" x14ac:dyDescent="0.2">
      <c r="A14" s="151" t="str">
        <f>VLOOKUP($C$6,A$9:$K$12,2,FALSE)</f>
        <v xml:space="preserve">Zon-PV ≥ 15 kWp en ≤ 100 kWp, kleinverbruikersaansluiting </v>
      </c>
      <c r="B14" s="149">
        <v>1</v>
      </c>
      <c r="C14" s="147" t="str">
        <f t="shared" ref="C14:C25" si="0">IF(A14=0,"",A14)</f>
        <v xml:space="preserve">Zon-PV ≥ 15 kWp en ≤ 100 kWp, kleinverbruikersaansluiting </v>
      </c>
      <c r="D14" s="72"/>
      <c r="E14" s="72"/>
      <c r="F14" s="72"/>
      <c r="G14" s="147"/>
      <c r="H14" s="72"/>
      <c r="I14" s="147"/>
      <c r="J14" s="147"/>
      <c r="K14" s="72"/>
      <c r="L14" s="72"/>
      <c r="M14" s="72"/>
      <c r="N14" s="72"/>
      <c r="O14" s="72"/>
      <c r="P14" s="72"/>
    </row>
    <row r="15" spans="1:16" ht="39.950000000000003" customHeight="1" x14ac:dyDescent="0.2">
      <c r="A15" s="151" t="str">
        <f>VLOOKUP($C$6,A$9:$M$12,3,FALSE)</f>
        <v>Zon-PV gebouwgebonden met dakaanpassing of lichtgewicht panelen ≥ 15 kWp en ≤ 100 kWp, kleinverbruikersaansluiting</v>
      </c>
      <c r="B15" s="149">
        <v>2</v>
      </c>
      <c r="C15" s="147" t="str">
        <f t="shared" si="0"/>
        <v>Zon-PV gebouwgebonden met dakaanpassing of lichtgewicht panelen ≥ 15 kWp en ≤ 100 kWp, kleinverbruikersaansluiting</v>
      </c>
      <c r="D15" s="72"/>
      <c r="E15" s="72"/>
      <c r="F15" s="72"/>
      <c r="G15" s="147"/>
      <c r="H15" s="72"/>
      <c r="I15" s="147"/>
      <c r="J15" s="147"/>
      <c r="K15" s="72"/>
      <c r="L15" s="72"/>
      <c r="M15" s="72"/>
      <c r="N15" s="72"/>
      <c r="O15" s="72"/>
      <c r="P15" s="72"/>
    </row>
    <row r="16" spans="1:16" ht="39.950000000000003" customHeight="1" x14ac:dyDescent="0.2">
      <c r="A16" s="151">
        <f>VLOOKUP($C$6,A$9:$M$12,4,FALSE)</f>
        <v>0</v>
      </c>
      <c r="B16" s="149">
        <v>3</v>
      </c>
      <c r="C16" s="147" t="str">
        <f t="shared" si="0"/>
        <v/>
      </c>
      <c r="D16" s="72"/>
      <c r="E16" s="72"/>
      <c r="F16" s="72"/>
      <c r="G16" s="147"/>
      <c r="H16" s="72"/>
      <c r="I16" s="147"/>
      <c r="J16" s="147"/>
      <c r="K16" s="72"/>
      <c r="L16" s="72"/>
      <c r="M16" s="72"/>
      <c r="N16" s="72"/>
      <c r="O16" s="72"/>
      <c r="P16" s="72"/>
    </row>
    <row r="17" spans="1:33" ht="39.950000000000003" customHeight="1" x14ac:dyDescent="0.2">
      <c r="A17" s="151">
        <f>VLOOKUP($C$6,A$9:$M$12,5,FALSE)</f>
        <v>0</v>
      </c>
      <c r="B17" s="149">
        <v>4</v>
      </c>
      <c r="C17" s="147" t="str">
        <f t="shared" si="0"/>
        <v/>
      </c>
      <c r="D17" s="72"/>
      <c r="E17" s="72"/>
      <c r="F17" s="72"/>
      <c r="G17" s="147"/>
      <c r="H17" s="72"/>
      <c r="I17" s="147"/>
      <c r="J17" s="147"/>
      <c r="K17" s="72"/>
      <c r="L17" s="72"/>
      <c r="M17" s="72"/>
      <c r="N17" s="72"/>
      <c r="O17" s="72"/>
      <c r="P17" s="72"/>
    </row>
    <row r="18" spans="1:33" ht="39.950000000000003" customHeight="1" x14ac:dyDescent="0.2">
      <c r="A18" s="151">
        <f>VLOOKUP($C$6,A$9:$M$12,6,FALSE)</f>
        <v>0</v>
      </c>
      <c r="B18" s="149">
        <v>5</v>
      </c>
      <c r="C18" s="147" t="str">
        <f t="shared" si="0"/>
        <v/>
      </c>
      <c r="D18" s="72"/>
      <c r="E18" s="72"/>
      <c r="F18" s="72"/>
      <c r="G18" s="147"/>
      <c r="H18" s="72"/>
      <c r="I18" s="147"/>
      <c r="J18" s="147"/>
      <c r="K18" s="72"/>
      <c r="L18" s="72"/>
      <c r="M18" s="72"/>
      <c r="N18" s="72"/>
      <c r="O18" s="72"/>
      <c r="P18" s="72"/>
    </row>
    <row r="19" spans="1:33" ht="39.950000000000003" customHeight="1" x14ac:dyDescent="0.2">
      <c r="A19" s="151">
        <f>VLOOKUP($C$6,A$9:$M$12,7,FALSE)</f>
        <v>0</v>
      </c>
      <c r="B19" s="149">
        <v>6</v>
      </c>
      <c r="C19" s="147" t="str">
        <f t="shared" si="0"/>
        <v/>
      </c>
      <c r="D19" s="72"/>
      <c r="E19" s="72"/>
      <c r="F19" s="72"/>
      <c r="G19" s="147"/>
      <c r="H19" s="72"/>
      <c r="I19" s="147"/>
      <c r="J19" s="147"/>
      <c r="K19" s="72"/>
      <c r="L19" s="72"/>
      <c r="M19" s="72"/>
      <c r="N19" s="72"/>
      <c r="O19" s="72"/>
      <c r="P19" s="72"/>
    </row>
    <row r="20" spans="1:33" ht="39.950000000000003" customHeight="1" x14ac:dyDescent="0.2">
      <c r="A20" s="151">
        <f>VLOOKUP($C$6,A$9:$M$12,8,FALSE)</f>
        <v>0</v>
      </c>
      <c r="B20" s="149">
        <v>7</v>
      </c>
      <c r="C20" s="147" t="str">
        <f t="shared" si="0"/>
        <v/>
      </c>
      <c r="D20" s="72"/>
      <c r="E20" s="72"/>
      <c r="F20" s="72"/>
      <c r="G20" s="147"/>
      <c r="H20" s="72"/>
      <c r="I20" s="147"/>
      <c r="J20" s="147"/>
      <c r="K20" s="72"/>
      <c r="L20" s="72"/>
      <c r="M20" s="72"/>
      <c r="N20" s="72"/>
      <c r="O20" s="72"/>
      <c r="P20" s="72"/>
    </row>
    <row r="21" spans="1:33" ht="39.950000000000003" customHeight="1" x14ac:dyDescent="0.2">
      <c r="A21" s="151">
        <f>VLOOKUP($C$6,A$9:$M$12,9,FALSE)</f>
        <v>0</v>
      </c>
      <c r="B21" s="149">
        <v>8</v>
      </c>
      <c r="C21" s="147" t="str">
        <f t="shared" si="0"/>
        <v/>
      </c>
      <c r="D21" s="72"/>
      <c r="E21" s="72"/>
      <c r="F21" s="72"/>
      <c r="G21" s="147"/>
      <c r="H21" s="72"/>
      <c r="I21" s="147"/>
      <c r="J21" s="147"/>
      <c r="K21" s="72"/>
      <c r="L21" s="72"/>
      <c r="M21" s="72"/>
      <c r="N21" s="72"/>
      <c r="O21" s="72"/>
      <c r="P21" s="72"/>
    </row>
    <row r="22" spans="1:33" ht="39.950000000000003" customHeight="1" x14ac:dyDescent="0.2">
      <c r="A22" s="151">
        <f>VLOOKUP($C$6,A$9:$M$12,10,FALSE)</f>
        <v>0</v>
      </c>
      <c r="B22" s="149">
        <v>9</v>
      </c>
      <c r="C22" s="147" t="str">
        <f t="shared" si="0"/>
        <v/>
      </c>
      <c r="D22" s="72"/>
      <c r="E22" s="72"/>
      <c r="F22" s="72"/>
      <c r="G22" s="147"/>
      <c r="H22" s="72"/>
      <c r="I22" s="147"/>
      <c r="J22" s="147"/>
      <c r="K22" s="72"/>
      <c r="L22" s="72"/>
      <c r="M22" s="72"/>
      <c r="N22" s="72"/>
      <c r="O22" s="72"/>
      <c r="P22" s="72"/>
    </row>
    <row r="23" spans="1:33" ht="39.950000000000003" customHeight="1" x14ac:dyDescent="0.2">
      <c r="A23" s="151">
        <f>VLOOKUP($C$6,A$9:$M$12,11,FALSE)</f>
        <v>0</v>
      </c>
      <c r="B23" s="149">
        <v>10</v>
      </c>
      <c r="C23" s="147" t="str">
        <f t="shared" si="0"/>
        <v/>
      </c>
      <c r="D23" s="72"/>
      <c r="E23" s="72"/>
      <c r="F23" s="72"/>
      <c r="G23" s="147"/>
      <c r="H23" s="72"/>
      <c r="I23" s="147"/>
      <c r="J23" s="147"/>
      <c r="K23" s="72"/>
      <c r="L23" s="72"/>
      <c r="M23" s="72"/>
      <c r="N23" s="72"/>
      <c r="O23" s="72"/>
      <c r="P23" s="72"/>
    </row>
    <row r="24" spans="1:33" ht="39.950000000000003" customHeight="1" x14ac:dyDescent="0.2">
      <c r="A24" s="151">
        <f>VLOOKUP($C$6,A$9:$M$12,12,FALSE)</f>
        <v>0</v>
      </c>
      <c r="B24" s="149">
        <v>11</v>
      </c>
      <c r="C24" s="147" t="str">
        <f t="shared" si="0"/>
        <v/>
      </c>
      <c r="D24" s="72"/>
      <c r="E24" s="72"/>
      <c r="F24" s="72"/>
      <c r="G24" s="147"/>
      <c r="H24" s="72"/>
      <c r="I24" s="147"/>
      <c r="J24" s="147"/>
      <c r="K24" s="72"/>
      <c r="L24" s="72"/>
      <c r="M24" s="72"/>
      <c r="N24" s="72"/>
      <c r="O24" s="72"/>
      <c r="P24" s="72"/>
    </row>
    <row r="25" spans="1:33" ht="39.950000000000003" customHeight="1" x14ac:dyDescent="0.2">
      <c r="A25" s="151">
        <f>VLOOKUP($C$6,A$9:$M$12,13,FALSE)</f>
        <v>0</v>
      </c>
      <c r="B25" s="149">
        <v>12</v>
      </c>
      <c r="C25" s="147" t="str">
        <f t="shared" si="0"/>
        <v/>
      </c>
      <c r="D25" s="72"/>
      <c r="E25" s="72"/>
      <c r="F25" s="72"/>
      <c r="G25" s="147"/>
      <c r="H25" s="72"/>
      <c r="I25" s="147"/>
      <c r="J25" s="147"/>
      <c r="K25" s="72"/>
      <c r="L25" s="72"/>
      <c r="M25" s="72"/>
      <c r="N25" s="72"/>
      <c r="O25" s="72"/>
      <c r="P25" s="72"/>
    </row>
    <row r="26" spans="1:33" ht="69.75" customHeight="1" x14ac:dyDescent="0.2">
      <c r="C26" s="145">
        <v>1</v>
      </c>
      <c r="D26" s="145" t="str">
        <f>VLOOKUP(C26,B14:C25,2,FALSE)</f>
        <v xml:space="preserve">Zon-PV ≥ 15 kWp en ≤ 100 kWp, kleinverbruikersaansluiting </v>
      </c>
      <c r="E26" s="72"/>
      <c r="F26" s="72"/>
      <c r="G26" s="147"/>
      <c r="H26" s="72"/>
      <c r="I26" s="147"/>
      <c r="J26" s="147"/>
      <c r="K26" s="72"/>
      <c r="L26" s="72"/>
      <c r="M26" s="72"/>
      <c r="N26" s="72"/>
      <c r="O26" s="72"/>
      <c r="P26" s="72"/>
    </row>
    <row r="27" spans="1:33" ht="12.75" customHeight="1" x14ac:dyDescent="0.2">
      <c r="B27" s="70"/>
      <c r="G27" s="103"/>
      <c r="I27" s="103"/>
      <c r="J27" s="103"/>
    </row>
    <row r="28" spans="1:33" ht="12.75" customHeight="1" x14ac:dyDescent="0.2">
      <c r="B28" s="70"/>
      <c r="G28" s="103"/>
      <c r="I28" s="103"/>
      <c r="J28" s="103"/>
    </row>
    <row r="29" spans="1:33" ht="78" customHeight="1" x14ac:dyDescent="0.3">
      <c r="A29" s="207" t="s">
        <v>35</v>
      </c>
      <c r="B29" s="235" t="s">
        <v>120</v>
      </c>
      <c r="C29" s="435" t="s">
        <v>216</v>
      </c>
      <c r="D29" s="440"/>
      <c r="E29" s="435" t="s">
        <v>238</v>
      </c>
      <c r="F29" s="440"/>
      <c r="G29" s="212"/>
      <c r="H29" s="235" t="s">
        <v>99</v>
      </c>
      <c r="I29" s="235" t="s">
        <v>100</v>
      </c>
      <c r="J29" s="235" t="s">
        <v>123</v>
      </c>
      <c r="K29" s="213"/>
      <c r="L29" s="192"/>
      <c r="M29" s="192"/>
      <c r="N29" s="240" t="s">
        <v>135</v>
      </c>
      <c r="O29" s="235" t="s">
        <v>242</v>
      </c>
      <c r="P29" s="235" t="s">
        <v>139</v>
      </c>
      <c r="Q29" s="235" t="s">
        <v>140</v>
      </c>
      <c r="R29" s="235" t="s">
        <v>142</v>
      </c>
      <c r="S29" s="241" t="s">
        <v>154</v>
      </c>
      <c r="T29" s="436"/>
      <c r="U29" s="437"/>
      <c r="V29" s="216" t="s">
        <v>243</v>
      </c>
      <c r="W29" s="241" t="s">
        <v>201</v>
      </c>
      <c r="X29" s="235" t="s">
        <v>211</v>
      </c>
      <c r="Y29" s="435" t="s">
        <v>231</v>
      </c>
      <c r="Z29" s="435"/>
      <c r="AA29" s="435"/>
      <c r="AB29" s="435"/>
      <c r="AC29" s="435"/>
      <c r="AD29" s="192"/>
      <c r="AE29" s="241" t="s">
        <v>214</v>
      </c>
      <c r="AF29" s="241" t="s">
        <v>215</v>
      </c>
      <c r="AG29" s="254" t="s">
        <v>229</v>
      </c>
    </row>
    <row r="30" spans="1:33" ht="40.5" customHeight="1" x14ac:dyDescent="0.2">
      <c r="A30" s="192"/>
      <c r="B30" s="192"/>
      <c r="C30" s="218" t="s">
        <v>122</v>
      </c>
      <c r="D30" s="218" t="s">
        <v>121</v>
      </c>
      <c r="E30" s="218" t="s">
        <v>102</v>
      </c>
      <c r="F30" s="218" t="s">
        <v>101</v>
      </c>
      <c r="G30" s="217"/>
      <c r="H30" s="211"/>
      <c r="I30" s="211"/>
      <c r="J30" s="192"/>
      <c r="K30" s="214"/>
      <c r="L30" s="192"/>
      <c r="M30" s="192"/>
      <c r="N30" s="192"/>
      <c r="O30" s="192"/>
      <c r="P30" s="192"/>
      <c r="Q30" s="192"/>
      <c r="R30" s="192"/>
      <c r="S30" s="215"/>
      <c r="T30" s="436"/>
      <c r="U30" s="437"/>
      <c r="V30" s="192"/>
      <c r="W30" s="192"/>
      <c r="X30" s="220" t="s">
        <v>212</v>
      </c>
      <c r="Y30" s="220">
        <v>16</v>
      </c>
      <c r="Z30" s="220">
        <v>17</v>
      </c>
      <c r="AA30" s="220">
        <v>18</v>
      </c>
      <c r="AB30" s="220">
        <v>19</v>
      </c>
      <c r="AC30" s="220">
        <v>20</v>
      </c>
      <c r="AD30" s="192"/>
      <c r="AE30" s="192"/>
      <c r="AF30" s="192"/>
      <c r="AG30" s="192"/>
    </row>
    <row r="31" spans="1:33" x14ac:dyDescent="0.2">
      <c r="A31" s="208" t="s">
        <v>236</v>
      </c>
      <c r="B31" s="219"/>
      <c r="C31" s="262"/>
      <c r="D31" s="262"/>
      <c r="E31" s="262"/>
      <c r="F31" s="262"/>
      <c r="G31" s="211"/>
      <c r="H31" s="211"/>
      <c r="I31" s="211"/>
      <c r="J31" s="192"/>
      <c r="K31" s="194"/>
      <c r="L31" s="192"/>
      <c r="M31" s="192"/>
      <c r="N31" s="192"/>
      <c r="O31" s="192" t="s">
        <v>103</v>
      </c>
      <c r="P31" s="192"/>
      <c r="Q31" s="193"/>
      <c r="R31" s="193"/>
      <c r="S31" s="192"/>
      <c r="T31" s="192"/>
      <c r="U31" s="193"/>
      <c r="V31" s="192"/>
      <c r="W31" s="192"/>
      <c r="X31" s="192"/>
      <c r="Y31" s="192"/>
      <c r="Z31" s="192"/>
      <c r="AA31" s="192"/>
      <c r="AB31" s="192"/>
      <c r="AC31" s="192"/>
      <c r="AD31" s="192"/>
      <c r="AE31" s="236"/>
      <c r="AF31" s="236"/>
      <c r="AG31" s="192"/>
    </row>
    <row r="32" spans="1:33" ht="12.75" customHeight="1" x14ac:dyDescent="0.2">
      <c r="A32" s="193" t="s">
        <v>239</v>
      </c>
      <c r="B32" s="266">
        <v>0.14899999999999999</v>
      </c>
      <c r="C32" s="191">
        <v>3.5000000000000003E-2</v>
      </c>
      <c r="D32" s="211">
        <v>0</v>
      </c>
      <c r="E32" s="191">
        <v>7.0000000000000007E-2</v>
      </c>
      <c r="F32" s="191">
        <v>0.112</v>
      </c>
      <c r="G32" s="211"/>
      <c r="H32" s="211">
        <v>900</v>
      </c>
      <c r="I32" s="211">
        <v>15</v>
      </c>
      <c r="J32" s="432" t="str">
        <f>"U vraagt subsidie aan in een categorie zon-PV. U hoeft geen energie-opbrengstberekening toe te voegen. Bij zon-PV wordt de energieopbrengst (kWh/jaar) berekend door het piekvermogen van de installatie (in kWp) te vermenigvuldigen met "&amp;H32&amp;" vollasturen/jaar. 
"&amp;W32&amp;""</f>
        <v>U vraagt subsidie aan in een categorie zon-PV. U hoeft geen energie-opbrengstberekening toe te voegen. Bij zon-PV wordt de energieopbrengst (kWh/jaar) berekend door het piekvermogen van de installatie (in kWp) te vermenigvuldigen met 900 vollasturen/jaar. 
U wordt gevraagd om een gedetailleerde tekening op schaal waarop de aangevraagde zon-PV-installatie nauwkeurig op de beoogde locatie is ingetekend, toe te voegen. Zijn of komen er op de beoogde locatie meer installaties, dan geeft u dit duidelijk aan. Uit de intekening moet ook de oriëntatie van de installatie blijken. 
Bij een gebouwgebonden zon-PV-installatie berekent u het beschikbare dakoppervlak en houdt u rekening met lichtstraten en klimaatinstallaties die op het dak staan en voegt u een "Verklaring geschiktheid dak of gevel" bij uw aanvraag. Het verplichte format is beschikbaar is op www.rvo.nl.  Uit deze verklaring moet blijken dat het dak of de gevel geschikt is of wordt gemaakt voor het plaatsen van de zonnepanelen. 
Bij een grondgebonden zon-PV-installatie zijn natuurinclusief eisen van toepassing.
Om te voldoen aan de natuurinclusief eisen dient de open ruimte tussen de tafels met zonnepanelen, van bovenaf gezien, minimaal 25% te bedragen. Daarnaast kunt u alleen voor de categorie natuurinclusief aanvragen als de vergunning die op grond van de Omgevingswet noodzakelijk is voor de realisatie van de productie-installatie de volgende voorwaarde bevat dat:
a. er van bovenaf gezien minimaal 25% open ruimte tussen de tafels met zonnepanelen aanwezig is;
b. er een inrichtingsplan en beheerplan is dat ten doel heeft om verslechtering van de bodemkwaliteit, waterkwaliteit en ecologische kwaliteit gedurende de subsidieperiode te voorkomen; 
c. de subsidie-ontvanger de effecten van de productie-installatie op de bodemkwaliteit, waterkwaliteit en biodiversiteit monitort en, indien nodig, aanvullende maatregelen neemt om verslechtering van de bodemkwaliteit, waterkwaliteit en ecologische kwaliteit gedurende de subsidieperiode te voorkomen; en 
d. de subsidie-ontvanger een nulmeting uitvoert om de huidige waarde van de bodemkwaliteit, de waterkwaliteit en de ecologische kwaliteit vast te stellen.</v>
      </c>
      <c r="K32" s="433"/>
      <c r="L32" s="434"/>
      <c r="M32" s="434"/>
      <c r="N32" s="193" t="s">
        <v>244</v>
      </c>
      <c r="O32" s="192"/>
      <c r="P32" s="193" t="s">
        <v>138</v>
      </c>
      <c r="Q32" s="217" t="s">
        <v>141</v>
      </c>
      <c r="R32" s="217">
        <v>5</v>
      </c>
      <c r="S32" s="438" t="str">
        <f>"U vraagt subsidie aan in de categorie zon-PV. Hiervoor geldt als voorwaarde minimaal één deelnemend lid per "&amp;R32&amp;" kWp in een coöperatie of grond-vereniging van eigenaren. Bij een vermogen van "&amp;Energieproductie!B13&amp;" kWp moeten er minimaal "&amp; 'Hulpblad_overig '!B72&amp;" leden worden ingeschreven. Binnen één jaar na de datum van de beschikking tot subsidieverlening moet RVO de lijst van deelnemende leden met de naam en het adres van elk deelnemend lid hebben ontvangen."</f>
        <v>U vraagt subsidie aan in de categorie zon-PV. Hiervoor geldt als voorwaarde minimaal één deelnemend lid per 5 kWp in een coöperatie of grond-vereniging van eigenaren. Bij een vermogen van 0 kWp moeten er minimaal 0 leden worden ingeschreven. Binnen één jaar na de datum van de beschikking tot subsidieverlening moet RVO de lijst van deelnemende leden met de naam en het adres van elk deelnemend lid hebben ontvangen.</v>
      </c>
      <c r="T32" s="439"/>
      <c r="U32" s="439"/>
      <c r="V32" s="260"/>
      <c r="W32" s="214" t="s">
        <v>248</v>
      </c>
      <c r="X32" s="269">
        <v>15</v>
      </c>
      <c r="Y32" s="271">
        <v>0</v>
      </c>
      <c r="Z32" s="271">
        <v>0</v>
      </c>
      <c r="AA32" s="271">
        <v>0</v>
      </c>
      <c r="AB32" s="271">
        <v>0</v>
      </c>
      <c r="AC32" s="271">
        <v>0</v>
      </c>
      <c r="AD32" s="192"/>
      <c r="AE32" s="269">
        <v>15</v>
      </c>
      <c r="AF32" s="269">
        <v>100</v>
      </c>
      <c r="AG32" s="217" t="s">
        <v>230</v>
      </c>
    </row>
    <row r="33" spans="1:33" ht="12.75" customHeight="1" x14ac:dyDescent="0.2">
      <c r="A33" s="193" t="s">
        <v>253</v>
      </c>
      <c r="B33" s="266">
        <v>0.155</v>
      </c>
      <c r="C33" s="191">
        <v>3.5000000000000003E-2</v>
      </c>
      <c r="D33" s="211">
        <v>0</v>
      </c>
      <c r="E33" s="191">
        <v>7.0000000000000007E-2</v>
      </c>
      <c r="F33" s="191">
        <v>0.112</v>
      </c>
      <c r="G33" s="211"/>
      <c r="H33" s="211">
        <v>900</v>
      </c>
      <c r="I33" s="211">
        <v>15</v>
      </c>
      <c r="J33" s="432" t="str">
        <f>"U vraagt subsidie aan in een categorie zon-PV. U hoeft geen energie-opbrengstberekening toe te voegen. Bij zon-PV wordt de energieopbrengst (kWh/jaar) berekend door het piekvermogen van de installatie (in kWp) te vermenigvuldigen met "&amp;H33&amp;" vollasturen/jaar. 
"&amp;W33&amp;""</f>
        <v xml:space="preserve">U vraagt subsidie aan in een categorie zon-PV. U hoeft geen energie-opbrengstberekening toe te voegen. Bij zon-PV wordt de energieopbrengst (kWh/jaar) berekend door het piekvermogen van de installatie (in kWp) te vermenigvuldigen met 900 vollasturen/jaar. 
Omdat u subsidie aanvraagt voor een categorie gebouwgebonden zon-PV-installatie waarbij het dak van een bestaand gebouw constructief moet worden aangepast of een draagconstructie moet worden toegepast die het dak ontlast en waarbij deze constructieve dakaanpassing of draagconstructie noodzakelijk is voor de realisatie van de productie-installatie, danwel bij het gebruik van het dak van een bestaand gebouw gebruik zal worden gemaakt van een productie-installatie met een maximaal gewicht van 10 kilogram per vierkante meter met zonnepanelen bedekt dakoppervlak wordt u  gevraagd toe te lichten welke aanpassing u gaat doen aan het dak om de plaatsing van de zon-PV-installatie mogelijk te maken tegen welke kosten. Of als u lichtgewicht zonnepanelen gaat plaatsen een onderbouwing van de kosten van de lichtgewichtpanelen. Het is belangrijk dat u aannemelijk maakt dat ook bij deze extra investeringskosten het project economisch haalbaar is. 
Daarbij bent u verplicht een 'Verklaring van een constructeur' bij uw aanvraag te voegen (het model vindt u op de website van RVO). In de verklaring vult de constructeur in wat er aan de constructie moet worden aangepast om deze geschikt te maken. 
Ten slotte wordt u gevraagd om een gedetailleerde tekening op schaal waarop de aangevraagde zon-PV-installatie nauwkeurig op de beoogde locatie is ingetekend, toe te voegen. Zijn of komen er op de beoogde locatie meer installaties, dan geeft u dit duidelijk aan. Uit de intekening moet ook de oriëntatie van de installatie blijken. Bereken het beschikbare dakoppervlak en houd rekening met lichtstraten en klimaatinstallaties die op het dak staan. 
</v>
      </c>
      <c r="K33" s="433"/>
      <c r="L33" s="434"/>
      <c r="M33" s="434"/>
      <c r="N33" s="193" t="s">
        <v>245</v>
      </c>
      <c r="O33" s="192"/>
      <c r="P33" s="193" t="s">
        <v>138</v>
      </c>
      <c r="Q33" s="217" t="s">
        <v>141</v>
      </c>
      <c r="R33" s="217">
        <v>5</v>
      </c>
      <c r="S33" s="438" t="str">
        <f>"U vraagt subsidie aan in de categorie zon-PV. Hiervoor geldt als voorwaarde minimaal één deelnemend lid per "&amp;R33&amp;" kWp in een coöperatie of grond-vereniging van eigenaren. Bij een vermogen van "&amp;Energieproductie!B14&amp;" kWp moeten er minimaal "&amp; 'Hulpblad_overig '!B73&amp;" leden worden ingeschreven. Binnen één jaar na de datum van de beschikking tot subsidieverlening moet RVO de lijst van deelnemende leden met de naam en het adres van elk deelnemend lid hebben ontvangen."</f>
        <v>U vraagt subsidie aan in de categorie zon-PV. Hiervoor geldt als voorwaarde minimaal één deelnemend lid per 5 kWp in een coöperatie of grond-vereniging van eigenaren. Bij een vermogen van 0 kWp moeten er minimaal  leden worden ingeschreven. Binnen één jaar na de datum van de beschikking tot subsidieverlening moet RVO de lijst van deelnemende leden met de naam en het adres van elk deelnemend lid hebben ontvangen.</v>
      </c>
      <c r="T33" s="439"/>
      <c r="U33" s="439"/>
      <c r="V33" s="260"/>
      <c r="W33" s="214" t="s">
        <v>246</v>
      </c>
      <c r="X33" s="269">
        <v>15</v>
      </c>
      <c r="Y33" s="271">
        <v>0</v>
      </c>
      <c r="Z33" s="271">
        <v>0</v>
      </c>
      <c r="AA33" s="271">
        <v>0</v>
      </c>
      <c r="AB33" s="271">
        <v>0</v>
      </c>
      <c r="AC33" s="271">
        <v>0</v>
      </c>
      <c r="AD33" s="192"/>
      <c r="AE33" s="269">
        <v>15</v>
      </c>
      <c r="AF33" s="269">
        <v>100</v>
      </c>
      <c r="AG33" s="217" t="s">
        <v>230</v>
      </c>
    </row>
    <row r="34" spans="1:33" ht="12.75" customHeight="1" x14ac:dyDescent="0.2">
      <c r="A34" s="193"/>
      <c r="B34" s="266"/>
      <c r="C34" s="191"/>
      <c r="D34" s="192"/>
      <c r="E34" s="191"/>
      <c r="F34" s="191"/>
      <c r="G34" s="211"/>
      <c r="H34" s="211"/>
      <c r="I34" s="211"/>
      <c r="J34" s="263"/>
      <c r="K34" s="265"/>
      <c r="L34" s="264"/>
      <c r="M34" s="264"/>
      <c r="N34" s="193"/>
      <c r="O34" s="192"/>
      <c r="P34" s="193"/>
      <c r="Q34" s="217"/>
      <c r="R34" s="217"/>
      <c r="S34" s="214"/>
      <c r="T34" s="192"/>
      <c r="U34" s="193"/>
      <c r="V34" s="260"/>
      <c r="W34" s="193"/>
      <c r="X34" s="270"/>
      <c r="Y34" s="271"/>
      <c r="Z34" s="271"/>
      <c r="AA34" s="271"/>
      <c r="AB34" s="271"/>
      <c r="AC34" s="272"/>
      <c r="AD34" s="192"/>
      <c r="AE34" s="269"/>
      <c r="AF34" s="269"/>
      <c r="AG34" s="217"/>
    </row>
    <row r="35" spans="1:33" ht="12.75" customHeight="1" x14ac:dyDescent="0.2">
      <c r="A35" s="208" t="s">
        <v>237</v>
      </c>
      <c r="B35" s="266"/>
      <c r="C35" s="191"/>
      <c r="D35" s="192"/>
      <c r="E35" s="191"/>
      <c r="F35" s="191"/>
      <c r="G35" s="211"/>
      <c r="H35" s="211"/>
      <c r="I35" s="211"/>
      <c r="J35" s="263"/>
      <c r="K35" s="265"/>
      <c r="L35" s="264"/>
      <c r="M35" s="264"/>
      <c r="N35" s="193"/>
      <c r="O35" s="192"/>
      <c r="P35" s="193"/>
      <c r="Q35" s="217"/>
      <c r="R35" s="217"/>
      <c r="S35" s="214"/>
      <c r="T35" s="192"/>
      <c r="U35" s="193"/>
      <c r="V35" s="260"/>
      <c r="W35" s="193"/>
      <c r="X35" s="270"/>
      <c r="Y35" s="271"/>
      <c r="Z35" s="271"/>
      <c r="AA35" s="271"/>
      <c r="AB35" s="271"/>
      <c r="AC35" s="272"/>
      <c r="AD35" s="192"/>
      <c r="AE35" s="269"/>
      <c r="AF35" s="269"/>
      <c r="AG35" s="217"/>
    </row>
    <row r="36" spans="1:33" ht="12.75" customHeight="1" x14ac:dyDescent="0.2">
      <c r="A36" s="193" t="s">
        <v>251</v>
      </c>
      <c r="B36" s="191">
        <v>0.14000000000000001</v>
      </c>
      <c r="C36" s="191">
        <v>4.7E-2</v>
      </c>
      <c r="D36" s="191">
        <v>0.107</v>
      </c>
      <c r="E36" s="191">
        <v>7.4999999999999997E-2</v>
      </c>
      <c r="F36" s="191">
        <v>0.13200000000000001</v>
      </c>
      <c r="G36" s="211"/>
      <c r="H36" s="211">
        <v>730</v>
      </c>
      <c r="I36" s="211">
        <v>15</v>
      </c>
      <c r="J36" s="432" t="str">
        <f>"U vraagt subsidie aan in een categorie zon-PV. U hoeft geen energie-opbrengstberekening toe te voegen. Bij zon-PV wordt de energieopbrengst (kWh/jaar) berekend door het piekvermogen van de installatie (in kWp) te vermenigvuldigen met "&amp;H36&amp;" vollasturen/jaar. "&amp;J42&amp;"
"&amp;W36&amp;""</f>
        <v>U vraagt subsidie aan in een categorie zon-PV. U hoeft geen energie-opbrengstberekening toe te voegen. Bij zon-PV wordt de energieopbrengst (kWh/jaar) berekend door het piekvermogen van de installatie (in kWp) te vermenigvuldigen met 730 vollasturen/jaar. Houdt u er verder rekening mee dat installaties met een grootverbruikersaansluiting een additioneel gecontracteerd terugleververmogen mogen hebben van maximaal 50% van het gezamenlijke piekvermogen van de zonnepanelen. 
U wordt gevraagd om een gedetailleerde tekening op schaal waarop de aangevraagde zon-PV-installatie nauwkeurig op de beoogde locatie is ingetekend, toe te voegen. Zijn of komen er op de beoogde locatie meer installaties, dan geeft u dit duidelijk aan. Uit de intekening moet ook de oriëntatie van de installatie blijken. 
Bij een gebouwgebonden zon-PV-installatie berekent u het beschikbare dakoppervlak en houdt u rekening met lichtstraten en klimaatinstallaties die op het dak staan en voegt u een "Verklaring geschiktheid dak of gevel" bij uw aanvraag. Het verplichte format is beschikbaar is op www.rvo.nl.  Uit deze verklaring moet blijken dat het dak of de gevel geschikt is of wordt gemaakt voor het plaatsen van de zonnepanelen. 
Bij een grondgebonden zon-PV-installatie zijn natuurinclusief eisen van toepassing.
Om te voldoen aan de natuurinclusief eisen dient de open ruimte tussen de tafels met zonnepanelen, van bovenaf gezien, minimaal 25% te bedragen. Daarnaast kunt u alleen voor de categorie natuurinclusief aanvragen als de vergunning die op grond van de Omgevingswet noodzakelijk is voor de realisatie van de productie-installatie de volgende voorwaarde bevat dat:
a. er van bovenaf gezien minimaal 25% open ruimte tussen de tafels met zonnepanelen aanwezig is;
b. er een inrichtingsplan en beheerplan is dat ten doel heeft om verslechtering van de bodemkwaliteit, waterkwaliteit en ecologische kwaliteit gedurende de subsidieperiode te voorkomen; 
c. de subsidie-ontvanger de effecten van de productie-installatie op de bodemkwaliteit, waterkwaliteit en biodiversiteit monitort en, indien nodig, aanvullende maatregelen neemt om verslechtering van de bodemkwaliteit, waterkwaliteit en ecologische kwaliteit gedurende de subsidieperiode te voorkomen; en 
d. de subsidie-ontvanger een nulmeting uitvoert om de huidige waarde van de bodemkwaliteit, de waterkwaliteit en de ecologische kwaliteit vast te stellen.</v>
      </c>
      <c r="K36" s="433"/>
      <c r="L36" s="434"/>
      <c r="M36" s="434"/>
      <c r="N36" s="193" t="s">
        <v>244</v>
      </c>
      <c r="O36" s="192"/>
      <c r="P36" s="193" t="s">
        <v>138</v>
      </c>
      <c r="Q36" s="217" t="s">
        <v>141</v>
      </c>
      <c r="R36" s="217">
        <v>5</v>
      </c>
      <c r="S36" s="438" t="str">
        <f>"U vraagt subsidie aan in de categorie zon-PV. Hiervoor geldt als voorwaarde minimaal één deelnemend lid per "&amp;R36&amp;" kWp in een coöperatie of grond-vereniging van eigenaren. Bij een vermogen van "&amp;Energieproductie!$B$13&amp;" kWp moeten er minimaal "&amp; 'Hulpblad_overig '!$B$72&amp;" leden worden ingeschreven. Binnen één jaar na de datum van de beschikking tot subsidieverlening moet RVO de lijst van deelnemende leden met de naam en het adres van elk deelnemend lid hebben ontvangen."</f>
        <v>U vraagt subsidie aan in de categorie zon-PV. Hiervoor geldt als voorwaarde minimaal één deelnemend lid per 5 kWp in een coöperatie of grond-vereniging van eigenaren. Bij een vermogen van 0 kWp moeten er minimaal 0 leden worden ingeschreven. Binnen één jaar na de datum van de beschikking tot subsidieverlening moet RVO de lijst van deelnemende leden met de naam en het adres van elk deelnemend lid hebben ontvangen.</v>
      </c>
      <c r="T36" s="439"/>
      <c r="U36" s="439"/>
      <c r="V36" s="260"/>
      <c r="W36" s="214" t="s">
        <v>248</v>
      </c>
      <c r="X36" s="269">
        <v>15</v>
      </c>
      <c r="Y36" s="271">
        <v>0</v>
      </c>
      <c r="Z36" s="271">
        <v>0</v>
      </c>
      <c r="AA36" s="271">
        <v>0</v>
      </c>
      <c r="AB36" s="271">
        <v>0</v>
      </c>
      <c r="AC36" s="271">
        <v>0</v>
      </c>
      <c r="AD36" s="192"/>
      <c r="AE36" s="269">
        <v>15</v>
      </c>
      <c r="AF36" s="269">
        <v>1000</v>
      </c>
      <c r="AG36" s="217" t="s">
        <v>230</v>
      </c>
    </row>
    <row r="37" spans="1:33" ht="12.75" customHeight="1" x14ac:dyDescent="0.2">
      <c r="A37" s="193" t="s">
        <v>254</v>
      </c>
      <c r="B37" s="191">
        <v>0.14699999999999999</v>
      </c>
      <c r="C37" s="191">
        <v>4.7E-2</v>
      </c>
      <c r="D37" s="191">
        <v>0.107</v>
      </c>
      <c r="E37" s="191">
        <v>7.4999999999999997E-2</v>
      </c>
      <c r="F37" s="191">
        <v>0.13200000000000001</v>
      </c>
      <c r="G37" s="211"/>
      <c r="H37" s="211">
        <v>730</v>
      </c>
      <c r="I37" s="211">
        <v>15</v>
      </c>
      <c r="J37" s="432" t="str">
        <f>"U vraagt subsidie aan in een categorie zon-PV. U hoeft geen energie-opbrengstberekening toe te voegen. Bij zon-PV wordt de energieopbrengst (kWh/jaar) berekend door het piekvermogen van de installatie (in kWp) te vermenigvuldigen met "&amp;H37&amp;" vollasturen/jaar. "&amp;J42&amp;"
"&amp;W37&amp;""</f>
        <v xml:space="preserve">U vraagt subsidie aan in een categorie zon-PV. U hoeft geen energie-opbrengstberekening toe te voegen. Bij zon-PV wordt de energieopbrengst (kWh/jaar) berekend door het piekvermogen van de installatie (in kWp) te vermenigvuldigen met 730 vollasturen/jaar. Houdt u er verder rekening mee dat installaties met een grootverbruikersaansluiting een additioneel gecontracteerd terugleververmogen mogen hebben van maximaal 50% van het gezamenlijke piekvermogen van de zonnepanelen. 
Omdat u subsidie aanvraagt voor een categorie gebouwgebonden zon-PV-installatie waarbij het dak van een bestaand gebouw constructief moet worden aangepast of een draagconstructie moet worden toegepast die het dak ontlast en waarbij deze constructieve dakaanpassing of draagconstructie noodzakelijk is voor de realisatie van de productie-installatie, danwel bij het gebruik van het dak van een bestaand gebouw gebruik zal worden gemaakt van een productie-installatie met een maximaal gewicht van 10 kilogram per vierkante meter met zonnepanelen bedekt dakoppervlak wordt u  gevraagd toe te lichten welke aanpassing u gaat doen aan het dak om de plaatsing van de zon-PV-installatie mogelijk te maken tegen welke kosten. Of als u lichtgewicht zonnepanelen gaat plaatsen een onderbouwing van de kosten van de lichtgewichtpanelen. Het is belangrijk dat u aannemelijk maakt dat ook bij deze extra investeringskosten het project economisch haalbaar is. 
Daarbij bent u verplicht een 'Verklaring van een constructeur' bij uw aanvraag te voegen (het model vindt u op de website van RVO). In de verklaring vult de constructeur in wat er aan de constructie moet worden aangepast om deze geschikt te maken. 
Ten slotte wordt u gevraagd om een gedetailleerde tekening op schaal waarop de aangevraagde zon-PV-installatie nauwkeurig op de beoogde locatie is ingetekend, toe te voegen. Zijn of komen er op de beoogde locatie meer installaties, dan geeft u dit duidelijk aan. Uit de intekening moet ook de oriëntatie van de installatie blijken. Bereken het beschikbare dakoppervlak en houd rekening met lichtstraten en klimaatinstallaties die op het dak staan. 
</v>
      </c>
      <c r="K37" s="433"/>
      <c r="L37" s="434"/>
      <c r="M37" s="434"/>
      <c r="N37" s="193" t="s">
        <v>245</v>
      </c>
      <c r="O37" s="192"/>
      <c r="P37" s="193" t="s">
        <v>138</v>
      </c>
      <c r="Q37" s="217" t="s">
        <v>141</v>
      </c>
      <c r="R37" s="217">
        <v>5</v>
      </c>
      <c r="S37" s="438" t="str">
        <f>"U vraagt subsidie aan in de categorie zon-PV. Hiervoor geldt als voorwaarde minimaal één deelnemend lid per "&amp;R37&amp;" kWp in een coöperatie of grond-vereniging van eigenaren. Bij een vermogen van "&amp;Energieproductie!$B$13&amp;" kWp moeten er minimaal "&amp; 'Hulpblad_overig '!$B$72&amp;" leden worden ingeschreven. Binnen één jaar na de datum van de beschikking tot subsidieverlening moet RVO de lijst van deelnemende leden met de naam en het adres van elk deelnemend lid hebben ontvangen."</f>
        <v>U vraagt subsidie aan in de categorie zon-PV. Hiervoor geldt als voorwaarde minimaal één deelnemend lid per 5 kWp in een coöperatie of grond-vereniging van eigenaren. Bij een vermogen van 0 kWp moeten er minimaal 0 leden worden ingeschreven. Binnen één jaar na de datum van de beschikking tot subsidieverlening moet RVO de lijst van deelnemende leden met de naam en het adres van elk deelnemend lid hebben ontvangen.</v>
      </c>
      <c r="T37" s="439"/>
      <c r="U37" s="439"/>
      <c r="V37" s="260"/>
      <c r="W37" s="214" t="s">
        <v>247</v>
      </c>
      <c r="X37" s="269">
        <v>15</v>
      </c>
      <c r="Y37" s="271">
        <v>0</v>
      </c>
      <c r="Z37" s="271">
        <v>0</v>
      </c>
      <c r="AA37" s="271">
        <v>0</v>
      </c>
      <c r="AB37" s="271">
        <v>0</v>
      </c>
      <c r="AC37" s="271">
        <v>0</v>
      </c>
      <c r="AD37" s="192"/>
      <c r="AE37" s="269">
        <v>1000</v>
      </c>
      <c r="AF37" s="269">
        <v>6000</v>
      </c>
      <c r="AG37" s="217" t="s">
        <v>230</v>
      </c>
    </row>
    <row r="38" spans="1:33" ht="12.75" customHeight="1" x14ac:dyDescent="0.2">
      <c r="A38" s="193" t="s">
        <v>240</v>
      </c>
      <c r="B38" s="191">
        <v>0.111</v>
      </c>
      <c r="C38" s="191">
        <v>4.7E-2</v>
      </c>
      <c r="D38" s="191">
        <v>8.5999999999999993E-2</v>
      </c>
      <c r="E38" s="191">
        <v>7.4999999999999997E-2</v>
      </c>
      <c r="F38" s="191">
        <v>0.111</v>
      </c>
      <c r="G38" s="211"/>
      <c r="H38" s="211">
        <v>730</v>
      </c>
      <c r="I38" s="211">
        <v>15</v>
      </c>
      <c r="J38" s="432" t="str">
        <f>"U vraagt subsidie aan in een categorie zon-PV. U hoeft geen energie-opbrengstberekening toe te voegen. Bij zon-PV wordt de energieopbrengst (kWh/jaar) berekend door het piekvermogen van de installatie (in kWp) te vermenigvuldigen met "&amp;H38&amp;" vollasturen/jaar. "&amp;J42&amp;"
"&amp;W38&amp;""</f>
        <v xml:space="preserve">U vraagt subsidie aan in een categorie zon-PV. U hoeft geen energie-opbrengstberekening toe te voegen. Bij zon-PV wordt de energieopbrengst (kWh/jaar) berekend door het piekvermogen van de installatie (in kWp) te vermenigvuldigen met 730 vollasturen/jaar. Houdt u er verder rekening mee dat installaties met een grootverbruikersaansluiting een additioneel gecontracteerd terugleververmogen mogen hebben van maximaal 50% van het gezamenlijke piekvermogen van de zonnepanelen. 
U wordt gevraagd om een gedetailleerde tekening op schaal waarop de aangevraagde zon-PV-installatie nauwkeurig op de beoogde locatie is ingetekend, toe te voegen. Zijn of komen er op de beoogde locatie meer installaties, dan geeft u dit duidelijk aan. Uit de intekening moet ook de oriëntatie van de installatie blijken. Bereken het beschikbare dakoppervlak en houd rekening met lichtstraten en klimaatinstallaties die op het dak staan. 
Ten slotte bent u verplicht om het ‘Verklaring van een constructeur’ bij uw aanvraag te voegen (het model vindt u op de website van RVO). Hierin moet een constructeur een verklaring geven over de belastbaarheid van het dak of de gevel volgens het Besluit bouwwerken leefomgeving. Het onderzoek laat u uitvoeren en ondertekenen door een constructeur.  Reden voor het invoeren van deze eis is dat de realisatie van gebouw gebonden projecten achterblijft op de verwachting. Eén van de meest aangegeven redenen hiervoor is dat na het ontvangen van een beschikking het dak alsnog niet geschikt blijkt en de kosten om het dak geschikt te maken te hoog zijn. </v>
      </c>
      <c r="K38" s="433"/>
      <c r="L38" s="434"/>
      <c r="M38" s="434"/>
      <c r="N38" s="193" t="s">
        <v>245</v>
      </c>
      <c r="O38" s="192"/>
      <c r="P38" s="193" t="s">
        <v>138</v>
      </c>
      <c r="Q38" s="217" t="s">
        <v>141</v>
      </c>
      <c r="R38" s="217">
        <v>5</v>
      </c>
      <c r="S38" s="438" t="str">
        <f>"U vraagt subsidie aan in de categorie zon-PV. Hiervoor geldt als voorwaarde minimaal één deelnemend lid per "&amp;R38&amp;" kWp in een coöperatie of grond-vereniging van eigenaren. Bij een vermogen van "&amp;Energieproductie!$B$13&amp;" kWp moeten er minimaal "&amp; 'Hulpblad_overig '!$B$72&amp;" leden worden ingeschreven. Binnen één jaar na de datum van de beschikking tot subsidieverlening moet RVO de lijst van deelnemende leden met de naam en het adres van elk deelnemend lid hebben ontvangen."</f>
        <v>U vraagt subsidie aan in de categorie zon-PV. Hiervoor geldt als voorwaarde minimaal één deelnemend lid per 5 kWp in een coöperatie of grond-vereniging van eigenaren. Bij een vermogen van 0 kWp moeten er minimaal 0 leden worden ingeschreven. Binnen één jaar na de datum van de beschikking tot subsidieverlening moet RVO de lijst van deelnemende leden met de naam en het adres van elk deelnemend lid hebben ontvangen.</v>
      </c>
      <c r="T38" s="439"/>
      <c r="U38" s="439"/>
      <c r="V38" s="260"/>
      <c r="W38" s="214" t="s">
        <v>249</v>
      </c>
      <c r="X38" s="269">
        <v>15</v>
      </c>
      <c r="Y38" s="271">
        <v>0</v>
      </c>
      <c r="Z38" s="271">
        <v>0</v>
      </c>
      <c r="AA38" s="271">
        <v>0</v>
      </c>
      <c r="AB38" s="271">
        <v>0</v>
      </c>
      <c r="AC38" s="271">
        <v>0</v>
      </c>
      <c r="AD38" s="193"/>
      <c r="AE38" s="269">
        <v>1000</v>
      </c>
      <c r="AF38" s="269">
        <v>6000</v>
      </c>
      <c r="AG38" s="217" t="s">
        <v>230</v>
      </c>
    </row>
    <row r="39" spans="1:33" ht="12.75" customHeight="1" x14ac:dyDescent="0.2">
      <c r="A39" s="193" t="s">
        <v>255</v>
      </c>
      <c r="B39" s="191">
        <v>0.11600000000000001</v>
      </c>
      <c r="C39" s="191">
        <v>4.7E-2</v>
      </c>
      <c r="D39" s="191">
        <v>8.5999999999999993E-2</v>
      </c>
      <c r="E39" s="191">
        <v>7.4999999999999997E-2</v>
      </c>
      <c r="F39" s="191">
        <v>0.111</v>
      </c>
      <c r="G39" s="211"/>
      <c r="H39" s="211">
        <v>730</v>
      </c>
      <c r="I39" s="211">
        <v>15</v>
      </c>
      <c r="J39" s="432" t="str">
        <f>"U vraagt subsidie aan in een categorie zon-PV. U hoeft geen energie-opbrengstberekening toe te voegen. Bij zon-PV wordt de energieopbrengst (kWh/jaar) berekend door het piekvermogen van de installatie (in kWp) te vermenigvuldigen met "&amp;H39&amp;" vollasturen/jaar. "&amp;J42&amp;"
"&amp;W39&amp;""</f>
        <v xml:space="preserve">U vraagt subsidie aan in een categorie zon-PV. U hoeft geen energie-opbrengstberekening toe te voegen. Bij zon-PV wordt de energieopbrengst (kWh/jaar) berekend door het piekvermogen van de installatie (in kWp) te vermenigvuldigen met 730 vollasturen/jaar. Houdt u er verder rekening mee dat installaties met een grootverbruikersaansluiting een additioneel gecontracteerd terugleververmogen mogen hebben van maximaal 50% van het gezamenlijke piekvermogen van de zonnepanelen. 
Omdat u subsidie aanvraagt voor een categorie gebouwgebonden zon-PV-installatie waarbij het dak van een bestaand gebouw constructief moet worden aangepast of een draagconstructie moet worden toegepast die het dak ontlast en waarbij deze constructieve dakaanpassing of draagconstructie noodzakelijk is voor de realisatie van de productie-installatie, danwel bij het gebruik van het dak van een bestaand gebouw gebruik zal worden gemaakt van een productie-installatie met een maximaal gewicht van 10 kilogram per vierkante meter met zonnepanelen bedekt dakoppervlak wordt u  gevraagd toe te lichten welke aanpassing u gaat doen aan het dak om de plaatsing van de zon-PV-installatie mogelijk te maken tegen welke kosten. Of als u lichtgewicht zonnepanelen gaat plaatsen een onderbouwing van de kosten van de lichtgewichtpanelen. Het is belangrijk dat u aannemelijk maakt dat ook bij deze extra investeringskosten het project economisch haalbaar is. 
Daarbij bent u verplicht een 'Verklaring van een constructeur' bij uw aanvraag te voegen (het model vindt u op de website van RVO). In de verklaring vult de constructeur in wat er aan de constructie moet worden aangepast om deze geschikt te maken. 
Ten slotte wordt u gevraagd om een gedetailleerde tekening op schaal waarop de aangevraagde zon-PV-installatie nauwkeurig op de beoogde locatie is ingetekend, toe te voegen. Zijn of komen er op de beoogde locatie meer installaties, dan geeft u dit duidelijk aan. Uit de intekening moet ook de oriëntatie van de installatie blijken. Bereken het beschikbare dakoppervlak en houd rekening met lichtstraten en klimaatinstallaties die op het dak staan. 
</v>
      </c>
      <c r="K39" s="433"/>
      <c r="L39" s="434"/>
      <c r="M39" s="434"/>
      <c r="N39" s="193" t="s">
        <v>245</v>
      </c>
      <c r="O39" s="192"/>
      <c r="P39" s="193" t="s">
        <v>138</v>
      </c>
      <c r="Q39" s="217" t="s">
        <v>141</v>
      </c>
      <c r="R39" s="217">
        <v>5</v>
      </c>
      <c r="S39" s="438" t="str">
        <f>"U vraagt subsidie aan in de categorie zon-PV. Hiervoor geldt als voorwaarde minimaal één deelnemend lid per "&amp;R39&amp;" kWp in een coöperatie of grond-vereniging van eigenaren. Bij een vermogen van "&amp;Energieproductie!$B$13&amp;" kWp moeten er minimaal "&amp; 'Hulpblad_overig '!$B$72&amp;" leden worden ingeschreven. Binnen één jaar na de datum van de beschikking tot subsidieverlening moet RVO de lijst van deelnemende leden met de naam en het adres van elk deelnemend lid hebben ontvangen."</f>
        <v>U vraagt subsidie aan in de categorie zon-PV. Hiervoor geldt als voorwaarde minimaal één deelnemend lid per 5 kWp in een coöperatie of grond-vereniging van eigenaren. Bij een vermogen van 0 kWp moeten er minimaal 0 leden worden ingeschreven. Binnen één jaar na de datum van de beschikking tot subsidieverlening moet RVO de lijst van deelnemende leden met de naam en het adres van elk deelnemend lid hebben ontvangen.</v>
      </c>
      <c r="T39" s="439"/>
      <c r="U39" s="439"/>
      <c r="V39" s="260"/>
      <c r="W39" s="214" t="s">
        <v>246</v>
      </c>
      <c r="X39" s="269">
        <v>15</v>
      </c>
      <c r="Y39" s="271">
        <v>0</v>
      </c>
      <c r="Z39" s="271">
        <v>0</v>
      </c>
      <c r="AA39" s="271">
        <v>0</v>
      </c>
      <c r="AB39" s="271">
        <v>0</v>
      </c>
      <c r="AC39" s="271">
        <v>0</v>
      </c>
      <c r="AD39" s="193"/>
      <c r="AE39" s="269">
        <v>1000</v>
      </c>
      <c r="AF39" s="269">
        <v>6000</v>
      </c>
      <c r="AG39" s="217" t="s">
        <v>230</v>
      </c>
    </row>
    <row r="40" spans="1:33" ht="12.75" customHeight="1" x14ac:dyDescent="0.2">
      <c r="A40" s="193" t="s">
        <v>241</v>
      </c>
      <c r="B40" s="191">
        <v>0.106</v>
      </c>
      <c r="C40" s="191">
        <v>4.7E-2</v>
      </c>
      <c r="D40" s="191">
        <v>8.5999999999999993E-2</v>
      </c>
      <c r="E40" s="191">
        <v>7.4999999999999997E-2</v>
      </c>
      <c r="F40" s="191">
        <v>0.111</v>
      </c>
      <c r="G40" s="211"/>
      <c r="H40" s="211">
        <v>740</v>
      </c>
      <c r="I40" s="211">
        <v>15</v>
      </c>
      <c r="J40" s="432" t="str">
        <f>"U vraagt subsidie aan in een categorie zon-PV. U hoeft geen energie-opbrengstberekening toe te voegen. Bij zon-PV wordt de energieopbrengst (kWh/jaar) berekend door het piekvermogen van de installatie (in kWp) te vermenigvuldigen met "&amp;H40&amp;" vollasturen/jaar. Wel wordt u gevraagd om een plattegrond met intekening van de zonnepanelen toe te voegen waaruit blijkt dat voldoende oppervlak beschikbaar is. "&amp;J43&amp;"
"&amp;W40&amp;""</f>
        <v>U vraagt subsidie aan in een categorie zon-PV. U hoeft geen energie-opbrengstberekening toe te voegen. Bij zon-PV wordt de energieopbrengst (kWh/jaar) berekend door het piekvermogen van de installatie (in kWp) te vermenigvuldigen met 740 vollasturen/jaar. Wel wordt u gevraagd om een plattegrond met intekening van de zonnepanelen toe te voegen waaruit blijkt dat voldoende oppervlak beschikbaar is. 
Om te voldoen aan de natuurinclusief eisen dient de open ruimte tussen de tafels met zonnepanelen, van bovenaf gezien, minimaal 25% te bedragen. Daarnaast kunt u alleen voor de categorie natuurinclusief aanvragen als de vergunning die op grond van de Omgevingswet noodzakelijk is voor de realisatie van de productie-installatie de volgende voorwaarde bevat dat:
a. er van bovenaf gezien minimaal 25% open ruimte tussen de tafels met zonnepanelen aanwezig is;
b. er een inrichtingsplan en beheerplan is dat ten doel heeft om verslechtering van de bodemkwaliteit, waterkwaliteit en ecologische kwaliteit gedurende de subsidieperiode te voorkomen; 
c. de subsidie-ontvanger de effecten van de productie-installatie op de bodemkwaliteit, waterkwaliteit en biodiversiteit monitort en, indien nodig, aanvullende maatregelen neemt om verslechtering van de bodemkwaliteit, waterkwaliteit en ecologische kwaliteit gedurende de subsidieperiode te voorkomen; en 
d. de subsidie-ontvanger een nulmeting uitvoert om de huidige waarde van de bodemkwaliteit, de waterkwaliteit en de ecologische kwaliteit vast te stellen.</v>
      </c>
      <c r="K40" s="433"/>
      <c r="L40" s="434"/>
      <c r="M40" s="434"/>
      <c r="N40" s="193" t="s">
        <v>245</v>
      </c>
      <c r="O40" s="192"/>
      <c r="P40" s="193" t="s">
        <v>138</v>
      </c>
      <c r="Q40" s="217" t="s">
        <v>141</v>
      </c>
      <c r="R40" s="217">
        <v>5</v>
      </c>
      <c r="S40" s="438" t="str">
        <f>"U vraagt subsidie aan in de categorie zon-PV. Hiervoor geldt als voorwaarde minimaal één deelnemend lid per "&amp;R40&amp;" kWp in een coöperatie of grond-vereniging van eigenaren. Bij een vermogen van "&amp;Energieproductie!$B$13&amp;" kWp moeten er minimaal "&amp; 'Hulpblad_overig '!$B$72&amp;" leden worden ingeschreven. Binnen één jaar na de datum van de beschikking tot subsidieverlening moet RVO de lijst van deelnemende leden met de naam en het adres van elk deelnemend lid hebben ontvangen."</f>
        <v>U vraagt subsidie aan in de categorie zon-PV. Hiervoor geldt als voorwaarde minimaal één deelnemend lid per 5 kWp in een coöperatie of grond-vereniging van eigenaren. Bij een vermogen van 0 kWp moeten er minimaal 0 leden worden ingeschreven. Binnen één jaar na de datum van de beschikking tot subsidieverlening moet RVO de lijst van deelnemende leden met de naam en het adres van elk deelnemend lid hebben ontvangen.</v>
      </c>
      <c r="T40" s="439"/>
      <c r="U40" s="439"/>
      <c r="V40" s="260"/>
      <c r="W40" s="214" t="s">
        <v>200</v>
      </c>
      <c r="X40" s="269">
        <v>20</v>
      </c>
      <c r="Y40" s="271">
        <f>0.1*(690/740)</f>
        <v>9.3243243243243248E-2</v>
      </c>
      <c r="Z40" s="271">
        <f>0.102*(690/740)</f>
        <v>9.5108108108108103E-2</v>
      </c>
      <c r="AA40" s="271">
        <f>0.104*(690/740)</f>
        <v>9.6972972972972971E-2</v>
      </c>
      <c r="AB40" s="271">
        <f>0.107*(690/740)</f>
        <v>9.9770270270270273E-2</v>
      </c>
      <c r="AC40" s="271">
        <f>0.109*(690/740)</f>
        <v>0.10163513513513514</v>
      </c>
      <c r="AD40" s="193" t="s">
        <v>202</v>
      </c>
      <c r="AE40" s="269">
        <v>1000</v>
      </c>
      <c r="AF40" s="269">
        <v>6000</v>
      </c>
      <c r="AG40" s="191">
        <f>690/740</f>
        <v>0.93243243243243246</v>
      </c>
    </row>
    <row r="41" spans="1:33" ht="12.75" customHeight="1" x14ac:dyDescent="0.2">
      <c r="A41" s="193" t="s">
        <v>252</v>
      </c>
      <c r="B41" s="191">
        <v>0.114</v>
      </c>
      <c r="C41" s="191">
        <v>4.7E-2</v>
      </c>
      <c r="D41" s="191">
        <v>8.5999999999999993E-2</v>
      </c>
      <c r="E41" s="191">
        <v>7.4999999999999997E-2</v>
      </c>
      <c r="F41" s="191">
        <v>0.111</v>
      </c>
      <c r="G41" s="211"/>
      <c r="H41" s="211">
        <v>740</v>
      </c>
      <c r="I41" s="211">
        <v>15</v>
      </c>
      <c r="J41" s="432" t="str">
        <f>"U vraagt subsidie aan in een categorie zon-PV. U hoeft geen energie-opbrengstberekening toe te voegen. Bij zon-PV wordt de energieopbrengst (kWh/jaar) berekend door het piekvermogen van de installatie (in kWp) te vermenigvuldigen met "&amp;H41&amp;" vollasturen/jaar. "&amp;J42&amp;"
"&amp;W41&amp;""</f>
        <v xml:space="preserve">U vraagt subsidie aan in een categorie zon-PV. U hoeft geen energie-opbrengstberekening toe te voegen. Bij zon-PV wordt de energieopbrengst (kWh/jaar) berekend door het piekvermogen van de installatie (in kWp) te vermenigvuldigen met 740 vollasturen/jaar. Houdt u er verder rekening mee dat installaties met een grootverbruikersaansluiting een additioneel gecontracteerd terugleververmogen mogen hebben van maximaal 50% van het gezamenlijke piekvermogen van de zonnepanelen. 
U wordt gevraagd om een gedetailleerde tekening op schaal waarop de aangevraagde zon-PV-installatie nauwkeurig op de beoogde locatie is ingetekend, toe te voegen. Zijn of komen er op de beoogde locatie meer installaties, dan geeft u dit duidelijk aan. Uit de intekening moet ook de oriëntatie van de installatie blijken. </v>
      </c>
      <c r="K41" s="433"/>
      <c r="L41" s="434"/>
      <c r="M41" s="434"/>
      <c r="N41" s="193" t="s">
        <v>166</v>
      </c>
      <c r="O41" s="192"/>
      <c r="P41" s="193" t="s">
        <v>138</v>
      </c>
      <c r="Q41" s="217" t="s">
        <v>141</v>
      </c>
      <c r="R41" s="217">
        <v>5</v>
      </c>
      <c r="S41" s="438" t="str">
        <f>"U vraagt subsidie aan in de categorie zon-PV. Hiervoor geldt als voorwaarde minimaal één deelnemend lid per "&amp;R41&amp;" kWp in een coöperatie of grond-vereniging van eigenaren. Bij een vermogen van "&amp;Energieproductie!$B$13&amp;" kWp moeten er minimaal "&amp; 'Hulpblad_overig '!$B$72&amp;" leden worden ingeschreven. Binnen één jaar na de datum van de beschikking tot subsidieverlening moet RVO de lijst van deelnemende leden met de naam en het adres van elk deelnemend lid hebben ontvangen."</f>
        <v>U vraagt subsidie aan in de categorie zon-PV. Hiervoor geldt als voorwaarde minimaal één deelnemend lid per 5 kWp in een coöperatie of grond-vereniging van eigenaren. Bij een vermogen van 0 kWp moeten er minimaal 0 leden worden ingeschreven. Binnen één jaar na de datum van de beschikking tot subsidieverlening moet RVO de lijst van deelnemende leden met de naam en het adres van elk deelnemend lid hebben ontvangen.</v>
      </c>
      <c r="T41" s="439"/>
      <c r="U41" s="439"/>
      <c r="V41" s="260"/>
      <c r="W41" s="193" t="s">
        <v>250</v>
      </c>
      <c r="X41" s="269">
        <v>20</v>
      </c>
      <c r="Y41" s="271">
        <f>0.1*(690/740)</f>
        <v>9.3243243243243248E-2</v>
      </c>
      <c r="Z41" s="271">
        <f>0.102*(690/740)</f>
        <v>9.5108108108108103E-2</v>
      </c>
      <c r="AA41" s="271">
        <f>0.104*(690/740)</f>
        <v>9.6972972972972971E-2</v>
      </c>
      <c r="AB41" s="271">
        <f>0.107*(690/740)</f>
        <v>9.9770270270270273E-2</v>
      </c>
      <c r="AC41" s="271">
        <f>0.109*(690/740)</f>
        <v>0.10163513513513514</v>
      </c>
      <c r="AD41" s="193" t="s">
        <v>202</v>
      </c>
      <c r="AE41" s="269">
        <v>1000</v>
      </c>
      <c r="AF41" s="269">
        <v>6000</v>
      </c>
      <c r="AG41" s="191">
        <f>690/740</f>
        <v>0.93243243243243246</v>
      </c>
    </row>
    <row r="42" spans="1:33" x14ac:dyDescent="0.2">
      <c r="A42" s="192"/>
      <c r="B42" s="191"/>
      <c r="C42" s="191"/>
      <c r="D42" s="191"/>
      <c r="E42" s="191"/>
      <c r="F42" s="191"/>
      <c r="G42" s="211"/>
      <c r="H42" s="211"/>
      <c r="I42" s="211"/>
      <c r="J42" s="192" t="s">
        <v>165</v>
      </c>
      <c r="K42" s="194"/>
      <c r="L42" s="192"/>
      <c r="M42" s="192"/>
      <c r="N42" s="193" t="s">
        <v>166</v>
      </c>
      <c r="O42" s="192"/>
      <c r="P42" s="192"/>
      <c r="Q42" s="217"/>
      <c r="R42" s="217"/>
      <c r="S42" s="214"/>
      <c r="T42" s="192"/>
      <c r="U42" s="193"/>
      <c r="V42" s="261"/>
      <c r="W42" s="192"/>
      <c r="X42" s="269"/>
      <c r="Y42" s="211"/>
      <c r="Z42" s="211"/>
      <c r="AA42" s="211"/>
      <c r="AB42" s="211"/>
      <c r="AC42" s="211"/>
      <c r="AD42" s="192"/>
      <c r="AE42" s="270"/>
      <c r="AF42" s="269"/>
      <c r="AG42" s="211"/>
    </row>
    <row r="43" spans="1:33" x14ac:dyDescent="0.2">
      <c r="A43" s="208" t="s">
        <v>113</v>
      </c>
      <c r="B43" s="267"/>
      <c r="C43" s="191"/>
      <c r="D43" s="191"/>
      <c r="E43" s="191"/>
      <c r="F43" s="191"/>
      <c r="G43" s="211"/>
      <c r="H43" s="211"/>
      <c r="I43" s="211"/>
      <c r="J43" s="192"/>
      <c r="K43" s="194"/>
      <c r="L43" s="192"/>
      <c r="M43" s="192"/>
      <c r="N43" s="192"/>
      <c r="O43" s="192"/>
      <c r="P43" s="192"/>
      <c r="Q43" s="217"/>
      <c r="R43" s="217"/>
      <c r="S43" s="214"/>
      <c r="T43" s="192"/>
      <c r="U43" s="193"/>
      <c r="V43" s="261"/>
      <c r="W43" s="192"/>
      <c r="X43" s="269"/>
      <c r="Y43" s="211"/>
      <c r="Z43" s="211"/>
      <c r="AA43" s="211"/>
      <c r="AB43" s="211"/>
      <c r="AC43" s="211"/>
      <c r="AD43" s="192"/>
      <c r="AE43" s="269"/>
      <c r="AF43" s="269"/>
      <c r="AG43" s="211"/>
    </row>
    <row r="44" spans="1:33" ht="12.75" customHeight="1" x14ac:dyDescent="0.2">
      <c r="A44" s="209" t="s">
        <v>155</v>
      </c>
      <c r="B44" s="268">
        <v>0.157</v>
      </c>
      <c r="C44" s="191">
        <v>3.7999999999999999E-2</v>
      </c>
      <c r="D44" s="191"/>
      <c r="E44" s="191">
        <v>8.2000000000000003E-2</v>
      </c>
      <c r="F44" s="191"/>
      <c r="G44" s="211"/>
      <c r="H44" s="217">
        <v>8760</v>
      </c>
      <c r="I44" s="211">
        <v>15</v>
      </c>
      <c r="J44" s="432" t="s">
        <v>136</v>
      </c>
      <c r="K44" s="433"/>
      <c r="L44" s="434"/>
      <c r="M44" s="434"/>
      <c r="N44" s="193" t="str">
        <f>IF(Energieproductie!$B$13&gt;100,"Voeg een windenergie-opbrengstberekening toe.","")</f>
        <v/>
      </c>
      <c r="O44" s="192" t="str">
        <f>IF(Energieproductie!$B$13&lt;=100,"Voeg eventueel een windenergie-opbrengstberekening toe.","")</f>
        <v>Voeg eventueel een windenergie-opbrengstberekening toe.</v>
      </c>
      <c r="P44" s="192" t="s">
        <v>119</v>
      </c>
      <c r="Q44" s="217" t="s">
        <v>118</v>
      </c>
      <c r="R44" s="217">
        <v>5</v>
      </c>
      <c r="S44" s="438" t="str">
        <f>"U vraagt subsidie aan in de categorie windenergie. Hiervoor geldt als voorwaarde minimaal één deelnemend lid per "&amp;R44&amp;" kW in een coöperatie of grond-vereniging van eigenaren. Bij een vermogen van "&amp;Energieproductie!$B$13&amp;" kW moeten er minimaal "&amp; 'Hulpblad_overig '!$B$72&amp;" leden worden ingeschreven. Binnen één jaar na de datum van de beschikking tot subsidieverlening moet RVO de lijst van deelnemende leden met de naam en het adres van elk deelnemend lid hebben ontvangen."</f>
        <v>U vraagt subsidie aan in de categorie windenergie. Hiervoor geldt als voorwaarde minimaal één deelnemend lid per 5 kW in een coöperatie of grond-vereniging van eigenaren. Bij een vermogen van 0 kW moeten er minimaal 0 leden worden ingeschreven. Binnen één jaar na de datum van de beschikking tot subsidieverlening moet RVO de lijst van deelnemende leden met de naam en het adres van elk deelnemend lid hebben ontvangen.</v>
      </c>
      <c r="T44" s="439"/>
      <c r="U44" s="439"/>
      <c r="V44" s="261"/>
      <c r="W44" s="192"/>
      <c r="X44" s="269">
        <v>20</v>
      </c>
      <c r="Y44" s="271">
        <v>6.9000000000000006E-2</v>
      </c>
      <c r="Z44" s="271">
        <v>7.0000000000000007E-2</v>
      </c>
      <c r="AA44" s="271">
        <v>7.0999999999999994E-2</v>
      </c>
      <c r="AB44" s="271">
        <v>7.2999999999999995E-2</v>
      </c>
      <c r="AC44" s="271">
        <v>7.3999999999999996E-2</v>
      </c>
      <c r="AD44" s="192"/>
      <c r="AE44" s="269">
        <v>15</v>
      </c>
      <c r="AF44" s="269">
        <v>100</v>
      </c>
      <c r="AG44" s="191">
        <v>1</v>
      </c>
    </row>
    <row r="45" spans="1:33" x14ac:dyDescent="0.2">
      <c r="A45" s="209"/>
      <c r="B45" s="268"/>
      <c r="C45" s="191"/>
      <c r="D45" s="191"/>
      <c r="E45" s="191"/>
      <c r="F45" s="191"/>
      <c r="G45" s="211"/>
      <c r="H45" s="217"/>
      <c r="I45" s="211"/>
      <c r="J45" s="432"/>
      <c r="K45" s="433"/>
      <c r="L45" s="434"/>
      <c r="M45" s="434"/>
      <c r="N45" s="193"/>
      <c r="O45" s="192"/>
      <c r="P45" s="192"/>
      <c r="Q45" s="217"/>
      <c r="R45" s="217"/>
      <c r="S45" s="214"/>
      <c r="T45" s="192"/>
      <c r="U45" s="193"/>
      <c r="V45" s="261"/>
      <c r="W45" s="192"/>
      <c r="X45" s="269"/>
      <c r="Y45" s="271"/>
      <c r="Z45" s="271"/>
      <c r="AA45" s="271"/>
      <c r="AB45" s="271"/>
      <c r="AC45" s="271"/>
      <c r="AD45" s="192"/>
      <c r="AE45" s="269"/>
      <c r="AF45" s="269"/>
      <c r="AG45" s="211"/>
    </row>
    <row r="46" spans="1:33" x14ac:dyDescent="0.2">
      <c r="A46" s="210" t="s">
        <v>112</v>
      </c>
      <c r="B46" s="268"/>
      <c r="C46" s="191"/>
      <c r="D46" s="191"/>
      <c r="E46" s="191"/>
      <c r="F46" s="191"/>
      <c r="G46" s="211"/>
      <c r="H46" s="217"/>
      <c r="I46" s="211"/>
      <c r="J46" s="432" t="s">
        <v>156</v>
      </c>
      <c r="K46" s="433"/>
      <c r="L46" s="434"/>
      <c r="M46" s="434"/>
      <c r="N46" s="193"/>
      <c r="O46" s="192"/>
      <c r="P46" s="192"/>
      <c r="Q46" s="217"/>
      <c r="R46" s="217"/>
      <c r="S46" s="214"/>
      <c r="T46" s="192"/>
      <c r="U46" s="193"/>
      <c r="V46" s="261"/>
      <c r="W46" s="192"/>
      <c r="X46" s="269"/>
      <c r="Y46" s="271"/>
      <c r="Z46" s="271"/>
      <c r="AA46" s="271"/>
      <c r="AB46" s="271"/>
      <c r="AC46" s="271"/>
      <c r="AD46" s="192"/>
      <c r="AE46" s="269"/>
      <c r="AF46" s="269"/>
      <c r="AG46" s="211"/>
    </row>
    <row r="47" spans="1:33" ht="12.75" customHeight="1" x14ac:dyDescent="0.2">
      <c r="A47" s="209" t="s">
        <v>234</v>
      </c>
      <c r="B47" s="268">
        <v>0.14599999999999999</v>
      </c>
      <c r="C47" s="191">
        <v>3.7999999999999999E-2</v>
      </c>
      <c r="D47" s="191"/>
      <c r="E47" s="191">
        <v>8.2000000000000003E-2</v>
      </c>
      <c r="F47" s="191"/>
      <c r="G47" s="211"/>
      <c r="H47" s="217">
        <v>8760</v>
      </c>
      <c r="I47" s="211">
        <v>15</v>
      </c>
      <c r="J47" s="432" t="str">
        <f>IF(Energieproductie!B13&gt;100,J46,J44)</f>
        <v>U vraagt subsidie aan voor een productie-installatie van ten hoogste 100 kW in de categorie windenergie. Ter onderbouwing van de jaarlijks te verwachten energieproductie (netto P50-waarde) kunt u een berekening toevoegen van de jaarlijks verwachte energieproductie op uw locatie aan de hand van de globale lokale windgegevens en de productgegevens van uw beoogde windturbine(s).</v>
      </c>
      <c r="K47" s="433"/>
      <c r="L47" s="434"/>
      <c r="M47" s="434"/>
      <c r="N47" s="193" t="str">
        <f>IF(Energieproductie!$B$13&gt;100,"Voeg een windenergie-opbrengstberekening toe.","")</f>
        <v/>
      </c>
      <c r="O47" s="192" t="str">
        <f>IF(Energieproductie!$B$13&lt;=100,"Voeg eventueel een windenergie-opbrengstberekening toe.","")</f>
        <v>Voeg eventueel een windenergie-opbrengstberekening toe.</v>
      </c>
      <c r="P47" s="192" t="s">
        <v>119</v>
      </c>
      <c r="Q47" s="217" t="s">
        <v>118</v>
      </c>
      <c r="R47" s="217">
        <v>5</v>
      </c>
      <c r="S47" s="438" t="str">
        <f>"U vraagt subsidie aan in de categorie windenergie. Hiervoor geldt als voorwaarde minimaal één deelnemend lid per "&amp;R47&amp;" kW in een coöperatie of grond-vereniging van eigenaren. Bij een vermogen van "&amp;Energieproductie!$B$13&amp;" kW moeten er minimaal "&amp; 'Hulpblad_overig '!$B$72&amp;" leden worden ingeschreven. Binnen één jaar na de datum van de beschikking tot subsidieverlening moet RVO de lijst van deelnemende leden met de naam en het adres van elk deelnemend lid hebben ontvangen."</f>
        <v>U vraagt subsidie aan in de categorie windenergie. Hiervoor geldt als voorwaarde minimaal één deelnemend lid per 5 kW in een coöperatie of grond-vereniging van eigenaren. Bij een vermogen van 0 kW moeten er minimaal 0 leden worden ingeschreven. Binnen één jaar na de datum van de beschikking tot subsidieverlening moet RVO de lijst van deelnemende leden met de naam en het adres van elk deelnemend lid hebben ontvangen.</v>
      </c>
      <c r="T47" s="439"/>
      <c r="U47" s="439"/>
      <c r="V47" s="261"/>
      <c r="W47" s="192"/>
      <c r="X47" s="269">
        <v>20</v>
      </c>
      <c r="Y47" s="271">
        <v>6.9000000000000006E-2</v>
      </c>
      <c r="Z47" s="271">
        <v>7.0000000000000007E-2</v>
      </c>
      <c r="AA47" s="271">
        <v>7.0999999999999994E-2</v>
      </c>
      <c r="AB47" s="271">
        <v>7.2999999999999995E-2</v>
      </c>
      <c r="AC47" s="271">
        <v>7.3999999999999996E-2</v>
      </c>
      <c r="AD47" s="192"/>
      <c r="AE47" s="269">
        <v>15</v>
      </c>
      <c r="AF47" s="269">
        <v>1000</v>
      </c>
      <c r="AG47" s="191">
        <v>1</v>
      </c>
    </row>
    <row r="48" spans="1:33" ht="12.75" customHeight="1" x14ac:dyDescent="0.2">
      <c r="A48" s="209" t="s">
        <v>203</v>
      </c>
      <c r="B48" s="268">
        <v>0.157</v>
      </c>
      <c r="C48" s="191">
        <v>3.7999999999999999E-2</v>
      </c>
      <c r="D48" s="191"/>
      <c r="E48" s="191">
        <v>8.2000000000000003E-2</v>
      </c>
      <c r="F48" s="191"/>
      <c r="G48" s="211"/>
      <c r="H48" s="217">
        <v>8760</v>
      </c>
      <c r="I48" s="211">
        <v>15</v>
      </c>
      <c r="J48" s="432" t="str">
        <f>IF(Energieproductie!B13&gt;100,J46,J44)</f>
        <v>U vraagt subsidie aan voor een productie-installatie van ten hoogste 100 kW in de categorie windenergie. Ter onderbouwing van de jaarlijks te verwachten energieproductie (netto P50-waarde) kunt u een berekening toevoegen van de jaarlijks verwachte energieproductie op uw locatie aan de hand van de globale lokale windgegevens en de productgegevens van uw beoogde windturbine(s).</v>
      </c>
      <c r="K48" s="433"/>
      <c r="L48" s="434"/>
      <c r="M48" s="434"/>
      <c r="N48" s="193" t="str">
        <f>IF(Energieproductie!$B$13&gt;100,"Voeg een windenergie-opbrengstberekening toe.","")</f>
        <v/>
      </c>
      <c r="O48" s="192" t="str">
        <f>IF(Energieproductie!$B$13&lt;=100,"Voeg eventueel een windenergie-opbrengstberekening toe.","")</f>
        <v>Voeg eventueel een windenergie-opbrengstberekening toe.</v>
      </c>
      <c r="P48" s="192" t="s">
        <v>119</v>
      </c>
      <c r="Q48" s="217" t="s">
        <v>118</v>
      </c>
      <c r="R48" s="217">
        <v>5</v>
      </c>
      <c r="S48" s="438" t="str">
        <f>"U vraagt subsidie aan in de categorie windenergie. Hiervoor geldt als voorwaarde minimaal één deelnemend lid per "&amp;R48&amp;" kW in een coöperatie of grond-vereniging van eigenaren. Bij een vermogen van "&amp;Energieproductie!$B$13&amp;" kW moeten er minimaal "&amp; 'Hulpblad_overig '!$B$72&amp;" leden worden ingeschreven. Binnen één jaar na de datum van de beschikking tot subsidieverlening moet RVO de lijst van deelnemende leden met de naam en het adres van elk deelnemend lid hebben ontvangen."</f>
        <v>U vraagt subsidie aan in de categorie windenergie. Hiervoor geldt als voorwaarde minimaal één deelnemend lid per 5 kW in een coöperatie of grond-vereniging van eigenaren. Bij een vermogen van 0 kW moeten er minimaal 0 leden worden ingeschreven. Binnen één jaar na de datum van de beschikking tot subsidieverlening moet RVO de lijst van deelnemende leden met de naam en het adres van elk deelnemend lid hebben ontvangen.</v>
      </c>
      <c r="T48" s="439"/>
      <c r="U48" s="439"/>
      <c r="V48" s="261"/>
      <c r="W48" s="192"/>
      <c r="X48" s="269">
        <v>20</v>
      </c>
      <c r="Y48" s="271">
        <v>6.9000000000000006E-2</v>
      </c>
      <c r="Z48" s="271">
        <v>7.0000000000000007E-2</v>
      </c>
      <c r="AA48" s="271">
        <v>7.0999999999999994E-2</v>
      </c>
      <c r="AB48" s="271">
        <v>7.2999999999999995E-2</v>
      </c>
      <c r="AC48" s="271">
        <v>7.3999999999999996E-2</v>
      </c>
      <c r="AD48" s="192"/>
      <c r="AE48" s="269">
        <v>15</v>
      </c>
      <c r="AF48" s="269">
        <v>1000</v>
      </c>
      <c r="AG48" s="191">
        <v>1</v>
      </c>
    </row>
    <row r="49" spans="1:33" ht="12.75" customHeight="1" x14ac:dyDescent="0.2">
      <c r="A49" s="209" t="s">
        <v>204</v>
      </c>
      <c r="B49" s="268">
        <v>0.157</v>
      </c>
      <c r="C49" s="191">
        <v>3.7999999999999999E-2</v>
      </c>
      <c r="D49" s="191"/>
      <c r="E49" s="191">
        <v>8.2000000000000003E-2</v>
      </c>
      <c r="F49" s="191"/>
      <c r="G49" s="211"/>
      <c r="H49" s="217">
        <v>8760</v>
      </c>
      <c r="I49" s="211">
        <v>15</v>
      </c>
      <c r="J49" s="432" t="str">
        <f>IF(Energieproductie!B13&gt;100,J46,J44)</f>
        <v>U vraagt subsidie aan voor een productie-installatie van ten hoogste 100 kW in de categorie windenergie. Ter onderbouwing van de jaarlijks te verwachten energieproductie (netto P50-waarde) kunt u een berekening toevoegen van de jaarlijks verwachte energieproductie op uw locatie aan de hand van de globale lokale windgegevens en de productgegevens van uw beoogde windturbine(s).</v>
      </c>
      <c r="K49" s="433"/>
      <c r="L49" s="434"/>
      <c r="M49" s="434"/>
      <c r="N49" s="193" t="str">
        <f>IF(Energieproductie!$B$13&gt;100,"Voeg een windenergie-opbrengstberekening toe.","")</f>
        <v/>
      </c>
      <c r="O49" s="192" t="str">
        <f>IF(Energieproductie!$B$13&lt;=100,"Voeg eventueel een windenergie-opbrengstberekening toe.","")</f>
        <v>Voeg eventueel een windenergie-opbrengstberekening toe.</v>
      </c>
      <c r="P49" s="192" t="s">
        <v>119</v>
      </c>
      <c r="Q49" s="217" t="s">
        <v>118</v>
      </c>
      <c r="R49" s="217">
        <v>5</v>
      </c>
      <c r="S49" s="438" t="str">
        <f>"U vraagt subsidie aan in de categorie windenergie. Hiervoor geldt als voorwaarde minimaal één deelnemend lid per "&amp;R49&amp;" kW in een coöperatie of grond-vereniging van eigenaren. Bij een vermogen van "&amp;Energieproductie!$B$13&amp;" kW moeten er minimaal "&amp; 'Hulpblad_overig '!$B$72&amp;" leden worden ingeschreven. Binnen één jaar na de datum van de beschikking tot subsidieverlening moet RVO de lijst van deelnemende leden met de naam en het adres van elk deelnemend lid hebben ontvangen."</f>
        <v>U vraagt subsidie aan in de categorie windenergie. Hiervoor geldt als voorwaarde minimaal één deelnemend lid per 5 kW in een coöperatie of grond-vereniging van eigenaren. Bij een vermogen van 0 kW moeten er minimaal 0 leden worden ingeschreven. Binnen één jaar na de datum van de beschikking tot subsidieverlening moet RVO de lijst van deelnemende leden met de naam en het adres van elk deelnemend lid hebben ontvangen.</v>
      </c>
      <c r="T49" s="439"/>
      <c r="U49" s="439"/>
      <c r="V49" s="261"/>
      <c r="W49" s="192"/>
      <c r="X49" s="269">
        <v>20</v>
      </c>
      <c r="Y49" s="271">
        <v>6.9000000000000006E-2</v>
      </c>
      <c r="Z49" s="271">
        <v>7.0000000000000007E-2</v>
      </c>
      <c r="AA49" s="271">
        <v>7.0999999999999994E-2</v>
      </c>
      <c r="AB49" s="271">
        <v>7.2999999999999995E-2</v>
      </c>
      <c r="AC49" s="271">
        <v>7.3999999999999996E-2</v>
      </c>
      <c r="AD49" s="192"/>
      <c r="AE49" s="269">
        <v>15</v>
      </c>
      <c r="AF49" s="269">
        <v>1000</v>
      </c>
      <c r="AG49" s="191">
        <v>1</v>
      </c>
    </row>
    <row r="50" spans="1:33" ht="12.75" customHeight="1" x14ac:dyDescent="0.2">
      <c r="A50" s="209" t="s">
        <v>205</v>
      </c>
      <c r="B50" s="268">
        <v>0.157</v>
      </c>
      <c r="C50" s="191">
        <v>3.7999999999999999E-2</v>
      </c>
      <c r="D50" s="191"/>
      <c r="E50" s="191">
        <v>8.2000000000000003E-2</v>
      </c>
      <c r="F50" s="191"/>
      <c r="G50" s="211"/>
      <c r="H50" s="217">
        <v>8760</v>
      </c>
      <c r="I50" s="211">
        <v>15</v>
      </c>
      <c r="J50" s="432" t="str">
        <f>IF(Energieproductie!B13&gt;100,J46,J44)</f>
        <v>U vraagt subsidie aan voor een productie-installatie van ten hoogste 100 kW in de categorie windenergie. Ter onderbouwing van de jaarlijks te verwachten energieproductie (netto P50-waarde) kunt u een berekening toevoegen van de jaarlijks verwachte energieproductie op uw locatie aan de hand van de globale lokale windgegevens en de productgegevens van uw beoogde windturbine(s).</v>
      </c>
      <c r="K50" s="433"/>
      <c r="L50" s="434"/>
      <c r="M50" s="434"/>
      <c r="N50" s="193" t="str">
        <f>IF(Energieproductie!$B$13&gt;100,"Voeg een windenergie-opbrengstberekening toe.","")</f>
        <v/>
      </c>
      <c r="O50" s="192" t="str">
        <f>IF(Energieproductie!$B$13&lt;=100,"Voeg eventueel een windenergie-opbrengstberekening toe.","")</f>
        <v>Voeg eventueel een windenergie-opbrengstberekening toe.</v>
      </c>
      <c r="P50" s="192" t="s">
        <v>119</v>
      </c>
      <c r="Q50" s="217" t="s">
        <v>118</v>
      </c>
      <c r="R50" s="217">
        <v>5</v>
      </c>
      <c r="S50" s="438" t="str">
        <f>"U vraagt subsidie aan in de categorie windenergie. Hiervoor geldt als voorwaarde minimaal één deelnemend lid per "&amp;R50&amp;" kW in een coöperatie of grond-vereniging van eigenaren. Bij een vermogen van "&amp;Energieproductie!$B$13&amp;" kW moeten er minimaal "&amp; 'Hulpblad_overig '!$B$72&amp;" leden worden ingeschreven. Binnen één jaar na de datum van de beschikking tot subsidieverlening moet RVO de lijst van deelnemende leden met de naam en het adres van elk deelnemend lid hebben ontvangen."</f>
        <v>U vraagt subsidie aan in de categorie windenergie. Hiervoor geldt als voorwaarde minimaal één deelnemend lid per 5 kW in een coöperatie of grond-vereniging van eigenaren. Bij een vermogen van 0 kW moeten er minimaal 0 leden worden ingeschreven. Binnen één jaar na de datum van de beschikking tot subsidieverlening moet RVO de lijst van deelnemende leden met de naam en het adres van elk deelnemend lid hebben ontvangen.</v>
      </c>
      <c r="T50" s="439"/>
      <c r="U50" s="439"/>
      <c r="V50" s="261"/>
      <c r="W50" s="192"/>
      <c r="X50" s="269">
        <v>20</v>
      </c>
      <c r="Y50" s="271">
        <v>6.9000000000000006E-2</v>
      </c>
      <c r="Z50" s="271">
        <v>7.0000000000000007E-2</v>
      </c>
      <c r="AA50" s="271">
        <v>7.0999999999999994E-2</v>
      </c>
      <c r="AB50" s="271">
        <v>7.2999999999999995E-2</v>
      </c>
      <c r="AC50" s="271">
        <v>7.3999999999999996E-2</v>
      </c>
      <c r="AD50" s="192"/>
      <c r="AE50" s="269">
        <v>15</v>
      </c>
      <c r="AF50" s="269">
        <v>1000</v>
      </c>
      <c r="AG50" s="191">
        <v>1</v>
      </c>
    </row>
    <row r="51" spans="1:33" ht="12.75" customHeight="1" x14ac:dyDescent="0.2">
      <c r="A51" s="209" t="s">
        <v>206</v>
      </c>
      <c r="B51" s="268">
        <v>0.157</v>
      </c>
      <c r="C51" s="191">
        <v>3.7999999999999999E-2</v>
      </c>
      <c r="D51" s="191"/>
      <c r="E51" s="191">
        <v>8.2000000000000003E-2</v>
      </c>
      <c r="F51" s="191"/>
      <c r="G51" s="211"/>
      <c r="H51" s="217">
        <v>8760</v>
      </c>
      <c r="I51" s="211">
        <v>15</v>
      </c>
      <c r="J51" s="432" t="str">
        <f>IF(Energieproductie!B13&gt;100,J46,J44)</f>
        <v>U vraagt subsidie aan voor een productie-installatie van ten hoogste 100 kW in de categorie windenergie. Ter onderbouwing van de jaarlijks te verwachten energieproductie (netto P50-waarde) kunt u een berekening toevoegen van de jaarlijks verwachte energieproductie op uw locatie aan de hand van de globale lokale windgegevens en de productgegevens van uw beoogde windturbine(s).</v>
      </c>
      <c r="K51" s="433"/>
      <c r="L51" s="434"/>
      <c r="M51" s="434"/>
      <c r="N51" s="193" t="str">
        <f>IF(Energieproductie!$B$13&gt;100,"Voeg een windenergie-opbrengstberekening toe.","")</f>
        <v/>
      </c>
      <c r="O51" s="192" t="str">
        <f>IF(Energieproductie!$B$13&lt;=100,"Voeg eventueel een windenergie-opbrengstberekening toe.","")</f>
        <v>Voeg eventueel een windenergie-opbrengstberekening toe.</v>
      </c>
      <c r="P51" s="192" t="s">
        <v>119</v>
      </c>
      <c r="Q51" s="217" t="s">
        <v>118</v>
      </c>
      <c r="R51" s="217">
        <v>5</v>
      </c>
      <c r="S51" s="438" t="str">
        <f>"U vraagt subsidie aan in de categorie windenergie. Hiervoor geldt als voorwaarde minimaal één deelnemend lid per "&amp;R51&amp;" kW in een coöperatie of grond-vereniging van eigenaren. Bij een vermogen van "&amp;Energieproductie!$B$13&amp;" kW moeten er minimaal "&amp; 'Hulpblad_overig '!$B$72&amp;" leden worden ingeschreven. Binnen één jaar na de datum van de beschikking tot subsidieverlening moet RVO de lijst van deelnemende leden met de naam en het adres van elk deelnemend lid hebben ontvangen."</f>
        <v>U vraagt subsidie aan in de categorie windenergie. Hiervoor geldt als voorwaarde minimaal één deelnemend lid per 5 kW in een coöperatie of grond-vereniging van eigenaren. Bij een vermogen van 0 kW moeten er minimaal 0 leden worden ingeschreven. Binnen één jaar na de datum van de beschikking tot subsidieverlening moet RVO de lijst van deelnemende leden met de naam en het adres van elk deelnemend lid hebben ontvangen.</v>
      </c>
      <c r="T51" s="439"/>
      <c r="U51" s="439"/>
      <c r="V51" s="261"/>
      <c r="W51" s="192"/>
      <c r="X51" s="269">
        <v>20</v>
      </c>
      <c r="Y51" s="271">
        <v>6.9000000000000006E-2</v>
      </c>
      <c r="Z51" s="271">
        <v>7.0000000000000007E-2</v>
      </c>
      <c r="AA51" s="271">
        <v>7.0999999999999994E-2</v>
      </c>
      <c r="AB51" s="271">
        <v>7.2999999999999995E-2</v>
      </c>
      <c r="AC51" s="271">
        <v>7.3999999999999996E-2</v>
      </c>
      <c r="AD51" s="192"/>
      <c r="AE51" s="269">
        <v>15</v>
      </c>
      <c r="AF51" s="269">
        <v>1000</v>
      </c>
      <c r="AG51" s="191">
        <v>1</v>
      </c>
    </row>
    <row r="52" spans="1:33" ht="12.75" customHeight="1" x14ac:dyDescent="0.2">
      <c r="A52" s="209" t="s">
        <v>235</v>
      </c>
      <c r="B52" s="266">
        <v>6.9000000000000006E-2</v>
      </c>
      <c r="C52" s="191">
        <v>3.7999999999999999E-2</v>
      </c>
      <c r="D52" s="191"/>
      <c r="E52" s="191">
        <v>8.2000000000000003E-2</v>
      </c>
      <c r="F52" s="191"/>
      <c r="G52" s="211"/>
      <c r="H52" s="217">
        <v>8760</v>
      </c>
      <c r="I52" s="211">
        <v>15</v>
      </c>
      <c r="J52" s="432" t="s">
        <v>167</v>
      </c>
      <c r="K52" s="432"/>
      <c r="L52" s="432"/>
      <c r="M52" s="432"/>
      <c r="N52" s="193" t="s">
        <v>168</v>
      </c>
      <c r="O52" s="221"/>
      <c r="P52" s="192" t="s">
        <v>119</v>
      </c>
      <c r="Q52" s="217" t="s">
        <v>118</v>
      </c>
      <c r="R52" s="217">
        <v>5</v>
      </c>
      <c r="S52" s="438" t="str">
        <f>"U vraagt subsidie aan in de categorie windenergie. Hiervoor geldt als voorwaarde minimaal één deelnemend lid per "&amp;R52&amp;" kW in een coöperatie of grond-vereniging van eigenaren. Bij een vermogen van "&amp;Energieproductie!$B$13&amp;" kW moeten er minimaal "&amp; 'Hulpblad_overig '!$B$72&amp;" leden worden ingeschreven. Binnen één jaar na de datum van de beschikking tot subsidieverlening moet RVO de lijst van deelnemende leden met de naam en het adres van elk deelnemend lid hebben ontvangen."</f>
        <v>U vraagt subsidie aan in de categorie windenergie. Hiervoor geldt als voorwaarde minimaal één deelnemend lid per 5 kW in een coöperatie of grond-vereniging van eigenaren. Bij een vermogen van 0 kW moeten er minimaal 0 leden worden ingeschreven. Binnen één jaar na de datum van de beschikking tot subsidieverlening moet RVO de lijst van deelnemende leden met de naam en het adres van elk deelnemend lid hebben ontvangen.</v>
      </c>
      <c r="T52" s="439"/>
      <c r="U52" s="439"/>
      <c r="V52" s="261"/>
      <c r="W52" s="192"/>
      <c r="X52" s="269">
        <v>20</v>
      </c>
      <c r="Y52" s="271">
        <v>6.9000000000000006E-2</v>
      </c>
      <c r="Z52" s="271">
        <v>7.0000000000000007E-2</v>
      </c>
      <c r="AA52" s="271">
        <v>7.0999999999999994E-2</v>
      </c>
      <c r="AB52" s="271">
        <v>7.2999999999999995E-2</v>
      </c>
      <c r="AC52" s="271">
        <v>7.3999999999999996E-2</v>
      </c>
      <c r="AD52" s="192"/>
      <c r="AE52" s="269">
        <v>1000</v>
      </c>
      <c r="AF52" s="269">
        <v>6000</v>
      </c>
      <c r="AG52" s="191">
        <v>1</v>
      </c>
    </row>
    <row r="53" spans="1:33" ht="12.75" customHeight="1" x14ac:dyDescent="0.2">
      <c r="A53" s="209" t="s">
        <v>207</v>
      </c>
      <c r="B53" s="266">
        <v>7.5999999999999998E-2</v>
      </c>
      <c r="C53" s="191">
        <v>3.7999999999999999E-2</v>
      </c>
      <c r="D53" s="191"/>
      <c r="E53" s="191">
        <v>8.2000000000000003E-2</v>
      </c>
      <c r="F53" s="191"/>
      <c r="G53" s="211"/>
      <c r="H53" s="217">
        <v>8760</v>
      </c>
      <c r="I53" s="211">
        <v>15</v>
      </c>
      <c r="J53" s="432" t="s">
        <v>167</v>
      </c>
      <c r="K53" s="432"/>
      <c r="L53" s="432"/>
      <c r="M53" s="432"/>
      <c r="N53" s="193" t="s">
        <v>168</v>
      </c>
      <c r="O53" s="221"/>
      <c r="P53" s="192" t="s">
        <v>119</v>
      </c>
      <c r="Q53" s="217" t="s">
        <v>118</v>
      </c>
      <c r="R53" s="217">
        <v>5</v>
      </c>
      <c r="S53" s="438" t="str">
        <f>"U vraagt subsidie aan in de categorie windenergie. Hiervoor geldt als voorwaarde minimaal één deelnemend lid per "&amp;R53&amp;" kW in een coöperatie of grond-vereniging van eigenaren. Bij een vermogen van "&amp;Energieproductie!$B$13&amp;" kW moeten er minimaal "&amp; 'Hulpblad_overig '!$B$72&amp;" leden worden ingeschreven. Binnen één jaar na de datum van de beschikking tot subsidieverlening moet RVO de lijst van deelnemende leden met de naam en het adres van elk deelnemend lid hebben ontvangen."</f>
        <v>U vraagt subsidie aan in de categorie windenergie. Hiervoor geldt als voorwaarde minimaal één deelnemend lid per 5 kW in een coöperatie of grond-vereniging van eigenaren. Bij een vermogen van 0 kW moeten er minimaal 0 leden worden ingeschreven. Binnen één jaar na de datum van de beschikking tot subsidieverlening moet RVO de lijst van deelnemende leden met de naam en het adres van elk deelnemend lid hebben ontvangen.</v>
      </c>
      <c r="T53" s="439"/>
      <c r="U53" s="439"/>
      <c r="V53" s="261"/>
      <c r="W53" s="192"/>
      <c r="X53" s="269">
        <v>20</v>
      </c>
      <c r="Y53" s="271">
        <v>6.9000000000000006E-2</v>
      </c>
      <c r="Z53" s="271">
        <v>7.0000000000000007E-2</v>
      </c>
      <c r="AA53" s="271">
        <v>7.0999999999999994E-2</v>
      </c>
      <c r="AB53" s="271">
        <v>7.2999999999999995E-2</v>
      </c>
      <c r="AC53" s="271">
        <v>7.3999999999999996E-2</v>
      </c>
      <c r="AD53" s="192"/>
      <c r="AE53" s="269">
        <v>1000</v>
      </c>
      <c r="AF53" s="269">
        <v>6000</v>
      </c>
      <c r="AG53" s="191">
        <v>1</v>
      </c>
    </row>
    <row r="54" spans="1:33" ht="12.75" customHeight="1" x14ac:dyDescent="0.2">
      <c r="A54" s="209" t="s">
        <v>208</v>
      </c>
      <c r="B54" s="266">
        <v>8.2000000000000003E-2</v>
      </c>
      <c r="C54" s="191">
        <v>3.7999999999999999E-2</v>
      </c>
      <c r="D54" s="191"/>
      <c r="E54" s="191">
        <v>8.2000000000000003E-2</v>
      </c>
      <c r="F54" s="191"/>
      <c r="G54" s="211"/>
      <c r="H54" s="217">
        <v>8760</v>
      </c>
      <c r="I54" s="211">
        <v>15</v>
      </c>
      <c r="J54" s="432" t="s">
        <v>167</v>
      </c>
      <c r="K54" s="432"/>
      <c r="L54" s="432"/>
      <c r="M54" s="432"/>
      <c r="N54" s="193" t="s">
        <v>168</v>
      </c>
      <c r="O54" s="221"/>
      <c r="P54" s="192" t="s">
        <v>119</v>
      </c>
      <c r="Q54" s="217" t="s">
        <v>118</v>
      </c>
      <c r="R54" s="217">
        <v>5</v>
      </c>
      <c r="S54" s="438" t="str">
        <f>"U vraagt subsidie aan in de categorie windenergie. Hiervoor geldt als voorwaarde minimaal één deelnemend lid per "&amp;R54&amp;" kW in een coöperatie of grond-vereniging van eigenaren. Bij een vermogen van "&amp;Energieproductie!$B$13&amp;" kW moeten er minimaal "&amp; 'Hulpblad_overig '!$B$72&amp;" leden worden ingeschreven. Binnen één jaar na de datum van de beschikking tot subsidieverlening moet RVO de lijst van deelnemende leden met de naam en het adres van elk deelnemend lid hebben ontvangen."</f>
        <v>U vraagt subsidie aan in de categorie windenergie. Hiervoor geldt als voorwaarde minimaal één deelnemend lid per 5 kW in een coöperatie of grond-vereniging van eigenaren. Bij een vermogen van 0 kW moeten er minimaal 0 leden worden ingeschreven. Binnen één jaar na de datum van de beschikking tot subsidieverlening moet RVO de lijst van deelnemende leden met de naam en het adres van elk deelnemend lid hebben ontvangen.</v>
      </c>
      <c r="T54" s="439"/>
      <c r="U54" s="439"/>
      <c r="V54" s="261"/>
      <c r="W54" s="192"/>
      <c r="X54" s="269">
        <v>20</v>
      </c>
      <c r="Y54" s="271">
        <v>6.9000000000000006E-2</v>
      </c>
      <c r="Z54" s="271">
        <v>7.0000000000000007E-2</v>
      </c>
      <c r="AA54" s="271">
        <v>7.0999999999999994E-2</v>
      </c>
      <c r="AB54" s="271">
        <v>7.2999999999999995E-2</v>
      </c>
      <c r="AC54" s="271">
        <v>7.3999999999999996E-2</v>
      </c>
      <c r="AD54" s="192"/>
      <c r="AE54" s="269">
        <v>1000</v>
      </c>
      <c r="AF54" s="269">
        <v>6000</v>
      </c>
      <c r="AG54" s="191">
        <v>1</v>
      </c>
    </row>
    <row r="55" spans="1:33" ht="12.75" customHeight="1" x14ac:dyDescent="0.2">
      <c r="A55" s="209" t="s">
        <v>209</v>
      </c>
      <c r="B55" s="266">
        <v>8.7999999999999995E-2</v>
      </c>
      <c r="C55" s="191">
        <v>3.7999999999999999E-2</v>
      </c>
      <c r="D55" s="191"/>
      <c r="E55" s="191">
        <v>8.2000000000000003E-2</v>
      </c>
      <c r="F55" s="191"/>
      <c r="G55" s="211"/>
      <c r="H55" s="217">
        <v>8760</v>
      </c>
      <c r="I55" s="211">
        <v>15</v>
      </c>
      <c r="J55" s="432" t="s">
        <v>167</v>
      </c>
      <c r="K55" s="432"/>
      <c r="L55" s="432"/>
      <c r="M55" s="432"/>
      <c r="N55" s="193" t="s">
        <v>168</v>
      </c>
      <c r="O55" s="221"/>
      <c r="P55" s="192" t="s">
        <v>119</v>
      </c>
      <c r="Q55" s="217" t="s">
        <v>118</v>
      </c>
      <c r="R55" s="217">
        <v>5</v>
      </c>
      <c r="S55" s="438" t="str">
        <f>"U vraagt subsidie aan in de categorie windenergie. Hiervoor geldt als voorwaarde minimaal één deelnemend lid per "&amp;R55&amp;" kW in een coöperatie of grond-vereniging van eigenaren. Bij een vermogen van "&amp;Energieproductie!$B$13&amp;" kW moeten er minimaal "&amp; 'Hulpblad_overig '!$B$72&amp;" leden worden ingeschreven. Binnen één jaar na de datum van de beschikking tot subsidieverlening moet RVO de lijst van deelnemende leden met de naam en het adres van elk deelnemend lid hebben ontvangen."</f>
        <v>U vraagt subsidie aan in de categorie windenergie. Hiervoor geldt als voorwaarde minimaal één deelnemend lid per 5 kW in een coöperatie of grond-vereniging van eigenaren. Bij een vermogen van 0 kW moeten er minimaal 0 leden worden ingeschreven. Binnen één jaar na de datum van de beschikking tot subsidieverlening moet RVO de lijst van deelnemende leden met de naam en het adres van elk deelnemend lid hebben ontvangen.</v>
      </c>
      <c r="T55" s="439"/>
      <c r="U55" s="439"/>
      <c r="V55" s="261"/>
      <c r="W55" s="192"/>
      <c r="X55" s="269">
        <v>20</v>
      </c>
      <c r="Y55" s="271">
        <v>6.9000000000000006E-2</v>
      </c>
      <c r="Z55" s="271">
        <v>7.0000000000000007E-2</v>
      </c>
      <c r="AA55" s="271">
        <v>7.0999999999999994E-2</v>
      </c>
      <c r="AB55" s="271">
        <v>7.2999999999999995E-2</v>
      </c>
      <c r="AC55" s="271">
        <v>7.3999999999999996E-2</v>
      </c>
      <c r="AD55" s="192"/>
      <c r="AE55" s="269">
        <v>1000</v>
      </c>
      <c r="AF55" s="269">
        <v>6000</v>
      </c>
      <c r="AG55" s="191">
        <v>1</v>
      </c>
    </row>
    <row r="56" spans="1:33" ht="12.75" customHeight="1" x14ac:dyDescent="0.2">
      <c r="A56" s="209" t="s">
        <v>210</v>
      </c>
      <c r="B56" s="266">
        <v>9.4E-2</v>
      </c>
      <c r="C56" s="191">
        <v>3.7999999999999999E-2</v>
      </c>
      <c r="D56" s="191"/>
      <c r="E56" s="191">
        <v>8.2000000000000003E-2</v>
      </c>
      <c r="F56" s="191"/>
      <c r="G56" s="211"/>
      <c r="H56" s="217">
        <v>8760</v>
      </c>
      <c r="I56" s="211">
        <v>15</v>
      </c>
      <c r="J56" s="432" t="s">
        <v>167</v>
      </c>
      <c r="K56" s="432"/>
      <c r="L56" s="432"/>
      <c r="M56" s="432"/>
      <c r="N56" s="193" t="s">
        <v>168</v>
      </c>
      <c r="O56" s="221"/>
      <c r="P56" s="192" t="s">
        <v>119</v>
      </c>
      <c r="Q56" s="217" t="s">
        <v>118</v>
      </c>
      <c r="R56" s="217">
        <v>5</v>
      </c>
      <c r="S56" s="438" t="str">
        <f>"U vraagt subsidie aan in de categorie windenergie. Hiervoor geldt als voorwaarde minimaal één deelnemend lid per "&amp;R56&amp;" kW in een coöperatie of grond-vereniging van eigenaren. Bij een vermogen van "&amp;Energieproductie!$B$13&amp;" kW moeten er minimaal "&amp; 'Hulpblad_overig '!$B$72&amp;" leden worden ingeschreven. Binnen één jaar na de datum van de beschikking tot subsidieverlening moet RVO de lijst van deelnemende leden met de naam en het adres van elk deelnemend lid hebben ontvangen."</f>
        <v>U vraagt subsidie aan in de categorie windenergie. Hiervoor geldt als voorwaarde minimaal één deelnemend lid per 5 kW in een coöperatie of grond-vereniging van eigenaren. Bij een vermogen van 0 kW moeten er minimaal 0 leden worden ingeschreven. Binnen één jaar na de datum van de beschikking tot subsidieverlening moet RVO de lijst van deelnemende leden met de naam en het adres van elk deelnemend lid hebben ontvangen.</v>
      </c>
      <c r="T56" s="439"/>
      <c r="U56" s="439"/>
      <c r="V56" s="261"/>
      <c r="W56" s="192"/>
      <c r="X56" s="269">
        <v>20</v>
      </c>
      <c r="Y56" s="271">
        <v>6.9000000000000006E-2</v>
      </c>
      <c r="Z56" s="271">
        <v>7.0000000000000007E-2</v>
      </c>
      <c r="AA56" s="271">
        <v>7.0999999999999994E-2</v>
      </c>
      <c r="AB56" s="271">
        <v>7.2999999999999995E-2</v>
      </c>
      <c r="AC56" s="271">
        <v>7.3999999999999996E-2</v>
      </c>
      <c r="AD56" s="192"/>
      <c r="AE56" s="269">
        <v>1000</v>
      </c>
      <c r="AF56" s="269">
        <v>6000</v>
      </c>
      <c r="AG56" s="191">
        <v>1</v>
      </c>
    </row>
    <row r="57" spans="1:33" x14ac:dyDescent="0.2">
      <c r="B57" s="154"/>
      <c r="C57" s="152"/>
      <c r="E57" s="152"/>
      <c r="F57" s="152"/>
      <c r="G57" s="153"/>
      <c r="H57" s="156"/>
      <c r="I57" s="156"/>
      <c r="K57" s="156"/>
      <c r="Q57" s="103"/>
      <c r="R57" s="103"/>
      <c r="U57" s="103"/>
    </row>
    <row r="58" spans="1:33" x14ac:dyDescent="0.2">
      <c r="B58" t="s">
        <v>95</v>
      </c>
    </row>
    <row r="60" spans="1:33" x14ac:dyDescent="0.2">
      <c r="A60" s="70"/>
    </row>
    <row r="69" spans="10:10" x14ac:dyDescent="0.2">
      <c r="J69" t="s">
        <v>95</v>
      </c>
    </row>
  </sheetData>
  <mergeCells count="45">
    <mergeCell ref="S56:U56"/>
    <mergeCell ref="S32:U32"/>
    <mergeCell ref="S36:U36"/>
    <mergeCell ref="S37:U37"/>
    <mergeCell ref="S38:U38"/>
    <mergeCell ref="S40:U40"/>
    <mergeCell ref="S41:U41"/>
    <mergeCell ref="S51:U51"/>
    <mergeCell ref="S52:U52"/>
    <mergeCell ref="S53:U53"/>
    <mergeCell ref="S54:U54"/>
    <mergeCell ref="S55:U55"/>
    <mergeCell ref="S33:U33"/>
    <mergeCell ref="S39:U39"/>
    <mergeCell ref="S44:U44"/>
    <mergeCell ref="S47:U47"/>
    <mergeCell ref="J50:M50"/>
    <mergeCell ref="J51:M51"/>
    <mergeCell ref="J52:M52"/>
    <mergeCell ref="J53:M53"/>
    <mergeCell ref="S49:U49"/>
    <mergeCell ref="S50:U50"/>
    <mergeCell ref="S48:U48"/>
    <mergeCell ref="J56:M56"/>
    <mergeCell ref="J40:M40"/>
    <mergeCell ref="C29:D29"/>
    <mergeCell ref="J48:M48"/>
    <mergeCell ref="J45:M45"/>
    <mergeCell ref="E29:F29"/>
    <mergeCell ref="J46:M46"/>
    <mergeCell ref="J54:M54"/>
    <mergeCell ref="J55:M55"/>
    <mergeCell ref="J39:M39"/>
    <mergeCell ref="J33:M33"/>
    <mergeCell ref="J49:M49"/>
    <mergeCell ref="J44:M44"/>
    <mergeCell ref="J37:M37"/>
    <mergeCell ref="J47:M47"/>
    <mergeCell ref="J41:M41"/>
    <mergeCell ref="J36:M36"/>
    <mergeCell ref="J32:M32"/>
    <mergeCell ref="Y29:AC29"/>
    <mergeCell ref="T29:T30"/>
    <mergeCell ref="U29:U30"/>
    <mergeCell ref="J38:M38"/>
  </mergeCells>
  <phoneticPr fontId="20"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BA23B-A889-4ACF-8201-15A262F37E1C}">
  <sheetPr codeName="Blad8"/>
  <dimension ref="A1:K72"/>
  <sheetViews>
    <sheetView workbookViewId="0">
      <selection activeCell="C47" sqref="C47"/>
    </sheetView>
  </sheetViews>
  <sheetFormatPr defaultRowHeight="12.75" x14ac:dyDescent="0.2"/>
  <cols>
    <col min="1" max="1" width="70.7109375" customWidth="1"/>
    <col min="2" max="2" width="56" customWidth="1"/>
    <col min="3" max="3" width="57.28515625" customWidth="1"/>
    <col min="4" max="4" width="54.7109375" customWidth="1"/>
    <col min="5" max="5" width="22.42578125" customWidth="1"/>
    <col min="6" max="6" width="70.85546875" customWidth="1"/>
    <col min="7" max="7" width="20.5703125" customWidth="1"/>
    <col min="8" max="8" width="71.42578125" customWidth="1"/>
    <col min="9" max="9" width="55.85546875" customWidth="1"/>
    <col min="10" max="10" width="50" customWidth="1"/>
    <col min="11" max="11" width="40.42578125" customWidth="1"/>
  </cols>
  <sheetData>
    <row r="1" spans="1:3" ht="20.25" x14ac:dyDescent="0.3">
      <c r="A1" s="155" t="s">
        <v>105</v>
      </c>
    </row>
    <row r="3" spans="1:3" x14ac:dyDescent="0.2">
      <c r="A3" s="141" t="s">
        <v>85</v>
      </c>
      <c r="B3" s="75"/>
      <c r="C3" s="73"/>
    </row>
    <row r="4" spans="1:3" x14ac:dyDescent="0.2">
      <c r="A4" s="139" t="s">
        <v>86</v>
      </c>
      <c r="B4" s="75">
        <v>1</v>
      </c>
      <c r="C4" s="73"/>
    </row>
    <row r="5" spans="1:3" x14ac:dyDescent="0.2">
      <c r="A5" s="139"/>
      <c r="B5" s="75"/>
      <c r="C5" s="73"/>
    </row>
    <row r="6" spans="1:3" x14ac:dyDescent="0.2">
      <c r="A6" s="141" t="s">
        <v>149</v>
      </c>
      <c r="B6" s="75"/>
      <c r="C6" s="73"/>
    </row>
    <row r="7" spans="1:3" x14ac:dyDescent="0.2">
      <c r="A7" s="139" t="s">
        <v>150</v>
      </c>
      <c r="B7" s="75"/>
      <c r="C7" s="73"/>
    </row>
    <row r="8" spans="1:3" x14ac:dyDescent="0.2">
      <c r="A8" s="139" t="s">
        <v>195</v>
      </c>
      <c r="B8" s="75"/>
      <c r="C8" s="73"/>
    </row>
    <row r="9" spans="1:3" x14ac:dyDescent="0.2">
      <c r="A9" s="139" t="s">
        <v>151</v>
      </c>
      <c r="B9" s="75"/>
      <c r="C9" s="73"/>
    </row>
    <row r="10" spans="1:3" x14ac:dyDescent="0.2">
      <c r="A10" s="139" t="s">
        <v>194</v>
      </c>
      <c r="B10" s="75">
        <v>1</v>
      </c>
      <c r="C10" s="73"/>
    </row>
    <row r="11" spans="1:3" x14ac:dyDescent="0.2">
      <c r="A11" s="139"/>
      <c r="B11" s="75"/>
      <c r="C11" s="73"/>
    </row>
    <row r="12" spans="1:3" x14ac:dyDescent="0.2">
      <c r="A12" s="141" t="s">
        <v>152</v>
      </c>
      <c r="B12" s="75"/>
      <c r="C12" s="73"/>
    </row>
    <row r="13" spans="1:3" x14ac:dyDescent="0.2">
      <c r="A13" s="139" t="str">
        <f>IF(B10=3,"Ja","n.v.t.")</f>
        <v>n.v.t.</v>
      </c>
      <c r="B13" s="75"/>
      <c r="C13" s="73"/>
    </row>
    <row r="14" spans="1:3" x14ac:dyDescent="0.2">
      <c r="A14" s="139" t="str">
        <f>IF(B10=3,"Nee","n.v.t.")</f>
        <v>n.v.t.</v>
      </c>
      <c r="B14" s="75">
        <v>1</v>
      </c>
      <c r="C14" s="73"/>
    </row>
    <row r="15" spans="1:3" x14ac:dyDescent="0.2">
      <c r="A15" s="139"/>
      <c r="B15" s="75"/>
      <c r="C15" s="73"/>
    </row>
    <row r="16" spans="1:3" x14ac:dyDescent="0.2">
      <c r="A16" s="70" t="s">
        <v>147</v>
      </c>
      <c r="B16" s="75"/>
      <c r="C16" s="73"/>
    </row>
    <row r="17" spans="1:8" x14ac:dyDescent="0.2">
      <c r="A17" s="103" t="s">
        <v>148</v>
      </c>
      <c r="B17" s="75">
        <v>1</v>
      </c>
      <c r="C17" s="73"/>
    </row>
    <row r="18" spans="1:8" x14ac:dyDescent="0.2">
      <c r="A18" s="139"/>
      <c r="B18" s="75"/>
      <c r="C18" s="73"/>
    </row>
    <row r="19" spans="1:8" x14ac:dyDescent="0.2">
      <c r="A19" s="70" t="s">
        <v>107</v>
      </c>
      <c r="C19" s="73"/>
    </row>
    <row r="20" spans="1:8" x14ac:dyDescent="0.2">
      <c r="A20" s="36" t="s">
        <v>48</v>
      </c>
      <c r="B20">
        <v>2</v>
      </c>
      <c r="C20" s="73"/>
    </row>
    <row r="21" spans="1:8" x14ac:dyDescent="0.2">
      <c r="A21" s="36"/>
      <c r="C21" s="73"/>
    </row>
    <row r="22" spans="1:8" x14ac:dyDescent="0.2">
      <c r="A22" s="70" t="s">
        <v>106</v>
      </c>
      <c r="C22" s="73"/>
    </row>
    <row r="23" spans="1:8" x14ac:dyDescent="0.2">
      <c r="A23" s="36" t="s">
        <v>47</v>
      </c>
      <c r="B23">
        <v>1</v>
      </c>
      <c r="C23" s="73"/>
    </row>
    <row r="24" spans="1:8" x14ac:dyDescent="0.2">
      <c r="A24" s="36"/>
      <c r="C24" s="73"/>
    </row>
    <row r="25" spans="1:8" x14ac:dyDescent="0.2">
      <c r="A25" s="70" t="s">
        <v>157</v>
      </c>
      <c r="C25" s="73"/>
    </row>
    <row r="26" spans="1:8" x14ac:dyDescent="0.2">
      <c r="A26" s="139" t="str">
        <f>IF(B10&lt;3,"Ja, deze lening mag van de bank worden afgelost in jaar 1-15","n.v.t.")</f>
        <v>Ja, deze lening mag van de bank worden afgelost in jaar 1-15</v>
      </c>
      <c r="C26" s="73"/>
    </row>
    <row r="27" spans="1:8" x14ac:dyDescent="0.2">
      <c r="A27" s="139" t="str">
        <f>IF(B10&lt;3,"Ja, deze lening is in jaar 1-15 aflossingsvrij en wordt afgelost in jaar 16-20","n.v.t.")</f>
        <v>Ja, deze lening is in jaar 1-15 aflossingsvrij en wordt afgelost in jaar 16-20</v>
      </c>
      <c r="C27" s="73"/>
    </row>
    <row r="28" spans="1:8" x14ac:dyDescent="0.2">
      <c r="A28" s="139" t="str">
        <f>IF(B10&lt;3,"Ja, deze lening is in jaar 1-20 aflossingsvrij en wordt pas afgelost ná jaar 20","n.v.t.")</f>
        <v>Ja, deze lening is in jaar 1-20 aflossingsvrij en wordt pas afgelost ná jaar 20</v>
      </c>
      <c r="C28" s="73"/>
    </row>
    <row r="29" spans="1:8" x14ac:dyDescent="0.2">
      <c r="A29" s="139" t="str">
        <f>IF(B10&lt;3,"Nee, er wordt geen rentedragende lening van leden ingebracht","n.v.t.")</f>
        <v>Nee, er wordt geen rentedragende lening van leden ingebracht</v>
      </c>
      <c r="C29" s="73"/>
    </row>
    <row r="30" spans="1:8" x14ac:dyDescent="0.2">
      <c r="A30" s="103"/>
      <c r="B30">
        <v>4</v>
      </c>
      <c r="C30" s="73"/>
    </row>
    <row r="31" spans="1:8" x14ac:dyDescent="0.2">
      <c r="A31" s="70" t="s">
        <v>163</v>
      </c>
      <c r="F31" s="70"/>
      <c r="H31" s="70"/>
    </row>
    <row r="32" spans="1:8" x14ac:dyDescent="0.2">
      <c r="A32" s="103" t="s">
        <v>164</v>
      </c>
      <c r="B32">
        <v>2</v>
      </c>
      <c r="F32" s="70"/>
      <c r="H32" s="70"/>
    </row>
    <row r="33" spans="1:11" x14ac:dyDescent="0.2">
      <c r="A33" s="103"/>
      <c r="F33" s="70"/>
      <c r="H33" s="70"/>
    </row>
    <row r="34" spans="1:11" ht="18" x14ac:dyDescent="0.2">
      <c r="A34" s="157" t="s">
        <v>104</v>
      </c>
      <c r="B34" s="75"/>
      <c r="C34" s="73"/>
    </row>
    <row r="35" spans="1:11" x14ac:dyDescent="0.2">
      <c r="A35" s="139"/>
      <c r="B35" s="75"/>
      <c r="C35" s="73"/>
    </row>
    <row r="36" spans="1:11" x14ac:dyDescent="0.2">
      <c r="A36" s="70" t="s">
        <v>158</v>
      </c>
    </row>
    <row r="37" spans="1:11" x14ac:dyDescent="0.2">
      <c r="A37" s="103" t="s">
        <v>83</v>
      </c>
      <c r="F37" s="70"/>
      <c r="H37" s="70"/>
    </row>
    <row r="38" spans="1:11" x14ac:dyDescent="0.2">
      <c r="A38" s="103" t="s">
        <v>82</v>
      </c>
      <c r="F38" s="70"/>
      <c r="H38" s="70"/>
    </row>
    <row r="39" spans="1:11" x14ac:dyDescent="0.2">
      <c r="A39">
        <v>1</v>
      </c>
      <c r="F39" s="70"/>
      <c r="H39" s="70"/>
    </row>
    <row r="40" spans="1:11" x14ac:dyDescent="0.2">
      <c r="A40" s="70" t="s">
        <v>34</v>
      </c>
      <c r="B40" s="70"/>
      <c r="C40" s="70"/>
      <c r="D40" s="70"/>
      <c r="E40" s="143"/>
      <c r="G40" s="143"/>
    </row>
    <row r="41" spans="1:11" x14ac:dyDescent="0.2">
      <c r="A41" s="103" t="s">
        <v>65</v>
      </c>
      <c r="B41" s="36"/>
      <c r="C41" s="36"/>
      <c r="E41" s="143"/>
      <c r="F41" s="36"/>
      <c r="G41" s="143"/>
    </row>
    <row r="42" spans="1:11" x14ac:dyDescent="0.2">
      <c r="A42" s="103" t="s">
        <v>66</v>
      </c>
      <c r="B42" s="36"/>
      <c r="C42" s="36"/>
      <c r="E42" s="143"/>
      <c r="G42" s="143"/>
      <c r="H42" s="103"/>
      <c r="I42" s="70"/>
      <c r="J42" s="70"/>
      <c r="K42" s="70"/>
    </row>
    <row r="43" spans="1:11" x14ac:dyDescent="0.2">
      <c r="A43" s="103" t="s">
        <v>64</v>
      </c>
      <c r="B43" s="36"/>
      <c r="C43" s="36"/>
      <c r="E43" s="143"/>
      <c r="F43" s="103"/>
      <c r="H43" s="36"/>
      <c r="I43" s="36"/>
      <c r="J43" s="36"/>
    </row>
    <row r="44" spans="1:11" x14ac:dyDescent="0.2">
      <c r="A44" s="103"/>
      <c r="B44" s="36"/>
      <c r="C44" s="36"/>
      <c r="E44" s="143"/>
      <c r="F44" s="103"/>
      <c r="H44" s="36"/>
      <c r="I44" s="36"/>
      <c r="J44" s="36"/>
    </row>
    <row r="45" spans="1:11" x14ac:dyDescent="0.2">
      <c r="A45" s="103"/>
      <c r="B45" s="36"/>
      <c r="C45" s="36"/>
      <c r="E45" s="143"/>
      <c r="F45" s="103"/>
      <c r="H45" s="36"/>
      <c r="I45" s="36"/>
      <c r="J45" s="36"/>
    </row>
    <row r="46" spans="1:11" x14ac:dyDescent="0.2">
      <c r="A46" s="70" t="s">
        <v>169</v>
      </c>
      <c r="B46" s="36"/>
      <c r="C46" s="36"/>
      <c r="E46" s="143"/>
      <c r="F46" s="103"/>
      <c r="H46" s="36"/>
      <c r="I46" s="36"/>
      <c r="J46" s="36"/>
    </row>
    <row r="47" spans="1:11" x14ac:dyDescent="0.2">
      <c r="A47" s="223" t="s">
        <v>170</v>
      </c>
      <c r="B47" s="223" t="s">
        <v>171</v>
      </c>
      <c r="C47" s="103" t="s">
        <v>193</v>
      </c>
      <c r="E47" s="143"/>
      <c r="F47" s="103"/>
      <c r="H47" s="36"/>
      <c r="I47" s="36"/>
      <c r="J47" s="36"/>
    </row>
    <row r="48" spans="1:11" x14ac:dyDescent="0.2">
      <c r="A48" s="103">
        <v>1</v>
      </c>
      <c r="B48" s="226" t="str">
        <f>IF(AND(Exploitatieberekening!$L$24=0%,Financiering_en_projectplan!$M$57=0),"n.v.t., geen vreemd vermogen en geen achtergestelde lening",
SUM(Exploitatieberekening!$O$81:'Exploitatieberekening'!$O$81)
/(SUM(Exploitatieberekening!$O$63:'Exploitatieberekening'!$O$63)+SUM(Exploitatieberekening!$O$64:'Exploitatieberekening'!$O$64)+SUM(Exploitatieberekening!$O$69:'Exploitatieberekening'!$O$69)+SUM(Exploitatieberekening!$O$70:'Exploitatieberekening'!$O$70)))</f>
        <v>n.v.t., geen vreemd vermogen en geen achtergestelde lening</v>
      </c>
      <c r="C48" s="103" t="s">
        <v>176</v>
      </c>
      <c r="E48" s="143"/>
      <c r="F48" s="103"/>
      <c r="H48" s="36"/>
      <c r="I48" s="36"/>
      <c r="J48" s="36"/>
    </row>
    <row r="49" spans="1:10" x14ac:dyDescent="0.2">
      <c r="A49" s="103">
        <v>2</v>
      </c>
      <c r="B49" s="226" t="str">
        <f>IF(AND(Exploitatieberekening!$L$24=0%,Financiering_en_projectplan!$M$57=0),"n.v.t., geen vreemd vermogen en geen achtergestelde lening",
SUM(Exploitatieberekening!$O$81:'Exploitatieberekening'!$P$81)
/(SUM(Exploitatieberekening!$O$63:'Exploitatieberekening'!$P$63)+SUM(Exploitatieberekening!$O$64:'Exploitatieberekening'!$P$64)+SUM(Exploitatieberekening!$O$69:'Exploitatieberekening'!$P$69)+SUM(Exploitatieberekening!$O$70:'Exploitatieberekening'!$P$70)))</f>
        <v>n.v.t., geen vreemd vermogen en geen achtergestelde lening</v>
      </c>
      <c r="C49" s="103" t="s">
        <v>177</v>
      </c>
      <c r="E49" s="143"/>
      <c r="F49" s="103"/>
      <c r="H49" s="36"/>
      <c r="I49" s="36"/>
      <c r="J49" s="36"/>
    </row>
    <row r="50" spans="1:10" x14ac:dyDescent="0.2">
      <c r="A50" s="103">
        <v>3</v>
      </c>
      <c r="B50" s="226" t="str">
        <f>IF(AND(Exploitatieberekening!$L$24=0%,Financiering_en_projectplan!$M$57=0),"n.v.t., geen vreemd vermogen en geen achtergestelde lening",
SUM(Exploitatieberekening!$O$81:'Exploitatieberekening'!$Q$81)
/(SUM(Exploitatieberekening!$O$63:'Exploitatieberekening'!$Q$63)+SUM(Exploitatieberekening!$O$64:'Exploitatieberekening'!$Q$64)+SUM(Exploitatieberekening!$O$69:'Exploitatieberekening'!$Q$69)+SUM(Exploitatieberekening!$O$70:'Exploitatieberekening'!$Q$70)))</f>
        <v>n.v.t., geen vreemd vermogen en geen achtergestelde lening</v>
      </c>
      <c r="C50" s="103" t="s">
        <v>178</v>
      </c>
      <c r="E50" s="143"/>
      <c r="F50" s="103"/>
      <c r="H50" s="36"/>
      <c r="I50" s="36"/>
      <c r="J50" s="36"/>
    </row>
    <row r="51" spans="1:10" x14ac:dyDescent="0.2">
      <c r="A51" s="103">
        <v>4</v>
      </c>
      <c r="B51" s="226" t="str">
        <f>IF(AND(Exploitatieberekening!$L$24=0%,Financiering_en_projectplan!$M$57=0),"n.v.t., geen vreemd vermogen en geen achtergestelde lening",
SUM(Exploitatieberekening!$O$81:'Exploitatieberekening'!$R$81)
/(SUM(Exploitatieberekening!$O$63:'Exploitatieberekening'!$R$63)+SUM(Exploitatieberekening!$O$64:'Exploitatieberekening'!$R$64)+SUM(Exploitatieberekening!$O$69:'Exploitatieberekening'!$R$69)+SUM(Exploitatieberekening!$O$70:'Exploitatieberekening'!$R$70)))</f>
        <v>n.v.t., geen vreemd vermogen en geen achtergestelde lening</v>
      </c>
      <c r="C51" s="103" t="s">
        <v>179</v>
      </c>
      <c r="E51" s="143"/>
      <c r="F51" s="103"/>
      <c r="H51" s="36"/>
      <c r="I51" s="36"/>
      <c r="J51" s="36"/>
    </row>
    <row r="52" spans="1:10" x14ac:dyDescent="0.2">
      <c r="A52" s="103">
        <v>5</v>
      </c>
      <c r="B52" s="226" t="str">
        <f>IF(AND(Exploitatieberekening!$L$24=0%,Financiering_en_projectplan!$M$57=0),"n.v.t., geen vreemd vermogen en geen achtergestelde lening",
SUM(Exploitatieberekening!$O$81:'Exploitatieberekening'!$S$81)
/(SUM(Exploitatieberekening!$O$63:'Exploitatieberekening'!$S$63)+SUM(Exploitatieberekening!$O$64:'Exploitatieberekening'!$S$64)+SUM(Exploitatieberekening!$O$69:'Exploitatieberekening'!$S$69)+SUM(Exploitatieberekening!$O$70:'Exploitatieberekening'!$S$70)))</f>
        <v>n.v.t., geen vreemd vermogen en geen achtergestelde lening</v>
      </c>
      <c r="C52" s="103" t="s">
        <v>180</v>
      </c>
      <c r="E52" s="143"/>
      <c r="F52" s="103"/>
      <c r="H52" s="36"/>
      <c r="I52" s="36"/>
      <c r="J52" s="36"/>
    </row>
    <row r="53" spans="1:10" x14ac:dyDescent="0.2">
      <c r="A53" s="103">
        <v>6</v>
      </c>
      <c r="B53" s="226" t="str">
        <f>IF(AND(Exploitatieberekening!$L$24=0%,Financiering_en_projectplan!$M$57=0),"n.v.t., geen vreemd vermogen en geen achtergestelde lening",
SUM(Exploitatieberekening!$O$81:'Exploitatieberekening'!$T$81)
/(SUM(Exploitatieberekening!$O$63:'Exploitatieberekening'!$T$63)+SUM(Exploitatieberekening!$O$64:'Exploitatieberekening'!$T$64)+SUM(Exploitatieberekening!$O$69:'Exploitatieberekening'!$T$69)+SUM(Exploitatieberekening!$O$70:'Exploitatieberekening'!$T$70)))</f>
        <v>n.v.t., geen vreemd vermogen en geen achtergestelde lening</v>
      </c>
      <c r="C53" s="103" t="s">
        <v>181</v>
      </c>
      <c r="E53" s="143"/>
      <c r="F53" s="103"/>
      <c r="H53" s="36"/>
      <c r="I53" s="36"/>
      <c r="J53" s="36"/>
    </row>
    <row r="54" spans="1:10" x14ac:dyDescent="0.2">
      <c r="A54" s="103">
        <v>7</v>
      </c>
      <c r="B54" s="226" t="str">
        <f>IF(AND(Exploitatieberekening!$L$24=0%,Financiering_en_projectplan!$M$57=0),"n.v.t., geen vreemd vermogen en geen achtergestelde lening",
SUM(Exploitatieberekening!$O$81:'Exploitatieberekening'!$U$81)
/(SUM(Exploitatieberekening!$O$63:'Exploitatieberekening'!$U$63)+SUM(Exploitatieberekening!$O$64:'Exploitatieberekening'!$U$64)+SUM(Exploitatieberekening!$O$69:'Exploitatieberekening'!$U$69)+SUM(Exploitatieberekening!$O$70:'Exploitatieberekening'!$U$70)))</f>
        <v>n.v.t., geen vreemd vermogen en geen achtergestelde lening</v>
      </c>
      <c r="C54" s="103" t="s">
        <v>173</v>
      </c>
      <c r="E54" s="143"/>
      <c r="F54" s="103"/>
      <c r="H54" s="36"/>
      <c r="I54" s="36"/>
      <c r="J54" s="36"/>
    </row>
    <row r="55" spans="1:10" x14ac:dyDescent="0.2">
      <c r="A55" s="103">
        <v>8</v>
      </c>
      <c r="B55" s="226" t="str">
        <f>IF(AND(Exploitatieberekening!$L$24=0%,Financiering_en_projectplan!$M$57=0),"n.v.t., geen vreemd vermogen en geen achtergestelde lening",
SUM(Exploitatieberekening!$O$81:'Exploitatieberekening'!$V$81)
/(SUM(Exploitatieberekening!$O$63:'Exploitatieberekening'!$V$63)+SUM(Exploitatieberekening!$O$64:'Exploitatieberekening'!$V$64)+SUM(Exploitatieberekening!$O$69:'Exploitatieberekening'!$V$69)+SUM(Exploitatieberekening!$O$70:'Exploitatieberekening'!$V$70)))</f>
        <v>n.v.t., geen vreemd vermogen en geen achtergestelde lening</v>
      </c>
      <c r="C55" s="103" t="s">
        <v>174</v>
      </c>
      <c r="E55" s="143"/>
      <c r="F55" s="103"/>
      <c r="H55" s="36"/>
      <c r="I55" s="36"/>
      <c r="J55" s="36"/>
    </row>
    <row r="56" spans="1:10" x14ac:dyDescent="0.2">
      <c r="A56" s="103">
        <v>9</v>
      </c>
      <c r="B56" s="226" t="str">
        <f>IF(AND(Exploitatieberekening!$L$24=0%,Financiering_en_projectplan!$M$57=0),"n.v.t., geen vreemd vermogen en geen achtergestelde lening",
SUM(Exploitatieberekening!$O$81:'Exploitatieberekening'!$W$81)
/(SUM(Exploitatieberekening!$O$63:'Exploitatieberekening'!$W$63)+SUM(Exploitatieberekening!$O$64:'Exploitatieberekening'!$W$64)+SUM(Exploitatieberekening!$O$69:'Exploitatieberekening'!$W$69)+SUM(Exploitatieberekening!$O$70:'Exploitatieberekening'!$W$70)))</f>
        <v>n.v.t., geen vreemd vermogen en geen achtergestelde lening</v>
      </c>
      <c r="C56" s="103" t="s">
        <v>175</v>
      </c>
      <c r="E56" s="143"/>
      <c r="F56" s="103"/>
      <c r="H56" s="36"/>
      <c r="I56" s="36"/>
      <c r="J56" s="36"/>
    </row>
    <row r="57" spans="1:10" x14ac:dyDescent="0.2">
      <c r="A57" s="103">
        <v>10</v>
      </c>
      <c r="B57" s="226" t="str">
        <f>IF(AND(Exploitatieberekening!$L$24=0%,Financiering_en_projectplan!$M$57=0),"n.v.t., geen vreemd vermogen en geen achtergestelde lening",
SUM(Exploitatieberekening!$O$81:'Exploitatieberekening'!$X$81)
/(SUM(Exploitatieberekening!$O$63:'Exploitatieberekening'!$X$63)+SUM(Exploitatieberekening!$O$64:'Exploitatieberekening'!$X$64)+SUM(Exploitatieberekening!$O$69:'Exploitatieberekening'!$X$69)+SUM(Exploitatieberekening!$O$70:'Exploitatieberekening'!$X$70)))</f>
        <v>n.v.t., geen vreemd vermogen en geen achtergestelde lening</v>
      </c>
      <c r="C57" s="103" t="s">
        <v>182</v>
      </c>
      <c r="E57" s="143"/>
      <c r="F57" s="103"/>
      <c r="H57" s="36"/>
      <c r="I57" s="36"/>
      <c r="J57" s="36"/>
    </row>
    <row r="58" spans="1:10" x14ac:dyDescent="0.2">
      <c r="A58" s="103">
        <v>11</v>
      </c>
      <c r="B58" s="226" t="str">
        <f>IF(AND(Exploitatieberekening!$L$24=0%,Financiering_en_projectplan!$M$57=0),"n.v.t., geen vreemd vermogen en geen achtergestelde lening",
SUM(Exploitatieberekening!$O$81:'Exploitatieberekening'!$Y$81)
/(SUM(Exploitatieberekening!$O$63:'Exploitatieberekening'!$Y$63)+SUM(Exploitatieberekening!$O$64:'Exploitatieberekening'!$Y$64)+SUM(Exploitatieberekening!$O$69:'Exploitatieberekening'!$Y$69)+SUM(Exploitatieberekening!$O$70:'Exploitatieberekening'!$Y$70)))</f>
        <v>n.v.t., geen vreemd vermogen en geen achtergestelde lening</v>
      </c>
      <c r="C58" s="103" t="s">
        <v>183</v>
      </c>
      <c r="E58" s="143"/>
      <c r="F58" s="103"/>
      <c r="H58" s="36"/>
      <c r="I58" s="36"/>
      <c r="J58" s="36"/>
    </row>
    <row r="59" spans="1:10" x14ac:dyDescent="0.2">
      <c r="A59" s="103">
        <v>12</v>
      </c>
      <c r="B59" s="226" t="str">
        <f>IF(AND(Exploitatieberekening!$L$24=0%,Financiering_en_projectplan!$M$57=0),"n.v.t., geen vreemd vermogen en geen achtergestelde lening",
SUM(Exploitatieberekening!$O$81:'Exploitatieberekening'!$Z$81)
/(SUM(Exploitatieberekening!$O$63:'Exploitatieberekening'!$Z$63)+SUM(Exploitatieberekening!$O$64:'Exploitatieberekening'!$Z$64)+SUM(Exploitatieberekening!$O$69:'Exploitatieberekening'!$Z$69)+SUM(Exploitatieberekening!$O$70:'Exploitatieberekening'!$Z$70)))</f>
        <v>n.v.t., geen vreemd vermogen en geen achtergestelde lening</v>
      </c>
      <c r="C59" s="103" t="s">
        <v>184</v>
      </c>
      <c r="E59" s="143"/>
      <c r="F59" s="103"/>
      <c r="H59" s="36"/>
      <c r="I59" s="36"/>
      <c r="J59" s="36"/>
    </row>
    <row r="60" spans="1:10" x14ac:dyDescent="0.2">
      <c r="A60" s="103">
        <v>13</v>
      </c>
      <c r="B60" s="226" t="str">
        <f>IF(AND(Exploitatieberekening!$L$24=0%,Financiering_en_projectplan!$M$57=0),"n.v.t., geen vreemd vermogen en geen achtergestelde lening",
SUM(Exploitatieberekening!$O$81:'Exploitatieberekening'!$AA$81)
/(SUM(Exploitatieberekening!$O$63:'Exploitatieberekening'!$AA$63)+SUM(Exploitatieberekening!$O$64:'Exploitatieberekening'!$AA$64)+SUM(Exploitatieberekening!$O$69:'Exploitatieberekening'!$AA$69)+SUM(Exploitatieberekening!$O$70:'Exploitatieberekening'!$AA$70)))</f>
        <v>n.v.t., geen vreemd vermogen en geen achtergestelde lening</v>
      </c>
      <c r="C60" s="103" t="s">
        <v>185</v>
      </c>
      <c r="E60" s="143"/>
      <c r="F60" s="103"/>
      <c r="H60" s="36"/>
      <c r="I60" s="36"/>
      <c r="J60" s="36"/>
    </row>
    <row r="61" spans="1:10" x14ac:dyDescent="0.2">
      <c r="A61" s="103">
        <v>14</v>
      </c>
      <c r="B61" s="226" t="str">
        <f>IF(AND(Exploitatieberekening!$L$24=0%,Financiering_en_projectplan!$M$57=0),"n.v.t., geen vreemd vermogen en geen achtergestelde lening",
SUM(Exploitatieberekening!$O$81:'Exploitatieberekening'!$AB$81)
/(SUM(Exploitatieberekening!$O$63:'Exploitatieberekening'!$AB$63)+SUM(Exploitatieberekening!$O$64:'Exploitatieberekening'!$AB$64)+SUM(Exploitatieberekening!$O$69:'Exploitatieberekening'!$AB$69)+SUM(Exploitatieberekening!$O$70:'Exploitatieberekening'!$AB$70)))</f>
        <v>n.v.t., geen vreemd vermogen en geen achtergestelde lening</v>
      </c>
      <c r="C61" s="103" t="s">
        <v>186</v>
      </c>
      <c r="E61" s="143"/>
      <c r="F61" s="103"/>
      <c r="H61" s="36"/>
      <c r="I61" s="36"/>
      <c r="J61" s="36"/>
    </row>
    <row r="62" spans="1:10" x14ac:dyDescent="0.2">
      <c r="A62" s="103">
        <v>15</v>
      </c>
      <c r="B62" s="226" t="str">
        <f>IF(AND(Exploitatieberekening!$L$24=0%,Financiering_en_projectplan!$M$57=0),"n.v.t., geen vreemd vermogen en geen achtergestelde lening",
SUM(Exploitatieberekening!$O$81:'Exploitatieberekening'!$AC$81)
/(SUM(Exploitatieberekening!$O$63:'Exploitatieberekening'!$AC$63)+SUM(Exploitatieberekening!$O$64:'Exploitatieberekening'!$AC$64)+SUM(Exploitatieberekening!$O$69:'Exploitatieberekening'!$AC$69)+SUM(Exploitatieberekening!$O$70:'Exploitatieberekening'!$AC$70)))</f>
        <v>n.v.t., geen vreemd vermogen en geen achtergestelde lening</v>
      </c>
      <c r="C62" s="103" t="s">
        <v>187</v>
      </c>
      <c r="E62" s="143"/>
      <c r="F62" s="103"/>
      <c r="H62" s="36"/>
      <c r="I62" s="36"/>
      <c r="J62" s="36"/>
    </row>
    <row r="63" spans="1:10" x14ac:dyDescent="0.2">
      <c r="A63" s="103">
        <v>16</v>
      </c>
      <c r="B63" s="226" t="str">
        <f>IF(AND(Exploitatieberekening!$L$24=0%,Financiering_en_projectplan!$M$57=0),"n.v.t., geen vreemd vermogen en geen achtergestelde lening",
SUM(Exploitatieberekening!$O$81:'Exploitatieberekening'!$AD$81)
/(SUM(Exploitatieberekening!$O$63:'Exploitatieberekening'!$AD$63)+SUM(Exploitatieberekening!$O$64:'Exploitatieberekening'!$AD$64)+SUM(Exploitatieberekening!$O$69:'Exploitatieberekening'!$AD$69)+SUM(Exploitatieberekening!$O$70:'Exploitatieberekening'!$AD$70)))</f>
        <v>n.v.t., geen vreemd vermogen en geen achtergestelde lening</v>
      </c>
      <c r="C63" s="103" t="s">
        <v>188</v>
      </c>
      <c r="E63" s="143"/>
      <c r="F63" s="103"/>
      <c r="H63" s="36"/>
      <c r="I63" s="36"/>
      <c r="J63" s="36"/>
    </row>
    <row r="64" spans="1:10" x14ac:dyDescent="0.2">
      <c r="A64" s="103">
        <v>17</v>
      </c>
      <c r="B64" s="226" t="str">
        <f>IF(AND(Exploitatieberekening!$L$24=0%,Financiering_en_projectplan!$M$57=0),"n.v.t., geen vreemd vermogen en geen achtergestelde lening",
SUM(Exploitatieberekening!$O$81:'Exploitatieberekening'!$AE$81)
/(SUM(Exploitatieberekening!$O$63:'Exploitatieberekening'!$AE$63)+SUM(Exploitatieberekening!$O$64:'Exploitatieberekening'!$AE$64)+SUM(Exploitatieberekening!$O$69:'Exploitatieberekening'!$AE$69)+SUM(Exploitatieberekening!$O$70:'Exploitatieberekening'!$AE$70)))</f>
        <v>n.v.t., geen vreemd vermogen en geen achtergestelde lening</v>
      </c>
      <c r="C64" s="103" t="s">
        <v>189</v>
      </c>
      <c r="E64" s="143"/>
      <c r="F64" s="103"/>
      <c r="H64" s="36"/>
      <c r="I64" s="36"/>
      <c r="J64" s="36"/>
    </row>
    <row r="65" spans="1:10" x14ac:dyDescent="0.2">
      <c r="A65" s="103">
        <v>18</v>
      </c>
      <c r="B65" s="226" t="str">
        <f>IF(AND(Exploitatieberekening!$L$24=0%,Financiering_en_projectplan!$M$57=0),"n.v.t., geen vreemd vermogen en geen achtergestelde lening",
SUM(Exploitatieberekening!$O$81:'Exploitatieberekening'!$AF$81)
/(SUM(Exploitatieberekening!$O$63:'Exploitatieberekening'!$AF$63)+SUM(Exploitatieberekening!$O$64:'Exploitatieberekening'!$AF$64)+SUM(Exploitatieberekening!$O$69:'Exploitatieberekening'!$AF$69)+SUM(Exploitatieberekening!$O$70:'Exploitatieberekening'!$AF$70)))</f>
        <v>n.v.t., geen vreemd vermogen en geen achtergestelde lening</v>
      </c>
      <c r="C65" s="103" t="s">
        <v>190</v>
      </c>
      <c r="E65" s="143"/>
      <c r="F65" s="103"/>
      <c r="H65" s="36"/>
      <c r="I65" s="36"/>
      <c r="J65" s="36"/>
    </row>
    <row r="66" spans="1:10" ht="12.75" customHeight="1" x14ac:dyDescent="0.2">
      <c r="A66" s="103">
        <v>19</v>
      </c>
      <c r="B66" s="226" t="str">
        <f>IF(AND(Exploitatieberekening!$L$24=0%,Financiering_en_projectplan!$M$57=0),"n.v.t., geen vreemd vermogen en geen achtergestelde lening",
SUM(Exploitatieberekening!$O$81:'Exploitatieberekening'!$AG$81)
/(SUM(Exploitatieberekening!$O$63:'Exploitatieberekening'!$AG$63)+SUM(Exploitatieberekening!$O$64:'Exploitatieberekening'!$AG$64)+SUM(Exploitatieberekening!$O$69:'Exploitatieberekening'!$AG$69)+SUM(Exploitatieberekening!$O$70:'Exploitatieberekening'!$AG$70)))</f>
        <v>n.v.t., geen vreemd vermogen en geen achtergestelde lening</v>
      </c>
      <c r="C66" s="103" t="s">
        <v>191</v>
      </c>
      <c r="E66" s="143"/>
      <c r="F66" s="103"/>
      <c r="H66" s="36"/>
      <c r="I66" s="36"/>
      <c r="J66" s="36"/>
    </row>
    <row r="67" spans="1:10" ht="12.75" customHeight="1" x14ac:dyDescent="0.2">
      <c r="A67" s="103">
        <v>20</v>
      </c>
      <c r="B67" s="226" t="str">
        <f>IF(AND(Exploitatieberekening!$L$24=0%,Financiering_en_projectplan!$M$57=0),"n.v.t., geen vreemd vermogen en geen achtergestelde lening",
SUM(Exploitatieberekening!$O$81:'Exploitatieberekening'!$AH$81)
/(SUM(Exploitatieberekening!$O$63:'Exploitatieberekening'!$AH$63)+SUM(Exploitatieberekening!$O$64:'Exploitatieberekening'!$AH$64)+SUM(Exploitatieberekening!$O$69:'Exploitatieberekening'!$AH$69)+SUM(Exploitatieberekening!$O$70:'Exploitatieberekening'!$AH$70)))</f>
        <v>n.v.t., geen vreemd vermogen en geen achtergestelde lening</v>
      </c>
      <c r="C67" s="103" t="s">
        <v>192</v>
      </c>
      <c r="F67" s="36"/>
      <c r="H67" s="36"/>
      <c r="I67" s="36"/>
    </row>
    <row r="68" spans="1:10" ht="20.25" customHeight="1" x14ac:dyDescent="0.2">
      <c r="A68" s="103"/>
      <c r="B68" s="70"/>
      <c r="F68" s="36"/>
      <c r="H68" s="36"/>
      <c r="I68" s="36"/>
    </row>
    <row r="69" spans="1:10" ht="20.25" customHeight="1" x14ac:dyDescent="0.25">
      <c r="A69" s="174" t="s">
        <v>172</v>
      </c>
      <c r="B69" s="70"/>
      <c r="F69" s="36"/>
      <c r="H69" s="36"/>
      <c r="I69" s="36"/>
    </row>
    <row r="70" spans="1:10" ht="12" customHeight="1" x14ac:dyDescent="0.2">
      <c r="A70" s="103"/>
      <c r="B70" s="70"/>
      <c r="F70" s="36"/>
      <c r="H70" s="36"/>
      <c r="I70" s="36"/>
    </row>
    <row r="71" spans="1:10" x14ac:dyDescent="0.2">
      <c r="A71" s="70" t="s">
        <v>143</v>
      </c>
      <c r="B71" s="70" t="s">
        <v>144</v>
      </c>
    </row>
    <row r="72" spans="1:10" x14ac:dyDescent="0.2">
      <c r="A72">
        <f>Energieproductie!B13/VLOOKUP(Hulpblad_categorieën_parameters!D26,Hulpblad_categorieën_parameters!A31:R56,18,)</f>
        <v>0</v>
      </c>
      <c r="B72">
        <f>ROUNDUP(A72,0)</f>
        <v>0</v>
      </c>
    </row>
  </sheetData>
  <pageMargins left="0.7" right="0.7" top="0.75" bottom="0.75" header="0.3" footer="0.3"/>
  <pageSetup paperSize="9" orientation="portrait" r:id="rId1"/>
</worksheet>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Invulinstructie_en_disclaimer</vt:lpstr>
      <vt:lpstr>Financiering_en_projectplan</vt:lpstr>
      <vt:lpstr>Energieproductie</vt:lpstr>
      <vt:lpstr>Exploitatieberekening</vt:lpstr>
      <vt:lpstr>Overzicht bijlagen</vt:lpstr>
      <vt:lpstr>Hulpblad_categorieën_parameters</vt:lpstr>
      <vt:lpstr>Hulpblad_overig </vt:lpstr>
      <vt:lpstr>Energieproductie!Afdrukbereik</vt:lpstr>
      <vt:lpstr>Exploitatieberekening!Afdrukbereik</vt:lpstr>
      <vt:lpstr>Financiering_en_projectplan!Afdrukbereik</vt:lpstr>
      <vt:lpstr>Invulinstructie_en_disclaimer!Afdrukbereik</vt:lpstr>
      <vt:lpstr>'Overzicht bijlagen'!Afdrukbereik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RVO</dc:creator>
  <cp:lastModifiedBy>RVO</cp:lastModifiedBy>
  <cp:lastPrinted>2020-06-21T14:42:05Z</cp:lastPrinted>
  <dcterms:created xsi:type="dcterms:W3CDTF">2007-06-28T07:20:54Z</dcterms:created>
  <dcterms:modified xsi:type="dcterms:W3CDTF">2026-02-09T07:20:13Z</dcterms:modified>
</cp:coreProperties>
</file>